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3635" windowHeight="9960" activeTab="1"/>
  </bookViews>
  <sheets>
    <sheet name="Fab Project" sheetId="1" r:id="rId1"/>
    <sheet name="Engr" sheetId="2" r:id="rId2"/>
    <sheet name="M&amp;S" sheetId="3" r:id="rId3"/>
    <sheet name="Fab_assy" sheetId="4" r:id="rId4"/>
    <sheet name="Installation" sheetId="5" r:id="rId5"/>
  </sheets>
  <definedNames>
    <definedName name="_xlnm.Print_Area" localSheetId="1">'Engr'!$A$1:$Q$34,'Engr'!$A$46:$Q$99</definedName>
    <definedName name="_xlnm.Print_Area" localSheetId="0">'Fab Project'!$A$1:$K$117</definedName>
    <definedName name="_xlnm.Print_Area" localSheetId="3">'Fab_assy'!$A$1:$O$58</definedName>
    <definedName name="_xlnm.Print_Area" localSheetId="4">'Installation'!$A$1:$M$33</definedName>
    <definedName name="_xlnm.Print_Area" localSheetId="2">'M&amp;S'!$A$1:$J$81</definedName>
    <definedName name="_xlnm.Print_Titles" localSheetId="1">'Engr'!$1:$3</definedName>
    <definedName name="_xlnm.Print_Titles" localSheetId="0">'Fab Project'!$1:$1</definedName>
    <definedName name="_xlnm.Print_Titles" localSheetId="3">'Fab_assy'!$1:$3</definedName>
    <definedName name="_xlnm.Print_Titles" localSheetId="4">'Installation'!$1:$3</definedName>
    <definedName name="_xlnm.Print_Titles" localSheetId="2">'M&amp;S'!$1:$3</definedName>
  </definedNames>
  <calcPr fullCalcOnLoad="1"/>
</workbook>
</file>

<file path=xl/sharedStrings.xml><?xml version="1.0" encoding="utf-8"?>
<sst xmlns="http://schemas.openxmlformats.org/spreadsheetml/2006/main" count="469" uniqueCount="259">
  <si>
    <t>Activity Title</t>
  </si>
  <si>
    <t>Manhours</t>
  </si>
  <si>
    <t>Labor Type</t>
  </si>
  <si>
    <t>Comments</t>
  </si>
  <si>
    <t>Preliminary Design (Title I)</t>
  </si>
  <si>
    <t>Final Design (Title II)</t>
  </si>
  <si>
    <t>EAEM</t>
  </si>
  <si>
    <t>EASM</t>
  </si>
  <si>
    <t>EADM</t>
  </si>
  <si>
    <t>ORNL Eng</t>
  </si>
  <si>
    <t>M&amp;S Costs</t>
  </si>
  <si>
    <t>Procured Hardware/Material</t>
  </si>
  <si>
    <t>Purchased Design Services</t>
  </si>
  <si>
    <t>Procured Installation/Assembly Costs</t>
  </si>
  <si>
    <t>Other Costs</t>
  </si>
  <si>
    <t>Travel</t>
  </si>
  <si>
    <t>Lab Fab/Assembly/Installation (Title III)</t>
  </si>
  <si>
    <t>Labor</t>
  </si>
  <si>
    <t xml:space="preserve"> </t>
  </si>
  <si>
    <t xml:space="preserve">Level of Effort </t>
  </si>
  <si>
    <t>FY2003</t>
  </si>
  <si>
    <t>FY2004</t>
  </si>
  <si>
    <t>FY2005</t>
  </si>
  <si>
    <t>FY2006</t>
  </si>
  <si>
    <t>FY2007</t>
  </si>
  <si>
    <t>ORNL Physics</t>
  </si>
  <si>
    <t>PPPL Designer</t>
  </si>
  <si>
    <t>PPPL Engineer</t>
  </si>
  <si>
    <t>PPPL monthly support</t>
  </si>
  <si>
    <t>Composite of ORNL Engineer / Designer</t>
  </si>
  <si>
    <t>Composite of ORNL Physicist</t>
  </si>
  <si>
    <t>Pro-E models</t>
  </si>
  <si>
    <t>assy dwgs</t>
  </si>
  <si>
    <t>Detail drawings</t>
  </si>
  <si>
    <t>installation dwg</t>
  </si>
  <si>
    <t>multiplier</t>
  </si>
  <si>
    <t>unit</t>
  </si>
  <si>
    <t>no.</t>
  </si>
  <si>
    <t>hrs/model</t>
  </si>
  <si>
    <t>hrs/dwg</t>
  </si>
  <si>
    <t>hrs/calc</t>
  </si>
  <si>
    <t>hrs/spec</t>
  </si>
  <si>
    <t>hrs/wk</t>
  </si>
  <si>
    <t>Engineering, Title I, II and III</t>
  </si>
  <si>
    <t>hrs</t>
  </si>
  <si>
    <t>Title I, II design</t>
  </si>
  <si>
    <t xml:space="preserve">Title III </t>
  </si>
  <si>
    <t>As-built drawings</t>
  </si>
  <si>
    <t>vendor oversight, inspection</t>
  </si>
  <si>
    <t>Disposition of deviation requests and non-conformances</t>
  </si>
  <si>
    <t>PPPL Physics</t>
  </si>
  <si>
    <t>subtotal</t>
  </si>
  <si>
    <t>Description:</t>
  </si>
  <si>
    <t>Schedule assumptions</t>
  </si>
  <si>
    <t>Title II Design</t>
  </si>
  <si>
    <t>Procurement</t>
  </si>
  <si>
    <t>Installation / final assembly</t>
  </si>
  <si>
    <t>In-house fab / sub-assy</t>
  </si>
  <si>
    <t>start</t>
  </si>
  <si>
    <t>end</t>
  </si>
  <si>
    <t>duration (weeks)</t>
  </si>
  <si>
    <t>cooling schematic</t>
  </si>
  <si>
    <t>electrical schematic</t>
  </si>
  <si>
    <t>I&amp;C schematic</t>
  </si>
  <si>
    <t>special analysis</t>
  </si>
  <si>
    <t>stress analysis</t>
  </si>
  <si>
    <t>thermal analysis</t>
  </si>
  <si>
    <t>preliminary and final design reviews</t>
  </si>
  <si>
    <t>hrs/rev</t>
  </si>
  <si>
    <t>meetings/reporting/presentations</t>
  </si>
  <si>
    <t>% of tot</t>
  </si>
  <si>
    <t>procurement specifications</t>
  </si>
  <si>
    <t>fract.</t>
  </si>
  <si>
    <t>total fraction</t>
  </si>
  <si>
    <t>hours</t>
  </si>
  <si>
    <t>Notes and worksheets</t>
  </si>
  <si>
    <t>PPPL Physics/scientific</t>
  </si>
  <si>
    <t>Composite of ORNL Physics / scientific</t>
  </si>
  <si>
    <t>Labor category</t>
  </si>
  <si>
    <t>duration
(weeks)</t>
  </si>
  <si>
    <t>FY2008</t>
  </si>
  <si>
    <t>EMTB</t>
  </si>
  <si>
    <t>PPPL Technician</t>
  </si>
  <si>
    <t>Duration of activity per fiscal year (weeks)</t>
  </si>
  <si>
    <t>Lab R&amp;D labor</t>
  </si>
  <si>
    <t>Manufacturing Development (R&amp;D)</t>
  </si>
  <si>
    <t>per hour</t>
  </si>
  <si>
    <t>Materials and Subcontracts (M&amp;S)</t>
  </si>
  <si>
    <t>outside engr rate =</t>
  </si>
  <si>
    <t>$ per hour</t>
  </si>
  <si>
    <t>outside fab rate =</t>
  </si>
  <si>
    <t>outside inspection/technician rate =</t>
  </si>
  <si>
    <t>w/o G&amp;A</t>
  </si>
  <si>
    <t>Purchased parts:</t>
  </si>
  <si>
    <t>Worksheet:</t>
  </si>
  <si>
    <t>subtotal, purchased parts</t>
  </si>
  <si>
    <t>In-house Fabrication and Assembly</t>
  </si>
  <si>
    <t>total, procured hdwe/matl.</t>
  </si>
  <si>
    <t>Manhours per fiscal year by labor category</t>
  </si>
  <si>
    <t>Installation</t>
  </si>
  <si>
    <t>This element is not part of the WBS 1 scope of work</t>
  </si>
  <si>
    <t>TOTAL</t>
  </si>
  <si>
    <t>Comment</t>
  </si>
  <si>
    <t>no purchased services anticipated</t>
  </si>
  <si>
    <t>All installation and assembly costs are included in WBS 7</t>
  </si>
  <si>
    <t>Summary Costs</t>
  </si>
  <si>
    <t>M&amp;S, Other</t>
  </si>
  <si>
    <t>subtotal, labor</t>
  </si>
  <si>
    <t>subtotal, M&amp;S</t>
  </si>
  <si>
    <t>G&amp;A</t>
  </si>
  <si>
    <t>on all purchased materials, subcontracts, travel</t>
  </si>
  <si>
    <t>Subtotal without contingency</t>
  </si>
  <si>
    <t>Contingency</t>
  </si>
  <si>
    <t>Total cost</t>
  </si>
  <si>
    <t>Overall on this WBS</t>
  </si>
  <si>
    <t>PPPL</t>
  </si>
  <si>
    <t>ORNL</t>
  </si>
  <si>
    <t>PPPL Effort</t>
  </si>
  <si>
    <t>ORNL effort</t>
  </si>
  <si>
    <t>ORNL Phys</t>
  </si>
  <si>
    <t>PPPL Phys</t>
  </si>
  <si>
    <t>Assumed rates:</t>
  </si>
  <si>
    <t>Start Date  Month/Yr</t>
  </si>
  <si>
    <t>End Date  Month/Yr</t>
  </si>
  <si>
    <t>ORNL Phys.</t>
  </si>
  <si>
    <t>PPPL Phys.</t>
  </si>
  <si>
    <t>ORNL Phy</t>
  </si>
  <si>
    <t>PPPL Phy</t>
  </si>
  <si>
    <t xml:space="preserve"> of design is preliminary design</t>
  </si>
  <si>
    <t>of design schedule is final design</t>
  </si>
  <si>
    <t>special analysis (electromagnetics)</t>
  </si>
  <si>
    <t>Title I Design</t>
  </si>
  <si>
    <t>total</t>
  </si>
  <si>
    <t>Fab operations summary</t>
  </si>
  <si>
    <t>Assembly operations summary</t>
  </si>
  <si>
    <t>EASM, EMSM</t>
  </si>
  <si>
    <t>hrs / coil</t>
  </si>
  <si>
    <t>hr/coil</t>
  </si>
  <si>
    <t>hrs/line</t>
  </si>
  <si>
    <t>hrs/lot</t>
  </si>
  <si>
    <t>hr/lot</t>
  </si>
  <si>
    <t xml:space="preserve">assy dwgs </t>
  </si>
  <si>
    <t>Pro-E models (avg)</t>
  </si>
  <si>
    <t>see notes below</t>
  </si>
  <si>
    <t>included in hardware estimate</t>
  </si>
  <si>
    <t xml:space="preserve">Profit </t>
  </si>
  <si>
    <t>port extensions</t>
  </si>
  <si>
    <t xml:space="preserve">notes:  </t>
  </si>
  <si>
    <t>get name of federal QA outfit from Rod Templon's email</t>
  </si>
  <si>
    <t>Assumptions:</t>
  </si>
  <si>
    <t xml:space="preserve">technical oversight, inspection </t>
  </si>
  <si>
    <t>vessel torus,</t>
  </si>
  <si>
    <t>NBI duct</t>
  </si>
  <si>
    <t>on drawing per type of part</t>
  </si>
  <si>
    <t>ft</t>
  </si>
  <si>
    <t>cost of tubing</t>
  </si>
  <si>
    <t>cost per field period</t>
  </si>
  <si>
    <t>Manifolds for cooling lines</t>
  </si>
  <si>
    <t>hours to weld each connection</t>
  </si>
  <si>
    <t>crew size for forming</t>
  </si>
  <si>
    <t>total shifts for manifolds</t>
  </si>
  <si>
    <t>tech hours for manifolds</t>
  </si>
  <si>
    <t>shifts to form manifold tube</t>
  </si>
  <si>
    <t>per manifold pair</t>
  </si>
  <si>
    <t>hr per connection</t>
  </si>
  <si>
    <t>total matl cost for manifolds</t>
  </si>
  <si>
    <t>welding consumables</t>
  </si>
  <si>
    <t>cost of nipples for all manifolds</t>
  </si>
  <si>
    <t>This effort covers all the assembly time to put the cooling line tracing on the exterior of the vessel and ports, and to build the coolant manifolds</t>
  </si>
  <si>
    <t>Worksheets</t>
  </si>
  <si>
    <t>manifolds</t>
  </si>
  <si>
    <t>one analysis for all cooling lines</t>
  </si>
  <si>
    <t>one review for all the plumbing</t>
  </si>
  <si>
    <t>one procurement spec for the tubing, piping and fittings</t>
  </si>
  <si>
    <t>headers</t>
  </si>
  <si>
    <t>drawings of each manifold and header</t>
  </si>
  <si>
    <t>models for each type of tube, manifold, and header</t>
  </si>
  <si>
    <t>avg toroidal perimeter of field period</t>
  </si>
  <si>
    <t>no of header pairs</t>
  </si>
  <si>
    <t>cost per connection</t>
  </si>
  <si>
    <t>no. connections for supply piping</t>
  </si>
  <si>
    <t>cost for supply piping connections</t>
  </si>
  <si>
    <t>total number of coolant connections, all headers</t>
  </si>
  <si>
    <t>tubing, manifolds, headers</t>
  </si>
  <si>
    <t>no trips are anticipated for this WBS</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</si>
  <si>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</si>
  <si>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 xml:space="preserve">This effort covers procurement of materials for the LN2 distribution system by fixed price subcontract. </t>
  </si>
  <si>
    <t>coolant line pigtails from coils to manifolds</t>
  </si>
  <si>
    <t>Average length of pigtail</t>
  </si>
  <si>
    <t>No. of coils</t>
  </si>
  <si>
    <t>TF</t>
  </si>
  <si>
    <t>Total number of pigtails</t>
  </si>
  <si>
    <t>Modular</t>
  </si>
  <si>
    <t>Total</t>
  </si>
  <si>
    <t>circuits per coil at header</t>
  </si>
  <si>
    <t>PF1</t>
  </si>
  <si>
    <t>PF2</t>
  </si>
  <si>
    <t>PF3</t>
  </si>
  <si>
    <t>PF4</t>
  </si>
  <si>
    <t>PF5</t>
  </si>
  <si>
    <t>PF6</t>
  </si>
  <si>
    <t>total circuits</t>
  </si>
  <si>
    <t>supply and return per circuit</t>
  </si>
  <si>
    <t>Cost per pigtail, with fittings</t>
  </si>
  <si>
    <t>Total cost of pigtails</t>
  </si>
  <si>
    <t>Each manifold will have 1/3 of the required cooling connections plus 25% spare</t>
  </si>
  <si>
    <t>The manifolds will connect via vertical pipes to the supply system below the cryostat</t>
  </si>
  <si>
    <t>per foot, 316 SSt</t>
  </si>
  <si>
    <t>avg vertical height of connection lines</t>
  </si>
  <si>
    <t>hours to cut vertical pipes</t>
  </si>
  <si>
    <t>hours to weld vertical pipes to header</t>
  </si>
  <si>
    <t>hrs per pipe</t>
  </si>
  <si>
    <t>total hours for manifolds</t>
  </si>
  <si>
    <t>WBS 161 LN2 Distribution System Inside Cryostat</t>
  </si>
  <si>
    <t>Thermocouples</t>
  </si>
  <si>
    <t xml:space="preserve"> Number </t>
  </si>
  <si>
    <t>ea</t>
  </si>
  <si>
    <t>Thermocouple cost each, with connector</t>
  </si>
  <si>
    <t>$ each</t>
  </si>
  <si>
    <t>total for thermocouples</t>
  </si>
  <si>
    <t>Flow control hardware</t>
  </si>
  <si>
    <t>no. of circuits</t>
  </si>
  <si>
    <t>Valves</t>
  </si>
  <si>
    <t>no.of valves</t>
  </si>
  <si>
    <t>Total cost for valves</t>
  </si>
  <si>
    <t>Other misc items</t>
  </si>
  <si>
    <t>total hardware</t>
  </si>
  <si>
    <t>valves</t>
  </si>
  <si>
    <t>other hardware</t>
  </si>
  <si>
    <t>LN2 distribution system</t>
  </si>
  <si>
    <t>flow control system</t>
  </si>
  <si>
    <t>elements added to piping system</t>
  </si>
  <si>
    <t>block flow diagram</t>
  </si>
  <si>
    <t>actuator electrical schematic, if applicable</t>
  </si>
  <si>
    <t>one procurement specification for all flow control elements</t>
  </si>
  <si>
    <t>reviews covered under WBS 191</t>
  </si>
  <si>
    <t>Local I&amp;C</t>
  </si>
  <si>
    <t>FY2003 $$</t>
  </si>
  <si>
    <t>Assume 1  pair of 1.5 inch manifolds for each field period, one above and one below the midplane inside the PF5 coil</t>
  </si>
  <si>
    <t>cost per jumper</t>
  </si>
  <si>
    <t>Number of MC coil insulating break jumper hoses and end fittings</t>
  </si>
  <si>
    <t>Insulating Jumper hoses</t>
  </si>
  <si>
    <t>2 connections per manifold</t>
  </si>
  <si>
    <t>total cost of jumpers</t>
  </si>
  <si>
    <t>total cost of all lines</t>
  </si>
  <si>
    <t>flow control orifice at manifold</t>
  </si>
  <si>
    <t>no of orifice units</t>
  </si>
  <si>
    <t>one for each MC coil circuit</t>
  </si>
  <si>
    <t>Total cost for orifice</t>
  </si>
  <si>
    <t>Assume 1 pair of 1.5 inch manifolds for each field period, one above and one below the midplane inside the PF5 coil</t>
  </si>
  <si>
    <t xml:space="preserve">2. There will be a single supply and return header for each field period which supplies the TF coils and the upper and lower PF coils </t>
  </si>
  <si>
    <t>3. Reviews and procurement specs for T/C are covered as part of WBS 171</t>
  </si>
  <si>
    <t>1. LN2 distribution system instrumentation consists of a single thermocouple placed on each return header inside cryostat</t>
  </si>
  <si>
    <t>one for each pf and tf coil circuit at manifold</t>
  </si>
  <si>
    <t>Procurement coordination</t>
  </si>
  <si>
    <t>EMEM</t>
  </si>
  <si>
    <t>fab specifications</t>
  </si>
  <si>
    <t>included in job 1408 for the modular coil fabrication</t>
  </si>
  <si>
    <t>will be included in the machine assembly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</si>
</sst>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s>
  <fonts count="24">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sz val="10"/>
      <color indexed="43"/>
      <name val="Arial"/>
      <family val="2"/>
    </font>
    <font>
      <b/>
      <i/>
      <sz val="9"/>
      <name val="Arial"/>
      <family val="2"/>
    </font>
    <font>
      <i/>
      <sz val="9"/>
      <name val="Arial"/>
      <family val="2"/>
    </font>
    <font>
      <sz val="10"/>
      <color indexed="8"/>
      <name val="Arial"/>
      <family val="2"/>
    </font>
    <font>
      <i/>
      <sz val="10"/>
      <color indexed="8"/>
      <name val="Arial"/>
      <family val="2"/>
    </font>
    <font>
      <b/>
      <sz val="11"/>
      <color indexed="10"/>
      <name val="Arial"/>
      <family val="2"/>
    </font>
    <font>
      <b/>
      <sz val="10"/>
      <color indexed="9"/>
      <name val="Arial"/>
      <family val="2"/>
    </font>
  </fonts>
  <fills count="9">
    <fill>
      <patternFill/>
    </fill>
    <fill>
      <patternFill patternType="gray125"/>
    </fill>
    <fill>
      <patternFill patternType="solid">
        <fgColor indexed="27"/>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2" fillId="0" borderId="0" xfId="0" applyFont="1" applyFill="1" applyAlignment="1">
      <alignment horizontal="center" wrapText="1"/>
    </xf>
    <xf numFmtId="0" fontId="4"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wrapText="1"/>
    </xf>
    <xf numFmtId="0" fontId="0" fillId="0" borderId="0" xfId="0"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1" fontId="0" fillId="0" borderId="0" xfId="0" applyNumberFormat="1" applyAlignment="1">
      <alignment/>
    </xf>
    <xf numFmtId="2" fontId="7" fillId="0" borderId="0" xfId="0" applyNumberFormat="1" applyFon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0" fontId="0" fillId="0" borderId="0" xfId="0" applyFont="1" applyAlignment="1">
      <alignment horizontal="center" wrapText="1"/>
    </xf>
    <xf numFmtId="1" fontId="0" fillId="0" borderId="0" xfId="0" applyNumberFormat="1" applyAlignment="1">
      <alignment horizontal="center"/>
    </xf>
    <xf numFmtId="0" fontId="0" fillId="0" borderId="0" xfId="0" applyAlignment="1">
      <alignment horizontal="right"/>
    </xf>
    <xf numFmtId="166" fontId="0" fillId="0" borderId="0" xfId="0" applyNumberFormat="1" applyAlignment="1">
      <alignment/>
    </xf>
    <xf numFmtId="0" fontId="7" fillId="0" borderId="0" xfId="0" applyFont="1" applyAlignment="1">
      <alignment/>
    </xf>
    <xf numFmtId="166" fontId="0" fillId="0" borderId="0" xfId="0" applyNumberFormat="1" applyAlignment="1">
      <alignment horizontal="right"/>
    </xf>
    <xf numFmtId="1" fontId="7" fillId="0" borderId="0" xfId="0" applyNumberFormat="1" applyFont="1" applyAlignment="1">
      <alignment horizontal="center"/>
    </xf>
    <xf numFmtId="0" fontId="0" fillId="0" borderId="0" xfId="0" applyFill="1" applyAlignment="1">
      <alignment/>
    </xf>
    <xf numFmtId="0" fontId="10" fillId="0" borderId="0" xfId="0" applyFont="1" applyAlignment="1">
      <alignment/>
    </xf>
    <xf numFmtId="0" fontId="4" fillId="0" borderId="0" xfId="0" applyFont="1" applyFill="1" applyAlignment="1">
      <alignment/>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 fontId="0" fillId="0" borderId="0" xfId="0" applyNumberFormat="1" applyFont="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12" fillId="0" borderId="0" xfId="0" applyNumberFormat="1" applyFont="1" applyFill="1" applyBorder="1" applyAlignment="1">
      <alignment horizontal="center"/>
    </xf>
    <xf numFmtId="168" fontId="13"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8" fillId="0" borderId="0" xfId="0" applyNumberFormat="1" applyFont="1" applyFill="1" applyBorder="1" applyAlignment="1">
      <alignment horizontal="center"/>
    </xf>
    <xf numFmtId="0" fontId="14" fillId="0" borderId="0" xfId="0" applyFont="1" applyFill="1" applyBorder="1" applyAlignment="1">
      <alignment horizontal="center"/>
    </xf>
    <xf numFmtId="169" fontId="17" fillId="0" borderId="0" xfId="0" applyNumberFormat="1" applyFont="1" applyFill="1" applyBorder="1" applyAlignment="1">
      <alignment horizontal="center"/>
    </xf>
    <xf numFmtId="8" fontId="3" fillId="0" borderId="0" xfId="0" applyNumberFormat="1" applyFont="1" applyFill="1" applyBorder="1" applyAlignment="1">
      <alignment horizontal="center"/>
    </xf>
    <xf numFmtId="8" fontId="13"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70" fontId="7" fillId="0" borderId="0" xfId="0" applyNumberFormat="1" applyFont="1" applyAlignment="1">
      <alignment horizontal="center"/>
    </xf>
    <xf numFmtId="0" fontId="0" fillId="0" borderId="0" xfId="0" applyAlignment="1">
      <alignment textRotation="90"/>
    </xf>
    <xf numFmtId="0" fontId="0" fillId="0" borderId="0" xfId="0" applyAlignment="1">
      <alignment textRotation="90" wrapText="1"/>
    </xf>
    <xf numFmtId="166" fontId="2" fillId="0" borderId="0" xfId="0" applyNumberFormat="1" applyFont="1" applyAlignment="1">
      <alignment horizontal="center" wrapText="1"/>
    </xf>
    <xf numFmtId="0" fontId="0" fillId="0" borderId="0" xfId="0" applyAlignment="1">
      <alignment horizontal="center" wrapText="1"/>
    </xf>
    <xf numFmtId="166" fontId="0" fillId="0" borderId="0" xfId="0" applyNumberFormat="1" applyAlignment="1">
      <alignment horizontal="right" wrapText="1"/>
    </xf>
    <xf numFmtId="166" fontId="7" fillId="0" borderId="0" xfId="0" applyNumberFormat="1" applyFont="1" applyAlignment="1">
      <alignment wrapText="1"/>
    </xf>
    <xf numFmtId="166" fontId="7" fillId="0" borderId="0" xfId="0" applyNumberFormat="1" applyFont="1" applyAlignment="1">
      <alignment horizontal="right" wrapText="1"/>
    </xf>
    <xf numFmtId="166" fontId="0" fillId="0" borderId="0" xfId="0" applyNumberFormat="1" applyAlignment="1">
      <alignment horizontal="left" wrapText="1"/>
    </xf>
    <xf numFmtId="166" fontId="0" fillId="0" borderId="0" xfId="0" applyNumberFormat="1" applyAlignment="1">
      <alignment wrapText="1"/>
    </xf>
    <xf numFmtId="166" fontId="0" fillId="0" borderId="0" xfId="0" applyNumberFormat="1" applyAlignment="1">
      <alignment horizontal="center" wrapText="1"/>
    </xf>
    <xf numFmtId="0" fontId="0" fillId="0" borderId="0" xfId="0" applyAlignment="1">
      <alignment horizontal="right" wrapText="1"/>
    </xf>
    <xf numFmtId="166" fontId="0" fillId="0" borderId="0" xfId="0" applyNumberFormat="1" applyFill="1" applyBorder="1" applyAlignment="1">
      <alignment/>
    </xf>
    <xf numFmtId="0" fontId="19" fillId="0" borderId="0" xfId="0" applyFont="1" applyFill="1" applyBorder="1" applyAlignment="1">
      <alignment/>
    </xf>
    <xf numFmtId="0" fontId="16"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4" fontId="0" fillId="0" borderId="0" xfId="0" applyNumberFormat="1" applyAlignment="1">
      <alignment horizontal="right" wrapText="1"/>
    </xf>
    <xf numFmtId="2" fontId="0" fillId="0" borderId="0" xfId="0" applyNumberFormat="1" applyAlignment="1">
      <alignment wrapText="1"/>
    </xf>
    <xf numFmtId="1" fontId="2" fillId="0" borderId="0" xfId="0" applyNumberFormat="1" applyFont="1"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5" fillId="0" borderId="0" xfId="0" applyFont="1" applyFill="1" applyBorder="1" applyAlignment="1">
      <alignment horizontal="center"/>
    </xf>
    <xf numFmtId="168" fontId="12" fillId="0" borderId="0" xfId="0" applyNumberFormat="1" applyFont="1" applyFill="1" applyBorder="1" applyAlignment="1">
      <alignment horizontal="left"/>
    </xf>
    <xf numFmtId="166" fontId="2" fillId="2" borderId="0" xfId="0" applyNumberFormat="1" applyFont="1" applyFill="1" applyAlignment="1">
      <alignment horizontal="center" wrapText="1"/>
    </xf>
    <xf numFmtId="166" fontId="4" fillId="0" borderId="0" xfId="0" applyNumberFormat="1" applyFont="1" applyAlignment="1">
      <alignment/>
    </xf>
    <xf numFmtId="9" fontId="4" fillId="0" borderId="0" xfId="0" applyNumberFormat="1" applyFont="1" applyAlignment="1">
      <alignment/>
    </xf>
    <xf numFmtId="0" fontId="0" fillId="0" borderId="0" xfId="0" applyFill="1" applyAlignment="1">
      <alignment horizontal="center" wrapText="1"/>
    </xf>
    <xf numFmtId="0" fontId="0" fillId="0" borderId="0" xfId="0" applyFill="1" applyAlignment="1">
      <alignment wrapText="1"/>
    </xf>
    <xf numFmtId="166" fontId="0" fillId="0" borderId="0" xfId="0" applyNumberFormat="1" applyFill="1" applyAlignment="1">
      <alignment horizontal="right" wrapText="1"/>
    </xf>
    <xf numFmtId="166" fontId="7" fillId="0" borderId="0" xfId="0" applyNumberFormat="1" applyFont="1" applyFill="1" applyAlignment="1">
      <alignment wrapText="1"/>
    </xf>
    <xf numFmtId="166" fontId="0" fillId="0" borderId="0" xfId="0" applyNumberFormat="1" applyFill="1" applyAlignment="1">
      <alignment wrapText="1"/>
    </xf>
    <xf numFmtId="166" fontId="0" fillId="0" borderId="0" xfId="0" applyNumberFormat="1" applyFill="1" applyAlignment="1">
      <alignment horizontal="center" wrapText="1"/>
    </xf>
    <xf numFmtId="0" fontId="0" fillId="0" borderId="0" xfId="0" applyFill="1" applyAlignment="1">
      <alignment horizontal="right" wrapText="1"/>
    </xf>
    <xf numFmtId="166" fontId="2" fillId="0" borderId="0" xfId="0" applyNumberFormat="1" applyFont="1" applyFill="1" applyAlignment="1">
      <alignment horizontal="center" wrapText="1"/>
    </xf>
    <xf numFmtId="166" fontId="0" fillId="0" borderId="0" xfId="0" applyNumberFormat="1" applyFill="1" applyAlignment="1">
      <alignment/>
    </xf>
    <xf numFmtId="166" fontId="0" fillId="0" borderId="0" xfId="0" applyNumberFormat="1" applyFill="1" applyAlignment="1">
      <alignment horizontal="center"/>
    </xf>
    <xf numFmtId="0" fontId="0" fillId="0" borderId="0" xfId="0" applyFill="1" applyAlignment="1">
      <alignment horizontal="center"/>
    </xf>
    <xf numFmtId="166" fontId="20" fillId="0" borderId="0" xfId="0" applyNumberFormat="1" applyFont="1" applyFill="1" applyAlignment="1">
      <alignment/>
    </xf>
    <xf numFmtId="166" fontId="4" fillId="0" borderId="0" xfId="0" applyNumberFormat="1" applyFont="1" applyFill="1" applyAlignment="1">
      <alignment/>
    </xf>
    <xf numFmtId="9" fontId="4" fillId="0" borderId="0" xfId="0" applyNumberFormat="1" applyFont="1" applyFill="1" applyAlignment="1">
      <alignment/>
    </xf>
    <xf numFmtId="166" fontId="0" fillId="0" borderId="0" xfId="0" applyNumberFormat="1" applyFill="1" applyAlignment="1">
      <alignment horizontal="right"/>
    </xf>
    <xf numFmtId="0" fontId="0" fillId="0" borderId="0" xfId="0" applyFill="1" applyAlignment="1">
      <alignment horizontal="right"/>
    </xf>
    <xf numFmtId="172" fontId="12" fillId="0" borderId="0" xfId="0" applyNumberFormat="1" applyFont="1" applyFill="1" applyBorder="1" applyAlignment="1">
      <alignment horizontal="center"/>
    </xf>
    <xf numFmtId="170" fontId="0" fillId="0" borderId="0" xfId="0" applyNumberFormat="1" applyAlignment="1">
      <alignment/>
    </xf>
    <xf numFmtId="0" fontId="0" fillId="0" borderId="0" xfId="0" applyAlignment="1">
      <alignment horizontal="center" vertical="center" wrapText="1"/>
    </xf>
    <xf numFmtId="166" fontId="0" fillId="0" borderId="0" xfId="0" applyNumberFormat="1" applyAlignment="1">
      <alignment horizontal="center"/>
    </xf>
    <xf numFmtId="0" fontId="0" fillId="0" borderId="0" xfId="0" applyFont="1" applyFill="1" applyAlignment="1">
      <alignment horizontal="center" wrapText="1"/>
    </xf>
    <xf numFmtId="166" fontId="0" fillId="0" borderId="0" xfId="0" applyNumberFormat="1" applyFont="1" applyFill="1" applyBorder="1" applyAlignment="1">
      <alignment/>
    </xf>
    <xf numFmtId="1" fontId="7" fillId="0" borderId="0" xfId="0" applyNumberFormat="1" applyFont="1" applyAlignment="1">
      <alignment/>
    </xf>
    <xf numFmtId="0" fontId="0" fillId="0" borderId="0" xfId="0" applyAlignment="1">
      <alignment horizontal="center" vertical="top" wrapText="1"/>
    </xf>
    <xf numFmtId="0" fontId="2" fillId="3" borderId="0" xfId="0" applyFont="1" applyFill="1" applyAlignment="1">
      <alignment horizontal="center" wrapText="1"/>
    </xf>
    <xf numFmtId="14" fontId="2" fillId="3" borderId="0" xfId="0" applyNumberFormat="1" applyFont="1" applyFill="1" applyAlignment="1">
      <alignment horizontal="center" wrapText="1"/>
    </xf>
    <xf numFmtId="0" fontId="0" fillId="3" borderId="0" xfId="0" applyFill="1" applyAlignment="1">
      <alignment/>
    </xf>
    <xf numFmtId="14" fontId="0" fillId="3" borderId="0" xfId="0" applyNumberFormat="1" applyFill="1" applyAlignment="1">
      <alignment/>
    </xf>
    <xf numFmtId="2" fontId="0" fillId="3" borderId="0" xfId="0" applyNumberFormat="1" applyFill="1" applyAlignment="1">
      <alignment/>
    </xf>
    <xf numFmtId="17" fontId="0" fillId="3" borderId="0" xfId="0" applyNumberFormat="1" applyFill="1" applyAlignment="1">
      <alignment horizontal="center"/>
    </xf>
    <xf numFmtId="1" fontId="0" fillId="3" borderId="0" xfId="0" applyNumberFormat="1" applyFill="1" applyAlignment="1">
      <alignment horizontal="center"/>
    </xf>
    <xf numFmtId="0" fontId="20" fillId="3" borderId="0" xfId="0" applyFont="1" applyFill="1" applyAlignment="1">
      <alignment horizontal="center" wrapText="1"/>
    </xf>
    <xf numFmtId="0" fontId="20" fillId="3" borderId="0" xfId="0" applyFont="1" applyFill="1" applyAlignment="1">
      <alignment/>
    </xf>
    <xf numFmtId="2" fontId="20" fillId="3" borderId="0" xfId="0" applyNumberFormat="1" applyFont="1" applyFill="1" applyAlignment="1">
      <alignment/>
    </xf>
    <xf numFmtId="1" fontId="21" fillId="3" borderId="0" xfId="0" applyNumberFormat="1" applyFont="1" applyFill="1" applyAlignment="1">
      <alignment horizontal="right"/>
    </xf>
    <xf numFmtId="0" fontId="20" fillId="3" borderId="0" xfId="0" applyFont="1" applyFill="1" applyAlignment="1">
      <alignment horizontal="center"/>
    </xf>
    <xf numFmtId="0" fontId="21" fillId="3" borderId="0" xfId="0" applyFont="1" applyFill="1" applyAlignment="1">
      <alignment horizontal="right"/>
    </xf>
    <xf numFmtId="1" fontId="20" fillId="3" borderId="0" xfId="0" applyNumberFormat="1" applyFont="1" applyFill="1" applyAlignment="1">
      <alignment/>
    </xf>
    <xf numFmtId="0" fontId="0" fillId="0" borderId="0" xfId="0" applyAlignment="1">
      <alignment horizontal="left" vertical="top"/>
    </xf>
    <xf numFmtId="0" fontId="21" fillId="3" borderId="0" xfId="0" applyFont="1" applyFill="1" applyAlignment="1">
      <alignment/>
    </xf>
    <xf numFmtId="0" fontId="22" fillId="0" borderId="0" xfId="0" applyFont="1" applyAlignment="1">
      <alignment wrapText="1"/>
    </xf>
    <xf numFmtId="1" fontId="22" fillId="0" borderId="0" xfId="0" applyNumberFormat="1" applyFont="1" applyAlignment="1">
      <alignment/>
    </xf>
    <xf numFmtId="1" fontId="14" fillId="0" borderId="0" xfId="0" applyNumberFormat="1" applyFont="1" applyFill="1" applyBorder="1" applyAlignment="1">
      <alignment horizontal="center"/>
    </xf>
    <xf numFmtId="0" fontId="0" fillId="0" borderId="1" xfId="0" applyFill="1" applyBorder="1" applyAlignment="1">
      <alignment/>
    </xf>
    <xf numFmtId="168" fontId="2" fillId="0" borderId="0" xfId="0" applyNumberFormat="1" applyFont="1" applyFill="1" applyBorder="1" applyAlignment="1">
      <alignment horizontal="center"/>
    </xf>
    <xf numFmtId="0" fontId="20" fillId="3" borderId="0" xfId="0" applyFont="1" applyFill="1" applyAlignment="1">
      <alignment horizontal="center" wrapText="1"/>
    </xf>
    <xf numFmtId="0" fontId="0" fillId="0" borderId="0" xfId="0" applyFont="1" applyFill="1" applyBorder="1" applyAlignment="1">
      <alignment horizontal="center" wrapText="1"/>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1" fontId="15" fillId="0" borderId="0" xfId="0" applyNumberFormat="1" applyFont="1" applyFill="1" applyBorder="1" applyAlignment="1">
      <alignment horizontal="center"/>
    </xf>
    <xf numFmtId="168" fontId="14" fillId="0" borderId="0" xfId="0" applyNumberFormat="1" applyFont="1" applyFill="1" applyBorder="1" applyAlignment="1">
      <alignment horizontal="center"/>
    </xf>
    <xf numFmtId="0" fontId="10" fillId="0" borderId="0" xfId="0" applyFont="1" applyFill="1" applyAlignment="1">
      <alignment/>
    </xf>
    <xf numFmtId="0" fontId="8" fillId="0" borderId="1" xfId="0" applyFont="1" applyFill="1" applyBorder="1" applyAlignment="1">
      <alignment/>
    </xf>
    <xf numFmtId="166" fontId="8" fillId="0" borderId="0" xfId="0" applyNumberFormat="1" applyFont="1" applyAlignment="1">
      <alignment/>
    </xf>
    <xf numFmtId="166" fontId="5" fillId="0" borderId="0" xfId="0" applyNumberFormat="1" applyFont="1" applyAlignment="1">
      <alignment/>
    </xf>
    <xf numFmtId="166" fontId="5" fillId="0" borderId="0" xfId="0" applyNumberFormat="1" applyFont="1" applyAlignment="1">
      <alignment horizontal="right"/>
    </xf>
    <xf numFmtId="166" fontId="0" fillId="4" borderId="0" xfId="0" applyNumberFormat="1" applyFill="1" applyAlignment="1">
      <alignment/>
    </xf>
    <xf numFmtId="166" fontId="0" fillId="5" borderId="0" xfId="0" applyNumberFormat="1" applyFill="1" applyAlignment="1">
      <alignment/>
    </xf>
    <xf numFmtId="166" fontId="0" fillId="5" borderId="0" xfId="0" applyNumberFormat="1" applyFill="1" applyAlignment="1">
      <alignment horizontal="right"/>
    </xf>
    <xf numFmtId="166" fontId="20" fillId="6" borderId="0" xfId="0" applyNumberFormat="1" applyFont="1" applyFill="1" applyAlignment="1">
      <alignment/>
    </xf>
    <xf numFmtId="166" fontId="5" fillId="0" borderId="0" xfId="0" applyNumberFormat="1" applyFont="1" applyAlignment="1">
      <alignment horizontal="center"/>
    </xf>
    <xf numFmtId="166" fontId="0" fillId="4" borderId="0" xfId="0" applyNumberFormat="1" applyFill="1" applyAlignment="1">
      <alignment horizontal="center"/>
    </xf>
    <xf numFmtId="166" fontId="0" fillId="7" borderId="0" xfId="0" applyNumberFormat="1" applyFill="1" applyAlignment="1">
      <alignment/>
    </xf>
    <xf numFmtId="176" fontId="0" fillId="7" borderId="0" xfId="17" applyNumberFormat="1" applyFont="1" applyFill="1" applyBorder="1" applyAlignment="1">
      <alignment horizontal="center"/>
    </xf>
    <xf numFmtId="0" fontId="5" fillId="0" borderId="0" xfId="0" applyFont="1" applyFill="1" applyBorder="1" applyAlignment="1">
      <alignment horizontal="center"/>
    </xf>
    <xf numFmtId="168" fontId="0" fillId="0" borderId="0" xfId="0" applyNumberFormat="1" applyFill="1" applyBorder="1" applyAlignment="1">
      <alignment horizontal="center"/>
    </xf>
    <xf numFmtId="0" fontId="5" fillId="0" borderId="0" xfId="0" applyFont="1" applyAlignment="1">
      <alignment horizontal="right"/>
    </xf>
    <xf numFmtId="166" fontId="0" fillId="8" borderId="0" xfId="0" applyNumberFormat="1" applyFill="1" applyAlignment="1">
      <alignment horizontal="right"/>
    </xf>
    <xf numFmtId="166" fontId="0" fillId="8" borderId="0" xfId="0" applyNumberFormat="1" applyFill="1" applyAlignment="1">
      <alignment/>
    </xf>
    <xf numFmtId="176" fontId="23" fillId="3" borderId="0" xfId="17" applyNumberFormat="1" applyFont="1" applyFill="1" applyAlignment="1">
      <alignment/>
    </xf>
    <xf numFmtId="0" fontId="0" fillId="0" borderId="0" xfId="0" applyAlignment="1">
      <alignment horizontal="center" textRotation="90" wrapText="1"/>
    </xf>
    <xf numFmtId="0" fontId="0" fillId="0" borderId="0" xfId="0" applyAlignment="1">
      <alignment horizontal="left" wrapText="1"/>
    </xf>
    <xf numFmtId="0" fontId="2" fillId="0" borderId="0" xfId="0" applyFont="1" applyAlignment="1">
      <alignment horizontal="center" wrapText="1"/>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wrapText="1"/>
    </xf>
    <xf numFmtId="172"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9" fontId="15" fillId="0" borderId="0" xfId="0" applyNumberFormat="1" applyFont="1" applyFill="1" applyBorder="1" applyAlignment="1">
      <alignment horizontal="center"/>
    </xf>
    <xf numFmtId="169"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69" fontId="12" fillId="0" borderId="0" xfId="0" applyNumberFormat="1" applyFont="1" applyFill="1" applyBorder="1" applyAlignment="1">
      <alignment horizontal="center"/>
    </xf>
    <xf numFmtId="169" fontId="11"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0" fontId="10" fillId="3" borderId="0" xfId="0" applyFont="1" applyFill="1" applyAlignment="1">
      <alignment horizontal="left"/>
    </xf>
    <xf numFmtId="0" fontId="1" fillId="3" borderId="0" xfId="0" applyFont="1" applyFill="1" applyAlignment="1">
      <alignment/>
    </xf>
    <xf numFmtId="0" fontId="2" fillId="3" borderId="0" xfId="0" applyFont="1" applyFill="1" applyAlignment="1">
      <alignment horizontal="center"/>
    </xf>
    <xf numFmtId="0" fontId="1" fillId="3" borderId="0" xfId="0" applyFont="1" applyFill="1" applyAlignment="1">
      <alignment horizontal="left"/>
    </xf>
    <xf numFmtId="14" fontId="1" fillId="3" borderId="0" xfId="0" applyNumberFormat="1" applyFont="1" applyFill="1" applyAlignment="1">
      <alignment/>
    </xf>
    <xf numFmtId="0" fontId="2" fillId="3" borderId="0" xfId="0" applyFont="1" applyFill="1" applyAlignment="1">
      <alignment horizontal="center"/>
    </xf>
    <xf numFmtId="0" fontId="8" fillId="3" borderId="1" xfId="0" applyFont="1" applyFill="1" applyBorder="1" applyAlignment="1">
      <alignment horizontal="left"/>
    </xf>
    <xf numFmtId="0" fontId="1" fillId="3" borderId="1" xfId="0" applyFont="1" applyFill="1" applyBorder="1" applyAlignment="1">
      <alignment horizontal="left"/>
    </xf>
    <xf numFmtId="0" fontId="1" fillId="3" borderId="1" xfId="0" applyFont="1" applyFill="1" applyBorder="1" applyAlignment="1">
      <alignment/>
    </xf>
    <xf numFmtId="14" fontId="1" fillId="3" borderId="1" xfId="0" applyNumberFormat="1" applyFont="1" applyFill="1" applyBorder="1" applyAlignment="1">
      <alignment/>
    </xf>
    <xf numFmtId="0" fontId="2" fillId="3" borderId="0" xfId="0" applyFont="1" applyFill="1" applyAlignment="1">
      <alignment horizontal="centerContinuous" wrapText="1"/>
    </xf>
    <xf numFmtId="0" fontId="2" fillId="3" borderId="0" xfId="0" applyFont="1" applyFill="1" applyAlignment="1">
      <alignment/>
    </xf>
    <xf numFmtId="0" fontId="2" fillId="3" borderId="0" xfId="0" applyFont="1" applyFill="1" applyAlignment="1">
      <alignment horizontal="left"/>
    </xf>
    <xf numFmtId="0" fontId="0" fillId="3" borderId="0" xfId="0" applyFont="1" applyFill="1" applyAlignment="1">
      <alignment/>
    </xf>
    <xf numFmtId="1" fontId="0" fillId="3" borderId="0" xfId="0" applyNumberFormat="1" applyFill="1" applyAlignment="1">
      <alignment/>
    </xf>
    <xf numFmtId="0" fontId="4" fillId="3" borderId="0" xfId="0" applyFont="1" applyFill="1" applyAlignment="1">
      <alignment/>
    </xf>
    <xf numFmtId="9" fontId="0" fillId="3" borderId="0" xfId="0" applyNumberFormat="1" applyFill="1" applyAlignment="1">
      <alignment horizontal="left"/>
    </xf>
    <xf numFmtId="1" fontId="0" fillId="3" borderId="0" xfId="0" applyNumberFormat="1" applyFont="1" applyFill="1" applyAlignment="1">
      <alignment/>
    </xf>
    <xf numFmtId="0" fontId="4" fillId="3" borderId="0" xfId="0" applyFont="1" applyFill="1" applyAlignment="1">
      <alignment horizontal="left"/>
    </xf>
    <xf numFmtId="0" fontId="0" fillId="3" borderId="1" xfId="0" applyFill="1" applyBorder="1" applyAlignment="1">
      <alignment/>
    </xf>
    <xf numFmtId="0" fontId="4" fillId="3" borderId="1" xfId="0" applyFont="1" applyFill="1" applyBorder="1" applyAlignment="1">
      <alignment/>
    </xf>
    <xf numFmtId="17" fontId="0" fillId="3" borderId="1" xfId="0" applyNumberFormat="1" applyFill="1" applyBorder="1" applyAlignment="1">
      <alignment horizontal="center"/>
    </xf>
    <xf numFmtId="0" fontId="4" fillId="3" borderId="1" xfId="0" applyFont="1" applyFill="1" applyBorder="1" applyAlignment="1">
      <alignment horizontal="left"/>
    </xf>
    <xf numFmtId="0" fontId="8" fillId="3" borderId="0" xfId="0" applyFont="1" applyFill="1" applyBorder="1" applyAlignment="1">
      <alignment horizontal="left"/>
    </xf>
    <xf numFmtId="0" fontId="0" fillId="3" borderId="0" xfId="0" applyFill="1" applyBorder="1" applyAlignment="1">
      <alignment/>
    </xf>
    <xf numFmtId="0" fontId="4" fillId="3" borderId="0" xfId="0" applyFont="1" applyFill="1" applyBorder="1" applyAlignment="1">
      <alignment/>
    </xf>
    <xf numFmtId="17" fontId="0" fillId="3" borderId="0" xfId="0" applyNumberFormat="1" applyFill="1" applyBorder="1" applyAlignment="1">
      <alignment horizontal="center"/>
    </xf>
    <xf numFmtId="0" fontId="4" fillId="3" borderId="0" xfId="0" applyFont="1" applyFill="1" applyBorder="1" applyAlignment="1">
      <alignment horizontal="left"/>
    </xf>
    <xf numFmtId="0" fontId="3" fillId="3" borderId="0" xfId="0" applyFont="1" applyFill="1" applyBorder="1" applyAlignment="1">
      <alignment horizontal="center"/>
    </xf>
    <xf numFmtId="0" fontId="9" fillId="3" borderId="0" xfId="0" applyFont="1" applyFill="1" applyAlignment="1">
      <alignment horizontal="left"/>
    </xf>
    <xf numFmtId="0" fontId="3" fillId="3" borderId="0" xfId="0" applyFont="1" applyFill="1" applyAlignment="1">
      <alignment horizontal="center"/>
    </xf>
    <xf numFmtId="1" fontId="4" fillId="3" borderId="0" xfId="0" applyNumberFormat="1" applyFont="1" applyFill="1" applyAlignment="1">
      <alignment horizontal="center"/>
    </xf>
    <xf numFmtId="166" fontId="0" fillId="3" borderId="0" xfId="0" applyNumberFormat="1" applyFill="1" applyAlignment="1">
      <alignment/>
    </xf>
    <xf numFmtId="166" fontId="7" fillId="3" borderId="0" xfId="0" applyNumberFormat="1" applyFont="1" applyFill="1" applyAlignment="1">
      <alignment/>
    </xf>
    <xf numFmtId="1" fontId="4" fillId="3" borderId="0" xfId="0" applyNumberFormat="1" applyFont="1" applyFill="1" applyAlignment="1">
      <alignment/>
    </xf>
    <xf numFmtId="14" fontId="0" fillId="3" borderId="1" xfId="0" applyNumberFormat="1" applyFill="1" applyBorder="1" applyAlignment="1">
      <alignment/>
    </xf>
    <xf numFmtId="14" fontId="2" fillId="3" borderId="0" xfId="0" applyNumberFormat="1" applyFont="1" applyFill="1" applyAlignment="1">
      <alignment/>
    </xf>
    <xf numFmtId="0" fontId="6" fillId="3" borderId="0" xfId="0" applyFont="1" applyFill="1" applyAlignment="1">
      <alignment horizontal="centerContinuous"/>
    </xf>
    <xf numFmtId="0" fontId="2" fillId="3" borderId="0" xfId="0" applyFont="1" applyFill="1" applyAlignment="1">
      <alignment horizontal="left"/>
    </xf>
    <xf numFmtId="0" fontId="5" fillId="3" borderId="0" xfId="0" applyFont="1" applyFill="1" applyAlignment="1">
      <alignment horizontal="centerContinuous"/>
    </xf>
    <xf numFmtId="166" fontId="0" fillId="3" borderId="0" xfId="0" applyNumberFormat="1" applyFont="1" applyFill="1" applyAlignment="1">
      <alignment/>
    </xf>
    <xf numFmtId="0" fontId="0" fillId="3" borderId="0" xfId="0" applyFill="1" applyAlignment="1">
      <alignment horizontal="centerContinuous"/>
    </xf>
    <xf numFmtId="166" fontId="5" fillId="3" borderId="0" xfId="0" applyNumberFormat="1" applyFont="1" applyFill="1" applyAlignment="1">
      <alignment/>
    </xf>
    <xf numFmtId="0" fontId="4" fillId="3" borderId="0" xfId="0" applyFont="1" applyFill="1" applyAlignment="1">
      <alignment horizontal="right"/>
    </xf>
    <xf numFmtId="14" fontId="2" fillId="3" borderId="0" xfId="0" applyNumberFormat="1" applyFont="1" applyFill="1" applyAlignment="1">
      <alignment horizontal="left"/>
    </xf>
    <xf numFmtId="14" fontId="2" fillId="3" borderId="1" xfId="0" applyNumberFormat="1" applyFont="1" applyFill="1" applyBorder="1" applyAlignment="1">
      <alignment horizontal="left"/>
    </xf>
    <xf numFmtId="14" fontId="0" fillId="3" borderId="0" xfId="0" applyNumberFormat="1" applyFont="1" applyFill="1" applyAlignment="1">
      <alignment horizontal="left"/>
    </xf>
    <xf numFmtId="0" fontId="0" fillId="3" borderId="0" xfId="0" applyFill="1" applyAlignment="1">
      <alignment horizontal="center"/>
    </xf>
    <xf numFmtId="3" fontId="0" fillId="3" borderId="0" xfId="0" applyNumberFormat="1" applyFill="1" applyAlignment="1">
      <alignment/>
    </xf>
    <xf numFmtId="14" fontId="4" fillId="3" borderId="0" xfId="0" applyNumberFormat="1" applyFont="1" applyFill="1" applyAlignment="1">
      <alignment horizontal="center"/>
    </xf>
    <xf numFmtId="166" fontId="0" fillId="3" borderId="0" xfId="0" applyNumberFormat="1" applyFill="1" applyAlignment="1">
      <alignment horizontal="left"/>
    </xf>
    <xf numFmtId="0" fontId="0" fillId="3" borderId="0" xfId="0" applyFill="1" applyAlignment="1">
      <alignment horizontal="right"/>
    </xf>
    <xf numFmtId="0" fontId="0" fillId="3" borderId="0" xfId="0" applyFont="1" applyFill="1" applyAlignment="1">
      <alignment horizontal="left"/>
    </xf>
    <xf numFmtId="9" fontId="0" fillId="3"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14"/>
  <sheetViews>
    <sheetView workbookViewId="0" topLeftCell="A1">
      <selection activeCell="A1" sqref="A1:IV16384"/>
    </sheetView>
  </sheetViews>
  <sheetFormatPr defaultColWidth="9.140625" defaultRowHeight="12.75"/>
  <cols>
    <col min="1" max="1" width="1.28515625" style="116" customWidth="1"/>
    <col min="2" max="2" width="1.57421875" style="116" customWidth="1"/>
    <col min="3" max="3" width="32.28125" style="116" customWidth="1"/>
    <col min="4" max="4" width="10.7109375" style="116" customWidth="1"/>
    <col min="5" max="5" width="11.28125" style="116" customWidth="1"/>
    <col min="6" max="6" width="10.7109375" style="116" customWidth="1"/>
    <col min="7" max="8" width="10.7109375" style="117" customWidth="1"/>
    <col min="9" max="10" width="10.7109375" style="116" customWidth="1"/>
    <col min="11" max="11" width="12.57421875" style="116" customWidth="1"/>
    <col min="12" max="12" width="12.28125" style="116" customWidth="1"/>
    <col min="13" max="13" width="11.00390625" style="116" customWidth="1"/>
    <col min="14" max="14" width="10.7109375" style="116" customWidth="1"/>
    <col min="15" max="15" width="10.28125" style="116" customWidth="1"/>
    <col min="16" max="17" width="10.140625" style="116" bestFit="1" customWidth="1"/>
    <col min="18" max="19" width="11.421875" style="116" bestFit="1" customWidth="1"/>
    <col min="20" max="20" width="9.8515625" style="116" bestFit="1" customWidth="1"/>
    <col min="21" max="21" width="10.140625" style="116" bestFit="1" customWidth="1"/>
    <col min="22" max="16384" width="9.140625" style="116" customWidth="1"/>
  </cols>
  <sheetData>
    <row r="1" spans="1:20" s="177" customFormat="1" ht="20.25">
      <c r="A1" s="176" t="s">
        <v>213</v>
      </c>
      <c r="B1" s="176"/>
      <c r="C1" s="176"/>
      <c r="D1" s="176"/>
      <c r="E1" s="176"/>
      <c r="F1" s="176"/>
      <c r="G1" s="176"/>
      <c r="H1" s="176"/>
      <c r="I1" s="176"/>
      <c r="J1" s="176"/>
      <c r="K1" s="176"/>
      <c r="L1" s="177">
        <v>17</v>
      </c>
      <c r="O1" s="178" t="s">
        <v>83</v>
      </c>
      <c r="P1" s="178"/>
      <c r="Q1" s="178"/>
      <c r="R1" s="178"/>
      <c r="S1" s="178"/>
      <c r="T1" s="178"/>
    </row>
    <row r="2" spans="1:20" s="177" customFormat="1" ht="15.75">
      <c r="A2" s="179"/>
      <c r="B2" s="179"/>
      <c r="C2" s="179"/>
      <c r="D2" s="179"/>
      <c r="E2" s="179"/>
      <c r="G2" s="180"/>
      <c r="H2" s="180"/>
      <c r="O2" s="181"/>
      <c r="P2" s="181"/>
      <c r="Q2" s="181"/>
      <c r="R2" s="181"/>
      <c r="S2" s="181"/>
      <c r="T2" s="181"/>
    </row>
    <row r="3" spans="1:20" s="177" customFormat="1" ht="18.75" thickBot="1">
      <c r="A3" s="182" t="s">
        <v>17</v>
      </c>
      <c r="B3" s="182"/>
      <c r="C3" s="182"/>
      <c r="D3" s="182"/>
      <c r="E3" s="183"/>
      <c r="F3" s="184"/>
      <c r="G3" s="185"/>
      <c r="H3" s="185"/>
      <c r="I3" s="184"/>
      <c r="J3" s="184"/>
      <c r="K3" s="184"/>
      <c r="O3" s="181"/>
      <c r="P3" s="181"/>
      <c r="Q3" s="181"/>
      <c r="R3" s="181"/>
      <c r="S3" s="181"/>
      <c r="T3" s="181"/>
    </row>
    <row r="4" spans="2:21" s="114" customFormat="1" ht="27.75" customHeight="1">
      <c r="B4" s="186" t="s">
        <v>0</v>
      </c>
      <c r="C4" s="186"/>
      <c r="D4" s="114" t="s">
        <v>1</v>
      </c>
      <c r="E4" s="114" t="s">
        <v>237</v>
      </c>
      <c r="F4" s="114" t="s">
        <v>2</v>
      </c>
      <c r="G4" s="115" t="s">
        <v>122</v>
      </c>
      <c r="H4" s="115" t="s">
        <v>123</v>
      </c>
      <c r="I4" s="187" t="s">
        <v>3</v>
      </c>
      <c r="J4" s="177"/>
      <c r="K4" s="177"/>
      <c r="L4" s="177"/>
      <c r="M4" s="177"/>
      <c r="N4" s="114" t="s">
        <v>79</v>
      </c>
      <c r="O4" s="115">
        <v>37530</v>
      </c>
      <c r="P4" s="115">
        <v>37895</v>
      </c>
      <c r="Q4" s="115">
        <v>38261</v>
      </c>
      <c r="R4" s="115">
        <v>38626</v>
      </c>
      <c r="S4" s="115">
        <v>38991</v>
      </c>
      <c r="T4" s="115">
        <v>39356</v>
      </c>
      <c r="U4" s="115">
        <v>39722</v>
      </c>
    </row>
    <row r="5" spans="7:8" s="114" customFormat="1" ht="12.75">
      <c r="G5" s="115"/>
      <c r="H5" s="115"/>
    </row>
    <row r="6" spans="1:21" ht="12.75">
      <c r="A6" s="188" t="s">
        <v>4</v>
      </c>
      <c r="B6" s="188"/>
      <c r="C6" s="188"/>
      <c r="D6" s="188"/>
      <c r="I6" s="189"/>
      <c r="J6" s="189"/>
      <c r="K6" s="189"/>
      <c r="L6" s="189"/>
      <c r="M6" s="189"/>
      <c r="U6" s="118"/>
    </row>
    <row r="7" spans="3:25" ht="12.75">
      <c r="C7" s="116" t="str">
        <f>CONCATENATE("( ",ROUND(W7,0),"% of design schedule)")</f>
        <v>( 33% of design schedule)</v>
      </c>
      <c r="D7" s="190">
        <f>X7*Engr!$I$24</f>
        <v>0</v>
      </c>
      <c r="F7" s="191" t="s">
        <v>6</v>
      </c>
      <c r="G7" s="119">
        <f>Engr!B$38</f>
        <v>38691</v>
      </c>
      <c r="H7" s="119">
        <f>Engr!D$38</f>
        <v>38733</v>
      </c>
      <c r="I7" s="189" t="s">
        <v>27</v>
      </c>
      <c r="J7" s="189"/>
      <c r="K7" s="189"/>
      <c r="L7" s="189"/>
      <c r="M7" s="189"/>
      <c r="N7" s="120">
        <f>(H7-G7)/7</f>
        <v>6</v>
      </c>
      <c r="O7" s="120">
        <f aca="true" t="shared" si="0" ref="O7:T11">(1/7)*IF((OR((O$4&gt;=$H7),(P$4&lt;=$G7))),0,IF(AND((O$4&lt;=$G7),(P$4&gt;=$H7)),($H7-$G7),IF(AND((O$4&gt;=$G7),(P$4&gt;=$H7)),($H7-O$4),IF(AND((O$4&gt;=$G7),($H7&gt;=P$4)),365,IF(AND((O$4&lt;=$G7),($H7&gt;=P$4)),(P$4-$G7))))))</f>
        <v>0</v>
      </c>
      <c r="P7" s="120">
        <f t="shared" si="0"/>
        <v>0</v>
      </c>
      <c r="Q7" s="120">
        <f t="shared" si="0"/>
        <v>0</v>
      </c>
      <c r="R7" s="120">
        <f t="shared" si="0"/>
        <v>6</v>
      </c>
      <c r="S7" s="120">
        <f t="shared" si="0"/>
        <v>0</v>
      </c>
      <c r="T7" s="120">
        <f t="shared" si="0"/>
        <v>0</v>
      </c>
      <c r="U7" s="120"/>
      <c r="W7" s="116">
        <f>100*X7</f>
        <v>33.33333333333333</v>
      </c>
      <c r="X7" s="192">
        <f>Engr!C38/(Engr!C38+Engr!C39)</f>
        <v>0.3333333333333333</v>
      </c>
      <c r="Y7" s="116" t="s">
        <v>128</v>
      </c>
    </row>
    <row r="8" spans="4:21" ht="12.75">
      <c r="D8" s="190">
        <f>X7*Engr!$K$24</f>
        <v>0</v>
      </c>
      <c r="F8" s="191" t="s">
        <v>8</v>
      </c>
      <c r="G8" s="119">
        <f>Engr!B$38</f>
        <v>38691</v>
      </c>
      <c r="H8" s="119">
        <f>Engr!D$38</f>
        <v>38733</v>
      </c>
      <c r="I8" s="189" t="s">
        <v>26</v>
      </c>
      <c r="J8" s="189"/>
      <c r="K8" s="189"/>
      <c r="L8" s="189"/>
      <c r="M8" s="189"/>
      <c r="N8" s="120">
        <f>(H8-G8)/7</f>
        <v>6</v>
      </c>
      <c r="O8" s="120">
        <f t="shared" si="0"/>
        <v>0</v>
      </c>
      <c r="P8" s="120">
        <f t="shared" si="0"/>
        <v>0</v>
      </c>
      <c r="Q8" s="120">
        <f t="shared" si="0"/>
        <v>0</v>
      </c>
      <c r="R8" s="120">
        <f t="shared" si="0"/>
        <v>6</v>
      </c>
      <c r="S8" s="120">
        <f t="shared" si="0"/>
        <v>0</v>
      </c>
      <c r="T8" s="120">
        <f t="shared" si="0"/>
        <v>0</v>
      </c>
      <c r="U8" s="120"/>
    </row>
    <row r="9" spans="4:21" ht="12.75">
      <c r="D9" s="190">
        <f>X7*Engr!$M$24</f>
        <v>272</v>
      </c>
      <c r="F9" s="191" t="s">
        <v>9</v>
      </c>
      <c r="G9" s="119">
        <f>Engr!B$38</f>
        <v>38691</v>
      </c>
      <c r="H9" s="119">
        <f>Engr!D$38</f>
        <v>38733</v>
      </c>
      <c r="I9" s="189" t="s">
        <v>29</v>
      </c>
      <c r="J9" s="189"/>
      <c r="K9" s="189"/>
      <c r="L9" s="189"/>
      <c r="M9" s="189"/>
      <c r="N9" s="120">
        <f>(H9-G9)/7</f>
        <v>6</v>
      </c>
      <c r="O9" s="120">
        <f t="shared" si="0"/>
        <v>0</v>
      </c>
      <c r="P9" s="120">
        <f t="shared" si="0"/>
        <v>0</v>
      </c>
      <c r="Q9" s="120">
        <f t="shared" si="0"/>
        <v>0</v>
      </c>
      <c r="R9" s="120">
        <f t="shared" si="0"/>
        <v>6</v>
      </c>
      <c r="S9" s="120">
        <f t="shared" si="0"/>
        <v>0</v>
      </c>
      <c r="T9" s="120">
        <f t="shared" si="0"/>
        <v>0</v>
      </c>
      <c r="U9" s="120"/>
    </row>
    <row r="10" spans="4:21" ht="12.75">
      <c r="D10" s="190">
        <f>X7*Engr!$O$24</f>
        <v>0</v>
      </c>
      <c r="F10" s="191" t="s">
        <v>124</v>
      </c>
      <c r="G10" s="119">
        <f>Engr!B$38</f>
        <v>38691</v>
      </c>
      <c r="H10" s="119">
        <f>Engr!D$38</f>
        <v>38733</v>
      </c>
      <c r="I10" s="189" t="s">
        <v>77</v>
      </c>
      <c r="J10" s="189"/>
      <c r="K10" s="189"/>
      <c r="L10" s="189"/>
      <c r="M10" s="189"/>
      <c r="N10" s="120">
        <f>(H10-G10)/7</f>
        <v>6</v>
      </c>
      <c r="O10" s="120">
        <f t="shared" si="0"/>
        <v>0</v>
      </c>
      <c r="P10" s="120">
        <f t="shared" si="0"/>
        <v>0</v>
      </c>
      <c r="Q10" s="120">
        <f t="shared" si="0"/>
        <v>0</v>
      </c>
      <c r="R10" s="120">
        <f t="shared" si="0"/>
        <v>6</v>
      </c>
      <c r="S10" s="120">
        <f t="shared" si="0"/>
        <v>0</v>
      </c>
      <c r="T10" s="120">
        <f t="shared" si="0"/>
        <v>0</v>
      </c>
      <c r="U10" s="120"/>
    </row>
    <row r="11" spans="4:21" ht="12.75">
      <c r="D11" s="190">
        <f>X7*Engr!$Q$24</f>
        <v>0</v>
      </c>
      <c r="F11" s="191" t="s">
        <v>125</v>
      </c>
      <c r="G11" s="119">
        <f>Engr!B$38</f>
        <v>38691</v>
      </c>
      <c r="H11" s="119">
        <f>Engr!D$38</f>
        <v>38733</v>
      </c>
      <c r="I11" s="189" t="s">
        <v>76</v>
      </c>
      <c r="J11" s="189"/>
      <c r="K11" s="189"/>
      <c r="L11" s="189"/>
      <c r="M11" s="189"/>
      <c r="N11" s="120">
        <f>(H11-G11)/7</f>
        <v>6</v>
      </c>
      <c r="O11" s="120">
        <f t="shared" si="0"/>
        <v>0</v>
      </c>
      <c r="P11" s="120">
        <f t="shared" si="0"/>
        <v>0</v>
      </c>
      <c r="Q11" s="120">
        <f t="shared" si="0"/>
        <v>0</v>
      </c>
      <c r="R11" s="120">
        <f t="shared" si="0"/>
        <v>6</v>
      </c>
      <c r="S11" s="120">
        <f t="shared" si="0"/>
        <v>0</v>
      </c>
      <c r="T11" s="120">
        <f t="shared" si="0"/>
        <v>0</v>
      </c>
      <c r="U11" s="120"/>
    </row>
    <row r="12" spans="6:21" ht="12.75">
      <c r="F12" s="191"/>
      <c r="G12" s="119"/>
      <c r="H12" s="119"/>
      <c r="I12" s="189"/>
      <c r="J12" s="189"/>
      <c r="K12" s="189"/>
      <c r="L12" s="189"/>
      <c r="M12" s="189"/>
      <c r="N12" s="120" t="s">
        <v>18</v>
      </c>
      <c r="O12" s="120"/>
      <c r="P12" s="120"/>
      <c r="Q12" s="120"/>
      <c r="R12" s="120"/>
      <c r="S12" s="120"/>
      <c r="T12" s="120"/>
      <c r="U12" s="120"/>
    </row>
    <row r="13" spans="1:20" ht="12.75">
      <c r="A13" s="188" t="s">
        <v>5</v>
      </c>
      <c r="B13" s="188"/>
      <c r="C13" s="188"/>
      <c r="D13" s="188"/>
      <c r="G13" s="119"/>
      <c r="H13" s="119"/>
      <c r="I13" s="189"/>
      <c r="J13" s="189"/>
      <c r="K13" s="189"/>
      <c r="L13" s="189"/>
      <c r="M13" s="189"/>
      <c r="N13" s="120"/>
      <c r="O13" s="120"/>
      <c r="P13" s="120"/>
      <c r="Q13" s="120"/>
      <c r="R13" s="120"/>
      <c r="S13" s="120"/>
      <c r="T13" s="120"/>
    </row>
    <row r="14" spans="3:25" ht="12.75">
      <c r="C14" s="116" t="str">
        <f>CONCATENATE("( ",ROUND(W14,0),"% of design schedule)")</f>
        <v>( 67% of design schedule)</v>
      </c>
      <c r="D14" s="190">
        <f>X14*Engr!$I$24</f>
        <v>0</v>
      </c>
      <c r="F14" s="191" t="s">
        <v>6</v>
      </c>
      <c r="G14" s="119">
        <f>Engr!B$39</f>
        <v>38733</v>
      </c>
      <c r="H14" s="119">
        <f>Engr!D$39</f>
        <v>38817</v>
      </c>
      <c r="I14" s="189" t="s">
        <v>27</v>
      </c>
      <c r="J14" s="189"/>
      <c r="K14" s="189"/>
      <c r="L14" s="189"/>
      <c r="M14" s="189"/>
      <c r="N14" s="120">
        <f>(H14-G14)/7</f>
        <v>12</v>
      </c>
      <c r="O14" s="120">
        <f aca="true" t="shared" si="1" ref="O14:T18">(1/7)*IF((OR((O$4&gt;=$H14),(P$4&lt;=$G14))),0,IF(AND((O$4&lt;=$G14),(P$4&gt;=$H14)),($H14-$G14),IF(AND((O$4&gt;=$G14),(P$4&gt;=$H14)),($H14-O$4),IF(AND((O$4&gt;=$G14),($H14&gt;=P$4)),365,IF(AND((O$4&lt;=$G14),($H14&gt;=P$4)),(P$4-$G14))))))</f>
        <v>0</v>
      </c>
      <c r="P14" s="120">
        <f t="shared" si="1"/>
        <v>0</v>
      </c>
      <c r="Q14" s="120">
        <f t="shared" si="1"/>
        <v>0</v>
      </c>
      <c r="R14" s="120">
        <f t="shared" si="1"/>
        <v>12</v>
      </c>
      <c r="S14" s="120">
        <f t="shared" si="1"/>
        <v>0</v>
      </c>
      <c r="T14" s="120">
        <f t="shared" si="1"/>
        <v>0</v>
      </c>
      <c r="U14" s="120"/>
      <c r="W14" s="116">
        <f>100*X14</f>
        <v>66.66666666666667</v>
      </c>
      <c r="X14" s="192">
        <f>1-X7</f>
        <v>0.6666666666666667</v>
      </c>
      <c r="Y14" s="116" t="s">
        <v>129</v>
      </c>
    </row>
    <row r="15" spans="4:21" ht="12.75">
      <c r="D15" s="190">
        <f>X14*Engr!$K$24</f>
        <v>0</v>
      </c>
      <c r="F15" s="191" t="s">
        <v>8</v>
      </c>
      <c r="G15" s="119">
        <f>Engr!B$39</f>
        <v>38733</v>
      </c>
      <c r="H15" s="119">
        <f>Engr!D$39</f>
        <v>38817</v>
      </c>
      <c r="I15" s="189" t="s">
        <v>26</v>
      </c>
      <c r="J15" s="189"/>
      <c r="K15" s="189"/>
      <c r="L15" s="189"/>
      <c r="M15" s="189"/>
      <c r="N15" s="120">
        <f>(H15-G15)/7</f>
        <v>12</v>
      </c>
      <c r="O15" s="120">
        <f t="shared" si="1"/>
        <v>0</v>
      </c>
      <c r="P15" s="120">
        <f t="shared" si="1"/>
        <v>0</v>
      </c>
      <c r="Q15" s="120">
        <f t="shared" si="1"/>
        <v>0</v>
      </c>
      <c r="R15" s="120">
        <f t="shared" si="1"/>
        <v>12</v>
      </c>
      <c r="S15" s="120">
        <f t="shared" si="1"/>
        <v>0</v>
      </c>
      <c r="T15" s="120">
        <f t="shared" si="1"/>
        <v>0</v>
      </c>
      <c r="U15" s="120"/>
    </row>
    <row r="16" spans="4:21" ht="12.75">
      <c r="D16" s="190">
        <f>X14*Engr!$M$24</f>
        <v>544.0000000000001</v>
      </c>
      <c r="F16" s="191" t="s">
        <v>9</v>
      </c>
      <c r="G16" s="119">
        <f>Engr!B$39</f>
        <v>38733</v>
      </c>
      <c r="H16" s="119">
        <f>Engr!D$39</f>
        <v>38817</v>
      </c>
      <c r="I16" s="189" t="s">
        <v>29</v>
      </c>
      <c r="J16" s="189"/>
      <c r="K16" s="189"/>
      <c r="L16" s="189"/>
      <c r="M16" s="189"/>
      <c r="N16" s="120">
        <f>(H16-G16)/7</f>
        <v>12</v>
      </c>
      <c r="O16" s="120">
        <f t="shared" si="1"/>
        <v>0</v>
      </c>
      <c r="P16" s="120">
        <f t="shared" si="1"/>
        <v>0</v>
      </c>
      <c r="Q16" s="120">
        <f t="shared" si="1"/>
        <v>0</v>
      </c>
      <c r="R16" s="120">
        <f t="shared" si="1"/>
        <v>12</v>
      </c>
      <c r="S16" s="120">
        <f t="shared" si="1"/>
        <v>0</v>
      </c>
      <c r="T16" s="120">
        <f t="shared" si="1"/>
        <v>0</v>
      </c>
      <c r="U16" s="120"/>
    </row>
    <row r="17" spans="4:21" ht="12.75">
      <c r="D17" s="190">
        <f>X14*Engr!$O$24</f>
        <v>0</v>
      </c>
      <c r="F17" s="191" t="s">
        <v>124</v>
      </c>
      <c r="G17" s="119">
        <f>Engr!B$39</f>
        <v>38733</v>
      </c>
      <c r="H17" s="119">
        <f>Engr!D$39</f>
        <v>38817</v>
      </c>
      <c r="I17" s="189" t="s">
        <v>30</v>
      </c>
      <c r="J17" s="189"/>
      <c r="K17" s="189"/>
      <c r="L17" s="189"/>
      <c r="M17" s="189"/>
      <c r="N17" s="120">
        <f>(H17-G17)/7</f>
        <v>12</v>
      </c>
      <c r="O17" s="120">
        <f t="shared" si="1"/>
        <v>0</v>
      </c>
      <c r="P17" s="120">
        <f t="shared" si="1"/>
        <v>0</v>
      </c>
      <c r="Q17" s="120">
        <f t="shared" si="1"/>
        <v>0</v>
      </c>
      <c r="R17" s="120">
        <f t="shared" si="1"/>
        <v>12</v>
      </c>
      <c r="S17" s="120">
        <f t="shared" si="1"/>
        <v>0</v>
      </c>
      <c r="T17" s="120">
        <f t="shared" si="1"/>
        <v>0</v>
      </c>
      <c r="U17" s="120"/>
    </row>
    <row r="18" spans="4:21" ht="12.75">
      <c r="D18" s="190">
        <f>X14*Engr!$Q$24</f>
        <v>0</v>
      </c>
      <c r="F18" s="191" t="s">
        <v>125</v>
      </c>
      <c r="G18" s="119">
        <f>Engr!B$39</f>
        <v>38733</v>
      </c>
      <c r="H18" s="119">
        <f>Engr!D$39</f>
        <v>38817</v>
      </c>
      <c r="I18" s="189" t="s">
        <v>76</v>
      </c>
      <c r="J18" s="189"/>
      <c r="K18" s="189"/>
      <c r="L18" s="189"/>
      <c r="M18" s="189"/>
      <c r="N18" s="120">
        <f>(H18-G18)/7</f>
        <v>12</v>
      </c>
      <c r="O18" s="120">
        <f t="shared" si="1"/>
        <v>0</v>
      </c>
      <c r="P18" s="120">
        <f t="shared" si="1"/>
        <v>0</v>
      </c>
      <c r="Q18" s="120">
        <f t="shared" si="1"/>
        <v>0</v>
      </c>
      <c r="R18" s="120">
        <f t="shared" si="1"/>
        <v>12</v>
      </c>
      <c r="S18" s="120">
        <f t="shared" si="1"/>
        <v>0</v>
      </c>
      <c r="T18" s="120">
        <f t="shared" si="1"/>
        <v>0</v>
      </c>
      <c r="U18" s="120"/>
    </row>
    <row r="19" spans="7:21" ht="12.75">
      <c r="G19" s="119"/>
      <c r="H19" s="119"/>
      <c r="I19" s="189"/>
      <c r="J19" s="189"/>
      <c r="K19" s="189"/>
      <c r="L19" s="189"/>
      <c r="M19" s="189"/>
      <c r="N19" s="120"/>
      <c r="O19" s="120"/>
      <c r="P19" s="120"/>
      <c r="Q19" s="120"/>
      <c r="R19" s="120"/>
      <c r="S19" s="120"/>
      <c r="T19" s="120"/>
      <c r="U19" s="120"/>
    </row>
    <row r="20" spans="1:21" ht="12.75">
      <c r="A20" s="188" t="s">
        <v>84</v>
      </c>
      <c r="B20" s="188"/>
      <c r="C20" s="188"/>
      <c r="D20" s="188"/>
      <c r="G20" s="119"/>
      <c r="H20" s="119"/>
      <c r="I20" s="189"/>
      <c r="J20" s="189"/>
      <c r="K20" s="189"/>
      <c r="L20" s="189"/>
      <c r="M20" s="189"/>
      <c r="N20" s="120"/>
      <c r="O20" s="120"/>
      <c r="P20" s="120"/>
      <c r="Q20" s="120"/>
      <c r="R20" s="120"/>
      <c r="S20" s="120"/>
      <c r="T20" s="120"/>
      <c r="U20" s="120"/>
    </row>
    <row r="21" spans="4:21" ht="12.75">
      <c r="D21" s="190" t="e">
        <f>#REF!+#REF!</f>
        <v>#REF!</v>
      </c>
      <c r="F21" s="191" t="s">
        <v>6</v>
      </c>
      <c r="G21" s="119">
        <f>Engr!B$38</f>
        <v>38691</v>
      </c>
      <c r="H21" s="119">
        <f>Engr!D$38</f>
        <v>38733</v>
      </c>
      <c r="I21" s="189" t="s">
        <v>27</v>
      </c>
      <c r="J21" s="189"/>
      <c r="K21" s="189"/>
      <c r="L21" s="189"/>
      <c r="M21" s="189"/>
      <c r="N21" s="120">
        <f>(H21-G21)/7</f>
        <v>6</v>
      </c>
      <c r="O21" s="120">
        <f aca="true" t="shared" si="2" ref="O21:T25">(1/7)*IF((OR((O$4&gt;=$H21),(P$4&lt;=$G21))),0,IF(AND((O$4&lt;=$G21),(P$4&gt;=$H21)),($H21-$G21),IF(AND((O$4&gt;=$G21),(P$4&gt;=$H21)),($H21-O$4),IF(AND((O$4&gt;=$G21),($H21&gt;=P$4)),365,IF(AND((O$4&lt;=$G21),($H21&gt;=P$4)),(P$4-$G21))))))</f>
        <v>0</v>
      </c>
      <c r="P21" s="120">
        <f t="shared" si="2"/>
        <v>0</v>
      </c>
      <c r="Q21" s="120">
        <f t="shared" si="2"/>
        <v>0</v>
      </c>
      <c r="R21" s="120">
        <f t="shared" si="2"/>
        <v>6</v>
      </c>
      <c r="S21" s="120">
        <f t="shared" si="2"/>
        <v>0</v>
      </c>
      <c r="T21" s="120">
        <f t="shared" si="2"/>
        <v>0</v>
      </c>
      <c r="U21" s="120"/>
    </row>
    <row r="22" spans="4:21" ht="12.75">
      <c r="D22" s="190" t="e">
        <f>#REF!+#REF!</f>
        <v>#REF!</v>
      </c>
      <c r="F22" s="191" t="s">
        <v>8</v>
      </c>
      <c r="G22" s="119">
        <f>Engr!B$38</f>
        <v>38691</v>
      </c>
      <c r="H22" s="119">
        <f>Engr!D$38</f>
        <v>38733</v>
      </c>
      <c r="I22" s="189" t="s">
        <v>26</v>
      </c>
      <c r="J22" s="189"/>
      <c r="K22" s="189"/>
      <c r="L22" s="189"/>
      <c r="M22" s="189"/>
      <c r="N22" s="120">
        <f>(H22-G22)/7</f>
        <v>6</v>
      </c>
      <c r="O22" s="120">
        <f t="shared" si="2"/>
        <v>0</v>
      </c>
      <c r="P22" s="120">
        <f t="shared" si="2"/>
        <v>0</v>
      </c>
      <c r="Q22" s="120">
        <f t="shared" si="2"/>
        <v>0</v>
      </c>
      <c r="R22" s="120">
        <f t="shared" si="2"/>
        <v>6</v>
      </c>
      <c r="S22" s="120">
        <f t="shared" si="2"/>
        <v>0</v>
      </c>
      <c r="T22" s="120">
        <f t="shared" si="2"/>
        <v>0</v>
      </c>
      <c r="U22" s="120"/>
    </row>
    <row r="23" spans="4:21" ht="12.75">
      <c r="D23" s="190" t="e">
        <f>#REF!+#REF!</f>
        <v>#REF!</v>
      </c>
      <c r="F23" s="191" t="s">
        <v>9</v>
      </c>
      <c r="G23" s="119">
        <f>Engr!B$38</f>
        <v>38691</v>
      </c>
      <c r="H23" s="119">
        <f>Engr!D$38</f>
        <v>38733</v>
      </c>
      <c r="I23" s="189" t="s">
        <v>29</v>
      </c>
      <c r="J23" s="189"/>
      <c r="K23" s="189"/>
      <c r="L23" s="189"/>
      <c r="M23" s="189"/>
      <c r="N23" s="120">
        <f>(H23-G23)/7</f>
        <v>6</v>
      </c>
      <c r="O23" s="120">
        <f t="shared" si="2"/>
        <v>0</v>
      </c>
      <c r="P23" s="120">
        <f t="shared" si="2"/>
        <v>0</v>
      </c>
      <c r="Q23" s="120">
        <f t="shared" si="2"/>
        <v>0</v>
      </c>
      <c r="R23" s="120">
        <f t="shared" si="2"/>
        <v>6</v>
      </c>
      <c r="S23" s="120">
        <f t="shared" si="2"/>
        <v>0</v>
      </c>
      <c r="T23" s="120">
        <f t="shared" si="2"/>
        <v>0</v>
      </c>
      <c r="U23" s="120"/>
    </row>
    <row r="24" spans="4:21" ht="12.75">
      <c r="D24" s="190" t="e">
        <f>#REF!+#REF!</f>
        <v>#REF!</v>
      </c>
      <c r="F24" s="191" t="s">
        <v>7</v>
      </c>
      <c r="G24" s="119">
        <f>Engr!B$38</f>
        <v>38691</v>
      </c>
      <c r="H24" s="119">
        <f>Engr!D$38</f>
        <v>38733</v>
      </c>
      <c r="I24" s="189" t="s">
        <v>28</v>
      </c>
      <c r="J24" s="189"/>
      <c r="K24" s="189"/>
      <c r="L24" s="189"/>
      <c r="M24" s="189"/>
      <c r="N24" s="120">
        <f>(H24-G24)/7</f>
        <v>6</v>
      </c>
      <c r="O24" s="120">
        <f t="shared" si="2"/>
        <v>0</v>
      </c>
      <c r="P24" s="120">
        <f t="shared" si="2"/>
        <v>0</v>
      </c>
      <c r="Q24" s="120">
        <f t="shared" si="2"/>
        <v>0</v>
      </c>
      <c r="R24" s="120">
        <f t="shared" si="2"/>
        <v>6</v>
      </c>
      <c r="S24" s="120">
        <f t="shared" si="2"/>
        <v>0</v>
      </c>
      <c r="T24" s="120">
        <f t="shared" si="2"/>
        <v>0</v>
      </c>
      <c r="U24" s="120"/>
    </row>
    <row r="25" spans="4:21" ht="12.75">
      <c r="D25" s="190" t="e">
        <f>#REF!</f>
        <v>#REF!</v>
      </c>
      <c r="F25" s="191" t="s">
        <v>81</v>
      </c>
      <c r="G25" s="119">
        <f>Engr!B$38</f>
        <v>38691</v>
      </c>
      <c r="H25" s="119">
        <f>Engr!D$38</f>
        <v>38733</v>
      </c>
      <c r="I25" s="189" t="s">
        <v>82</v>
      </c>
      <c r="J25" s="189"/>
      <c r="K25" s="189"/>
      <c r="L25" s="189"/>
      <c r="M25" s="193"/>
      <c r="N25" s="120">
        <f>(H25-G25)/7</f>
        <v>6</v>
      </c>
      <c r="O25" s="120">
        <f t="shared" si="2"/>
        <v>0</v>
      </c>
      <c r="P25" s="120">
        <f t="shared" si="2"/>
        <v>0</v>
      </c>
      <c r="Q25" s="120">
        <f t="shared" si="2"/>
        <v>0</v>
      </c>
      <c r="R25" s="120">
        <f t="shared" si="2"/>
        <v>6</v>
      </c>
      <c r="S25" s="120">
        <f t="shared" si="2"/>
        <v>0</v>
      </c>
      <c r="T25" s="120">
        <f t="shared" si="2"/>
        <v>0</v>
      </c>
      <c r="U25" s="120"/>
    </row>
    <row r="26" spans="6:21" ht="12.75">
      <c r="F26" s="191"/>
      <c r="G26" s="119"/>
      <c r="H26" s="119"/>
      <c r="I26" s="189"/>
      <c r="J26" s="189"/>
      <c r="K26" s="189"/>
      <c r="L26" s="189"/>
      <c r="M26" s="189"/>
      <c r="N26" s="120"/>
      <c r="O26" s="120"/>
      <c r="P26" s="120"/>
      <c r="Q26" s="120"/>
      <c r="R26" s="120"/>
      <c r="S26" s="120"/>
      <c r="T26" s="120"/>
      <c r="U26" s="120"/>
    </row>
    <row r="27" spans="1:20" ht="12.75">
      <c r="A27" s="188" t="s">
        <v>16</v>
      </c>
      <c r="B27" s="188"/>
      <c r="C27" s="188"/>
      <c r="D27" s="188"/>
      <c r="G27" s="119"/>
      <c r="H27" s="119"/>
      <c r="I27" s="189"/>
      <c r="J27" s="189"/>
      <c r="K27" s="189"/>
      <c r="L27" s="189"/>
      <c r="M27" s="189"/>
      <c r="N27" s="120"/>
      <c r="O27" s="120"/>
      <c r="P27" s="120"/>
      <c r="Q27" s="120"/>
      <c r="R27" s="120"/>
      <c r="S27" s="120"/>
      <c r="T27" s="120"/>
    </row>
    <row r="28" spans="4:20" ht="12.75">
      <c r="D28" s="190">
        <f>Engr!I34+Fab_assy!I14+Fab_assy!I23</f>
        <v>87.6</v>
      </c>
      <c r="F28" s="191" t="s">
        <v>6</v>
      </c>
      <c r="G28" s="119">
        <f>Engr!B$40</f>
        <v>38817</v>
      </c>
      <c r="H28" s="119">
        <f>Engr!D$42</f>
        <v>39083</v>
      </c>
      <c r="I28" s="189" t="s">
        <v>27</v>
      </c>
      <c r="J28" s="189"/>
      <c r="K28" s="189"/>
      <c r="L28" s="189"/>
      <c r="M28" s="189"/>
      <c r="N28" s="120">
        <f>(H28-G28)/7</f>
        <v>38</v>
      </c>
      <c r="O28" s="120">
        <f aca="true" t="shared" si="3" ref="O28:T28">(1/7)*IF((OR((O$4&gt;=$H28),(P$4&lt;=$G28))),0,IF(AND((O$4&lt;=$G28),(P$4&gt;=$H28)),($H28-$G28),IF(AND((O$4&gt;=$G28),(P$4&gt;=$H28)),($H28-O$4),IF(AND((O$4&gt;=$G28),($H28&gt;=P$4)),365,IF(AND((O$4&lt;=$G28),($H28&gt;=P$4)),(P$4-$G28))))))</f>
        <v>0</v>
      </c>
      <c r="P28" s="120">
        <f t="shared" si="3"/>
        <v>0</v>
      </c>
      <c r="Q28" s="120">
        <f t="shared" si="3"/>
        <v>0</v>
      </c>
      <c r="R28" s="120">
        <f t="shared" si="3"/>
        <v>24.857142857142854</v>
      </c>
      <c r="S28" s="120">
        <f t="shared" si="3"/>
        <v>13.142857142857142</v>
      </c>
      <c r="T28" s="120">
        <f t="shared" si="3"/>
        <v>0</v>
      </c>
    </row>
    <row r="29" spans="4:20" ht="12.75">
      <c r="D29" s="190">
        <f>Engr!M34+Fab_assy!O14+Fab_assy!O23</f>
        <v>0</v>
      </c>
      <c r="F29" s="191" t="s">
        <v>8</v>
      </c>
      <c r="G29" s="119">
        <f>Engr!B$40</f>
        <v>38817</v>
      </c>
      <c r="H29" s="119">
        <f>Engr!D$42</f>
        <v>39083</v>
      </c>
      <c r="I29" s="189" t="s">
        <v>26</v>
      </c>
      <c r="J29" s="189"/>
      <c r="K29" s="189"/>
      <c r="L29" s="189"/>
      <c r="M29" s="189"/>
      <c r="N29" s="120">
        <f>(H29-G29)/7</f>
        <v>38</v>
      </c>
      <c r="O29" s="120">
        <f aca="true" t="shared" si="4" ref="O29:T32">(1/7)*IF((OR((O$4&gt;=$H29),(P$4&lt;=$G29))),0,IF(AND((O$4&lt;=$G29),(P$4&gt;=$H29)),($H29-$G29),IF(AND((O$4&gt;=$G29),(P$4&gt;=$H29)),($H29-O$4),IF(AND((O$4&gt;=$G29),($H29&gt;=P$4)),365,IF(AND((O$4&lt;=$G29),($H29&gt;=P$4)),(P$4-$G29))))))</f>
        <v>0</v>
      </c>
      <c r="P29" s="120">
        <f t="shared" si="4"/>
        <v>0</v>
      </c>
      <c r="Q29" s="120">
        <f t="shared" si="4"/>
        <v>0</v>
      </c>
      <c r="R29" s="120">
        <f t="shared" si="4"/>
        <v>24.857142857142854</v>
      </c>
      <c r="S29" s="120">
        <f t="shared" si="4"/>
        <v>13.142857142857142</v>
      </c>
      <c r="T29" s="120">
        <f t="shared" si="4"/>
        <v>0</v>
      </c>
    </row>
    <row r="30" spans="4:20" ht="12.75">
      <c r="D30" s="190">
        <f>Engr!O34</f>
        <v>88.4</v>
      </c>
      <c r="F30" s="191" t="s">
        <v>9</v>
      </c>
      <c r="G30" s="119">
        <f>Engr!B$40</f>
        <v>38817</v>
      </c>
      <c r="H30" s="119">
        <f>Engr!D$42</f>
        <v>39083</v>
      </c>
      <c r="I30" s="189" t="s">
        <v>29</v>
      </c>
      <c r="J30" s="189"/>
      <c r="K30" s="189"/>
      <c r="L30" s="189"/>
      <c r="M30" s="189"/>
      <c r="N30" s="120">
        <f>(H30-G30)/7</f>
        <v>38</v>
      </c>
      <c r="O30" s="120">
        <f t="shared" si="4"/>
        <v>0</v>
      </c>
      <c r="P30" s="120">
        <f t="shared" si="4"/>
        <v>0</v>
      </c>
      <c r="Q30" s="120">
        <f t="shared" si="4"/>
        <v>0</v>
      </c>
      <c r="R30" s="120">
        <f t="shared" si="4"/>
        <v>24.857142857142854</v>
      </c>
      <c r="S30" s="120">
        <f t="shared" si="4"/>
        <v>13.142857142857142</v>
      </c>
      <c r="T30" s="120">
        <f t="shared" si="4"/>
        <v>0</v>
      </c>
    </row>
    <row r="31" spans="4:20" ht="12.75">
      <c r="D31" s="190">
        <f>Engr!K34+Fab_assy!K14+Fab_assy!K23</f>
        <v>123</v>
      </c>
      <c r="F31" s="191" t="s">
        <v>7</v>
      </c>
      <c r="G31" s="119">
        <f>Engr!B$40</f>
        <v>38817</v>
      </c>
      <c r="H31" s="119">
        <f>Engr!D$42</f>
        <v>39083</v>
      </c>
      <c r="I31" s="189" t="s">
        <v>28</v>
      </c>
      <c r="J31" s="189"/>
      <c r="K31" s="189"/>
      <c r="L31" s="189"/>
      <c r="M31" s="189"/>
      <c r="N31" s="120">
        <f>(H31-G31)/7</f>
        <v>38</v>
      </c>
      <c r="O31" s="120">
        <f t="shared" si="4"/>
        <v>0</v>
      </c>
      <c r="P31" s="120">
        <f t="shared" si="4"/>
        <v>0</v>
      </c>
      <c r="Q31" s="120">
        <f t="shared" si="4"/>
        <v>0</v>
      </c>
      <c r="R31" s="120">
        <f t="shared" si="4"/>
        <v>24.857142857142854</v>
      </c>
      <c r="S31" s="120">
        <f t="shared" si="4"/>
        <v>13.142857142857142</v>
      </c>
      <c r="T31" s="120">
        <f t="shared" si="4"/>
        <v>0</v>
      </c>
    </row>
    <row r="32" spans="4:20" ht="12.75">
      <c r="D32" s="190">
        <f>Fab_assy!M14+Fab_assy!M23</f>
        <v>492</v>
      </c>
      <c r="F32" s="191" t="s">
        <v>81</v>
      </c>
      <c r="G32" s="119">
        <f>Engr!B$40</f>
        <v>38817</v>
      </c>
      <c r="H32" s="119">
        <f>Engr!D$42</f>
        <v>39083</v>
      </c>
      <c r="I32" s="189" t="s">
        <v>82</v>
      </c>
      <c r="J32" s="189"/>
      <c r="K32" s="189"/>
      <c r="L32" s="189"/>
      <c r="M32" s="189"/>
      <c r="N32" s="120">
        <f>(H32-G32)/7</f>
        <v>38</v>
      </c>
      <c r="O32" s="120">
        <f t="shared" si="4"/>
        <v>0</v>
      </c>
      <c r="P32" s="120">
        <f t="shared" si="4"/>
        <v>0</v>
      </c>
      <c r="Q32" s="120">
        <f t="shared" si="4"/>
        <v>0</v>
      </c>
      <c r="R32" s="120">
        <f t="shared" si="4"/>
        <v>24.857142857142854</v>
      </c>
      <c r="S32" s="120">
        <f t="shared" si="4"/>
        <v>13.142857142857142</v>
      </c>
      <c r="T32" s="120">
        <f t="shared" si="4"/>
        <v>0</v>
      </c>
    </row>
    <row r="33" spans="4:19" ht="12.75">
      <c r="D33" s="190"/>
      <c r="F33" s="191"/>
      <c r="G33" s="119"/>
      <c r="H33" s="119"/>
      <c r="I33" s="189"/>
      <c r="J33" s="189"/>
      <c r="K33" s="189"/>
      <c r="L33" s="189"/>
      <c r="M33" s="189"/>
      <c r="N33" s="190"/>
      <c r="O33" s="120"/>
      <c r="P33" s="120"/>
      <c r="Q33" s="120"/>
      <c r="R33" s="120"/>
      <c r="S33" s="120"/>
    </row>
    <row r="34" spans="4:19" ht="12.75">
      <c r="D34" s="190"/>
      <c r="F34" s="191"/>
      <c r="G34" s="119"/>
      <c r="H34" s="119"/>
      <c r="I34" s="194"/>
      <c r="J34" s="194"/>
      <c r="K34" s="194"/>
      <c r="L34" s="194"/>
      <c r="M34" s="194"/>
      <c r="N34" s="190"/>
      <c r="O34" s="120"/>
      <c r="P34" s="120"/>
      <c r="Q34" s="120"/>
      <c r="R34" s="120"/>
      <c r="S34" s="120"/>
    </row>
    <row r="35" spans="1:19" ht="18.75" hidden="1" thickBot="1">
      <c r="A35" s="182" t="s">
        <v>17</v>
      </c>
      <c r="B35" s="182"/>
      <c r="C35" s="182"/>
      <c r="D35" s="182"/>
      <c r="E35" s="195"/>
      <c r="F35" s="196"/>
      <c r="G35" s="197"/>
      <c r="H35" s="197"/>
      <c r="I35" s="198"/>
      <c r="J35" s="198"/>
      <c r="K35" s="198"/>
      <c r="L35" s="194"/>
      <c r="M35" s="194"/>
      <c r="N35" s="190"/>
      <c r="O35" s="120"/>
      <c r="P35" s="120"/>
      <c r="Q35" s="120"/>
      <c r="R35" s="120"/>
      <c r="S35" s="120"/>
    </row>
    <row r="36" spans="1:19" ht="18" hidden="1">
      <c r="A36" s="199"/>
      <c r="B36" s="199"/>
      <c r="C36" s="199"/>
      <c r="D36" s="199"/>
      <c r="E36" s="200"/>
      <c r="F36" s="201"/>
      <c r="G36" s="202"/>
      <c r="H36" s="202"/>
      <c r="I36" s="203"/>
      <c r="J36" s="203"/>
      <c r="K36" s="203"/>
      <c r="L36" s="194"/>
      <c r="M36" s="194"/>
      <c r="N36" s="190"/>
      <c r="O36" s="120"/>
      <c r="P36" s="120"/>
      <c r="Q36" s="120"/>
      <c r="R36" s="120"/>
      <c r="S36" s="120"/>
    </row>
    <row r="37" spans="5:12" ht="12.75" hidden="1">
      <c r="E37" s="204" t="s">
        <v>98</v>
      </c>
      <c r="F37" s="204"/>
      <c r="G37" s="204"/>
      <c r="H37" s="204"/>
      <c r="I37" s="204"/>
      <c r="J37" s="204"/>
      <c r="K37" s="204"/>
      <c r="L37" s="191"/>
    </row>
    <row r="38" spans="1:12" ht="15" hidden="1">
      <c r="A38" s="205"/>
      <c r="B38" s="205"/>
      <c r="C38" s="205"/>
      <c r="D38" s="205"/>
      <c r="E38" s="206"/>
      <c r="F38" s="206"/>
      <c r="G38" s="206"/>
      <c r="H38" s="206"/>
      <c r="I38" s="206"/>
      <c r="J38" s="206"/>
      <c r="K38" s="206"/>
      <c r="L38" s="191"/>
    </row>
    <row r="39" spans="1:19" ht="12.75" hidden="1">
      <c r="A39" s="187" t="s">
        <v>19</v>
      </c>
      <c r="E39" s="187" t="s">
        <v>20</v>
      </c>
      <c r="F39" s="187" t="s">
        <v>21</v>
      </c>
      <c r="G39" s="187" t="s">
        <v>22</v>
      </c>
      <c r="H39" s="187" t="s">
        <v>23</v>
      </c>
      <c r="I39" s="187" t="s">
        <v>24</v>
      </c>
      <c r="J39" s="187" t="s">
        <v>80</v>
      </c>
      <c r="K39" s="181" t="s">
        <v>101</v>
      </c>
      <c r="S39" s="190"/>
    </row>
    <row r="40" spans="1:19" ht="12.75" hidden="1">
      <c r="A40" s="187"/>
      <c r="L40" s="191"/>
      <c r="S40" s="190"/>
    </row>
    <row r="41" spans="2:19" ht="12.75" hidden="1">
      <c r="B41" s="116" t="s">
        <v>27</v>
      </c>
      <c r="D41" s="191" t="s">
        <v>6</v>
      </c>
      <c r="E41" s="120" t="e">
        <f aca="true" t="shared" si="5" ref="E41:J41">O7*$D7/$N7+O14*$D14/$N14+O21*$D21/$N21+O28*$D28/$N28</f>
        <v>#REF!</v>
      </c>
      <c r="F41" s="120" t="e">
        <f t="shared" si="5"/>
        <v>#REF!</v>
      </c>
      <c r="G41" s="120" t="e">
        <f t="shared" si="5"/>
        <v>#REF!</v>
      </c>
      <c r="H41" s="120" t="e">
        <f t="shared" si="5"/>
        <v>#REF!</v>
      </c>
      <c r="I41" s="120" t="e">
        <f t="shared" si="5"/>
        <v>#REF!</v>
      </c>
      <c r="J41" s="120" t="e">
        <f t="shared" si="5"/>
        <v>#REF!</v>
      </c>
      <c r="K41" s="207" t="e">
        <f>SUM(E41:J41)</f>
        <v>#REF!</v>
      </c>
      <c r="N41" s="208" t="e">
        <f>K41*O41</f>
        <v>#REF!</v>
      </c>
      <c r="O41" s="209">
        <v>153</v>
      </c>
      <c r="P41" s="117" t="s">
        <v>86</v>
      </c>
      <c r="S41" s="190"/>
    </row>
    <row r="42" spans="4:19" ht="12.75" hidden="1">
      <c r="D42" s="191"/>
      <c r="E42" s="120"/>
      <c r="F42" s="120"/>
      <c r="G42" s="120"/>
      <c r="H42" s="120"/>
      <c r="I42" s="120"/>
      <c r="J42" s="120"/>
      <c r="K42" s="207"/>
      <c r="N42" s="208"/>
      <c r="O42" s="209"/>
      <c r="P42" s="117"/>
      <c r="S42" s="190"/>
    </row>
    <row r="43" spans="2:16" ht="12.75" hidden="1">
      <c r="B43" s="116" t="s">
        <v>26</v>
      </c>
      <c r="D43" s="191" t="s">
        <v>8</v>
      </c>
      <c r="E43" s="120" t="e">
        <f aca="true" t="shared" si="6" ref="E43:J43">O8*$D8/$N8+O15*$D15/$N15+O22*$D22/$N22+O29*$D29/$N29</f>
        <v>#REF!</v>
      </c>
      <c r="F43" s="120" t="e">
        <f t="shared" si="6"/>
        <v>#REF!</v>
      </c>
      <c r="G43" s="120" t="e">
        <f t="shared" si="6"/>
        <v>#REF!</v>
      </c>
      <c r="H43" s="120" t="e">
        <f t="shared" si="6"/>
        <v>#REF!</v>
      </c>
      <c r="I43" s="120" t="e">
        <f t="shared" si="6"/>
        <v>#REF!</v>
      </c>
      <c r="J43" s="120" t="e">
        <f t="shared" si="6"/>
        <v>#REF!</v>
      </c>
      <c r="K43" s="207" t="e">
        <f aca="true" t="shared" si="7" ref="K43:K53">SUM(E43:J43)</f>
        <v>#REF!</v>
      </c>
      <c r="N43" s="208" t="e">
        <f>K43*O43</f>
        <v>#REF!</v>
      </c>
      <c r="O43" s="209">
        <v>100</v>
      </c>
      <c r="P43" s="117" t="s">
        <v>86</v>
      </c>
    </row>
    <row r="44" spans="4:16" ht="12.75" hidden="1">
      <c r="D44" s="191"/>
      <c r="E44" s="120"/>
      <c r="F44" s="120"/>
      <c r="G44" s="120"/>
      <c r="H44" s="120"/>
      <c r="I44" s="120"/>
      <c r="J44" s="120"/>
      <c r="K44" s="207"/>
      <c r="N44" s="208"/>
      <c r="O44" s="209"/>
      <c r="P44" s="117"/>
    </row>
    <row r="45" spans="2:16" ht="12.75" hidden="1">
      <c r="B45" s="116" t="s">
        <v>29</v>
      </c>
      <c r="D45" s="191" t="s">
        <v>9</v>
      </c>
      <c r="E45" s="120" t="e">
        <f aca="true" t="shared" si="8" ref="E45:J45">O9*$D9/$N9+O16*$D16/$N16+O23*$D23/$N23+O30*$D30/$N30</f>
        <v>#REF!</v>
      </c>
      <c r="F45" s="120" t="e">
        <f t="shared" si="8"/>
        <v>#REF!</v>
      </c>
      <c r="G45" s="120" t="e">
        <f t="shared" si="8"/>
        <v>#REF!</v>
      </c>
      <c r="H45" s="120" t="e">
        <f t="shared" si="8"/>
        <v>#REF!</v>
      </c>
      <c r="I45" s="120" t="e">
        <f t="shared" si="8"/>
        <v>#REF!</v>
      </c>
      <c r="J45" s="120" t="e">
        <f t="shared" si="8"/>
        <v>#REF!</v>
      </c>
      <c r="K45" s="207" t="e">
        <f t="shared" si="7"/>
        <v>#REF!</v>
      </c>
      <c r="N45" s="208" t="e">
        <f>K45*O45</f>
        <v>#REF!</v>
      </c>
      <c r="O45" s="209">
        <v>130</v>
      </c>
      <c r="P45" s="117" t="s">
        <v>86</v>
      </c>
    </row>
    <row r="46" spans="4:16" ht="12.75" hidden="1">
      <c r="D46" s="191"/>
      <c r="E46" s="120"/>
      <c r="F46" s="120"/>
      <c r="G46" s="120"/>
      <c r="H46" s="120"/>
      <c r="I46" s="120"/>
      <c r="J46" s="120"/>
      <c r="K46" s="207"/>
      <c r="N46" s="208"/>
      <c r="O46" s="209"/>
      <c r="P46" s="117"/>
    </row>
    <row r="47" spans="2:16" ht="12.75" hidden="1">
      <c r="B47" s="116" t="s">
        <v>28</v>
      </c>
      <c r="D47" s="191" t="s">
        <v>7</v>
      </c>
      <c r="E47" s="120" t="e">
        <f aca="true" t="shared" si="9" ref="E47:J47">O24*$D24/$N24+O31*$D31/$N31</f>
        <v>#REF!</v>
      </c>
      <c r="F47" s="120" t="e">
        <f t="shared" si="9"/>
        <v>#REF!</v>
      </c>
      <c r="G47" s="120" t="e">
        <f t="shared" si="9"/>
        <v>#REF!</v>
      </c>
      <c r="H47" s="120" t="e">
        <f t="shared" si="9"/>
        <v>#REF!</v>
      </c>
      <c r="I47" s="120" t="e">
        <f t="shared" si="9"/>
        <v>#REF!</v>
      </c>
      <c r="J47" s="120" t="e">
        <f t="shared" si="9"/>
        <v>#REF!</v>
      </c>
      <c r="K47" s="207" t="e">
        <f t="shared" si="7"/>
        <v>#REF!</v>
      </c>
      <c r="N47" s="208" t="e">
        <f>K47*O47</f>
        <v>#REF!</v>
      </c>
      <c r="O47" s="209">
        <v>100</v>
      </c>
      <c r="P47" s="117" t="s">
        <v>86</v>
      </c>
    </row>
    <row r="48" spans="4:16" ht="12.75" hidden="1">
      <c r="D48" s="191"/>
      <c r="E48" s="120"/>
      <c r="F48" s="120"/>
      <c r="G48" s="120"/>
      <c r="H48" s="120"/>
      <c r="I48" s="120"/>
      <c r="J48" s="120"/>
      <c r="K48" s="207"/>
      <c r="N48" s="208"/>
      <c r="O48" s="209"/>
      <c r="P48" s="117"/>
    </row>
    <row r="49" spans="2:16" ht="12.75" hidden="1">
      <c r="B49" s="116" t="s">
        <v>82</v>
      </c>
      <c r="D49" s="191" t="s">
        <v>81</v>
      </c>
      <c r="E49" s="120" t="e">
        <f aca="true" t="shared" si="10" ref="E49:J49">O25*$D25/$N25+O32*$D32/$N32</f>
        <v>#REF!</v>
      </c>
      <c r="F49" s="120" t="e">
        <f t="shared" si="10"/>
        <v>#REF!</v>
      </c>
      <c r="G49" s="120" t="e">
        <f t="shared" si="10"/>
        <v>#REF!</v>
      </c>
      <c r="H49" s="120" t="e">
        <f t="shared" si="10"/>
        <v>#REF!</v>
      </c>
      <c r="I49" s="120" t="e">
        <f t="shared" si="10"/>
        <v>#REF!</v>
      </c>
      <c r="J49" s="120" t="e">
        <f t="shared" si="10"/>
        <v>#REF!</v>
      </c>
      <c r="K49" s="207" t="e">
        <f t="shared" si="7"/>
        <v>#REF!</v>
      </c>
      <c r="N49" s="208" t="e">
        <f>K49*O49</f>
        <v>#REF!</v>
      </c>
      <c r="O49" s="209">
        <v>73</v>
      </c>
      <c r="P49" s="117" t="s">
        <v>86</v>
      </c>
    </row>
    <row r="50" spans="4:16" ht="12.75" hidden="1">
      <c r="D50" s="191"/>
      <c r="E50" s="120"/>
      <c r="F50" s="120"/>
      <c r="G50" s="120"/>
      <c r="H50" s="120"/>
      <c r="I50" s="120"/>
      <c r="J50" s="120"/>
      <c r="K50" s="207"/>
      <c r="N50" s="208"/>
      <c r="O50" s="209"/>
      <c r="P50" s="117"/>
    </row>
    <row r="51" spans="2:16" ht="12.75" hidden="1">
      <c r="B51" s="116" t="s">
        <v>77</v>
      </c>
      <c r="D51" s="191" t="s">
        <v>126</v>
      </c>
      <c r="E51" s="120">
        <f aca="true" t="shared" si="11" ref="E51:J51">O10*$D10/$N10+O17*$D17/$N17</f>
        <v>0</v>
      </c>
      <c r="F51" s="120">
        <f t="shared" si="11"/>
        <v>0</v>
      </c>
      <c r="G51" s="120">
        <f t="shared" si="11"/>
        <v>0</v>
      </c>
      <c r="H51" s="120">
        <f t="shared" si="11"/>
        <v>0</v>
      </c>
      <c r="I51" s="120">
        <f t="shared" si="11"/>
        <v>0</v>
      </c>
      <c r="J51" s="120">
        <f t="shared" si="11"/>
        <v>0</v>
      </c>
      <c r="K51" s="207">
        <f t="shared" si="7"/>
        <v>0</v>
      </c>
      <c r="N51" s="208">
        <f>K51*O51</f>
        <v>0</v>
      </c>
      <c r="O51" s="209">
        <v>160</v>
      </c>
      <c r="P51" s="117" t="s">
        <v>86</v>
      </c>
    </row>
    <row r="52" spans="4:16" ht="12.75" hidden="1">
      <c r="D52" s="191"/>
      <c r="E52" s="120"/>
      <c r="F52" s="120"/>
      <c r="G52" s="120"/>
      <c r="H52" s="120"/>
      <c r="I52" s="120"/>
      <c r="J52" s="120"/>
      <c r="K52" s="207"/>
      <c r="N52" s="208"/>
      <c r="O52" s="209"/>
      <c r="P52" s="117"/>
    </row>
    <row r="53" spans="2:16" ht="12.75" hidden="1">
      <c r="B53" s="116" t="s">
        <v>76</v>
      </c>
      <c r="D53" s="191" t="s">
        <v>127</v>
      </c>
      <c r="E53" s="120">
        <f aca="true" t="shared" si="12" ref="E53:J53">O11*$D11/$N11+O18*$D18/$N18</f>
        <v>0</v>
      </c>
      <c r="F53" s="120">
        <f t="shared" si="12"/>
        <v>0</v>
      </c>
      <c r="G53" s="120">
        <f t="shared" si="12"/>
        <v>0</v>
      </c>
      <c r="H53" s="120">
        <f t="shared" si="12"/>
        <v>0</v>
      </c>
      <c r="I53" s="120">
        <f t="shared" si="12"/>
        <v>0</v>
      </c>
      <c r="J53" s="120">
        <f t="shared" si="12"/>
        <v>0</v>
      </c>
      <c r="K53" s="207">
        <f t="shared" si="7"/>
        <v>0</v>
      </c>
      <c r="N53" s="208">
        <f>K53*O53</f>
        <v>0</v>
      </c>
      <c r="O53" s="209">
        <v>141</v>
      </c>
      <c r="P53" s="117" t="s">
        <v>86</v>
      </c>
    </row>
    <row r="54" spans="6:12" ht="12.75" hidden="1">
      <c r="F54" s="191"/>
      <c r="G54" s="120"/>
      <c r="H54" s="120"/>
      <c r="I54" s="120"/>
      <c r="J54" s="120"/>
      <c r="K54" s="120"/>
      <c r="L54" s="120"/>
    </row>
    <row r="55" spans="6:16" ht="12.75" hidden="1">
      <c r="F55" s="191"/>
      <c r="G55" s="120"/>
      <c r="H55" s="120"/>
      <c r="I55" s="120"/>
      <c r="J55" s="120"/>
      <c r="K55" s="120"/>
      <c r="L55" s="120"/>
      <c r="N55" s="210" t="e">
        <f>K41+K43+K47+K49+K53</f>
        <v>#REF!</v>
      </c>
      <c r="O55" s="208" t="e">
        <f>N41+N43+N47+N49+N53</f>
        <v>#REF!</v>
      </c>
      <c r="P55" s="117" t="s">
        <v>115</v>
      </c>
    </row>
    <row r="56" spans="14:16" ht="12.75" hidden="1">
      <c r="N56" s="210" t="e">
        <f>K45+K51</f>
        <v>#REF!</v>
      </c>
      <c r="O56" s="208" t="e">
        <f>N45+N51</f>
        <v>#REF!</v>
      </c>
      <c r="P56" s="117" t="s">
        <v>116</v>
      </c>
    </row>
    <row r="57" spans="1:11" ht="18.75" thickBot="1">
      <c r="A57" s="182" t="s">
        <v>10</v>
      </c>
      <c r="B57" s="182"/>
      <c r="C57" s="182"/>
      <c r="D57" s="182"/>
      <c r="E57" s="195"/>
      <c r="F57" s="195"/>
      <c r="G57" s="211"/>
      <c r="H57" s="211"/>
      <c r="I57" s="195"/>
      <c r="J57" s="195"/>
      <c r="K57" s="195"/>
    </row>
    <row r="58" spans="1:4" ht="15">
      <c r="A58" s="205"/>
      <c r="B58" s="205"/>
      <c r="C58" s="205"/>
      <c r="D58" s="205"/>
    </row>
    <row r="59" spans="1:13" ht="12.75">
      <c r="A59" s="114"/>
      <c r="B59" s="186" t="s">
        <v>0</v>
      </c>
      <c r="C59" s="186"/>
      <c r="D59" s="114"/>
      <c r="E59" s="114"/>
      <c r="G59" s="212" t="s">
        <v>102</v>
      </c>
      <c r="H59" s="212"/>
      <c r="I59" s="212"/>
      <c r="J59" s="212"/>
      <c r="K59" s="212"/>
      <c r="L59" s="212"/>
      <c r="M59" s="212"/>
    </row>
    <row r="60" spans="1:5" ht="12.75">
      <c r="A60" s="114"/>
      <c r="B60" s="114"/>
      <c r="C60" s="114"/>
      <c r="D60" s="114"/>
      <c r="E60" s="114"/>
    </row>
    <row r="61" spans="1:8" ht="12.75">
      <c r="A61" s="213"/>
      <c r="B61" s="214"/>
      <c r="C61" s="215"/>
      <c r="G61" s="116"/>
      <c r="H61" s="116"/>
    </row>
    <row r="62" spans="1:8" ht="12.75">
      <c r="A62" s="213"/>
      <c r="B62" s="214"/>
      <c r="C62" s="189"/>
      <c r="E62" s="216"/>
      <c r="G62" s="116"/>
      <c r="H62" s="116"/>
    </row>
    <row r="63" spans="1:8" ht="12.75">
      <c r="A63" s="213"/>
      <c r="B63" s="214"/>
      <c r="C63" s="189"/>
      <c r="E63" s="216"/>
      <c r="G63" s="116"/>
      <c r="H63" s="116"/>
    </row>
    <row r="64" spans="1:8" ht="12.75">
      <c r="A64" s="213"/>
      <c r="B64" s="217"/>
      <c r="E64" s="218"/>
      <c r="G64" s="116"/>
      <c r="H64" s="116"/>
    </row>
    <row r="65" spans="1:8" ht="12.75">
      <c r="A65" s="213"/>
      <c r="B65" s="217"/>
      <c r="C65" s="219"/>
      <c r="E65" s="208"/>
      <c r="G65" s="116"/>
      <c r="H65" s="116"/>
    </row>
    <row r="66" spans="1:8" ht="12.75">
      <c r="A66" s="213"/>
      <c r="B66" s="217"/>
      <c r="C66" s="219"/>
      <c r="E66" s="208"/>
      <c r="G66" s="116"/>
      <c r="H66" s="116"/>
    </row>
    <row r="67" spans="2:8" ht="12.75">
      <c r="B67" s="187" t="s">
        <v>11</v>
      </c>
      <c r="G67" s="116"/>
      <c r="H67" s="116"/>
    </row>
    <row r="68" spans="2:8" ht="12.75">
      <c r="B68" s="187"/>
      <c r="C68" s="116" t="s">
        <v>183</v>
      </c>
      <c r="E68" s="216">
        <f>'M&amp;S'!B22</f>
        <v>58612.37178187605</v>
      </c>
      <c r="G68" s="116"/>
      <c r="H68" s="116"/>
    </row>
    <row r="69" spans="2:8" ht="12.75">
      <c r="B69" s="187"/>
      <c r="E69" s="216"/>
      <c r="G69" s="116"/>
      <c r="H69" s="116"/>
    </row>
    <row r="70" spans="2:8" ht="12.75">
      <c r="B70" s="187"/>
      <c r="C70" s="116" t="s">
        <v>145</v>
      </c>
      <c r="E70" s="218">
        <v>0</v>
      </c>
      <c r="G70" s="116" t="s">
        <v>144</v>
      </c>
      <c r="H70" s="116"/>
    </row>
    <row r="71" spans="2:8" ht="12.75">
      <c r="B71" s="187"/>
      <c r="C71" s="219" t="s">
        <v>97</v>
      </c>
      <c r="E71" s="208">
        <f>SUM(E68:E70)</f>
        <v>58612.37178187605</v>
      </c>
      <c r="G71" s="116" t="s">
        <v>92</v>
      </c>
      <c r="H71" s="116"/>
    </row>
    <row r="72" spans="3:8" ht="12.75">
      <c r="C72" s="187"/>
      <c r="G72" s="116"/>
      <c r="H72" s="116"/>
    </row>
    <row r="73" spans="2:8" ht="12.75">
      <c r="B73" s="187" t="s">
        <v>12</v>
      </c>
      <c r="E73" s="208">
        <v>0</v>
      </c>
      <c r="G73" s="116" t="s">
        <v>103</v>
      </c>
      <c r="H73" s="116"/>
    </row>
    <row r="74" spans="7:8" ht="12.75">
      <c r="G74" s="116"/>
      <c r="H74" s="116"/>
    </row>
    <row r="75" spans="2:8" ht="12.75">
      <c r="B75" s="187" t="s">
        <v>13</v>
      </c>
      <c r="E75" s="208">
        <v>0</v>
      </c>
      <c r="G75" s="116" t="s">
        <v>104</v>
      </c>
      <c r="H75" s="116"/>
    </row>
    <row r="76" spans="7:8" ht="12.75">
      <c r="G76" s="116"/>
      <c r="H76" s="116"/>
    </row>
    <row r="77" spans="7:13" ht="12.75">
      <c r="G77" s="220"/>
      <c r="H77" s="220"/>
      <c r="I77" s="220"/>
      <c r="J77" s="220"/>
      <c r="K77" s="220"/>
      <c r="L77" s="220"/>
      <c r="M77" s="220"/>
    </row>
    <row r="78" spans="1:13" ht="18.75" thickBot="1">
      <c r="A78" s="182" t="s">
        <v>14</v>
      </c>
      <c r="B78" s="182"/>
      <c r="C78" s="182"/>
      <c r="D78" s="182"/>
      <c r="E78" s="195"/>
      <c r="F78" s="195"/>
      <c r="G78" s="221"/>
      <c r="H78" s="221"/>
      <c r="I78" s="221"/>
      <c r="J78" s="221"/>
      <c r="K78" s="221"/>
      <c r="L78" s="220"/>
      <c r="M78" s="220"/>
    </row>
    <row r="79" spans="1:13" ht="15">
      <c r="A79" s="205"/>
      <c r="B79" s="205"/>
      <c r="C79" s="205"/>
      <c r="D79" s="205"/>
      <c r="G79" s="220"/>
      <c r="H79" s="220"/>
      <c r="I79" s="220"/>
      <c r="J79" s="220"/>
      <c r="K79" s="220"/>
      <c r="L79" s="220"/>
      <c r="M79" s="220"/>
    </row>
    <row r="80" spans="1:13" ht="12.75">
      <c r="A80" s="114"/>
      <c r="B80" s="186" t="s">
        <v>0</v>
      </c>
      <c r="C80" s="186"/>
      <c r="D80" s="114"/>
      <c r="E80" s="114" t="s">
        <v>237</v>
      </c>
      <c r="G80" s="220" t="s">
        <v>102</v>
      </c>
      <c r="H80" s="220"/>
      <c r="I80" s="220"/>
      <c r="J80" s="220"/>
      <c r="K80" s="220"/>
      <c r="L80" s="220"/>
      <c r="M80" s="220"/>
    </row>
    <row r="81" spans="1:13" ht="12.75">
      <c r="A81" s="114"/>
      <c r="B81" s="114"/>
      <c r="C81" s="114"/>
      <c r="D81" s="114"/>
      <c r="E81" s="114"/>
      <c r="G81" s="220"/>
      <c r="H81" s="220"/>
      <c r="I81" s="220"/>
      <c r="J81" s="220"/>
      <c r="K81" s="220"/>
      <c r="L81" s="220"/>
      <c r="M81" s="220"/>
    </row>
    <row r="82" spans="7:13" ht="12.75">
      <c r="G82" s="220"/>
      <c r="H82" s="220"/>
      <c r="I82" s="220"/>
      <c r="J82" s="220"/>
      <c r="K82" s="220"/>
      <c r="L82" s="220"/>
      <c r="M82" s="220"/>
    </row>
    <row r="83" spans="2:13" ht="12.75">
      <c r="B83" s="187" t="s">
        <v>15</v>
      </c>
      <c r="E83" s="208">
        <v>0</v>
      </c>
      <c r="G83" s="222" t="s">
        <v>184</v>
      </c>
      <c r="H83" s="220"/>
      <c r="I83" s="220"/>
      <c r="J83" s="220"/>
      <c r="K83" s="220"/>
      <c r="L83" s="220"/>
      <c r="M83" s="220"/>
    </row>
    <row r="84" spans="2:13" ht="12.75">
      <c r="B84" s="187"/>
      <c r="E84" s="208"/>
      <c r="G84" s="222"/>
      <c r="H84" s="220"/>
      <c r="I84" s="220"/>
      <c r="J84" s="220"/>
      <c r="K84" s="220"/>
      <c r="L84" s="220"/>
      <c r="M84" s="220"/>
    </row>
    <row r="85" spans="2:13" ht="12.75">
      <c r="B85" s="187"/>
      <c r="E85" s="208"/>
      <c r="G85" s="222"/>
      <c r="H85" s="220"/>
      <c r="I85" s="220"/>
      <c r="J85" s="220"/>
      <c r="K85" s="220"/>
      <c r="L85" s="220"/>
      <c r="M85" s="220"/>
    </row>
    <row r="86" spans="2:13" ht="12.75">
      <c r="B86" s="187"/>
      <c r="E86" s="208"/>
      <c r="G86" s="222"/>
      <c r="H86" s="220"/>
      <c r="I86" s="220"/>
      <c r="J86" s="220"/>
      <c r="K86" s="220"/>
      <c r="L86" s="220"/>
      <c r="M86" s="220"/>
    </row>
    <row r="87" spans="2:13" ht="12.75">
      <c r="B87" s="187"/>
      <c r="E87" s="208"/>
      <c r="G87" s="222"/>
      <c r="H87" s="220"/>
      <c r="I87" s="220"/>
      <c r="J87" s="220"/>
      <c r="K87" s="220"/>
      <c r="L87" s="220"/>
      <c r="M87" s="220"/>
    </row>
    <row r="88" spans="7:13" ht="12.75">
      <c r="G88" s="220"/>
      <c r="H88" s="220"/>
      <c r="I88" s="220"/>
      <c r="J88" s="220"/>
      <c r="K88" s="220"/>
      <c r="L88" s="220"/>
      <c r="M88" s="220"/>
    </row>
    <row r="89" spans="7:13" ht="12.75">
      <c r="G89" s="220"/>
      <c r="H89" s="220"/>
      <c r="I89" s="220"/>
      <c r="J89" s="220"/>
      <c r="K89" s="220"/>
      <c r="L89" s="220"/>
      <c r="M89" s="220"/>
    </row>
    <row r="90" spans="1:11" ht="18.75" hidden="1" thickBot="1">
      <c r="A90" s="182" t="s">
        <v>105</v>
      </c>
      <c r="B90" s="182"/>
      <c r="C90" s="182"/>
      <c r="D90" s="182"/>
      <c r="E90" s="195"/>
      <c r="F90" s="195"/>
      <c r="G90" s="211"/>
      <c r="H90" s="211"/>
      <c r="I90" s="195"/>
      <c r="J90" s="195"/>
      <c r="K90" s="195"/>
    </row>
    <row r="91" spans="1:4" ht="15" hidden="1">
      <c r="A91" s="205"/>
      <c r="B91" s="205"/>
      <c r="C91" s="205"/>
      <c r="D91" s="205"/>
    </row>
    <row r="92" spans="1:13" ht="12.75" hidden="1">
      <c r="A92" s="114"/>
      <c r="B92" s="186" t="s">
        <v>0</v>
      </c>
      <c r="C92" s="186"/>
      <c r="D92" s="114" t="s">
        <v>1</v>
      </c>
      <c r="E92" s="114" t="s">
        <v>237</v>
      </c>
      <c r="G92" s="220" t="s">
        <v>102</v>
      </c>
      <c r="H92" s="220"/>
      <c r="I92" s="220"/>
      <c r="J92" s="220"/>
      <c r="K92" s="220"/>
      <c r="L92" s="220"/>
      <c r="M92" s="220"/>
    </row>
    <row r="93" spans="1:13" ht="12.75" hidden="1">
      <c r="A93" s="114"/>
      <c r="B93" s="114"/>
      <c r="C93" s="114"/>
      <c r="D93" s="114"/>
      <c r="E93" s="114"/>
      <c r="G93" s="220"/>
      <c r="H93" s="220"/>
      <c r="I93" s="220"/>
      <c r="J93" s="220"/>
      <c r="K93" s="220"/>
      <c r="L93" s="220"/>
      <c r="M93" s="220"/>
    </row>
    <row r="94" spans="1:5" ht="12.75" hidden="1">
      <c r="A94" s="114"/>
      <c r="B94" s="114"/>
      <c r="C94" s="114"/>
      <c r="D94" s="114"/>
      <c r="E94" s="114"/>
    </row>
    <row r="95" spans="2:11" ht="12.75" customHeight="1" hidden="1">
      <c r="B95" s="187" t="s">
        <v>17</v>
      </c>
      <c r="I95" s="223"/>
      <c r="J95" s="223"/>
      <c r="K95" s="223"/>
    </row>
    <row r="96" spans="2:10" ht="12.75" hidden="1">
      <c r="B96" s="116" t="s">
        <v>117</v>
      </c>
      <c r="D96" s="224" t="e">
        <f>N55</f>
        <v>#REF!</v>
      </c>
      <c r="E96" s="208" t="e">
        <f>O55</f>
        <v>#REF!</v>
      </c>
      <c r="G96" s="225" t="s">
        <v>121</v>
      </c>
      <c r="H96" s="225"/>
      <c r="I96" s="219" t="s">
        <v>7</v>
      </c>
      <c r="J96" s="226" t="str">
        <f>CONCATENATE(O47," $/hr")</f>
        <v>100 $/hr</v>
      </c>
    </row>
    <row r="97" spans="2:10" ht="12.75" hidden="1">
      <c r="B97" s="116" t="s">
        <v>118</v>
      </c>
      <c r="D97" s="224" t="e">
        <f>N56</f>
        <v>#REF!</v>
      </c>
      <c r="E97" s="208" t="e">
        <f>O56</f>
        <v>#REF!</v>
      </c>
      <c r="G97" s="219" t="s">
        <v>6</v>
      </c>
      <c r="H97" s="226" t="str">
        <f>CONCATENATE(O41," $/hr")</f>
        <v>153 $/hr</v>
      </c>
      <c r="I97" s="219" t="s">
        <v>81</v>
      </c>
      <c r="J97" s="226" t="str">
        <f>CONCATENATE(O49," $/hr")</f>
        <v>73 $/hr</v>
      </c>
    </row>
    <row r="98" spans="3:10" ht="12.75" hidden="1">
      <c r="C98" s="116" t="s">
        <v>107</v>
      </c>
      <c r="D98" s="224" t="e">
        <f>SUM(D96:D97)</f>
        <v>#REF!</v>
      </c>
      <c r="E98" s="208" t="e">
        <f>SUM(E96:E97)</f>
        <v>#REF!</v>
      </c>
      <c r="G98" s="219" t="s">
        <v>8</v>
      </c>
      <c r="H98" s="226" t="str">
        <f>CONCATENATE(O43," $/hr")</f>
        <v>100 $/hr</v>
      </c>
      <c r="I98" s="227" t="s">
        <v>120</v>
      </c>
      <c r="J98" s="226" t="str">
        <f>CONCATENATE(O53," $/hr")</f>
        <v>141 $/hr</v>
      </c>
    </row>
    <row r="99" spans="4:10" ht="12.75" hidden="1">
      <c r="D99" s="190"/>
      <c r="E99" s="208"/>
      <c r="G99" s="219" t="s">
        <v>9</v>
      </c>
      <c r="H99" s="226" t="str">
        <f>CONCATENATE(O45," $/hr")</f>
        <v>130 $/hr</v>
      </c>
      <c r="I99" s="227" t="s">
        <v>119</v>
      </c>
      <c r="J99" s="226" t="str">
        <f>CONCATENATE(O51," $/hr")</f>
        <v>160 $/hr</v>
      </c>
    </row>
    <row r="100" ht="12.75" hidden="1">
      <c r="B100" s="187" t="s">
        <v>106</v>
      </c>
    </row>
    <row r="101" spans="2:5" ht="12.75" hidden="1">
      <c r="B101" s="228" t="s">
        <v>85</v>
      </c>
      <c r="C101" s="189"/>
      <c r="E101" s="208">
        <f>E65</f>
        <v>0</v>
      </c>
    </row>
    <row r="102" spans="2:5" ht="12.75" hidden="1">
      <c r="B102" s="189" t="s">
        <v>11</v>
      </c>
      <c r="C102" s="189"/>
      <c r="E102" s="208">
        <f>E71</f>
        <v>58612.37178187605</v>
      </c>
    </row>
    <row r="103" spans="2:5" ht="12.75" hidden="1">
      <c r="B103" s="189" t="s">
        <v>12</v>
      </c>
      <c r="C103" s="189"/>
      <c r="E103" s="208">
        <f>E73</f>
        <v>0</v>
      </c>
    </row>
    <row r="104" spans="2:5" ht="12.75" hidden="1">
      <c r="B104" s="189" t="s">
        <v>13</v>
      </c>
      <c r="C104" s="189"/>
      <c r="E104" s="208">
        <f>E75</f>
        <v>0</v>
      </c>
    </row>
    <row r="105" spans="2:5" ht="12.75" hidden="1">
      <c r="B105" s="189" t="s">
        <v>15</v>
      </c>
      <c r="C105" s="189"/>
      <c r="E105" s="208">
        <f>E83</f>
        <v>0</v>
      </c>
    </row>
    <row r="106" spans="3:5" ht="12.75" hidden="1">
      <c r="C106" s="116" t="s">
        <v>108</v>
      </c>
      <c r="E106" s="208">
        <f>SUM(E101:E105)</f>
        <v>58612.37178187605</v>
      </c>
    </row>
    <row r="107" ht="12.75" hidden="1"/>
    <row r="108" spans="2:8" ht="12.75" hidden="1">
      <c r="B108" s="187" t="s">
        <v>109</v>
      </c>
      <c r="E108" s="208">
        <f>G108*E106</f>
        <v>14653.092945469012</v>
      </c>
      <c r="G108" s="229">
        <v>0.25</v>
      </c>
      <c r="H108" s="117" t="s">
        <v>110</v>
      </c>
    </row>
    <row r="109" ht="12.75" hidden="1"/>
    <row r="110" spans="2:5" ht="12.75" hidden="1">
      <c r="B110" s="187" t="s">
        <v>111</v>
      </c>
      <c r="E110" s="208" t="e">
        <f>E108+E106+E98</f>
        <v>#REF!</v>
      </c>
    </row>
    <row r="111" ht="12.75" hidden="1">
      <c r="B111" s="187"/>
    </row>
    <row r="112" spans="2:8" ht="12.75" hidden="1">
      <c r="B112" s="187" t="s">
        <v>112</v>
      </c>
      <c r="E112" s="208" t="e">
        <f>E110*G112</f>
        <v>#REF!</v>
      </c>
      <c r="G112" s="229">
        <v>0.28</v>
      </c>
      <c r="H112" s="117" t="s">
        <v>114</v>
      </c>
    </row>
    <row r="113" ht="12.75" hidden="1">
      <c r="B113" s="187"/>
    </row>
    <row r="114" spans="2:5" ht="12.75" hidden="1">
      <c r="B114" s="187" t="s">
        <v>113</v>
      </c>
      <c r="E114" s="208" t="e">
        <f>E112+E110</f>
        <v>#REF!</v>
      </c>
    </row>
    <row r="115" ht="12.75" hidden="1"/>
    <row r="116" ht="12.75" hidden="1"/>
  </sheetData>
  <mergeCells count="13">
    <mergeCell ref="A13:D13"/>
    <mergeCell ref="A20:D20"/>
    <mergeCell ref="A27:D27"/>
    <mergeCell ref="O1:T1"/>
    <mergeCell ref="A6:D6"/>
    <mergeCell ref="A3:D3"/>
    <mergeCell ref="A1:K1"/>
    <mergeCell ref="A90:D90"/>
    <mergeCell ref="G96:H96"/>
    <mergeCell ref="E37:K37"/>
    <mergeCell ref="A35:D35"/>
    <mergeCell ref="A78:D78"/>
    <mergeCell ref="A57:D57"/>
  </mergeCells>
  <printOptions/>
  <pageMargins left="0.75" right="0.5" top="1" bottom="1" header="0.5" footer="0.5"/>
  <pageSetup fitToHeight="0" horizontalDpi="600" verticalDpi="600" orientation="landscape" r:id="rId1"/>
  <headerFooter alignWithMargins="0">
    <oddHeader>&amp;C&amp;"Arial,Bold"&amp;14NCSX Fabrication Project Cost and Schedule  Estimating Form&amp;"Arial,Regular"&amp;10
</oddHeader>
    <oddFooter>&amp;L&amp;"Arial,Bold"Date: August 20, 2003&amp;C&amp;"Arial,Bold"&amp;P</oddFooter>
  </headerFooter>
  <rowBreaks count="3" manualBreakCount="3">
    <brk id="33" max="10" man="1"/>
    <brk id="55" max="10" man="1"/>
    <brk id="88" max="10" man="1"/>
  </rowBreaks>
</worksheet>
</file>

<file path=xl/worksheets/sheet2.xml><?xml version="1.0" encoding="utf-8"?>
<worksheet xmlns="http://schemas.openxmlformats.org/spreadsheetml/2006/main" xmlns:r="http://schemas.openxmlformats.org/officeDocument/2006/relationships">
  <sheetPr>
    <pageSetUpPr fitToPage="1"/>
  </sheetPr>
  <dimension ref="A1:T99"/>
  <sheetViews>
    <sheetView tabSelected="1" workbookViewId="0" topLeftCell="A1">
      <selection activeCell="U14" sqref="U14"/>
    </sheetView>
  </sheetViews>
  <sheetFormatPr defaultColWidth="9.140625" defaultRowHeight="12.75"/>
  <cols>
    <col min="1" max="1" width="28.57421875" style="0" customWidth="1"/>
    <col min="2" max="2" width="9.8515625" style="0" customWidth="1"/>
    <col min="5" max="5" width="8.00390625" style="0" customWidth="1"/>
    <col min="6" max="6" width="2.57421875" style="0" customWidth="1"/>
    <col min="7" max="7" width="7.00390625" style="0" customWidth="1"/>
    <col min="8" max="17" width="5.7109375" style="0" customWidth="1"/>
    <col min="20" max="20" width="12.28125" style="0" bestFit="1" customWidth="1"/>
  </cols>
  <sheetData>
    <row r="1" ht="20.25">
      <c r="A1" s="30" t="str">
        <f>'Fab Project'!A1</f>
        <v>WBS 161 LN2 Distribution System Inside Cryostat</v>
      </c>
    </row>
    <row r="3" spans="1:17" ht="18.75" thickBot="1">
      <c r="A3" s="32" t="s">
        <v>43</v>
      </c>
      <c r="B3" s="33"/>
      <c r="C3" s="33"/>
      <c r="D3" s="33"/>
      <c r="E3" s="33"/>
      <c r="F3" s="33"/>
      <c r="G3" s="33"/>
      <c r="H3" s="33"/>
      <c r="I3" s="33"/>
      <c r="J3" s="33"/>
      <c r="K3" s="33"/>
      <c r="L3" s="33"/>
      <c r="M3" s="33"/>
      <c r="N3" s="33"/>
      <c r="O3" s="33"/>
      <c r="P3" s="33"/>
      <c r="Q3" s="33"/>
    </row>
    <row r="4" ht="12.75">
      <c r="A4" s="1"/>
    </row>
    <row r="5" ht="12.75">
      <c r="A5" s="1" t="s">
        <v>52</v>
      </c>
    </row>
    <row r="6" spans="1:17" ht="42.75" customHeight="1">
      <c r="A6" s="163" t="s">
        <v>185</v>
      </c>
      <c r="B6" s="163"/>
      <c r="C6" s="163"/>
      <c r="D6" s="163"/>
      <c r="E6" s="163"/>
      <c r="F6" s="163"/>
      <c r="G6" s="164" t="s">
        <v>78</v>
      </c>
      <c r="H6" s="164"/>
      <c r="I6" s="164"/>
      <c r="J6" s="164"/>
      <c r="K6" s="164"/>
      <c r="L6" s="164"/>
      <c r="M6" s="164"/>
      <c r="N6" s="164"/>
      <c r="O6" s="164"/>
      <c r="P6" s="164"/>
      <c r="Q6" s="164"/>
    </row>
    <row r="7" spans="1:17" ht="34.5" customHeight="1">
      <c r="A7" s="163"/>
      <c r="B7" s="163"/>
      <c r="C7" s="163"/>
      <c r="D7" s="163"/>
      <c r="E7" s="163"/>
      <c r="F7" s="163"/>
      <c r="G7" s="121" t="s">
        <v>73</v>
      </c>
      <c r="H7" s="165" t="s">
        <v>255</v>
      </c>
      <c r="I7" s="165"/>
      <c r="J7" s="165" t="s">
        <v>8</v>
      </c>
      <c r="K7" s="165"/>
      <c r="L7" s="165" t="s">
        <v>9</v>
      </c>
      <c r="M7" s="165"/>
      <c r="N7" s="165" t="s">
        <v>25</v>
      </c>
      <c r="O7" s="165"/>
      <c r="P7" s="165" t="s">
        <v>50</v>
      </c>
      <c r="Q7" s="165"/>
    </row>
    <row r="8" spans="2:17" ht="12.75">
      <c r="B8" s="10" t="s">
        <v>35</v>
      </c>
      <c r="C8" s="10" t="s">
        <v>36</v>
      </c>
      <c r="D8" s="10" t="s">
        <v>37</v>
      </c>
      <c r="E8" s="162" t="s">
        <v>74</v>
      </c>
      <c r="F8" s="162"/>
      <c r="G8" s="122"/>
      <c r="H8" s="125" t="s">
        <v>72</v>
      </c>
      <c r="I8" s="8" t="s">
        <v>44</v>
      </c>
      <c r="J8" s="125" t="s">
        <v>72</v>
      </c>
      <c r="K8" s="8" t="s">
        <v>44</v>
      </c>
      <c r="L8" s="125" t="s">
        <v>72</v>
      </c>
      <c r="M8" s="8" t="s">
        <v>44</v>
      </c>
      <c r="N8" s="125" t="s">
        <v>72</v>
      </c>
      <c r="O8" s="8" t="s">
        <v>44</v>
      </c>
      <c r="P8" s="125" t="s">
        <v>72</v>
      </c>
      <c r="Q8" s="8" t="s">
        <v>44</v>
      </c>
    </row>
    <row r="9" spans="1:16" ht="12.75">
      <c r="A9" s="1" t="s">
        <v>45</v>
      </c>
      <c r="G9" s="122"/>
      <c r="H9" s="122"/>
      <c r="J9" s="122"/>
      <c r="L9" s="122"/>
      <c r="N9" s="122"/>
      <c r="P9" s="122"/>
    </row>
    <row r="10" spans="1:17" ht="12.75">
      <c r="A10" s="7" t="s">
        <v>142</v>
      </c>
      <c r="B10" s="9">
        <v>4</v>
      </c>
      <c r="C10" s="8" t="s">
        <v>38</v>
      </c>
      <c r="D10" s="11">
        <f>B50+B67+B82</f>
        <v>40</v>
      </c>
      <c r="E10" s="20">
        <f>D10*$B10</f>
        <v>160</v>
      </c>
      <c r="F10" s="20"/>
      <c r="G10" s="123">
        <f>H10+J10+L10+N10+P10</f>
        <v>1</v>
      </c>
      <c r="H10" s="123">
        <v>0</v>
      </c>
      <c r="I10" s="15">
        <f>$E10*H10</f>
        <v>0</v>
      </c>
      <c r="J10" s="123">
        <v>0</v>
      </c>
      <c r="K10" s="15">
        <f aca="true" t="shared" si="0" ref="K10:K22">$E10*J10</f>
        <v>0</v>
      </c>
      <c r="L10" s="123">
        <v>1</v>
      </c>
      <c r="M10" s="15">
        <f aca="true" t="shared" si="1" ref="M10:M22">$E10*L10</f>
        <v>160</v>
      </c>
      <c r="N10" s="123">
        <v>0</v>
      </c>
      <c r="O10" s="15">
        <f aca="true" t="shared" si="2" ref="O10:O22">$E10*N10</f>
        <v>0</v>
      </c>
      <c r="P10" s="123">
        <v>0</v>
      </c>
      <c r="Q10" s="15">
        <f aca="true" t="shared" si="3" ref="Q10:Q22">$E10*P10</f>
        <v>0</v>
      </c>
    </row>
    <row r="11" spans="1:17" ht="12.75">
      <c r="A11" s="7" t="s">
        <v>141</v>
      </c>
      <c r="B11" s="9">
        <v>8</v>
      </c>
      <c r="C11" s="8" t="s">
        <v>39</v>
      </c>
      <c r="D11" s="11">
        <f aca="true" t="shared" si="4" ref="D11:D21">B51+B68+B83</f>
        <v>11</v>
      </c>
      <c r="E11" s="20">
        <f aca="true" t="shared" si="5" ref="E11:E22">D11*$B11</f>
        <v>88</v>
      </c>
      <c r="F11" s="20"/>
      <c r="G11" s="123">
        <f aca="true" t="shared" si="6" ref="G11:G22">H11+J11+L11+N11+P11</f>
        <v>1</v>
      </c>
      <c r="H11" s="123">
        <v>0</v>
      </c>
      <c r="I11" s="15">
        <f aca="true" t="shared" si="7" ref="I11:I22">$E11*H11</f>
        <v>0</v>
      </c>
      <c r="J11" s="123">
        <v>0</v>
      </c>
      <c r="K11" s="15">
        <f t="shared" si="0"/>
        <v>0</v>
      </c>
      <c r="L11" s="123">
        <v>1</v>
      </c>
      <c r="M11" s="15">
        <f t="shared" si="1"/>
        <v>88</v>
      </c>
      <c r="N11" s="123">
        <v>0</v>
      </c>
      <c r="O11" s="15">
        <f t="shared" si="2"/>
        <v>0</v>
      </c>
      <c r="P11" s="123">
        <v>0</v>
      </c>
      <c r="Q11" s="15">
        <f t="shared" si="3"/>
        <v>0</v>
      </c>
    </row>
    <row r="12" spans="1:17" ht="12.75">
      <c r="A12" s="7" t="s">
        <v>33</v>
      </c>
      <c r="B12" s="9">
        <v>4</v>
      </c>
      <c r="C12" s="8" t="s">
        <v>39</v>
      </c>
      <c r="D12" s="11">
        <f t="shared" si="4"/>
        <v>6</v>
      </c>
      <c r="E12" s="20">
        <f t="shared" si="5"/>
        <v>24</v>
      </c>
      <c r="F12" s="20"/>
      <c r="G12" s="123">
        <f t="shared" si="6"/>
        <v>1</v>
      </c>
      <c r="H12" s="123">
        <v>0</v>
      </c>
      <c r="I12" s="15">
        <f t="shared" si="7"/>
        <v>0</v>
      </c>
      <c r="J12" s="123">
        <v>0</v>
      </c>
      <c r="K12" s="15">
        <f t="shared" si="0"/>
        <v>0</v>
      </c>
      <c r="L12" s="123">
        <v>1</v>
      </c>
      <c r="M12" s="15">
        <f t="shared" si="1"/>
        <v>24</v>
      </c>
      <c r="N12" s="123">
        <v>0</v>
      </c>
      <c r="O12" s="15">
        <f t="shared" si="2"/>
        <v>0</v>
      </c>
      <c r="P12" s="123">
        <v>0</v>
      </c>
      <c r="Q12" s="15">
        <f t="shared" si="3"/>
        <v>0</v>
      </c>
    </row>
    <row r="13" spans="1:17" ht="12.75">
      <c r="A13" s="7" t="s">
        <v>34</v>
      </c>
      <c r="B13" s="9">
        <v>8</v>
      </c>
      <c r="C13" s="8" t="s">
        <v>39</v>
      </c>
      <c r="D13" s="11">
        <f t="shared" si="4"/>
        <v>11</v>
      </c>
      <c r="E13" s="20">
        <f t="shared" si="5"/>
        <v>88</v>
      </c>
      <c r="F13" s="20"/>
      <c r="G13" s="123">
        <f t="shared" si="6"/>
        <v>1</v>
      </c>
      <c r="H13" s="123">
        <v>0</v>
      </c>
      <c r="I13" s="15">
        <f t="shared" si="7"/>
        <v>0</v>
      </c>
      <c r="J13" s="123">
        <v>0</v>
      </c>
      <c r="K13" s="15">
        <f t="shared" si="0"/>
        <v>0</v>
      </c>
      <c r="L13" s="123">
        <v>1</v>
      </c>
      <c r="M13" s="15">
        <f t="shared" si="1"/>
        <v>88</v>
      </c>
      <c r="N13" s="123">
        <v>0</v>
      </c>
      <c r="O13" s="15">
        <f t="shared" si="2"/>
        <v>0</v>
      </c>
      <c r="P13" s="123">
        <v>0</v>
      </c>
      <c r="Q13" s="15">
        <f t="shared" si="3"/>
        <v>0</v>
      </c>
    </row>
    <row r="14" spans="1:17" ht="12.75">
      <c r="A14" s="7" t="s">
        <v>61</v>
      </c>
      <c r="B14" s="9">
        <v>20</v>
      </c>
      <c r="C14" s="8" t="s">
        <v>39</v>
      </c>
      <c r="D14" s="11">
        <f t="shared" si="4"/>
        <v>1</v>
      </c>
      <c r="E14" s="20">
        <f t="shared" si="5"/>
        <v>20</v>
      </c>
      <c r="F14" s="20"/>
      <c r="G14" s="123">
        <f t="shared" si="6"/>
        <v>1</v>
      </c>
      <c r="H14" s="123">
        <v>0</v>
      </c>
      <c r="I14" s="15">
        <f t="shared" si="7"/>
        <v>0</v>
      </c>
      <c r="J14" s="123">
        <v>0</v>
      </c>
      <c r="K14" s="15">
        <f t="shared" si="0"/>
        <v>0</v>
      </c>
      <c r="L14" s="123">
        <v>1</v>
      </c>
      <c r="M14" s="15">
        <f t="shared" si="1"/>
        <v>20</v>
      </c>
      <c r="N14" s="123">
        <v>0</v>
      </c>
      <c r="O14" s="15">
        <f t="shared" si="2"/>
        <v>0</v>
      </c>
      <c r="P14" s="123">
        <v>0</v>
      </c>
      <c r="Q14" s="15">
        <f t="shared" si="3"/>
        <v>0</v>
      </c>
    </row>
    <row r="15" spans="1:17" ht="12.75">
      <c r="A15" s="7" t="s">
        <v>62</v>
      </c>
      <c r="B15" s="9">
        <v>0</v>
      </c>
      <c r="C15" s="8" t="s">
        <v>39</v>
      </c>
      <c r="D15" s="11">
        <f t="shared" si="4"/>
        <v>1</v>
      </c>
      <c r="E15" s="20">
        <f t="shared" si="5"/>
        <v>0</v>
      </c>
      <c r="F15" s="20"/>
      <c r="G15" s="123">
        <f t="shared" si="6"/>
        <v>1</v>
      </c>
      <c r="H15" s="123">
        <v>0</v>
      </c>
      <c r="I15" s="15">
        <f t="shared" si="7"/>
        <v>0</v>
      </c>
      <c r="J15" s="123">
        <v>0</v>
      </c>
      <c r="K15" s="15">
        <f t="shared" si="0"/>
        <v>0</v>
      </c>
      <c r="L15" s="123">
        <v>1</v>
      </c>
      <c r="M15" s="15">
        <f t="shared" si="1"/>
        <v>0</v>
      </c>
      <c r="N15" s="123">
        <v>0</v>
      </c>
      <c r="O15" s="15">
        <f t="shared" si="2"/>
        <v>0</v>
      </c>
      <c r="P15" s="123">
        <v>0</v>
      </c>
      <c r="Q15" s="15">
        <f t="shared" si="3"/>
        <v>0</v>
      </c>
    </row>
    <row r="16" spans="1:17" ht="12.75">
      <c r="A16" s="7" t="s">
        <v>63</v>
      </c>
      <c r="B16" s="9">
        <v>20</v>
      </c>
      <c r="C16" s="8" t="s">
        <v>39</v>
      </c>
      <c r="D16" s="11">
        <f t="shared" si="4"/>
        <v>1</v>
      </c>
      <c r="E16" s="20">
        <f t="shared" si="5"/>
        <v>20</v>
      </c>
      <c r="F16" s="20"/>
      <c r="G16" s="123">
        <f t="shared" si="6"/>
        <v>1</v>
      </c>
      <c r="H16" s="123">
        <v>0</v>
      </c>
      <c r="I16" s="15">
        <f t="shared" si="7"/>
        <v>0</v>
      </c>
      <c r="J16" s="123">
        <v>0</v>
      </c>
      <c r="K16" s="15">
        <f t="shared" si="0"/>
        <v>0</v>
      </c>
      <c r="L16" s="123">
        <v>1</v>
      </c>
      <c r="M16" s="15">
        <f t="shared" si="1"/>
        <v>20</v>
      </c>
      <c r="N16" s="123">
        <v>0</v>
      </c>
      <c r="O16" s="15">
        <f t="shared" si="2"/>
        <v>0</v>
      </c>
      <c r="P16" s="123">
        <v>0</v>
      </c>
      <c r="Q16" s="15">
        <f t="shared" si="3"/>
        <v>0</v>
      </c>
    </row>
    <row r="17" spans="1:17" ht="15">
      <c r="A17" s="7" t="s">
        <v>65</v>
      </c>
      <c r="B17" s="9">
        <v>40</v>
      </c>
      <c r="C17" s="8" t="s">
        <v>40</v>
      </c>
      <c r="D17" s="11">
        <f t="shared" si="4"/>
        <v>1</v>
      </c>
      <c r="E17" s="20">
        <f t="shared" si="5"/>
        <v>40</v>
      </c>
      <c r="F17" s="20"/>
      <c r="G17" s="123">
        <f t="shared" si="6"/>
        <v>1</v>
      </c>
      <c r="H17" s="123">
        <v>0</v>
      </c>
      <c r="I17" s="15">
        <f t="shared" si="7"/>
        <v>0</v>
      </c>
      <c r="J17" s="123">
        <v>0</v>
      </c>
      <c r="K17" s="15">
        <f t="shared" si="0"/>
        <v>0</v>
      </c>
      <c r="L17" s="123">
        <v>1</v>
      </c>
      <c r="M17" s="131">
        <v>40</v>
      </c>
      <c r="N17" s="123">
        <v>0</v>
      </c>
      <c r="O17" s="15">
        <f t="shared" si="2"/>
        <v>0</v>
      </c>
      <c r="P17" s="123">
        <v>0</v>
      </c>
      <c r="Q17" s="15">
        <f t="shared" si="3"/>
        <v>0</v>
      </c>
    </row>
    <row r="18" spans="1:17" ht="12.75">
      <c r="A18" s="7" t="s">
        <v>66</v>
      </c>
      <c r="B18" s="9">
        <v>40</v>
      </c>
      <c r="C18" s="8" t="s">
        <v>40</v>
      </c>
      <c r="D18" s="11">
        <f t="shared" si="4"/>
        <v>1</v>
      </c>
      <c r="E18" s="20">
        <f t="shared" si="5"/>
        <v>40</v>
      </c>
      <c r="F18" s="20"/>
      <c r="G18" s="123">
        <f t="shared" si="6"/>
        <v>1</v>
      </c>
      <c r="H18" s="123">
        <v>0</v>
      </c>
      <c r="I18" s="15">
        <f t="shared" si="7"/>
        <v>0</v>
      </c>
      <c r="J18" s="123">
        <v>0</v>
      </c>
      <c r="K18" s="15">
        <f t="shared" si="0"/>
        <v>0</v>
      </c>
      <c r="L18" s="123">
        <v>1</v>
      </c>
      <c r="M18" s="15">
        <f t="shared" si="1"/>
        <v>40</v>
      </c>
      <c r="N18" s="123">
        <v>0</v>
      </c>
      <c r="O18" s="15">
        <f t="shared" si="2"/>
        <v>0</v>
      </c>
      <c r="P18" s="123">
        <v>0</v>
      </c>
      <c r="Q18" s="15">
        <f t="shared" si="3"/>
        <v>0</v>
      </c>
    </row>
    <row r="19" spans="1:17" ht="25.5">
      <c r="A19" s="7" t="s">
        <v>130</v>
      </c>
      <c r="B19" s="9">
        <v>160</v>
      </c>
      <c r="C19" s="8" t="s">
        <v>40</v>
      </c>
      <c r="D19" s="11">
        <f t="shared" si="4"/>
        <v>0</v>
      </c>
      <c r="E19" s="20">
        <f t="shared" si="5"/>
        <v>0</v>
      </c>
      <c r="F19" s="20"/>
      <c r="G19" s="123">
        <f t="shared" si="6"/>
        <v>1</v>
      </c>
      <c r="H19" s="123">
        <v>0</v>
      </c>
      <c r="I19" s="15">
        <f t="shared" si="7"/>
        <v>0</v>
      </c>
      <c r="J19" s="123">
        <v>0</v>
      </c>
      <c r="K19" s="15">
        <f t="shared" si="0"/>
        <v>0</v>
      </c>
      <c r="L19" s="123">
        <v>0</v>
      </c>
      <c r="M19" s="15">
        <f t="shared" si="1"/>
        <v>0</v>
      </c>
      <c r="N19" s="123">
        <v>1</v>
      </c>
      <c r="O19" s="15">
        <f t="shared" si="2"/>
        <v>0</v>
      </c>
      <c r="P19" s="123">
        <v>0</v>
      </c>
      <c r="Q19" s="15">
        <f t="shared" si="3"/>
        <v>0</v>
      </c>
    </row>
    <row r="20" spans="1:17" ht="15">
      <c r="A20" s="130" t="s">
        <v>256</v>
      </c>
      <c r="B20" s="9">
        <v>160</v>
      </c>
      <c r="C20" s="8" t="s">
        <v>41</v>
      </c>
      <c r="D20" s="11">
        <f t="shared" si="4"/>
        <v>2</v>
      </c>
      <c r="E20" s="20">
        <f t="shared" si="5"/>
        <v>320</v>
      </c>
      <c r="F20" s="20"/>
      <c r="G20" s="123">
        <f t="shared" si="6"/>
        <v>1</v>
      </c>
      <c r="H20" s="123">
        <v>0.75</v>
      </c>
      <c r="I20" s="15">
        <v>0</v>
      </c>
      <c r="J20" s="123">
        <v>0</v>
      </c>
      <c r="K20" s="15">
        <f t="shared" si="0"/>
        <v>0</v>
      </c>
      <c r="L20" s="123">
        <v>0.25</v>
      </c>
      <c r="M20" s="131">
        <f t="shared" si="1"/>
        <v>80</v>
      </c>
      <c r="N20" s="123">
        <v>0</v>
      </c>
      <c r="O20" s="15">
        <f t="shared" si="2"/>
        <v>0</v>
      </c>
      <c r="P20" s="123">
        <v>0</v>
      </c>
      <c r="Q20" s="15">
        <f t="shared" si="3"/>
        <v>0</v>
      </c>
    </row>
    <row r="21" spans="1:17" ht="25.5">
      <c r="A21" s="7" t="s">
        <v>67</v>
      </c>
      <c r="B21" s="9">
        <v>80</v>
      </c>
      <c r="C21" s="8" t="s">
        <v>68</v>
      </c>
      <c r="D21" s="11">
        <f t="shared" si="4"/>
        <v>2</v>
      </c>
      <c r="E21" s="20">
        <f t="shared" si="5"/>
        <v>160</v>
      </c>
      <c r="F21" s="20"/>
      <c r="G21" s="123">
        <f t="shared" si="6"/>
        <v>1</v>
      </c>
      <c r="H21" s="123">
        <v>0</v>
      </c>
      <c r="I21" s="15">
        <f t="shared" si="7"/>
        <v>0</v>
      </c>
      <c r="J21" s="123">
        <v>0</v>
      </c>
      <c r="K21" s="15">
        <f t="shared" si="0"/>
        <v>0</v>
      </c>
      <c r="L21" s="123">
        <v>1</v>
      </c>
      <c r="M21" s="15">
        <f t="shared" si="1"/>
        <v>160</v>
      </c>
      <c r="N21" s="123">
        <v>0</v>
      </c>
      <c r="O21" s="15">
        <f t="shared" si="2"/>
        <v>0</v>
      </c>
      <c r="P21" s="123">
        <v>0</v>
      </c>
      <c r="Q21" s="15">
        <f t="shared" si="3"/>
        <v>0</v>
      </c>
    </row>
    <row r="22" spans="1:17" ht="12.75">
      <c r="A22" s="7" t="s">
        <v>69</v>
      </c>
      <c r="B22" s="13">
        <v>0.1</v>
      </c>
      <c r="C22" s="8" t="s">
        <v>70</v>
      </c>
      <c r="D22" s="11">
        <f>SUM(E10:E21)</f>
        <v>960</v>
      </c>
      <c r="E22" s="20">
        <f t="shared" si="5"/>
        <v>96</v>
      </c>
      <c r="F22" s="20"/>
      <c r="G22" s="123">
        <f t="shared" si="6"/>
        <v>1</v>
      </c>
      <c r="H22" s="123">
        <v>0</v>
      </c>
      <c r="I22" s="15">
        <f t="shared" si="7"/>
        <v>0</v>
      </c>
      <c r="J22" s="123">
        <v>0</v>
      </c>
      <c r="K22" s="15">
        <f t="shared" si="0"/>
        <v>0</v>
      </c>
      <c r="L22" s="123">
        <v>1</v>
      </c>
      <c r="M22" s="15">
        <f t="shared" si="1"/>
        <v>96</v>
      </c>
      <c r="N22" s="123">
        <v>0</v>
      </c>
      <c r="O22" s="15">
        <f t="shared" si="2"/>
        <v>0</v>
      </c>
      <c r="P22" s="123">
        <v>0</v>
      </c>
      <c r="Q22" s="15">
        <f t="shared" si="3"/>
        <v>0</v>
      </c>
    </row>
    <row r="23" spans="5:7" ht="12.75">
      <c r="E23" s="20"/>
      <c r="F23" s="20"/>
      <c r="G23" s="122"/>
    </row>
    <row r="24" spans="1:20" ht="12.75">
      <c r="A24" s="12" t="s">
        <v>51</v>
      </c>
      <c r="E24" s="21">
        <f>SUM(E10:E23)</f>
        <v>1056</v>
      </c>
      <c r="F24" s="21"/>
      <c r="G24" s="124"/>
      <c r="H24" s="21"/>
      <c r="I24" s="21">
        <f>SUM(I10:I23)</f>
        <v>0</v>
      </c>
      <c r="J24" s="21"/>
      <c r="K24" s="21">
        <f>SUM(K10:K23)</f>
        <v>0</v>
      </c>
      <c r="L24" s="21"/>
      <c r="M24" s="21">
        <f>SUM(M10:M23)</f>
        <v>816</v>
      </c>
      <c r="N24" s="21"/>
      <c r="O24" s="21">
        <f>SUM(O10:O23)</f>
        <v>0</v>
      </c>
      <c r="P24" s="21"/>
      <c r="Q24" s="21">
        <f>SUM(Q10:Q23)</f>
        <v>0</v>
      </c>
      <c r="T24">
        <f>SUM(M24,O34)*171.9</f>
        <v>155466.36000000002</v>
      </c>
    </row>
    <row r="25" spans="1:20" ht="12.75">
      <c r="A25" s="12"/>
      <c r="E25" s="21"/>
      <c r="F25" s="21"/>
      <c r="G25" s="122"/>
      <c r="I25" s="12"/>
      <c r="K25" s="12"/>
      <c r="M25" s="12"/>
      <c r="O25" s="12"/>
      <c r="Q25" s="12"/>
      <c r="T25">
        <f>SUM(I34)*189.37</f>
        <v>16588.811999999998</v>
      </c>
    </row>
    <row r="26" spans="1:20" ht="25.5" customHeight="1">
      <c r="A26" s="12"/>
      <c r="E26" s="21"/>
      <c r="F26" s="21"/>
      <c r="G26" s="121" t="s">
        <v>73</v>
      </c>
      <c r="H26" s="165" t="s">
        <v>255</v>
      </c>
      <c r="I26" s="165"/>
      <c r="J26" s="165" t="s">
        <v>7</v>
      </c>
      <c r="K26" s="165"/>
      <c r="L26" s="165" t="s">
        <v>8</v>
      </c>
      <c r="M26" s="165"/>
      <c r="N26" s="165" t="s">
        <v>9</v>
      </c>
      <c r="O26" s="165"/>
      <c r="Q26" s="12"/>
      <c r="T26" s="159">
        <f>SUM(T24:T25)</f>
        <v>172055.17200000002</v>
      </c>
    </row>
    <row r="27" spans="1:15" ht="12.75">
      <c r="A27" s="1" t="s">
        <v>46</v>
      </c>
      <c r="G27" s="122"/>
      <c r="H27" s="125" t="s">
        <v>72</v>
      </c>
      <c r="I27" s="8" t="s">
        <v>44</v>
      </c>
      <c r="J27" s="125" t="s">
        <v>72</v>
      </c>
      <c r="K27" s="8" t="s">
        <v>44</v>
      </c>
      <c r="L27" s="125" t="s">
        <v>72</v>
      </c>
      <c r="M27" s="8" t="s">
        <v>44</v>
      </c>
      <c r="N27" s="125" t="s">
        <v>72</v>
      </c>
      <c r="O27" s="8" t="s">
        <v>44</v>
      </c>
    </row>
    <row r="28" spans="1:15" ht="12.75">
      <c r="A28" s="1"/>
      <c r="G28" s="122"/>
      <c r="H28" s="125"/>
      <c r="I28" s="8"/>
      <c r="J28" s="125"/>
      <c r="K28" s="8"/>
      <c r="L28" s="125"/>
      <c r="M28" s="8"/>
      <c r="N28" s="125"/>
      <c r="O28" s="8"/>
    </row>
    <row r="29" spans="1:17" ht="12.75">
      <c r="A29" s="7" t="s">
        <v>48</v>
      </c>
      <c r="B29" s="9">
        <v>0</v>
      </c>
      <c r="C29" s="8" t="s">
        <v>42</v>
      </c>
      <c r="D29" s="11">
        <f>C40</f>
        <v>12</v>
      </c>
      <c r="E29">
        <f>D29*$B29</f>
        <v>0</v>
      </c>
      <c r="G29" s="123">
        <f>H29+J29+L29+N29+P29</f>
        <v>1</v>
      </c>
      <c r="H29" s="123">
        <v>0.5</v>
      </c>
      <c r="I29" s="15">
        <f>$E29*H29</f>
        <v>0</v>
      </c>
      <c r="J29" s="123">
        <v>0</v>
      </c>
      <c r="K29" s="15">
        <f>$E29*J29</f>
        <v>0</v>
      </c>
      <c r="L29" s="123">
        <v>0</v>
      </c>
      <c r="M29" s="15">
        <f>$E29*L29</f>
        <v>0</v>
      </c>
      <c r="N29" s="123">
        <v>0.5</v>
      </c>
      <c r="O29" s="15">
        <f>$E29*N29</f>
        <v>0</v>
      </c>
      <c r="P29" s="16"/>
      <c r="Q29" s="15"/>
    </row>
    <row r="30" spans="1:17" ht="25.5">
      <c r="A30" s="7" t="s">
        <v>49</v>
      </c>
      <c r="B30" s="9">
        <v>1</v>
      </c>
      <c r="C30" s="8" t="s">
        <v>42</v>
      </c>
      <c r="D30" s="11">
        <f>SUM(C40:C42)</f>
        <v>38</v>
      </c>
      <c r="E30">
        <f>D30*$B30</f>
        <v>38</v>
      </c>
      <c r="G30" s="123">
        <f>H30+J30+L30+N30+P30</f>
        <v>1</v>
      </c>
      <c r="H30" s="123">
        <v>0.2</v>
      </c>
      <c r="I30" s="15">
        <f>$E30*H30</f>
        <v>7.6000000000000005</v>
      </c>
      <c r="J30" s="123">
        <v>0</v>
      </c>
      <c r="K30" s="15">
        <f>$E30*J30</f>
        <v>0</v>
      </c>
      <c r="L30" s="123">
        <v>0</v>
      </c>
      <c r="M30" s="15">
        <f>$E30*L30</f>
        <v>0</v>
      </c>
      <c r="N30" s="123">
        <v>0.8</v>
      </c>
      <c r="O30" s="15">
        <f>$E30*N30</f>
        <v>30.400000000000002</v>
      </c>
      <c r="P30" s="16"/>
      <c r="Q30" s="15"/>
    </row>
    <row r="31" spans="1:17" ht="12.75">
      <c r="A31" t="s">
        <v>47</v>
      </c>
      <c r="B31" s="9">
        <v>2</v>
      </c>
      <c r="C31" s="8" t="s">
        <v>39</v>
      </c>
      <c r="D31" s="11">
        <f>D11+D12+D13+D14</f>
        <v>29</v>
      </c>
      <c r="E31">
        <f>D31*$B31</f>
        <v>58</v>
      </c>
      <c r="G31" s="123">
        <f>H31+J31+L31+N31+P31</f>
        <v>1</v>
      </c>
      <c r="H31" s="123">
        <v>0</v>
      </c>
      <c r="I31" s="15">
        <f>$E31*H31</f>
        <v>0</v>
      </c>
      <c r="J31" s="123">
        <v>0</v>
      </c>
      <c r="K31" s="15">
        <f>$E31*J31</f>
        <v>0</v>
      </c>
      <c r="L31" s="123">
        <v>0</v>
      </c>
      <c r="M31" s="15">
        <f>$E31*L31</f>
        <v>0</v>
      </c>
      <c r="N31" s="123">
        <v>1</v>
      </c>
      <c r="O31" s="15">
        <f>$E31*N31</f>
        <v>58</v>
      </c>
      <c r="P31" s="16"/>
      <c r="Q31" s="15"/>
    </row>
    <row r="32" spans="1:17" ht="15">
      <c r="A32" s="130" t="s">
        <v>254</v>
      </c>
      <c r="B32" s="9"/>
      <c r="C32" s="8"/>
      <c r="D32" s="8"/>
      <c r="G32" s="123"/>
      <c r="H32" s="16"/>
      <c r="I32" s="131">
        <v>80</v>
      </c>
      <c r="J32" s="16"/>
      <c r="K32" s="15"/>
      <c r="L32" s="16"/>
      <c r="M32" s="15"/>
      <c r="N32" s="16"/>
      <c r="O32" s="15"/>
      <c r="P32" s="16"/>
      <c r="Q32" s="15"/>
    </row>
    <row r="33" ht="12.75">
      <c r="G33" s="122"/>
    </row>
    <row r="34" spans="1:17" ht="12.75">
      <c r="A34" s="12" t="s">
        <v>51</v>
      </c>
      <c r="E34" s="21">
        <f>SUM(E29:E33)</f>
        <v>96</v>
      </c>
      <c r="F34" s="21"/>
      <c r="G34" s="124"/>
      <c r="H34" s="21"/>
      <c r="I34" s="21">
        <f>SUM(I29:I33)</f>
        <v>87.6</v>
      </c>
      <c r="J34" s="21"/>
      <c r="K34" s="21">
        <f>SUM(K29:K33)</f>
        <v>0</v>
      </c>
      <c r="L34" s="21"/>
      <c r="M34" s="21">
        <f>SUM(M29:M33)</f>
        <v>0</v>
      </c>
      <c r="N34" s="21"/>
      <c r="O34" s="21">
        <f>SUM(O29:O33)</f>
        <v>88.4</v>
      </c>
      <c r="Q34" s="12"/>
    </row>
    <row r="35" ht="12.75" hidden="1"/>
    <row r="36" ht="12.75" hidden="1"/>
    <row r="37" spans="1:4" ht="25.5" hidden="1">
      <c r="A37" s="1" t="s">
        <v>53</v>
      </c>
      <c r="B37" s="10" t="s">
        <v>58</v>
      </c>
      <c r="C37" s="2" t="s">
        <v>60</v>
      </c>
      <c r="D37" s="10" t="s">
        <v>59</v>
      </c>
    </row>
    <row r="38" spans="1:14" ht="12.75" hidden="1">
      <c r="A38" t="s">
        <v>131</v>
      </c>
      <c r="B38" s="17">
        <f>D38-C38*7</f>
        <v>38691</v>
      </c>
      <c r="C38" s="9">
        <v>6</v>
      </c>
      <c r="D38" s="18">
        <f>B39</f>
        <v>38733</v>
      </c>
      <c r="K38" s="165"/>
      <c r="L38" s="165"/>
      <c r="M38" s="165"/>
      <c r="N38" s="165"/>
    </row>
    <row r="39" spans="1:4" ht="12.75" hidden="1">
      <c r="A39" t="s">
        <v>54</v>
      </c>
      <c r="B39" s="18">
        <f>D39-C39*7</f>
        <v>38733</v>
      </c>
      <c r="C39" s="9">
        <v>12</v>
      </c>
      <c r="D39" s="18">
        <f>B40</f>
        <v>38817</v>
      </c>
    </row>
    <row r="40" spans="1:4" ht="12.75" hidden="1">
      <c r="A40" t="s">
        <v>55</v>
      </c>
      <c r="B40" s="18">
        <f>D40-C40*7</f>
        <v>38817</v>
      </c>
      <c r="C40" s="9">
        <v>12</v>
      </c>
      <c r="D40" s="18">
        <f>B41</f>
        <v>38901</v>
      </c>
    </row>
    <row r="41" spans="1:4" ht="12.75" hidden="1">
      <c r="A41" t="s">
        <v>57</v>
      </c>
      <c r="B41" s="18">
        <f>D41-C41*7</f>
        <v>38901</v>
      </c>
      <c r="C41" s="9">
        <v>0</v>
      </c>
      <c r="D41" s="18">
        <f>B42</f>
        <v>38901</v>
      </c>
    </row>
    <row r="42" spans="1:4" ht="12.75" hidden="1">
      <c r="A42" t="s">
        <v>56</v>
      </c>
      <c r="B42" s="18">
        <f>D42-C42*7</f>
        <v>38901</v>
      </c>
      <c r="C42" s="9">
        <v>26</v>
      </c>
      <c r="D42" s="19">
        <v>39083</v>
      </c>
    </row>
    <row r="43" ht="12.75" hidden="1"/>
    <row r="44" ht="12.75" hidden="1"/>
    <row r="46" ht="12.75">
      <c r="A46" s="1" t="s">
        <v>75</v>
      </c>
    </row>
    <row r="48" ht="12.75">
      <c r="A48" s="1" t="s">
        <v>229</v>
      </c>
    </row>
    <row r="49" spans="2:11" ht="76.5" customHeight="1">
      <c r="B49" t="s">
        <v>132</v>
      </c>
      <c r="C49" s="63" t="s">
        <v>151</v>
      </c>
      <c r="D49" s="63" t="s">
        <v>146</v>
      </c>
      <c r="E49" s="160" t="s">
        <v>152</v>
      </c>
      <c r="F49" s="160"/>
      <c r="G49" s="63" t="s">
        <v>170</v>
      </c>
      <c r="H49" s="63" t="s">
        <v>174</v>
      </c>
      <c r="I49" s="63"/>
      <c r="J49" s="62"/>
      <c r="K49" s="62"/>
    </row>
    <row r="50" spans="1:9" ht="12.75">
      <c r="A50" t="s">
        <v>31</v>
      </c>
      <c r="B50">
        <f>C50+D50+E50+G50+H50</f>
        <v>33</v>
      </c>
      <c r="C50">
        <v>10</v>
      </c>
      <c r="D50">
        <v>13</v>
      </c>
      <c r="E50">
        <v>2</v>
      </c>
      <c r="G50">
        <v>6</v>
      </c>
      <c r="H50">
        <v>2</v>
      </c>
      <c r="I50" t="s">
        <v>176</v>
      </c>
    </row>
    <row r="51" spans="1:8" ht="12.75">
      <c r="A51" t="s">
        <v>32</v>
      </c>
      <c r="B51">
        <f>C51+D51+E51+G51+H51</f>
        <v>5</v>
      </c>
      <c r="C51">
        <v>1</v>
      </c>
      <c r="D51">
        <v>1</v>
      </c>
      <c r="E51">
        <v>1</v>
      </c>
      <c r="G51">
        <v>1</v>
      </c>
      <c r="H51">
        <v>1</v>
      </c>
    </row>
    <row r="52" spans="1:9" ht="12.75">
      <c r="A52" t="s">
        <v>33</v>
      </c>
      <c r="B52">
        <f>C52+D52+E52+G52+H52</f>
        <v>6</v>
      </c>
      <c r="C52">
        <v>0</v>
      </c>
      <c r="D52">
        <v>0</v>
      </c>
      <c r="E52">
        <v>0</v>
      </c>
      <c r="G52">
        <v>4</v>
      </c>
      <c r="H52">
        <v>2</v>
      </c>
      <c r="I52" t="s">
        <v>175</v>
      </c>
    </row>
    <row r="53" spans="1:9" ht="12.75">
      <c r="A53" t="s">
        <v>34</v>
      </c>
      <c r="B53">
        <f aca="true" t="shared" si="8" ref="B53:B59">C53+D53+E53+G53</f>
        <v>4</v>
      </c>
      <c r="C53">
        <v>1</v>
      </c>
      <c r="D53">
        <v>1</v>
      </c>
      <c r="E53">
        <v>1</v>
      </c>
      <c r="G53">
        <v>1</v>
      </c>
      <c r="I53" t="s">
        <v>153</v>
      </c>
    </row>
    <row r="54" spans="1:2" ht="12.75">
      <c r="A54" t="s">
        <v>61</v>
      </c>
      <c r="B54">
        <f t="shared" si="8"/>
        <v>0</v>
      </c>
    </row>
    <row r="55" spans="1:2" ht="12.75">
      <c r="A55" t="s">
        <v>62</v>
      </c>
      <c r="B55">
        <f t="shared" si="8"/>
        <v>0</v>
      </c>
    </row>
    <row r="56" spans="1:2" ht="12.75">
      <c r="A56" t="s">
        <v>63</v>
      </c>
      <c r="B56">
        <f t="shared" si="8"/>
        <v>0</v>
      </c>
    </row>
    <row r="57" spans="1:2" ht="12.75">
      <c r="A57" s="7" t="s">
        <v>65</v>
      </c>
      <c r="B57">
        <v>1</v>
      </c>
    </row>
    <row r="58" spans="1:9" ht="12.75">
      <c r="A58" s="7" t="s">
        <v>66</v>
      </c>
      <c r="B58">
        <v>1</v>
      </c>
      <c r="C58">
        <v>1</v>
      </c>
      <c r="I58" t="s">
        <v>171</v>
      </c>
    </row>
    <row r="59" spans="1:2" ht="12.75">
      <c r="A59" t="s">
        <v>64</v>
      </c>
      <c r="B59">
        <f t="shared" si="8"/>
        <v>0</v>
      </c>
    </row>
    <row r="60" spans="1:9" ht="12.75">
      <c r="A60" t="s">
        <v>71</v>
      </c>
      <c r="B60">
        <v>1</v>
      </c>
      <c r="I60" t="s">
        <v>173</v>
      </c>
    </row>
    <row r="61" spans="1:9" ht="12.75">
      <c r="A61" t="s">
        <v>67</v>
      </c>
      <c r="B61">
        <v>1</v>
      </c>
      <c r="I61" t="s">
        <v>172</v>
      </c>
    </row>
    <row r="62" spans="1:2" ht="12.75">
      <c r="A62" t="s">
        <v>69</v>
      </c>
      <c r="B62" s="14">
        <v>0.15</v>
      </c>
    </row>
    <row r="65" ht="12.75">
      <c r="A65" s="1" t="s">
        <v>230</v>
      </c>
    </row>
    <row r="66" spans="2:11" ht="12.75">
      <c r="B66" t="s">
        <v>132</v>
      </c>
      <c r="C66" s="63"/>
      <c r="D66" s="63"/>
      <c r="E66" s="160"/>
      <c r="F66" s="160"/>
      <c r="G66" s="63"/>
      <c r="H66" s="63"/>
      <c r="I66" s="63"/>
      <c r="J66" s="62"/>
      <c r="K66" s="62"/>
    </row>
    <row r="67" spans="1:4" ht="12.75">
      <c r="A67" t="s">
        <v>31</v>
      </c>
      <c r="B67">
        <v>6</v>
      </c>
      <c r="D67" t="s">
        <v>231</v>
      </c>
    </row>
    <row r="68" spans="1:2" ht="12.75">
      <c r="A68" t="s">
        <v>32</v>
      </c>
      <c r="B68">
        <v>6</v>
      </c>
    </row>
    <row r="69" spans="1:2" ht="12.75">
      <c r="A69" t="s">
        <v>33</v>
      </c>
      <c r="B69">
        <v>0</v>
      </c>
    </row>
    <row r="70" spans="1:2" ht="12.75">
      <c r="A70" t="s">
        <v>34</v>
      </c>
      <c r="B70">
        <v>6</v>
      </c>
    </row>
    <row r="71" spans="1:4" ht="12.75">
      <c r="A71" t="s">
        <v>61</v>
      </c>
      <c r="B71">
        <v>1</v>
      </c>
      <c r="D71" t="s">
        <v>232</v>
      </c>
    </row>
    <row r="72" spans="1:4" ht="12.75">
      <c r="A72" t="s">
        <v>62</v>
      </c>
      <c r="B72">
        <v>1</v>
      </c>
      <c r="D72" t="s">
        <v>233</v>
      </c>
    </row>
    <row r="73" spans="1:2" ht="12.75">
      <c r="A73" t="s">
        <v>63</v>
      </c>
      <c r="B73">
        <f>C73+D73</f>
        <v>0</v>
      </c>
    </row>
    <row r="74" spans="1:2" ht="12.75">
      <c r="A74" s="7" t="s">
        <v>65</v>
      </c>
      <c r="B74">
        <f>C74+D74</f>
        <v>0</v>
      </c>
    </row>
    <row r="75" spans="1:2" ht="12.75">
      <c r="A75" s="7" t="s">
        <v>66</v>
      </c>
      <c r="B75">
        <f>C75+D75</f>
        <v>0</v>
      </c>
    </row>
    <row r="76" spans="1:2" ht="12.75">
      <c r="A76" t="s">
        <v>64</v>
      </c>
      <c r="B76">
        <f>C76+D76</f>
        <v>0</v>
      </c>
    </row>
    <row r="77" spans="1:4" ht="12.75">
      <c r="A77" t="s">
        <v>71</v>
      </c>
      <c r="B77">
        <v>1</v>
      </c>
      <c r="D77" t="s">
        <v>234</v>
      </c>
    </row>
    <row r="78" spans="1:4" ht="12.75">
      <c r="A78" t="s">
        <v>67</v>
      </c>
      <c r="B78">
        <v>0</v>
      </c>
      <c r="D78" t="s">
        <v>235</v>
      </c>
    </row>
    <row r="79" spans="1:2" ht="12.75">
      <c r="A79" t="s">
        <v>69</v>
      </c>
      <c r="B79" s="14">
        <v>0.1</v>
      </c>
    </row>
    <row r="81" ht="12.75">
      <c r="A81" s="1" t="s">
        <v>236</v>
      </c>
    </row>
    <row r="82" spans="1:2" ht="12.75">
      <c r="A82" t="s">
        <v>31</v>
      </c>
      <c r="B82">
        <v>1</v>
      </c>
    </row>
    <row r="83" spans="1:2" ht="12.75">
      <c r="A83" t="s">
        <v>32</v>
      </c>
      <c r="B83">
        <v>0</v>
      </c>
    </row>
    <row r="84" spans="1:2" ht="12.75">
      <c r="A84" t="s">
        <v>33</v>
      </c>
      <c r="B84">
        <v>0</v>
      </c>
    </row>
    <row r="85" spans="1:2" ht="12.75">
      <c r="A85" t="s">
        <v>34</v>
      </c>
      <c r="B85">
        <v>1</v>
      </c>
    </row>
    <row r="86" spans="1:2" ht="12.75">
      <c r="A86" t="s">
        <v>61</v>
      </c>
      <c r="B86">
        <v>0</v>
      </c>
    </row>
    <row r="87" spans="1:2" ht="12.75">
      <c r="A87" t="s">
        <v>62</v>
      </c>
      <c r="B87">
        <v>0</v>
      </c>
    </row>
    <row r="88" spans="1:2" ht="12.75">
      <c r="A88" t="s">
        <v>63</v>
      </c>
      <c r="B88">
        <v>1</v>
      </c>
    </row>
    <row r="89" spans="1:2" ht="12.75">
      <c r="A89" s="7" t="s">
        <v>65</v>
      </c>
      <c r="B89">
        <v>0</v>
      </c>
    </row>
    <row r="90" spans="1:2" ht="12.75">
      <c r="A90" s="7" t="s">
        <v>66</v>
      </c>
      <c r="B90">
        <v>0</v>
      </c>
    </row>
    <row r="91" spans="1:2" ht="12.75">
      <c r="A91" t="s">
        <v>64</v>
      </c>
      <c r="B91">
        <v>0</v>
      </c>
    </row>
    <row r="92" spans="1:2" ht="12.75">
      <c r="A92" t="s">
        <v>71</v>
      </c>
      <c r="B92">
        <v>0</v>
      </c>
    </row>
    <row r="93" spans="1:2" ht="12.75">
      <c r="A93" t="s">
        <v>67</v>
      </c>
      <c r="B93">
        <v>1</v>
      </c>
    </row>
    <row r="94" spans="1:2" ht="12.75">
      <c r="A94" t="s">
        <v>69</v>
      </c>
      <c r="B94" s="14">
        <v>0.1</v>
      </c>
    </row>
    <row r="96" ht="12.75">
      <c r="A96" t="s">
        <v>252</v>
      </c>
    </row>
    <row r="97" spans="1:13" ht="12.75">
      <c r="A97" s="161" t="s">
        <v>250</v>
      </c>
      <c r="B97" s="161"/>
      <c r="C97" s="161"/>
      <c r="D97" s="161"/>
      <c r="E97" s="161"/>
      <c r="F97" s="161"/>
      <c r="G97" s="161"/>
      <c r="H97" s="161"/>
      <c r="I97" s="161"/>
      <c r="J97" s="161"/>
      <c r="K97" s="161"/>
      <c r="L97" s="161"/>
      <c r="M97" s="161"/>
    </row>
    <row r="98" spans="1:13" ht="12.75">
      <c r="A98" s="161"/>
      <c r="B98" s="161"/>
      <c r="C98" s="161"/>
      <c r="D98" s="161"/>
      <c r="E98" s="161"/>
      <c r="F98" s="161"/>
      <c r="G98" s="161"/>
      <c r="H98" s="161"/>
      <c r="I98" s="161"/>
      <c r="J98" s="161"/>
      <c r="K98" s="161"/>
      <c r="L98" s="161"/>
      <c r="M98" s="161"/>
    </row>
    <row r="99" ht="12.75">
      <c r="A99" t="s">
        <v>251</v>
      </c>
    </row>
  </sheetData>
  <mergeCells count="17">
    <mergeCell ref="E49:F49"/>
    <mergeCell ref="K38:L38"/>
    <mergeCell ref="M38:N38"/>
    <mergeCell ref="J26:K26"/>
    <mergeCell ref="L26:M26"/>
    <mergeCell ref="N26:O26"/>
    <mergeCell ref="H26:I26"/>
    <mergeCell ref="E66:F66"/>
    <mergeCell ref="A97:M98"/>
    <mergeCell ref="E8:F8"/>
    <mergeCell ref="A6:F7"/>
    <mergeCell ref="G6:Q6"/>
    <mergeCell ref="N7:O7"/>
    <mergeCell ref="P7:Q7"/>
    <mergeCell ref="H7:I7"/>
    <mergeCell ref="J7:K7"/>
    <mergeCell ref="L7:M7"/>
  </mergeCells>
  <printOptions gridLines="1"/>
  <pageMargins left="0.17" right="0.17" top="0.71" bottom="0.37" header="0.5" footer="0.17"/>
  <pageSetup fitToHeight="1" fitToWidth="1" horizontalDpi="300" verticalDpi="300" orientation="portrait" scale="79" r:id="rId1"/>
  <headerFooter alignWithMargins="0">
    <oddHeader xml:space="preserve">&amp;C&amp;"Arial,Bold"&amp;14NCSX Fabrication Project Cost and Schedule  </oddHeader>
    <oddFooter>&amp;L&amp;F&amp;C&amp;"Arial,Bold"&amp;A    page &amp;P of &amp;N&amp;R&amp;D    &amp;T</oddFooter>
  </headerFooter>
  <rowBreaks count="2" manualBreakCount="2">
    <brk id="25" max="16" man="1"/>
    <brk id="44" max="16" man="1"/>
  </rowBreaks>
</worksheet>
</file>

<file path=xl/worksheets/sheet3.xml><?xml version="1.0" encoding="utf-8"?>
<worksheet xmlns="http://schemas.openxmlformats.org/spreadsheetml/2006/main" xmlns:r="http://schemas.openxmlformats.org/officeDocument/2006/relationships">
  <sheetPr>
    <pageSetUpPr fitToPage="1"/>
  </sheetPr>
  <dimension ref="A1:Z147"/>
  <sheetViews>
    <sheetView zoomScale="75" zoomScaleNormal="75" workbookViewId="0" topLeftCell="A1">
      <selection activeCell="A2" sqref="A2"/>
    </sheetView>
  </sheetViews>
  <sheetFormatPr defaultColWidth="9.140625" defaultRowHeight="12.75"/>
  <cols>
    <col min="1" max="1" width="45.57421875" style="0" customWidth="1"/>
    <col min="2" max="2" width="18.00390625" style="0" customWidth="1"/>
    <col min="4" max="4" width="10.421875" style="0" bestFit="1" customWidth="1"/>
    <col min="5" max="5" width="8.7109375" style="0" customWidth="1"/>
    <col min="6" max="6" width="5.421875" style="0" customWidth="1"/>
    <col min="7" max="7" width="6.421875" style="0" customWidth="1"/>
    <col min="8" max="8" width="7.00390625" style="0" customWidth="1"/>
    <col min="9" max="9" width="6.7109375" style="0" customWidth="1"/>
    <col min="10" max="10" width="7.140625" style="0" customWidth="1"/>
    <col min="12" max="12" width="9.421875" style="0" bestFit="1" customWidth="1"/>
    <col min="13" max="13" width="11.28125" style="0" bestFit="1" customWidth="1"/>
    <col min="14" max="14" width="13.28125" style="0" bestFit="1" customWidth="1"/>
    <col min="16" max="16" width="13.7109375" style="0" bestFit="1" customWidth="1"/>
    <col min="17" max="18" width="13.421875" style="0" bestFit="1" customWidth="1"/>
    <col min="19" max="20" width="13.28125" style="0" bestFit="1" customWidth="1"/>
    <col min="22" max="22" width="13.7109375" style="0" bestFit="1" customWidth="1"/>
    <col min="24" max="24" width="9.8515625" style="0" bestFit="1" customWidth="1"/>
  </cols>
  <sheetData>
    <row r="1" ht="20.25">
      <c r="A1" s="30" t="str">
        <f>'Fab Project'!A1:E1</f>
        <v>WBS 161 LN2 Distribution System Inside Cryostat</v>
      </c>
    </row>
    <row r="3" spans="1:11" ht="18.75" thickBot="1">
      <c r="A3" s="32" t="s">
        <v>87</v>
      </c>
      <c r="B3" s="33"/>
      <c r="C3" s="33"/>
      <c r="D3" s="33"/>
      <c r="E3" s="33"/>
      <c r="F3" s="33"/>
      <c r="G3" s="33"/>
      <c r="H3" s="33"/>
      <c r="I3" s="33"/>
      <c r="J3" s="33"/>
      <c r="K3" s="34"/>
    </row>
    <row r="4" ht="12.75" hidden="1">
      <c r="A4" s="1"/>
    </row>
    <row r="5" ht="12.75">
      <c r="A5" s="1" t="s">
        <v>52</v>
      </c>
    </row>
    <row r="6" spans="1:10" ht="12.75">
      <c r="A6" s="128" t="s">
        <v>186</v>
      </c>
      <c r="B6" s="113"/>
      <c r="C6" s="113"/>
      <c r="D6" s="113"/>
      <c r="E6" s="113"/>
      <c r="F6" s="5"/>
      <c r="G6" s="5"/>
      <c r="H6" s="5"/>
      <c r="I6" s="5"/>
      <c r="J6" s="5"/>
    </row>
    <row r="7" spans="1:10" ht="12.75">
      <c r="A7" s="113"/>
      <c r="B7" s="113"/>
      <c r="C7" s="113"/>
      <c r="D7" s="113"/>
      <c r="E7" s="113"/>
      <c r="F7" s="5"/>
      <c r="G7" s="5"/>
      <c r="H7" s="5"/>
      <c r="I7" s="5"/>
      <c r="J7" s="5"/>
    </row>
    <row r="8" spans="1:13" ht="12.75">
      <c r="A8" t="s">
        <v>149</v>
      </c>
      <c r="M8" s="26"/>
    </row>
    <row r="9" spans="1:13" ht="12.75">
      <c r="A9" s="6" t="s">
        <v>88</v>
      </c>
      <c r="B9">
        <v>120</v>
      </c>
      <c r="C9" t="s">
        <v>89</v>
      </c>
      <c r="M9" s="26"/>
    </row>
    <row r="10" spans="1:13" ht="12.75">
      <c r="A10" s="6" t="s">
        <v>90</v>
      </c>
      <c r="B10">
        <v>60</v>
      </c>
      <c r="C10" t="s">
        <v>89</v>
      </c>
      <c r="M10" s="26"/>
    </row>
    <row r="11" spans="1:13" ht="12.75">
      <c r="A11" s="6" t="s">
        <v>91</v>
      </c>
      <c r="B11">
        <v>80</v>
      </c>
      <c r="C11" t="s">
        <v>89</v>
      </c>
      <c r="M11" s="26"/>
    </row>
    <row r="12" ht="12.75" hidden="1">
      <c r="M12" s="26"/>
    </row>
    <row r="13" ht="12.75" hidden="1">
      <c r="M13" s="26"/>
    </row>
    <row r="14" ht="12.75">
      <c r="M14" s="26"/>
    </row>
    <row r="15" spans="1:13" ht="12.75">
      <c r="A15" s="1" t="s">
        <v>93</v>
      </c>
      <c r="M15" s="26"/>
    </row>
    <row r="16" spans="1:13" ht="12.75">
      <c r="A16" t="str">
        <f>A28</f>
        <v>coolant line pigtails from coils to manifolds</v>
      </c>
      <c r="B16" s="146">
        <f>SUM(B36)</f>
        <v>18480</v>
      </c>
      <c r="C16" t="s">
        <v>143</v>
      </c>
      <c r="M16" s="26"/>
    </row>
    <row r="17" spans="1:13" ht="12.75">
      <c r="A17" t="s">
        <v>241</v>
      </c>
      <c r="B17" s="152">
        <f>B39</f>
        <v>4320</v>
      </c>
      <c r="M17" s="26"/>
    </row>
    <row r="18" spans="1:2" ht="12.75">
      <c r="A18" s="7" t="str">
        <f>A41</f>
        <v>Manifolds for cooling lines</v>
      </c>
      <c r="B18" s="149">
        <f>B59</f>
        <v>6612.371781876047</v>
      </c>
    </row>
    <row r="19" spans="1:3" ht="12.75">
      <c r="A19" t="s">
        <v>227</v>
      </c>
      <c r="B19" s="158">
        <f>B67</f>
        <v>6000</v>
      </c>
      <c r="C19" t="s">
        <v>143</v>
      </c>
    </row>
    <row r="20" spans="1:2" ht="12.75">
      <c r="A20" s="7" t="s">
        <v>228</v>
      </c>
      <c r="B20" s="147">
        <f>B72</f>
        <v>23200</v>
      </c>
    </row>
    <row r="21" spans="1:3" ht="12.75">
      <c r="A21" t="s">
        <v>214</v>
      </c>
      <c r="B21" s="25">
        <f>SUM(B80)</f>
        <v>0</v>
      </c>
      <c r="C21" t="s">
        <v>257</v>
      </c>
    </row>
    <row r="22" spans="1:2" ht="18">
      <c r="A22" s="12" t="s">
        <v>95</v>
      </c>
      <c r="B22" s="143">
        <f>SUM(B16:B21)</f>
        <v>58612.37178187605</v>
      </c>
    </row>
    <row r="23" ht="12.75" hidden="1"/>
    <row r="24" ht="12.75" hidden="1"/>
    <row r="26" ht="12.75">
      <c r="A26" s="1" t="s">
        <v>94</v>
      </c>
    </row>
    <row r="27" ht="12.75" hidden="1"/>
    <row r="28" spans="1:5" ht="12.75">
      <c r="A28" s="1" t="s">
        <v>187</v>
      </c>
      <c r="E28" s="50"/>
    </row>
    <row r="29" spans="1:5" ht="12.75">
      <c r="A29" t="s">
        <v>188</v>
      </c>
      <c r="B29">
        <v>3</v>
      </c>
      <c r="C29" t="s">
        <v>154</v>
      </c>
      <c r="D29" s="29"/>
      <c r="E29" s="50"/>
    </row>
    <row r="30" spans="2:10" ht="12.75">
      <c r="B30" t="s">
        <v>193</v>
      </c>
      <c r="C30" t="s">
        <v>190</v>
      </c>
      <c r="D30" s="50" t="s">
        <v>192</v>
      </c>
      <c r="E30" t="s">
        <v>195</v>
      </c>
      <c r="F30" s="29" t="s">
        <v>196</v>
      </c>
      <c r="G30" s="29" t="s">
        <v>197</v>
      </c>
      <c r="H30" s="29" t="s">
        <v>198</v>
      </c>
      <c r="I30" s="29" t="s">
        <v>199</v>
      </c>
      <c r="J30" s="29" t="s">
        <v>200</v>
      </c>
    </row>
    <row r="31" spans="1:13" ht="12.75">
      <c r="A31" t="s">
        <v>189</v>
      </c>
      <c r="B31" s="23">
        <f>SUM(C31:J31)</f>
        <v>48</v>
      </c>
      <c r="C31" s="8">
        <v>18</v>
      </c>
      <c r="D31" s="100">
        <v>18</v>
      </c>
      <c r="E31" s="47">
        <v>2</v>
      </c>
      <c r="F31" s="100">
        <v>2</v>
      </c>
      <c r="G31" s="100">
        <v>2</v>
      </c>
      <c r="H31" s="3">
        <v>2</v>
      </c>
      <c r="I31" s="3">
        <v>2</v>
      </c>
      <c r="J31" s="2">
        <v>2</v>
      </c>
      <c r="L31" s="79"/>
      <c r="M31" s="66"/>
    </row>
    <row r="32" spans="1:13" ht="12.75">
      <c r="A32" t="s">
        <v>194</v>
      </c>
      <c r="B32" s="23"/>
      <c r="C32" s="8">
        <v>1</v>
      </c>
      <c r="D32" s="110">
        <v>8</v>
      </c>
      <c r="E32" s="47">
        <v>0.5</v>
      </c>
      <c r="F32" s="8">
        <v>0.5</v>
      </c>
      <c r="G32" s="8">
        <v>0.5</v>
      </c>
      <c r="H32" s="3">
        <v>0.5</v>
      </c>
      <c r="I32" s="3">
        <v>0.5</v>
      </c>
      <c r="J32" s="65">
        <v>0.5</v>
      </c>
      <c r="L32" s="79"/>
      <c r="M32" s="66"/>
    </row>
    <row r="33" spans="1:16" ht="12.75">
      <c r="A33" t="s">
        <v>201</v>
      </c>
      <c r="B33" s="23">
        <f>SUM(C33:J33)</f>
        <v>168</v>
      </c>
      <c r="C33" s="8">
        <f aca="true" t="shared" si="0" ref="C33:J33">C32*C31</f>
        <v>18</v>
      </c>
      <c r="D33" s="8">
        <f t="shared" si="0"/>
        <v>144</v>
      </c>
      <c r="E33" s="8">
        <f t="shared" si="0"/>
        <v>1</v>
      </c>
      <c r="F33" s="8">
        <f t="shared" si="0"/>
        <v>1</v>
      </c>
      <c r="G33" s="8">
        <f t="shared" si="0"/>
        <v>1</v>
      </c>
      <c r="H33" s="8">
        <f t="shared" si="0"/>
        <v>1</v>
      </c>
      <c r="I33" s="8">
        <f t="shared" si="0"/>
        <v>1</v>
      </c>
      <c r="J33" s="8">
        <f t="shared" si="0"/>
        <v>1</v>
      </c>
      <c r="L33" s="80"/>
      <c r="M33" s="96"/>
      <c r="N33" s="29"/>
      <c r="O33" s="29"/>
      <c r="P33" s="29"/>
    </row>
    <row r="34" spans="1:16" ht="12.75">
      <c r="A34" t="s">
        <v>191</v>
      </c>
      <c r="B34" s="8">
        <f>2*B33</f>
        <v>336</v>
      </c>
      <c r="C34" t="s">
        <v>202</v>
      </c>
      <c r="D34" s="3"/>
      <c r="E34" s="50"/>
      <c r="H34" s="93"/>
      <c r="I34" s="93"/>
      <c r="J34" s="67"/>
      <c r="L34" s="80"/>
      <c r="M34" s="96"/>
      <c r="N34" s="91"/>
      <c r="O34" s="91"/>
      <c r="P34" s="29"/>
    </row>
    <row r="35" spans="1:16" ht="12.75">
      <c r="A35" t="s">
        <v>203</v>
      </c>
      <c r="B35" s="150">
        <v>55</v>
      </c>
      <c r="D35" s="90"/>
      <c r="E35" s="50"/>
      <c r="H35" s="93"/>
      <c r="I35" s="93"/>
      <c r="J35" s="67"/>
      <c r="L35" s="80"/>
      <c r="M35" s="96"/>
      <c r="N35" s="91"/>
      <c r="O35" s="91"/>
      <c r="P35" s="29"/>
    </row>
    <row r="36" spans="1:16" ht="12.75">
      <c r="A36" t="s">
        <v>204</v>
      </c>
      <c r="B36" s="151">
        <f>B35*B34</f>
        <v>18480</v>
      </c>
      <c r="D36" s="90"/>
      <c r="E36" s="50"/>
      <c r="H36" s="93"/>
      <c r="I36" s="93"/>
      <c r="J36" s="67"/>
      <c r="L36" s="80"/>
      <c r="M36" s="96"/>
      <c r="N36" s="91"/>
      <c r="O36" s="91"/>
      <c r="P36" s="29"/>
    </row>
    <row r="37" spans="1:19" ht="25.5">
      <c r="A37" s="7" t="s">
        <v>240</v>
      </c>
      <c r="B37" s="90">
        <f>18*2*4</f>
        <v>144</v>
      </c>
      <c r="E37" s="50"/>
      <c r="H37" s="29"/>
      <c r="I37" s="91"/>
      <c r="J37" s="69"/>
      <c r="L37" s="64"/>
      <c r="M37" s="97"/>
      <c r="N37" s="97"/>
      <c r="O37" s="97"/>
      <c r="P37" s="97"/>
      <c r="Q37" s="65"/>
      <c r="R37" s="87"/>
      <c r="S37" s="65"/>
    </row>
    <row r="38" spans="1:26" ht="12.75">
      <c r="A38" s="52" t="s">
        <v>239</v>
      </c>
      <c r="B38" s="154">
        <v>30</v>
      </c>
      <c r="C38" s="50"/>
      <c r="E38" s="50"/>
      <c r="H38" s="22"/>
      <c r="I38" s="29"/>
      <c r="J38" s="68"/>
      <c r="K38" s="29"/>
      <c r="L38" s="29"/>
      <c r="M38" s="98"/>
      <c r="N38" s="98"/>
      <c r="O38" s="29"/>
      <c r="P38" s="94"/>
      <c r="Q38" s="94"/>
      <c r="R38" s="94"/>
      <c r="S38" s="94"/>
      <c r="T38" s="98"/>
      <c r="U38" s="98"/>
      <c r="V38" s="98"/>
      <c r="W38" s="29"/>
      <c r="X38" s="29"/>
      <c r="Y38" s="29"/>
      <c r="Z38" s="29"/>
    </row>
    <row r="39" spans="1:26" ht="12.75">
      <c r="A39" s="52" t="s">
        <v>243</v>
      </c>
      <c r="B39" s="153">
        <f>B38*B37</f>
        <v>4320</v>
      </c>
      <c r="C39" s="50"/>
      <c r="E39" s="50"/>
      <c r="H39" s="22"/>
      <c r="I39" s="29"/>
      <c r="J39" s="68"/>
      <c r="K39" s="29"/>
      <c r="L39" s="29"/>
      <c r="M39" s="98"/>
      <c r="N39" s="98"/>
      <c r="O39" s="29"/>
      <c r="P39" s="94"/>
      <c r="Q39" s="94"/>
      <c r="R39" s="94"/>
      <c r="S39" s="94"/>
      <c r="T39" s="98"/>
      <c r="U39" s="98"/>
      <c r="V39" s="98"/>
      <c r="W39" s="29"/>
      <c r="X39" s="29"/>
      <c r="Y39" s="29"/>
      <c r="Z39" s="29"/>
    </row>
    <row r="40" spans="1:26" ht="12.75">
      <c r="A40" s="52" t="s">
        <v>244</v>
      </c>
      <c r="B40" s="111"/>
      <c r="C40" s="50"/>
      <c r="D40" s="50"/>
      <c r="E40" s="50"/>
      <c r="H40" s="22"/>
      <c r="I40" s="29"/>
      <c r="J40" s="68"/>
      <c r="K40" s="29"/>
      <c r="L40" s="29"/>
      <c r="M40" s="98"/>
      <c r="N40" s="98"/>
      <c r="O40" s="29"/>
      <c r="P40" s="94"/>
      <c r="Q40" s="94"/>
      <c r="R40" s="94"/>
      <c r="S40" s="94"/>
      <c r="T40" s="98"/>
      <c r="U40" s="98"/>
      <c r="V40" s="98"/>
      <c r="W40" s="29"/>
      <c r="X40" s="29"/>
      <c r="Y40" s="29"/>
      <c r="Z40" s="29"/>
    </row>
    <row r="41" spans="1:26" ht="12.75">
      <c r="A41" s="50" t="s">
        <v>157</v>
      </c>
      <c r="B41" s="50"/>
      <c r="C41" s="50"/>
      <c r="D41" s="50"/>
      <c r="E41" s="50"/>
      <c r="H41" s="22"/>
      <c r="I41" s="29"/>
      <c r="J41" s="68"/>
      <c r="K41" s="29"/>
      <c r="L41" s="29"/>
      <c r="M41" s="98"/>
      <c r="N41" s="98"/>
      <c r="O41" s="29"/>
      <c r="P41" s="94"/>
      <c r="Q41" s="94"/>
      <c r="R41" s="94"/>
      <c r="S41" s="94"/>
      <c r="T41" s="98"/>
      <c r="U41" s="98"/>
      <c r="V41" s="98"/>
      <c r="W41" s="29"/>
      <c r="X41" s="29"/>
      <c r="Y41" s="29"/>
      <c r="Z41" s="29"/>
    </row>
    <row r="42" spans="1:26" ht="12.75">
      <c r="A42" s="52" t="s">
        <v>238</v>
      </c>
      <c r="B42" s="50"/>
      <c r="C42" s="50"/>
      <c r="D42" s="50"/>
      <c r="E42" s="50"/>
      <c r="H42" s="22"/>
      <c r="I42" s="96"/>
      <c r="J42" s="7"/>
      <c r="K42" s="29"/>
      <c r="L42" s="29"/>
      <c r="M42" s="98"/>
      <c r="N42" s="99"/>
      <c r="O42" s="29"/>
      <c r="P42" s="95"/>
      <c r="Q42" s="94"/>
      <c r="R42" s="94"/>
      <c r="S42" s="94"/>
      <c r="T42" s="98"/>
      <c r="U42" s="29"/>
      <c r="V42" s="98"/>
      <c r="W42" s="29"/>
      <c r="X42" s="29"/>
      <c r="Y42" s="29"/>
      <c r="Z42" s="29"/>
    </row>
    <row r="43" spans="1:26" ht="12.75">
      <c r="A43" s="52" t="s">
        <v>205</v>
      </c>
      <c r="B43" s="50"/>
      <c r="C43" s="50"/>
      <c r="D43" s="50"/>
      <c r="E43" s="50"/>
      <c r="H43" s="22"/>
      <c r="I43" s="96"/>
      <c r="J43" s="72"/>
      <c r="K43" s="29"/>
      <c r="L43" s="29"/>
      <c r="M43" s="98"/>
      <c r="N43" s="98"/>
      <c r="O43" s="29"/>
      <c r="P43" s="98"/>
      <c r="Q43" s="98"/>
      <c r="R43" s="98"/>
      <c r="S43" s="98"/>
      <c r="T43" s="98"/>
      <c r="U43" s="29"/>
      <c r="V43" s="98"/>
      <c r="W43" s="29"/>
      <c r="X43" s="29"/>
      <c r="Y43" s="29"/>
      <c r="Z43" s="29"/>
    </row>
    <row r="44" spans="1:26" ht="12.75">
      <c r="A44" s="52" t="s">
        <v>206</v>
      </c>
      <c r="B44" s="50"/>
      <c r="C44" s="50"/>
      <c r="D44" s="50"/>
      <c r="E44" s="50"/>
      <c r="H44" s="22"/>
      <c r="I44" s="96"/>
      <c r="J44" s="72"/>
      <c r="M44" s="98"/>
      <c r="N44" s="98"/>
      <c r="O44" s="29"/>
      <c r="P44" s="98"/>
      <c r="Q44" s="98"/>
      <c r="R44" s="98"/>
      <c r="S44" s="98"/>
      <c r="T44" s="98"/>
      <c r="U44" s="29"/>
      <c r="V44" s="98"/>
      <c r="W44" s="29"/>
      <c r="X44" s="29"/>
      <c r="Y44" s="29"/>
      <c r="Z44" s="29"/>
    </row>
    <row r="45" spans="1:26" ht="12.75" hidden="1">
      <c r="A45" s="52"/>
      <c r="B45" s="50"/>
      <c r="C45" s="50"/>
      <c r="D45" s="50"/>
      <c r="E45" s="50"/>
      <c r="H45" s="22"/>
      <c r="I45" s="35"/>
      <c r="J45" s="35"/>
      <c r="M45" s="98"/>
      <c r="N45" s="98"/>
      <c r="O45" s="29"/>
      <c r="P45" s="94"/>
      <c r="Q45" s="92"/>
      <c r="R45" s="92"/>
      <c r="S45" s="94"/>
      <c r="T45" s="104"/>
      <c r="U45" s="29"/>
      <c r="V45" s="98"/>
      <c r="W45" s="29"/>
      <c r="X45" s="29"/>
      <c r="Y45" s="29"/>
      <c r="Z45" s="29"/>
    </row>
    <row r="46" spans="1:24" ht="12.75">
      <c r="A46" s="52"/>
      <c r="B46" s="50"/>
      <c r="C46" s="50"/>
      <c r="D46" s="50"/>
      <c r="E46" s="50"/>
      <c r="H46" s="35"/>
      <c r="I46" s="35"/>
      <c r="J46" s="35"/>
      <c r="M46" s="98"/>
      <c r="N46" s="98"/>
      <c r="O46" s="29"/>
      <c r="P46" s="95"/>
      <c r="Q46" s="70"/>
      <c r="R46" s="70"/>
      <c r="S46" s="70"/>
      <c r="T46" s="98"/>
      <c r="U46" s="29"/>
      <c r="V46" s="98"/>
      <c r="W46" s="29"/>
      <c r="X46" s="29"/>
    </row>
    <row r="47" spans="1:24" ht="12.75">
      <c r="A47" t="s">
        <v>177</v>
      </c>
      <c r="B47" s="15">
        <f>(2/3)*2.3*PI()*39.37/12</f>
        <v>15.804130909733852</v>
      </c>
      <c r="C47" t="s">
        <v>154</v>
      </c>
      <c r="D47" s="29"/>
      <c r="E47" s="50"/>
      <c r="H47" s="35"/>
      <c r="I47" s="35"/>
      <c r="J47" s="35"/>
      <c r="M47" s="98"/>
      <c r="N47" s="98"/>
      <c r="O47" s="29"/>
      <c r="P47" s="94"/>
      <c r="Q47" s="70"/>
      <c r="R47" s="70"/>
      <c r="S47" s="70"/>
      <c r="T47" s="95"/>
      <c r="U47" s="29"/>
      <c r="V47" s="98"/>
      <c r="W47" s="29"/>
      <c r="X47" s="29"/>
    </row>
    <row r="48" spans="1:24" ht="12.75">
      <c r="A48" t="s">
        <v>208</v>
      </c>
      <c r="B48" s="15">
        <v>9</v>
      </c>
      <c r="C48" t="s">
        <v>154</v>
      </c>
      <c r="D48" s="29"/>
      <c r="E48" s="50"/>
      <c r="H48" s="35"/>
      <c r="I48" s="35"/>
      <c r="J48" s="35"/>
      <c r="M48" s="98"/>
      <c r="N48" s="98"/>
      <c r="O48" s="29"/>
      <c r="P48" s="94"/>
      <c r="Q48" s="70"/>
      <c r="R48" s="70"/>
      <c r="S48" s="70"/>
      <c r="T48" s="95"/>
      <c r="U48" s="29"/>
      <c r="V48" s="98"/>
      <c r="W48" s="29"/>
      <c r="X48" s="29"/>
    </row>
    <row r="49" spans="1:24" ht="12.75">
      <c r="A49" t="s">
        <v>178</v>
      </c>
      <c r="B49" s="15">
        <v>3</v>
      </c>
      <c r="D49" s="29"/>
      <c r="E49" s="50"/>
      <c r="H49" s="35"/>
      <c r="I49" s="35"/>
      <c r="J49" s="35"/>
      <c r="M49" s="101"/>
      <c r="N49" s="98"/>
      <c r="O49" s="29"/>
      <c r="P49" s="98"/>
      <c r="Q49" s="25"/>
      <c r="R49" s="25"/>
      <c r="S49" s="25"/>
      <c r="T49" s="98"/>
      <c r="U49" s="29"/>
      <c r="V49" s="98"/>
      <c r="W49" s="29"/>
      <c r="X49" s="29"/>
    </row>
    <row r="50" spans="1:24" ht="12.75">
      <c r="A50" t="s">
        <v>155</v>
      </c>
      <c r="B50" s="25">
        <v>15</v>
      </c>
      <c r="C50" t="s">
        <v>207</v>
      </c>
      <c r="D50" s="3"/>
      <c r="E50" s="50"/>
      <c r="H50" s="35"/>
      <c r="I50" s="35"/>
      <c r="J50" s="35"/>
      <c r="M50" s="98"/>
      <c r="N50" s="98"/>
      <c r="O50" s="29"/>
      <c r="P50" s="98"/>
      <c r="Q50" s="25"/>
      <c r="R50" s="25"/>
      <c r="S50" s="25"/>
      <c r="T50" s="98"/>
      <c r="U50" s="29"/>
      <c r="V50" s="98"/>
      <c r="W50" s="29"/>
      <c r="X50" s="29"/>
    </row>
    <row r="51" spans="1:24" ht="12.75">
      <c r="A51" t="s">
        <v>156</v>
      </c>
      <c r="B51" s="25">
        <f>B50*B49*(B47+B48)*2</f>
        <v>2232.3717818760465</v>
      </c>
      <c r="D51" s="3"/>
      <c r="E51" s="50"/>
      <c r="H51" s="35"/>
      <c r="I51" s="35"/>
      <c r="J51" s="35"/>
      <c r="L51" s="4"/>
      <c r="M51" s="102"/>
      <c r="N51" s="102"/>
      <c r="O51" s="31"/>
      <c r="P51" s="102"/>
      <c r="Q51" s="88"/>
      <c r="R51" s="88"/>
      <c r="S51" s="88"/>
      <c r="T51" s="102"/>
      <c r="U51" s="31"/>
      <c r="V51" s="102"/>
      <c r="W51" s="31"/>
      <c r="X51" s="31"/>
    </row>
    <row r="52" spans="1:24" ht="12.75">
      <c r="A52" s="7" t="s">
        <v>182</v>
      </c>
      <c r="B52" s="15">
        <f>B34*2*1.25</f>
        <v>840</v>
      </c>
      <c r="D52" s="3"/>
      <c r="E52" s="50"/>
      <c r="H52" s="35"/>
      <c r="I52" s="35"/>
      <c r="J52" s="35"/>
      <c r="M52" s="98"/>
      <c r="N52" s="98"/>
      <c r="O52" s="29"/>
      <c r="P52" s="95"/>
      <c r="Q52" s="71"/>
      <c r="R52" s="71"/>
      <c r="S52" s="70"/>
      <c r="T52" s="95"/>
      <c r="U52" s="29"/>
      <c r="V52" s="98"/>
      <c r="W52" s="29"/>
      <c r="X52" s="29"/>
    </row>
    <row r="53" spans="1:24" ht="12.75">
      <c r="A53" t="s">
        <v>179</v>
      </c>
      <c r="B53" s="25">
        <v>5</v>
      </c>
      <c r="D53" s="90"/>
      <c r="E53" s="50"/>
      <c r="H53" s="35"/>
      <c r="I53" s="35"/>
      <c r="J53" s="35"/>
      <c r="M53" s="98"/>
      <c r="N53" s="98"/>
      <c r="O53" s="29"/>
      <c r="P53" s="92"/>
      <c r="Q53" s="66"/>
      <c r="R53" s="66"/>
      <c r="S53" s="66"/>
      <c r="T53" s="92"/>
      <c r="U53" s="105"/>
      <c r="V53" s="92"/>
      <c r="W53" s="29"/>
      <c r="X53" s="29"/>
    </row>
    <row r="54" spans="1:24" ht="12.75">
      <c r="A54" t="s">
        <v>167</v>
      </c>
      <c r="B54" s="25">
        <f>B52*B53</f>
        <v>4200</v>
      </c>
      <c r="D54" s="90"/>
      <c r="E54" s="50"/>
      <c r="H54" s="35"/>
      <c r="I54" s="35"/>
      <c r="J54" s="35"/>
      <c r="M54" s="98"/>
      <c r="N54" s="98"/>
      <c r="O54" s="29"/>
      <c r="P54" s="92"/>
      <c r="Q54" s="66"/>
      <c r="R54" s="66"/>
      <c r="S54" s="66"/>
      <c r="T54" s="92"/>
      <c r="U54" s="105"/>
      <c r="V54" s="92"/>
      <c r="W54" s="29"/>
      <c r="X54" s="29"/>
    </row>
    <row r="55" spans="1:24" ht="12.75">
      <c r="A55" t="s">
        <v>166</v>
      </c>
      <c r="B55" s="25">
        <v>200</v>
      </c>
      <c r="C55" t="s">
        <v>132</v>
      </c>
      <c r="D55" s="90"/>
      <c r="E55" s="50"/>
      <c r="H55" s="35"/>
      <c r="I55" s="35"/>
      <c r="J55" s="35"/>
      <c r="M55" s="98"/>
      <c r="N55" s="98"/>
      <c r="O55" s="29"/>
      <c r="P55" s="92"/>
      <c r="Q55" s="66"/>
      <c r="R55" s="66"/>
      <c r="S55" s="66"/>
      <c r="T55" s="92"/>
      <c r="U55" s="105"/>
      <c r="V55" s="92"/>
      <c r="W55" s="29"/>
      <c r="X55" s="29"/>
    </row>
    <row r="56" spans="1:24" ht="12.75">
      <c r="A56" t="s">
        <v>180</v>
      </c>
      <c r="B56">
        <v>6</v>
      </c>
      <c r="C56" t="s">
        <v>242</v>
      </c>
      <c r="H56" s="35"/>
      <c r="I56" s="35"/>
      <c r="J56" s="35"/>
      <c r="M56" s="98"/>
      <c r="N56" s="98"/>
      <c r="O56" s="29"/>
      <c r="P56" s="94"/>
      <c r="Q56" s="70"/>
      <c r="R56" s="70"/>
      <c r="S56" s="70"/>
      <c r="T56" s="98"/>
      <c r="U56" s="29"/>
      <c r="V56" s="98"/>
      <c r="W56" s="29"/>
      <c r="X56" s="29"/>
    </row>
    <row r="57" spans="1:24" ht="12.75">
      <c r="A57" t="s">
        <v>179</v>
      </c>
      <c r="B57" s="25">
        <v>30</v>
      </c>
      <c r="D57" s="91"/>
      <c r="E57" s="50"/>
      <c r="H57" s="35"/>
      <c r="I57" s="35"/>
      <c r="J57" s="35"/>
      <c r="M57" s="98"/>
      <c r="N57" s="95"/>
      <c r="O57" s="29"/>
      <c r="P57" s="95"/>
      <c r="Q57" s="71"/>
      <c r="R57" s="71"/>
      <c r="S57" s="71"/>
      <c r="T57" s="95"/>
      <c r="U57" s="29"/>
      <c r="V57" s="95"/>
      <c r="W57" s="29"/>
      <c r="X57" s="29"/>
    </row>
    <row r="58" spans="1:24" ht="12.75">
      <c r="A58" t="s">
        <v>181</v>
      </c>
      <c r="B58" s="144">
        <f>B56*B57</f>
        <v>180</v>
      </c>
      <c r="H58" s="35"/>
      <c r="I58" s="35"/>
      <c r="J58" s="35"/>
      <c r="M58" s="98"/>
      <c r="N58" s="98"/>
      <c r="O58" s="29"/>
      <c r="P58" s="95"/>
      <c r="Q58" s="71"/>
      <c r="R58" s="71"/>
      <c r="S58" s="71"/>
      <c r="T58" s="95"/>
      <c r="U58" s="29"/>
      <c r="V58" s="98"/>
      <c r="W58" s="29"/>
      <c r="X58" s="29"/>
    </row>
    <row r="59" spans="1:24" ht="12.75">
      <c r="A59" t="s">
        <v>165</v>
      </c>
      <c r="B59" s="149">
        <f>B54+B51+B58</f>
        <v>6612.371781876047</v>
      </c>
      <c r="H59" s="35"/>
      <c r="I59" s="35"/>
      <c r="J59" s="35"/>
      <c r="L59" s="4"/>
      <c r="M59" s="102"/>
      <c r="N59" s="103"/>
      <c r="O59" s="103"/>
      <c r="P59" s="103"/>
      <c r="Q59" s="89"/>
      <c r="R59" s="89"/>
      <c r="S59" s="89"/>
      <c r="T59" s="103"/>
      <c r="U59" s="31"/>
      <c r="V59" s="103"/>
      <c r="W59" s="31"/>
      <c r="X59" s="31"/>
    </row>
    <row r="60" spans="8:24" ht="12.75" hidden="1">
      <c r="H60" s="35"/>
      <c r="I60" s="35"/>
      <c r="J60" s="35"/>
      <c r="M60" s="29"/>
      <c r="N60" s="29"/>
      <c r="O60" s="29"/>
      <c r="P60" s="29"/>
      <c r="T60" s="29"/>
      <c r="U60" s="29"/>
      <c r="V60" s="29"/>
      <c r="W60" s="29"/>
      <c r="X60" s="29"/>
    </row>
    <row r="61" spans="8:24" ht="12.75">
      <c r="H61" s="35"/>
      <c r="I61" s="35"/>
      <c r="J61" s="35"/>
      <c r="M61" s="29"/>
      <c r="N61" s="29"/>
      <c r="O61" s="29"/>
      <c r="P61" s="29"/>
      <c r="T61" s="29"/>
      <c r="U61" s="29"/>
      <c r="V61" s="29"/>
      <c r="W61" s="29"/>
      <c r="X61" s="29"/>
    </row>
    <row r="62" spans="1:24" ht="12.75">
      <c r="A62" s="1" t="s">
        <v>220</v>
      </c>
      <c r="B62" s="8"/>
      <c r="C62" s="108"/>
      <c r="D62" s="108"/>
      <c r="E62" s="108"/>
      <c r="G62" s="1"/>
      <c r="M62" s="29"/>
      <c r="N62" s="29"/>
      <c r="O62" s="29"/>
      <c r="P62" s="29"/>
      <c r="T62" s="29"/>
      <c r="U62" s="29"/>
      <c r="V62" s="29"/>
      <c r="W62" s="29"/>
      <c r="X62" s="29"/>
    </row>
    <row r="63" spans="5:24" ht="12.75">
      <c r="E63" s="8"/>
      <c r="M63" s="29"/>
      <c r="N63" s="29"/>
      <c r="O63" s="29"/>
      <c r="P63" s="29"/>
      <c r="T63" s="29"/>
      <c r="U63" s="29"/>
      <c r="V63" s="29"/>
      <c r="W63" s="29"/>
      <c r="X63" s="29"/>
    </row>
    <row r="64" spans="1:24" ht="12.75">
      <c r="A64" s="7" t="s">
        <v>221</v>
      </c>
      <c r="B64" s="24">
        <v>24</v>
      </c>
      <c r="C64" s="7"/>
      <c r="D64" s="8"/>
      <c r="E64" s="8"/>
      <c r="M64" s="29"/>
      <c r="N64" s="29"/>
      <c r="O64" s="29"/>
      <c r="P64" s="29"/>
      <c r="T64" s="29"/>
      <c r="U64" s="29"/>
      <c r="V64" s="29"/>
      <c r="W64" s="29"/>
      <c r="X64" s="29"/>
    </row>
    <row r="65" spans="1:24" ht="12.75">
      <c r="A65" s="6" t="s">
        <v>222</v>
      </c>
      <c r="B65" s="27">
        <v>250</v>
      </c>
      <c r="C65" s="23" t="s">
        <v>216</v>
      </c>
      <c r="D65" s="8"/>
      <c r="E65" s="8"/>
      <c r="M65" s="29"/>
      <c r="N65" s="29"/>
      <c r="O65" s="29"/>
      <c r="P65" s="29"/>
      <c r="T65" s="29"/>
      <c r="U65" s="29"/>
      <c r="V65" s="29"/>
      <c r="W65" s="29"/>
      <c r="X65" s="29"/>
    </row>
    <row r="66" spans="1:24" ht="12.75">
      <c r="A66" t="s">
        <v>223</v>
      </c>
      <c r="B66" s="156">
        <f>B64</f>
        <v>24</v>
      </c>
      <c r="C66" t="s">
        <v>253</v>
      </c>
      <c r="D66" s="8"/>
      <c r="E66" s="109"/>
      <c r="M66" s="29"/>
      <c r="N66" s="29"/>
      <c r="O66" s="29"/>
      <c r="P66" s="29"/>
      <c r="T66" s="29"/>
      <c r="U66" s="29"/>
      <c r="V66" s="29"/>
      <c r="W66" s="29"/>
      <c r="X66" s="29"/>
    </row>
    <row r="67" spans="1:24" ht="12.75">
      <c r="A67" s="6" t="s">
        <v>224</v>
      </c>
      <c r="B67" s="157">
        <f>B66*B65</f>
        <v>6000</v>
      </c>
      <c r="C67" s="109"/>
      <c r="D67" s="109"/>
      <c r="E67" s="109"/>
      <c r="M67" s="29"/>
      <c r="N67" s="29"/>
      <c r="O67" s="29"/>
      <c r="P67" s="29"/>
      <c r="T67" s="29"/>
      <c r="U67" s="29"/>
      <c r="V67" s="29"/>
      <c r="W67" s="29"/>
      <c r="X67" s="29"/>
    </row>
    <row r="68" spans="1:24" ht="12.75">
      <c r="A68" s="6" t="s">
        <v>245</v>
      </c>
      <c r="B68" s="27">
        <v>50</v>
      </c>
      <c r="C68" s="109" t="s">
        <v>216</v>
      </c>
      <c r="D68" s="109"/>
      <c r="E68" s="109"/>
      <c r="M68" s="29"/>
      <c r="N68" s="29"/>
      <c r="O68" s="29"/>
      <c r="P68" s="29"/>
      <c r="T68" s="29"/>
      <c r="U68" s="29"/>
      <c r="V68" s="29"/>
      <c r="W68" s="29"/>
      <c r="X68" s="29"/>
    </row>
    <row r="69" spans="1:24" ht="12.75">
      <c r="A69" s="6" t="s">
        <v>246</v>
      </c>
      <c r="B69" s="24">
        <f>D33</f>
        <v>144</v>
      </c>
      <c r="C69" t="s">
        <v>247</v>
      </c>
      <c r="D69" s="8"/>
      <c r="M69" s="29"/>
      <c r="N69" s="29"/>
      <c r="O69" s="29"/>
      <c r="P69" s="29"/>
      <c r="T69" s="29"/>
      <c r="U69" s="29"/>
      <c r="V69" s="29"/>
      <c r="W69" s="29"/>
      <c r="X69" s="29"/>
    </row>
    <row r="70" spans="1:24" ht="12.75">
      <c r="A70" s="6" t="s">
        <v>248</v>
      </c>
      <c r="B70" s="27">
        <f>B69*B68</f>
        <v>7200</v>
      </c>
      <c r="M70" s="29"/>
      <c r="N70" s="29"/>
      <c r="O70" s="29"/>
      <c r="P70" s="29"/>
      <c r="T70" s="29"/>
      <c r="U70" s="29"/>
      <c r="V70" s="29"/>
      <c r="W70" s="29"/>
      <c r="X70" s="29"/>
    </row>
    <row r="71" spans="1:24" ht="12.75">
      <c r="A71" t="s">
        <v>225</v>
      </c>
      <c r="B71" s="145">
        <v>10000</v>
      </c>
      <c r="E71" s="8"/>
      <c r="F71" s="42"/>
      <c r="M71" s="29"/>
      <c r="N71" s="29"/>
      <c r="O71" s="29"/>
      <c r="P71" s="29"/>
      <c r="T71" s="29"/>
      <c r="U71" s="29"/>
      <c r="V71" s="29"/>
      <c r="W71" s="29"/>
      <c r="X71" s="29"/>
    </row>
    <row r="72" spans="1:24" ht="12.75">
      <c r="A72" s="6" t="s">
        <v>226</v>
      </c>
      <c r="B72" s="148">
        <f>B67+B71+B70</f>
        <v>23200</v>
      </c>
      <c r="C72" s="8"/>
      <c r="D72" s="8"/>
      <c r="E72" s="77"/>
      <c r="F72" s="42"/>
      <c r="M72" s="29"/>
      <c r="N72" s="29"/>
      <c r="O72" s="29"/>
      <c r="P72" s="29"/>
      <c r="T72" s="29"/>
      <c r="U72" s="29"/>
      <c r="V72" s="29"/>
      <c r="W72" s="29"/>
      <c r="X72" s="29"/>
    </row>
    <row r="73" spans="1:24" ht="12.75" hidden="1">
      <c r="A73" s="1"/>
      <c r="D73" s="41"/>
      <c r="E73" s="106"/>
      <c r="F73" s="106"/>
      <c r="M73" s="29"/>
      <c r="N73" s="29"/>
      <c r="O73" s="29"/>
      <c r="P73" s="29"/>
      <c r="T73" s="29"/>
      <c r="U73" s="29"/>
      <c r="V73" s="29"/>
      <c r="W73" s="29"/>
      <c r="X73" s="29"/>
    </row>
    <row r="74" spans="4:24" ht="12.75">
      <c r="D74" s="41"/>
      <c r="E74" s="42"/>
      <c r="F74" s="42"/>
      <c r="T74" s="29"/>
      <c r="U74" s="29"/>
      <c r="V74" s="29"/>
      <c r="W74" s="29"/>
      <c r="X74" s="29"/>
    </row>
    <row r="75" spans="1:24" ht="12.75">
      <c r="A75" s="1" t="s">
        <v>214</v>
      </c>
      <c r="D75" s="41"/>
      <c r="E75" s="166"/>
      <c r="F75" s="166"/>
      <c r="G75" s="35"/>
      <c r="H75" s="35"/>
      <c r="I75" s="35"/>
      <c r="J75" s="35"/>
      <c r="T75" s="29"/>
      <c r="U75" s="29"/>
      <c r="V75" s="29"/>
      <c r="W75" s="29"/>
      <c r="X75" s="29"/>
    </row>
    <row r="76" spans="1:24" ht="12.75">
      <c r="A76" t="s">
        <v>215</v>
      </c>
      <c r="B76" s="112">
        <v>0</v>
      </c>
      <c r="C76" t="s">
        <v>216</v>
      </c>
      <c r="D76" s="41"/>
      <c r="E76" s="42"/>
      <c r="F76" s="42"/>
      <c r="G76" s="35"/>
      <c r="H76" s="35"/>
      <c r="I76" s="35"/>
      <c r="J76" s="35"/>
      <c r="T76" s="29"/>
      <c r="U76" s="29"/>
      <c r="V76" s="29"/>
      <c r="W76" s="29"/>
      <c r="X76" s="29"/>
    </row>
    <row r="77" spans="4:24" ht="12.75">
      <c r="D77" s="41"/>
      <c r="E77" s="42"/>
      <c r="F77" s="42"/>
      <c r="G77" s="35"/>
      <c r="H77" s="35"/>
      <c r="I77" s="35"/>
      <c r="J77" s="35"/>
      <c r="T77" s="29"/>
      <c r="U77" s="29"/>
      <c r="V77" s="29"/>
      <c r="W77" s="29"/>
      <c r="X77" s="29"/>
    </row>
    <row r="78" spans="1:24" ht="12.75">
      <c r="A78" t="s">
        <v>217</v>
      </c>
      <c r="B78" s="26">
        <v>68</v>
      </c>
      <c r="C78" t="s">
        <v>218</v>
      </c>
      <c r="D78" s="41"/>
      <c r="E78" s="166"/>
      <c r="F78" s="166"/>
      <c r="G78" s="35"/>
      <c r="H78" s="35"/>
      <c r="I78" s="35"/>
      <c r="J78" s="35"/>
      <c r="T78" s="29"/>
      <c r="U78" s="29"/>
      <c r="V78" s="29"/>
      <c r="W78" s="29"/>
      <c r="X78" s="29"/>
    </row>
    <row r="79" spans="4:24" ht="12.75">
      <c r="D79" s="41"/>
      <c r="E79" s="42"/>
      <c r="F79" s="42"/>
      <c r="G79" s="35"/>
      <c r="H79" s="35"/>
      <c r="I79" s="35"/>
      <c r="J79" s="35"/>
      <c r="T79" s="29"/>
      <c r="U79" s="29"/>
      <c r="V79" s="29"/>
      <c r="W79" s="29"/>
      <c r="X79" s="29"/>
    </row>
    <row r="80" spans="1:24" ht="12.75">
      <c r="A80" t="s">
        <v>219</v>
      </c>
      <c r="B80" s="25">
        <f>B78*B76</f>
        <v>0</v>
      </c>
      <c r="D80" s="41"/>
      <c r="E80" s="42"/>
      <c r="F80" s="42"/>
      <c r="G80" s="35"/>
      <c r="H80" s="35"/>
      <c r="I80" s="35"/>
      <c r="J80" s="35"/>
      <c r="T80" s="29"/>
      <c r="U80" s="29"/>
      <c r="V80" s="29"/>
      <c r="W80" s="29"/>
      <c r="X80" s="29"/>
    </row>
    <row r="81" spans="1:24" ht="12.75">
      <c r="A81" s="40"/>
      <c r="B81" s="50"/>
      <c r="C81" s="35"/>
      <c r="D81" s="41"/>
      <c r="E81" s="42"/>
      <c r="F81" s="42"/>
      <c r="G81" s="35"/>
      <c r="H81" s="35"/>
      <c r="I81" s="35"/>
      <c r="J81" s="35"/>
      <c r="T81" s="29"/>
      <c r="U81" s="29"/>
      <c r="V81" s="29"/>
      <c r="W81" s="29"/>
      <c r="X81" s="29"/>
    </row>
    <row r="82" spans="1:24" ht="12.75">
      <c r="A82" s="40"/>
      <c r="B82" s="40"/>
      <c r="C82" s="40"/>
      <c r="D82" s="40"/>
      <c r="E82" s="40"/>
      <c r="F82" s="40"/>
      <c r="G82" s="35"/>
      <c r="H82" s="35"/>
      <c r="I82" s="35"/>
      <c r="J82" s="35"/>
      <c r="T82" s="29"/>
      <c r="U82" s="29"/>
      <c r="V82" s="29"/>
      <c r="W82" s="29"/>
      <c r="X82" s="29"/>
    </row>
    <row r="83" spans="1:24" ht="12.75">
      <c r="A83" s="40"/>
      <c r="B83" s="50"/>
      <c r="C83" s="35"/>
      <c r="D83" s="41"/>
      <c r="E83" s="166"/>
      <c r="F83" s="166"/>
      <c r="G83" s="35"/>
      <c r="H83" s="35"/>
      <c r="I83" s="35"/>
      <c r="J83" s="35"/>
      <c r="T83" s="29"/>
      <c r="U83" s="29"/>
      <c r="V83" s="29"/>
      <c r="W83" s="29"/>
      <c r="X83" s="29"/>
    </row>
    <row r="84" spans="1:24" ht="12.75">
      <c r="A84" s="35"/>
      <c r="B84" s="35"/>
      <c r="C84" s="35"/>
      <c r="D84" s="35"/>
      <c r="E84" s="35"/>
      <c r="F84" s="35"/>
      <c r="G84" s="35"/>
      <c r="H84" s="35"/>
      <c r="I84" s="35"/>
      <c r="J84" s="35"/>
      <c r="T84" s="29"/>
      <c r="U84" s="29"/>
      <c r="V84" s="29"/>
      <c r="W84" s="29"/>
      <c r="X84" s="29"/>
    </row>
    <row r="85" spans="1:24" ht="12.75">
      <c r="A85" s="35"/>
      <c r="B85" s="35"/>
      <c r="C85" s="35"/>
      <c r="D85" s="35"/>
      <c r="E85" s="35"/>
      <c r="F85" s="35"/>
      <c r="G85" s="35"/>
      <c r="H85" s="35"/>
      <c r="I85" s="35"/>
      <c r="J85" s="35"/>
      <c r="T85" s="29"/>
      <c r="U85" s="29"/>
      <c r="V85" s="29"/>
      <c r="W85" s="29"/>
      <c r="X85" s="29"/>
    </row>
    <row r="86" spans="1:24" ht="12.75">
      <c r="A86" s="35"/>
      <c r="B86" s="35"/>
      <c r="C86" s="35"/>
      <c r="D86" s="35"/>
      <c r="E86" s="35"/>
      <c r="F86" s="35"/>
      <c r="G86" s="35"/>
      <c r="H86" s="35"/>
      <c r="I86" s="35"/>
      <c r="J86" s="35"/>
      <c r="T86" s="29"/>
      <c r="U86" s="29"/>
      <c r="V86" s="29"/>
      <c r="W86" s="29"/>
      <c r="X86" s="29"/>
    </row>
    <row r="87" spans="1:24" ht="12.75">
      <c r="A87" s="40"/>
      <c r="B87" s="50"/>
      <c r="C87" s="35"/>
      <c r="D87" s="41"/>
      <c r="E87" s="168"/>
      <c r="F87" s="168"/>
      <c r="G87" s="168"/>
      <c r="H87" s="168"/>
      <c r="I87" s="35"/>
      <c r="J87" s="35"/>
      <c r="T87" s="29"/>
      <c r="U87" s="29"/>
      <c r="V87" s="29"/>
      <c r="W87" s="29"/>
      <c r="X87" s="29"/>
    </row>
    <row r="88" spans="1:10" ht="12.75">
      <c r="A88" s="40"/>
      <c r="B88" s="50"/>
      <c r="C88" s="35"/>
      <c r="D88" s="41"/>
      <c r="E88" s="134"/>
      <c r="F88" s="134"/>
      <c r="G88" s="168"/>
      <c r="H88" s="168"/>
      <c r="I88" s="35"/>
      <c r="J88" s="35"/>
    </row>
    <row r="89" spans="1:10" ht="12.75">
      <c r="A89" s="40"/>
      <c r="B89" s="50"/>
      <c r="C89" s="35"/>
      <c r="D89" s="41"/>
      <c r="E89" s="42"/>
      <c r="F89" s="43"/>
      <c r="G89" s="155"/>
      <c r="H89" s="155"/>
      <c r="I89" s="35"/>
      <c r="J89" s="35"/>
    </row>
    <row r="90" spans="1:10" ht="12.75">
      <c r="A90" s="40"/>
      <c r="B90" s="50"/>
      <c r="C90" s="35"/>
      <c r="D90" s="41"/>
      <c r="E90" s="42"/>
      <c r="F90" s="42"/>
      <c r="G90" s="155"/>
      <c r="H90" s="155"/>
      <c r="I90" s="35"/>
      <c r="J90" s="35"/>
    </row>
    <row r="91" spans="1:10" ht="12.75">
      <c r="A91" s="39"/>
      <c r="B91" s="35"/>
      <c r="C91" s="35"/>
      <c r="D91" s="41"/>
      <c r="E91" s="167"/>
      <c r="F91" s="167"/>
      <c r="G91" s="155"/>
      <c r="H91" s="155"/>
      <c r="I91" s="35"/>
      <c r="J91" s="35"/>
    </row>
    <row r="92" spans="1:10" ht="12.75">
      <c r="A92" s="40"/>
      <c r="B92" s="50"/>
      <c r="C92" s="35"/>
      <c r="D92" s="41"/>
      <c r="E92" s="42"/>
      <c r="F92" s="42"/>
      <c r="G92" s="155"/>
      <c r="H92" s="155"/>
      <c r="I92" s="35"/>
      <c r="J92" s="35"/>
    </row>
    <row r="93" spans="1:10" ht="12.75">
      <c r="A93" s="39"/>
      <c r="B93" s="35"/>
      <c r="C93" s="35"/>
      <c r="D93" s="41"/>
      <c r="E93" s="167"/>
      <c r="F93" s="167"/>
      <c r="G93" s="155"/>
      <c r="H93" s="155"/>
      <c r="I93" s="35"/>
      <c r="J93" s="35"/>
    </row>
    <row r="94" spans="1:10" ht="12.75">
      <c r="A94" s="40"/>
      <c r="B94" s="50"/>
      <c r="C94" s="35"/>
      <c r="D94" s="41"/>
      <c r="E94" s="42"/>
      <c r="F94" s="42"/>
      <c r="G94" s="155"/>
      <c r="H94" s="155"/>
      <c r="I94" s="35"/>
      <c r="J94" s="35"/>
    </row>
    <row r="95" spans="1:10" ht="12.75">
      <c r="A95" s="39"/>
      <c r="B95" s="35"/>
      <c r="C95" s="35"/>
      <c r="D95" s="41"/>
      <c r="E95" s="167"/>
      <c r="F95" s="167"/>
      <c r="G95" s="155"/>
      <c r="H95" s="155"/>
      <c r="I95" s="35"/>
      <c r="J95" s="35"/>
    </row>
    <row r="96" spans="1:10" ht="12.75">
      <c r="A96" s="40"/>
      <c r="B96" s="50"/>
      <c r="C96" s="35"/>
      <c r="D96" s="41"/>
      <c r="E96" s="42"/>
      <c r="F96" s="42"/>
      <c r="G96" s="42"/>
      <c r="H96" s="42"/>
      <c r="I96" s="35"/>
      <c r="J96" s="35"/>
    </row>
    <row r="97" spans="1:10" ht="12.75">
      <c r="A97" s="39"/>
      <c r="B97" s="35"/>
      <c r="C97" s="35"/>
      <c r="D97" s="41"/>
      <c r="E97" s="167"/>
      <c r="F97" s="167"/>
      <c r="G97" s="42"/>
      <c r="H97" s="42"/>
      <c r="I97" s="35"/>
      <c r="J97" s="35"/>
    </row>
    <row r="98" spans="1:10" ht="12.75">
      <c r="A98" s="40"/>
      <c r="B98" s="50"/>
      <c r="C98" s="35"/>
      <c r="D98" s="41"/>
      <c r="E98" s="42"/>
      <c r="F98" s="42"/>
      <c r="G98" s="155"/>
      <c r="H98" s="155"/>
      <c r="I98" s="35"/>
      <c r="J98" s="35"/>
    </row>
    <row r="99" spans="1:10" ht="12.75">
      <c r="A99" s="39"/>
      <c r="B99" s="35"/>
      <c r="C99" s="35"/>
      <c r="D99" s="41"/>
      <c r="E99" s="167"/>
      <c r="F99" s="167"/>
      <c r="G99" s="155"/>
      <c r="H99" s="155"/>
      <c r="I99" s="35"/>
      <c r="J99" s="35"/>
    </row>
    <row r="100" spans="1:10" ht="12.75">
      <c r="A100" s="40"/>
      <c r="B100" s="50"/>
      <c r="C100" s="35"/>
      <c r="D100" s="41"/>
      <c r="E100" s="42"/>
      <c r="F100" s="42"/>
      <c r="G100" s="155"/>
      <c r="H100" s="155"/>
      <c r="I100" s="35"/>
      <c r="J100" s="35"/>
    </row>
    <row r="101" spans="1:10" ht="12.75">
      <c r="A101" s="39"/>
      <c r="B101" s="35"/>
      <c r="C101" s="35"/>
      <c r="D101" s="41"/>
      <c r="E101" s="167"/>
      <c r="F101" s="167"/>
      <c r="G101" s="155"/>
      <c r="H101" s="155"/>
      <c r="I101" s="35"/>
      <c r="J101" s="35"/>
    </row>
    <row r="102" spans="1:10" ht="12.75">
      <c r="A102" s="40"/>
      <c r="B102" s="35"/>
      <c r="C102" s="35"/>
      <c r="D102" s="41"/>
      <c r="E102" s="42"/>
      <c r="F102" s="42"/>
      <c r="G102" s="155"/>
      <c r="H102" s="155"/>
      <c r="I102" s="35"/>
      <c r="J102" s="35"/>
    </row>
    <row r="103" spans="1:10" ht="12.75">
      <c r="A103" s="39"/>
      <c r="B103" s="35"/>
      <c r="C103" s="35"/>
      <c r="D103" s="41"/>
      <c r="E103" s="167"/>
      <c r="F103" s="167"/>
      <c r="G103" s="169"/>
      <c r="H103" s="169"/>
      <c r="I103" s="35"/>
      <c r="J103" s="35"/>
    </row>
    <row r="104" spans="1:10" ht="12.75">
      <c r="A104" s="39"/>
      <c r="B104" s="35"/>
      <c r="C104" s="35"/>
      <c r="D104" s="41"/>
      <c r="E104" s="42"/>
      <c r="F104" s="42"/>
      <c r="G104" s="155"/>
      <c r="H104" s="155"/>
      <c r="I104" s="35"/>
      <c r="J104" s="35"/>
    </row>
    <row r="105" spans="1:10" ht="12.75">
      <c r="A105" s="40"/>
      <c r="B105" s="50"/>
      <c r="C105" s="35"/>
      <c r="D105" s="41"/>
      <c r="E105" s="42"/>
      <c r="F105" s="42"/>
      <c r="G105" s="155"/>
      <c r="H105" s="155"/>
      <c r="I105" s="35"/>
      <c r="J105" s="35"/>
    </row>
    <row r="106" spans="1:10" ht="12.75">
      <c r="A106" s="39"/>
      <c r="B106" s="35"/>
      <c r="C106" s="35"/>
      <c r="D106" s="41"/>
      <c r="E106" s="167"/>
      <c r="F106" s="167"/>
      <c r="G106" s="169"/>
      <c r="H106" s="169"/>
      <c r="I106" s="35"/>
      <c r="J106" s="35"/>
    </row>
    <row r="107" spans="1:10" ht="12.75">
      <c r="A107" s="40"/>
      <c r="B107" s="39"/>
      <c r="C107" s="35"/>
      <c r="D107" s="41"/>
      <c r="E107" s="35"/>
      <c r="F107" s="35"/>
      <c r="G107" s="155"/>
      <c r="H107" s="155"/>
      <c r="I107" s="35"/>
      <c r="J107" s="35"/>
    </row>
    <row r="108" spans="1:10" ht="12.75">
      <c r="A108" s="40"/>
      <c r="B108" s="40"/>
      <c r="C108" s="40"/>
      <c r="D108" s="40"/>
      <c r="E108" s="35"/>
      <c r="F108" s="40"/>
      <c r="G108" s="168"/>
      <c r="H108" s="168"/>
      <c r="I108" s="35"/>
      <c r="J108" s="35"/>
    </row>
    <row r="109" spans="1:10" ht="12.75">
      <c r="A109" s="40"/>
      <c r="B109" s="39"/>
      <c r="C109" s="35"/>
      <c r="D109" s="41"/>
      <c r="E109" s="170"/>
      <c r="F109" s="170"/>
      <c r="G109" s="171"/>
      <c r="H109" s="171"/>
      <c r="I109" s="35"/>
      <c r="J109" s="35"/>
    </row>
    <row r="110" spans="1:10" ht="12.75">
      <c r="A110" s="35"/>
      <c r="B110" s="35"/>
      <c r="C110" s="35"/>
      <c r="D110" s="35"/>
      <c r="E110" s="35"/>
      <c r="F110" s="35"/>
      <c r="G110" s="35"/>
      <c r="H110" s="35"/>
      <c r="I110" s="35"/>
      <c r="J110" s="35"/>
    </row>
    <row r="111" spans="1:10" ht="12.75">
      <c r="A111" s="35"/>
      <c r="B111" s="73"/>
      <c r="C111" s="35"/>
      <c r="D111" s="35"/>
      <c r="E111" s="35"/>
      <c r="F111" s="35"/>
      <c r="G111" s="35"/>
      <c r="H111" s="35"/>
      <c r="I111" s="35"/>
      <c r="J111" s="35"/>
    </row>
    <row r="112" spans="1:10" ht="12.75">
      <c r="A112" s="78"/>
      <c r="B112" s="73"/>
      <c r="C112" s="35"/>
      <c r="D112" s="35"/>
      <c r="E112" s="35"/>
      <c r="F112" s="35"/>
      <c r="G112" s="35"/>
      <c r="H112" s="35"/>
      <c r="I112" s="35"/>
      <c r="J112" s="35"/>
    </row>
    <row r="113" spans="1:10" ht="12.75">
      <c r="A113" s="35"/>
      <c r="B113" s="35"/>
      <c r="C113" s="35"/>
      <c r="D113" s="35"/>
      <c r="E113" s="35"/>
      <c r="F113" s="35"/>
      <c r="G113" s="35"/>
      <c r="H113" s="35"/>
      <c r="I113" s="35"/>
      <c r="J113" s="35"/>
    </row>
    <row r="114" spans="1:10" ht="12.75">
      <c r="A114" s="35"/>
      <c r="B114" s="35"/>
      <c r="C114" s="35"/>
      <c r="D114" s="35"/>
      <c r="E114" s="35"/>
      <c r="F114" s="35"/>
      <c r="G114" s="35"/>
      <c r="H114" s="35"/>
      <c r="I114" s="35"/>
      <c r="J114" s="35"/>
    </row>
    <row r="115" spans="1:10" ht="12.75">
      <c r="A115" s="35"/>
      <c r="B115" s="35"/>
      <c r="C115" s="35"/>
      <c r="D115" s="35"/>
      <c r="E115" s="35"/>
      <c r="F115" s="35"/>
      <c r="G115" s="35"/>
      <c r="H115" s="35"/>
      <c r="I115" s="35"/>
      <c r="J115" s="35"/>
    </row>
    <row r="116" spans="1:10" ht="12.75">
      <c r="A116" s="35"/>
      <c r="B116" s="35"/>
      <c r="C116" s="35"/>
      <c r="D116" s="35"/>
      <c r="E116" s="35"/>
      <c r="F116" s="35"/>
      <c r="G116" s="35"/>
      <c r="H116" s="35"/>
      <c r="I116" s="35"/>
      <c r="J116" s="35"/>
    </row>
    <row r="117" spans="1:10" ht="12.75">
      <c r="A117" s="35"/>
      <c r="B117" s="35"/>
      <c r="C117" s="35"/>
      <c r="D117" s="35"/>
      <c r="E117" s="35"/>
      <c r="F117" s="35"/>
      <c r="G117" s="35"/>
      <c r="H117" s="35"/>
      <c r="I117" s="35"/>
      <c r="J117" s="35"/>
    </row>
    <row r="118" spans="1:10" ht="12.75">
      <c r="A118" s="35"/>
      <c r="B118" s="35"/>
      <c r="C118" s="35"/>
      <c r="D118" s="35"/>
      <c r="E118" s="35"/>
      <c r="F118" s="35"/>
      <c r="G118" s="35"/>
      <c r="H118" s="35"/>
      <c r="I118" s="35"/>
      <c r="J118" s="35"/>
    </row>
    <row r="119" spans="1:10" ht="12.75">
      <c r="A119" s="35"/>
      <c r="B119" s="35"/>
      <c r="C119" s="35"/>
      <c r="D119" s="35"/>
      <c r="E119" s="35"/>
      <c r="F119" s="35"/>
      <c r="G119" s="35"/>
      <c r="H119" s="35"/>
      <c r="I119" s="35"/>
      <c r="J119" s="35"/>
    </row>
    <row r="120" spans="1:10" ht="12.75">
      <c r="A120" s="35"/>
      <c r="B120" s="35"/>
      <c r="C120" s="35"/>
      <c r="D120" s="35"/>
      <c r="E120" s="35"/>
      <c r="F120" s="35"/>
      <c r="G120" s="35"/>
      <c r="H120" s="35"/>
      <c r="I120" s="35"/>
      <c r="J120" s="35"/>
    </row>
    <row r="121" spans="1:10" ht="12.75">
      <c r="A121" s="35"/>
      <c r="B121" s="35"/>
      <c r="C121" s="35"/>
      <c r="D121" s="35"/>
      <c r="E121" s="35"/>
      <c r="F121" s="35"/>
      <c r="G121" s="35"/>
      <c r="H121" s="35"/>
      <c r="I121" s="35"/>
      <c r="J121" s="35"/>
    </row>
    <row r="122" spans="1:10" ht="12.75">
      <c r="A122" s="35"/>
      <c r="B122" s="35"/>
      <c r="C122" s="35"/>
      <c r="D122" s="35"/>
      <c r="E122" s="35"/>
      <c r="F122" s="35"/>
      <c r="G122" s="35"/>
      <c r="H122" s="35"/>
      <c r="I122" s="35"/>
      <c r="J122" s="35"/>
    </row>
    <row r="123" spans="1:10" ht="12.75">
      <c r="A123" s="35"/>
      <c r="B123" s="35"/>
      <c r="C123" s="35"/>
      <c r="D123" s="35"/>
      <c r="E123" s="35"/>
      <c r="F123" s="35"/>
      <c r="G123" s="35"/>
      <c r="H123" s="35"/>
      <c r="I123" s="35"/>
      <c r="J123" s="35"/>
    </row>
    <row r="124" spans="1:10" ht="12.75">
      <c r="A124" s="35"/>
      <c r="B124" s="35"/>
      <c r="C124" s="35"/>
      <c r="D124" s="35"/>
      <c r="E124" s="35"/>
      <c r="F124" s="35"/>
      <c r="G124" s="35"/>
      <c r="H124" s="35"/>
      <c r="I124" s="35"/>
      <c r="J124" s="35"/>
    </row>
    <row r="125" spans="1:10" ht="12.75">
      <c r="A125" s="35"/>
      <c r="B125" s="35"/>
      <c r="C125" s="35"/>
      <c r="D125" s="35"/>
      <c r="E125" s="35"/>
      <c r="F125" s="35"/>
      <c r="G125" s="35"/>
      <c r="H125" s="35"/>
      <c r="I125" s="35"/>
      <c r="J125" s="35"/>
    </row>
    <row r="126" spans="1:10" ht="12.75">
      <c r="A126" s="35"/>
      <c r="B126" s="35"/>
      <c r="C126" s="35"/>
      <c r="D126" s="35"/>
      <c r="E126" s="35"/>
      <c r="F126" s="35"/>
      <c r="G126" s="35"/>
      <c r="H126" s="35"/>
      <c r="I126" s="35"/>
      <c r="J126" s="35"/>
    </row>
    <row r="127" spans="1:10" ht="12.75">
      <c r="A127" s="35"/>
      <c r="B127" s="35"/>
      <c r="C127" s="35"/>
      <c r="D127" s="35"/>
      <c r="E127" s="35"/>
      <c r="F127" s="35"/>
      <c r="G127" s="35"/>
      <c r="H127" s="35"/>
      <c r="I127" s="35"/>
      <c r="J127" s="35"/>
    </row>
    <row r="128" spans="1:10" ht="12.75">
      <c r="A128" s="35"/>
      <c r="B128" s="35"/>
      <c r="C128" s="35"/>
      <c r="D128" s="35"/>
      <c r="E128" s="35"/>
      <c r="F128" s="35"/>
      <c r="G128" s="35"/>
      <c r="H128" s="35"/>
      <c r="I128" s="35"/>
      <c r="J128" s="35"/>
    </row>
    <row r="129" spans="1:10" ht="12.75">
      <c r="A129" s="35"/>
      <c r="B129" s="35"/>
      <c r="C129" s="35"/>
      <c r="D129" s="35"/>
      <c r="E129" s="35"/>
      <c r="F129" s="35"/>
      <c r="G129" s="35"/>
      <c r="H129" s="35"/>
      <c r="I129" s="35"/>
      <c r="J129" s="35"/>
    </row>
    <row r="130" spans="1:10" ht="12.75">
      <c r="A130" s="35"/>
      <c r="B130" s="35"/>
      <c r="C130" s="35"/>
      <c r="D130" s="35"/>
      <c r="E130" s="35"/>
      <c r="F130" s="35"/>
      <c r="G130" s="35"/>
      <c r="H130" s="35"/>
      <c r="I130" s="35"/>
      <c r="J130" s="35"/>
    </row>
    <row r="131" spans="1:10" ht="12.75">
      <c r="A131" s="35"/>
      <c r="B131" s="35"/>
      <c r="C131" s="35"/>
      <c r="D131" s="35"/>
      <c r="E131" s="35"/>
      <c r="F131" s="35"/>
      <c r="G131" s="35"/>
      <c r="H131" s="35"/>
      <c r="I131" s="35"/>
      <c r="J131" s="35"/>
    </row>
    <row r="132" spans="1:10" ht="12.75">
      <c r="A132" s="35"/>
      <c r="B132" s="35"/>
      <c r="C132" s="35"/>
      <c r="D132" s="35"/>
      <c r="E132" s="35"/>
      <c r="F132" s="35"/>
      <c r="G132" s="35"/>
      <c r="H132" s="35"/>
      <c r="I132" s="35"/>
      <c r="J132" s="35"/>
    </row>
    <row r="133" spans="1:10" ht="12.75">
      <c r="A133" s="35"/>
      <c r="B133" s="35"/>
      <c r="C133" s="35"/>
      <c r="D133" s="35"/>
      <c r="E133" s="35"/>
      <c r="F133" s="35"/>
      <c r="G133" s="35"/>
      <c r="H133" s="35"/>
      <c r="I133" s="35"/>
      <c r="J133" s="35"/>
    </row>
    <row r="134" spans="1:10" ht="12.75">
      <c r="A134" s="35"/>
      <c r="B134" s="35"/>
      <c r="C134" s="35"/>
      <c r="D134" s="35"/>
      <c r="E134" s="35"/>
      <c r="F134" s="35"/>
      <c r="G134" s="35"/>
      <c r="H134" s="35"/>
      <c r="I134" s="35"/>
      <c r="J134" s="35"/>
    </row>
    <row r="135" spans="1:10" ht="12.75">
      <c r="A135" s="35"/>
      <c r="B135" s="35"/>
      <c r="C135" s="35"/>
      <c r="D135" s="35"/>
      <c r="E135" s="35"/>
      <c r="F135" s="35"/>
      <c r="G135" s="35"/>
      <c r="H135" s="35"/>
      <c r="I135" s="35"/>
      <c r="J135" s="35"/>
    </row>
    <row r="136" spans="1:10" ht="12.75">
      <c r="A136" s="35"/>
      <c r="B136" s="35"/>
      <c r="C136" s="35"/>
      <c r="D136" s="35"/>
      <c r="E136" s="35"/>
      <c r="F136" s="35"/>
      <c r="G136" s="35"/>
      <c r="H136" s="35"/>
      <c r="I136" s="35"/>
      <c r="J136" s="35"/>
    </row>
    <row r="137" spans="1:10" ht="12.75">
      <c r="A137" s="35"/>
      <c r="B137" s="35"/>
      <c r="C137" s="35"/>
      <c r="D137" s="35"/>
      <c r="E137" s="35"/>
      <c r="F137" s="35"/>
      <c r="G137" s="35"/>
      <c r="H137" s="35"/>
      <c r="I137" s="35"/>
      <c r="J137" s="35"/>
    </row>
    <row r="138" spans="1:10" ht="12.75">
      <c r="A138" s="35"/>
      <c r="B138" s="35"/>
      <c r="C138" s="35"/>
      <c r="D138" s="35"/>
      <c r="E138" s="35"/>
      <c r="F138" s="35"/>
      <c r="G138" s="35"/>
      <c r="H138" s="35"/>
      <c r="I138" s="35"/>
      <c r="J138" s="35"/>
    </row>
    <row r="139" spans="1:10" ht="12.75">
      <c r="A139" s="35"/>
      <c r="B139" s="35"/>
      <c r="C139" s="35"/>
      <c r="D139" s="35"/>
      <c r="E139" s="35"/>
      <c r="F139" s="35"/>
      <c r="G139" s="35"/>
      <c r="H139" s="35"/>
      <c r="I139" s="35"/>
      <c r="J139" s="35"/>
    </row>
    <row r="140" spans="1:10" ht="12.75">
      <c r="A140" s="35"/>
      <c r="B140" s="35"/>
      <c r="C140" s="35"/>
      <c r="D140" s="35"/>
      <c r="E140" s="35"/>
      <c r="F140" s="35"/>
      <c r="G140" s="35"/>
      <c r="H140" s="35"/>
      <c r="I140" s="35"/>
      <c r="J140" s="35"/>
    </row>
    <row r="141" spans="1:10" ht="12.75">
      <c r="A141" s="35"/>
      <c r="B141" s="35"/>
      <c r="C141" s="35"/>
      <c r="D141" s="35"/>
      <c r="E141" s="35"/>
      <c r="F141" s="35"/>
      <c r="G141" s="35"/>
      <c r="H141" s="35"/>
      <c r="I141" s="35"/>
      <c r="J141" s="35"/>
    </row>
    <row r="142" spans="1:10" ht="12.75">
      <c r="A142" s="35"/>
      <c r="B142" s="35"/>
      <c r="C142" s="35"/>
      <c r="D142" s="35"/>
      <c r="E142" s="35"/>
      <c r="F142" s="35"/>
      <c r="G142" s="35"/>
      <c r="H142" s="35"/>
      <c r="I142" s="35"/>
      <c r="J142" s="35"/>
    </row>
    <row r="143" spans="1:10" ht="12.75">
      <c r="A143" s="35"/>
      <c r="B143" s="35"/>
      <c r="C143" s="35"/>
      <c r="D143" s="35"/>
      <c r="E143" s="35"/>
      <c r="F143" s="35"/>
      <c r="G143" s="35"/>
      <c r="H143" s="35"/>
      <c r="I143" s="35"/>
      <c r="J143" s="35"/>
    </row>
    <row r="144" spans="1:10" ht="12.75">
      <c r="A144" s="35"/>
      <c r="B144" s="35"/>
      <c r="C144" s="35"/>
      <c r="D144" s="35"/>
      <c r="E144" s="35"/>
      <c r="F144" s="35"/>
      <c r="G144" s="35"/>
      <c r="H144" s="35"/>
      <c r="I144" s="35"/>
      <c r="J144" s="35"/>
    </row>
    <row r="145" spans="1:10" ht="12.75">
      <c r="A145" s="35"/>
      <c r="B145" s="35"/>
      <c r="C145" s="35"/>
      <c r="D145" s="35"/>
      <c r="E145" s="35"/>
      <c r="F145" s="35"/>
      <c r="G145" s="35"/>
      <c r="H145" s="35"/>
      <c r="I145" s="35"/>
      <c r="J145" s="35"/>
    </row>
    <row r="146" spans="1:10" ht="12.75">
      <c r="A146" s="35"/>
      <c r="B146" s="35"/>
      <c r="C146" s="35"/>
      <c r="D146" s="35"/>
      <c r="E146" s="35"/>
      <c r="F146" s="35"/>
      <c r="G146" s="35"/>
      <c r="H146" s="35"/>
      <c r="I146" s="35"/>
      <c r="J146" s="35"/>
    </row>
    <row r="147" spans="1:10" ht="12.75">
      <c r="A147" s="35"/>
      <c r="B147" s="35"/>
      <c r="C147" s="35"/>
      <c r="D147" s="35"/>
      <c r="E147" s="35"/>
      <c r="F147" s="35"/>
      <c r="G147" s="35"/>
      <c r="H147" s="35"/>
      <c r="I147" s="35"/>
      <c r="J147" s="35"/>
    </row>
  </sheetData>
  <mergeCells count="35">
    <mergeCell ref="G87:H87"/>
    <mergeCell ref="E88:F88"/>
    <mergeCell ref="G88:H88"/>
    <mergeCell ref="G89:H89"/>
    <mergeCell ref="G93:H93"/>
    <mergeCell ref="G94:H94"/>
    <mergeCell ref="G95:H95"/>
    <mergeCell ref="G90:H90"/>
    <mergeCell ref="G91:H91"/>
    <mergeCell ref="G92:H92"/>
    <mergeCell ref="G98:H98"/>
    <mergeCell ref="E99:F99"/>
    <mergeCell ref="G99:H99"/>
    <mergeCell ref="E97:F97"/>
    <mergeCell ref="G103:H103"/>
    <mergeCell ref="G104:H104"/>
    <mergeCell ref="G105:H105"/>
    <mergeCell ref="G100:H100"/>
    <mergeCell ref="G101:H101"/>
    <mergeCell ref="G102:H102"/>
    <mergeCell ref="G106:H106"/>
    <mergeCell ref="G108:H108"/>
    <mergeCell ref="E109:F109"/>
    <mergeCell ref="G109:H109"/>
    <mergeCell ref="G107:H107"/>
    <mergeCell ref="E75:F75"/>
    <mergeCell ref="E78:F78"/>
    <mergeCell ref="E83:F83"/>
    <mergeCell ref="E106:F106"/>
    <mergeCell ref="E103:F103"/>
    <mergeCell ref="E101:F101"/>
    <mergeCell ref="E95:F95"/>
    <mergeCell ref="E87:F87"/>
    <mergeCell ref="E93:F93"/>
    <mergeCell ref="E91:F91"/>
  </mergeCells>
  <printOptions gridLines="1"/>
  <pageMargins left="0.17" right="0.17" top="0.39" bottom="0.37" header="0.24" footer="0.17"/>
  <pageSetup fitToHeight="1" fitToWidth="1" horizontalDpi="600" verticalDpi="600" orientation="portrait" scale="74" r:id="rId1"/>
  <headerFooter alignWithMargins="0">
    <oddHeader>&amp;C&amp;"Arial,Bold"&amp;14NCSX Fabrication Project Cost and Schedule</oddHeader>
    <oddFooter xml:space="preserve">&amp;L&amp;F&amp;C&amp;"Arial,Bold"&amp;A   page &amp;P of &amp;N &amp;R &amp;D    &amp;T   </oddFooter>
  </headerFooter>
  <rowBreaks count="2" manualBreakCount="2">
    <brk id="24" max="9" man="1"/>
    <brk id="107" max="9" man="1"/>
  </rowBreaks>
</worksheet>
</file>

<file path=xl/worksheets/sheet4.xml><?xml version="1.0" encoding="utf-8"?>
<worksheet xmlns="http://schemas.openxmlformats.org/spreadsheetml/2006/main" xmlns:r="http://schemas.openxmlformats.org/officeDocument/2006/relationships">
  <sheetPr>
    <pageSetUpPr fitToPage="1"/>
  </sheetPr>
  <dimension ref="A1:Q222"/>
  <sheetViews>
    <sheetView workbookViewId="0" topLeftCell="A16">
      <selection activeCell="B10" sqref="B10"/>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ht="20.25">
      <c r="A1" s="30" t="str">
        <f>'Fab Project'!A1:E1</f>
        <v>WBS 161 LN2 Distribution System Inside Cryostat</v>
      </c>
    </row>
    <row r="3" spans="1:15" ht="18.75" thickBot="1">
      <c r="A3" s="32" t="s">
        <v>96</v>
      </c>
      <c r="B3" s="33"/>
      <c r="C3" s="33"/>
      <c r="D3" s="33"/>
      <c r="E3" s="33"/>
      <c r="F3" s="33"/>
      <c r="G3" s="33"/>
      <c r="H3" s="33"/>
      <c r="I3" s="33"/>
      <c r="J3" s="33"/>
      <c r="K3" s="33"/>
      <c r="L3" s="33"/>
      <c r="M3" s="33"/>
      <c r="N3" s="33"/>
      <c r="O3" s="33"/>
    </row>
    <row r="5" ht="12.75">
      <c r="A5" s="1" t="s">
        <v>52</v>
      </c>
    </row>
    <row r="6" spans="1:15" ht="12.75">
      <c r="A6" s="163" t="s">
        <v>168</v>
      </c>
      <c r="B6" s="163"/>
      <c r="C6" s="163"/>
      <c r="D6" s="163"/>
      <c r="E6" s="163"/>
      <c r="F6" s="163"/>
      <c r="G6" s="164" t="s">
        <v>78</v>
      </c>
      <c r="H6" s="164"/>
      <c r="I6" s="164"/>
      <c r="J6" s="164"/>
      <c r="K6" s="164"/>
      <c r="L6" s="164"/>
      <c r="M6" s="164"/>
      <c r="N6" s="164"/>
      <c r="O6" s="164"/>
    </row>
    <row r="7" spans="1:15" ht="57.75" customHeight="1">
      <c r="A7" s="163"/>
      <c r="B7" s="163"/>
      <c r="C7" s="163"/>
      <c r="D7" s="163"/>
      <c r="E7" s="163"/>
      <c r="F7" s="163"/>
      <c r="G7" s="121" t="s">
        <v>73</v>
      </c>
      <c r="H7" s="135" t="s">
        <v>6</v>
      </c>
      <c r="I7" s="135"/>
      <c r="J7" s="165" t="s">
        <v>135</v>
      </c>
      <c r="K7" s="165"/>
      <c r="L7" s="165" t="s">
        <v>81</v>
      </c>
      <c r="M7" s="165"/>
      <c r="N7" s="165" t="s">
        <v>8</v>
      </c>
      <c r="O7" s="165"/>
    </row>
    <row r="8" spans="2:17" ht="12.75">
      <c r="B8" s="10" t="s">
        <v>35</v>
      </c>
      <c r="C8" s="10" t="s">
        <v>36</v>
      </c>
      <c r="D8" s="10" t="s">
        <v>37</v>
      </c>
      <c r="E8" s="162" t="s">
        <v>74</v>
      </c>
      <c r="F8" s="162"/>
      <c r="G8" s="122"/>
      <c r="H8" s="125" t="s">
        <v>72</v>
      </c>
      <c r="I8" s="125" t="s">
        <v>44</v>
      </c>
      <c r="J8" s="125" t="s">
        <v>72</v>
      </c>
      <c r="K8" s="8" t="s">
        <v>44</v>
      </c>
      <c r="L8" s="125" t="s">
        <v>72</v>
      </c>
      <c r="M8" s="8" t="s">
        <v>44</v>
      </c>
      <c r="N8" s="125" t="s">
        <v>72</v>
      </c>
      <c r="O8" s="8" t="s">
        <v>44</v>
      </c>
      <c r="P8" s="8"/>
      <c r="Q8" s="8"/>
    </row>
    <row r="9" spans="1:14" ht="12.75">
      <c r="A9" s="1" t="s">
        <v>133</v>
      </c>
      <c r="B9" s="26"/>
      <c r="D9" s="26"/>
      <c r="G9" s="122"/>
      <c r="H9" s="122"/>
      <c r="I9" s="122"/>
      <c r="J9" s="122"/>
      <c r="L9" s="122"/>
      <c r="N9" s="122"/>
    </row>
    <row r="10" spans="1:17" ht="12.75">
      <c r="A10" s="7"/>
      <c r="B10" s="61">
        <f>B58</f>
        <v>615</v>
      </c>
      <c r="C10" s="8" t="s">
        <v>139</v>
      </c>
      <c r="D10" s="9">
        <v>1</v>
      </c>
      <c r="E10" s="20">
        <f>D10*$B10</f>
        <v>615</v>
      </c>
      <c r="F10" s="20"/>
      <c r="G10" s="123">
        <f>H10+J10+L10+N10+P10</f>
        <v>1</v>
      </c>
      <c r="H10" s="123">
        <v>0</v>
      </c>
      <c r="I10" s="127">
        <f>$E10*H10</f>
        <v>0</v>
      </c>
      <c r="J10" s="123">
        <f>B57/B58</f>
        <v>0.2</v>
      </c>
      <c r="K10" s="15">
        <f>$E10*J10</f>
        <v>123</v>
      </c>
      <c r="L10" s="123">
        <f>B56/B58</f>
        <v>0.8</v>
      </c>
      <c r="M10" s="15">
        <f>$E10*L10</f>
        <v>492</v>
      </c>
      <c r="N10" s="123">
        <v>0</v>
      </c>
      <c r="O10" s="15">
        <f>$E10*N10</f>
        <v>0</v>
      </c>
      <c r="P10" s="16"/>
      <c r="Q10" s="15"/>
    </row>
    <row r="11" spans="1:17" ht="12.75">
      <c r="A11" s="7"/>
      <c r="B11" s="28">
        <v>0</v>
      </c>
      <c r="C11" s="8" t="s">
        <v>138</v>
      </c>
      <c r="D11" s="9">
        <v>1</v>
      </c>
      <c r="E11" s="20">
        <f>D11*$B11</f>
        <v>0</v>
      </c>
      <c r="F11" s="20"/>
      <c r="G11" s="123">
        <f>H11+J11+L11+N11+P11</f>
        <v>0</v>
      </c>
      <c r="H11" s="123">
        <v>0</v>
      </c>
      <c r="I11" s="127">
        <f>$E11*H11</f>
        <v>0</v>
      </c>
      <c r="J11" s="123">
        <v>0</v>
      </c>
      <c r="K11" s="15">
        <f>$E11*J11</f>
        <v>0</v>
      </c>
      <c r="L11" s="123">
        <v>0</v>
      </c>
      <c r="M11" s="15">
        <f>$E11*L11</f>
        <v>0</v>
      </c>
      <c r="N11" s="123">
        <v>0</v>
      </c>
      <c r="O11" s="15">
        <f>$E11*N11</f>
        <v>0</v>
      </c>
      <c r="P11" s="16"/>
      <c r="Q11" s="15"/>
    </row>
    <row r="12" spans="1:17" ht="12.75">
      <c r="A12" s="7"/>
      <c r="B12" s="28">
        <v>0</v>
      </c>
      <c r="C12" s="8" t="s">
        <v>136</v>
      </c>
      <c r="D12" s="9">
        <v>1</v>
      </c>
      <c r="E12" s="20">
        <f>D12*$B12</f>
        <v>0</v>
      </c>
      <c r="F12" s="20"/>
      <c r="G12" s="123">
        <f>H12+J12+L12+N12+P12</f>
        <v>0</v>
      </c>
      <c r="H12" s="123">
        <v>0</v>
      </c>
      <c r="I12" s="127">
        <f>$E12*H12</f>
        <v>0</v>
      </c>
      <c r="J12" s="123">
        <v>0</v>
      </c>
      <c r="K12" s="15">
        <f>$E12*J12</f>
        <v>0</v>
      </c>
      <c r="L12" s="123">
        <v>0</v>
      </c>
      <c r="M12" s="15">
        <f>$E12*L12</f>
        <v>0</v>
      </c>
      <c r="N12" s="123">
        <v>0</v>
      </c>
      <c r="O12" s="15">
        <f>$E12*N12</f>
        <v>0</v>
      </c>
      <c r="P12" s="16"/>
      <c r="Q12" s="15"/>
    </row>
    <row r="13" spans="2:14" ht="12.75">
      <c r="B13" s="26"/>
      <c r="D13" s="26"/>
      <c r="E13" s="20"/>
      <c r="F13" s="20"/>
      <c r="G13" s="122"/>
      <c r="H13" s="122"/>
      <c r="I13" s="122"/>
      <c r="J13" s="122"/>
      <c r="L13" s="122"/>
      <c r="N13" s="122"/>
    </row>
    <row r="14" spans="1:17" ht="12.75">
      <c r="A14" s="12" t="s">
        <v>51</v>
      </c>
      <c r="B14" s="107">
        <f>SUM(B10:B13)</f>
        <v>615</v>
      </c>
      <c r="E14" s="21">
        <f>SUM(E10:E13)</f>
        <v>615</v>
      </c>
      <c r="F14" s="21"/>
      <c r="G14" s="122"/>
      <c r="H14" s="122"/>
      <c r="I14" s="126">
        <f>SUM(I10:I13)</f>
        <v>0</v>
      </c>
      <c r="J14" s="122"/>
      <c r="K14" s="12">
        <f>SUM(K10:K13)</f>
        <v>123</v>
      </c>
      <c r="L14" s="122"/>
      <c r="M14" s="12">
        <f>SUM(M10:M13)</f>
        <v>492</v>
      </c>
      <c r="N14" s="122"/>
      <c r="O14" s="12">
        <f>SUM(O10:O13)</f>
        <v>0</v>
      </c>
      <c r="Q14" s="12"/>
    </row>
    <row r="15" spans="1:17" ht="12.75">
      <c r="A15" s="12"/>
      <c r="E15" s="21"/>
      <c r="F15" s="21"/>
      <c r="G15" s="122"/>
      <c r="H15" s="122"/>
      <c r="I15" s="126"/>
      <c r="J15" s="122"/>
      <c r="K15" s="12"/>
      <c r="L15" s="122"/>
      <c r="M15" s="12"/>
      <c r="N15" s="122"/>
      <c r="O15" s="12"/>
      <c r="Q15" s="12"/>
    </row>
    <row r="16" spans="1:17" ht="25.5">
      <c r="A16" s="12"/>
      <c r="E16" s="21"/>
      <c r="F16" s="21"/>
      <c r="G16" s="121" t="s">
        <v>73</v>
      </c>
      <c r="H16" s="135" t="s">
        <v>6</v>
      </c>
      <c r="I16" s="135"/>
      <c r="J16" s="165" t="s">
        <v>135</v>
      </c>
      <c r="K16" s="165"/>
      <c r="L16" s="165" t="s">
        <v>81</v>
      </c>
      <c r="M16" s="165"/>
      <c r="N16" s="165" t="s">
        <v>8</v>
      </c>
      <c r="O16" s="165"/>
      <c r="Q16" s="12"/>
    </row>
    <row r="17" spans="1:15" ht="12.75">
      <c r="A17" s="1" t="s">
        <v>134</v>
      </c>
      <c r="C17" s="8"/>
      <c r="G17" s="122"/>
      <c r="H17" s="125" t="s">
        <v>72</v>
      </c>
      <c r="I17" s="125" t="s">
        <v>44</v>
      </c>
      <c r="J17" s="125" t="s">
        <v>72</v>
      </c>
      <c r="K17" s="8" t="s">
        <v>44</v>
      </c>
      <c r="L17" s="125" t="s">
        <v>72</v>
      </c>
      <c r="M17" s="8" t="s">
        <v>44</v>
      </c>
      <c r="N17" s="125" t="s">
        <v>72</v>
      </c>
      <c r="O17" s="8" t="s">
        <v>44</v>
      </c>
    </row>
    <row r="18" spans="1:15" ht="12.75">
      <c r="A18" s="6"/>
      <c r="B18" s="28">
        <v>0</v>
      </c>
      <c r="C18" s="8" t="s">
        <v>140</v>
      </c>
      <c r="D18" s="9">
        <v>1</v>
      </c>
      <c r="E18" s="15">
        <f>B18*D18</f>
        <v>0</v>
      </c>
      <c r="G18" s="123">
        <f>H18+J18+L18+N18+P18</f>
        <v>0</v>
      </c>
      <c r="H18" s="123">
        <v>0</v>
      </c>
      <c r="I18" s="127">
        <f>$E18*H18</f>
        <v>0</v>
      </c>
      <c r="J18" s="123">
        <v>0</v>
      </c>
      <c r="K18" s="15">
        <f>$E18*J18</f>
        <v>0</v>
      </c>
      <c r="L18" s="123">
        <v>0</v>
      </c>
      <c r="M18" s="15">
        <f>$E18*L18</f>
        <v>0</v>
      </c>
      <c r="N18" s="123">
        <v>0</v>
      </c>
      <c r="O18" s="15">
        <f>$E18*N18</f>
        <v>0</v>
      </c>
    </row>
    <row r="19" spans="1:15" ht="12.75">
      <c r="A19" s="6"/>
      <c r="B19" s="28">
        <v>0</v>
      </c>
      <c r="C19" s="8" t="s">
        <v>140</v>
      </c>
      <c r="D19" s="9">
        <v>1</v>
      </c>
      <c r="E19" s="15">
        <f>B19*D19</f>
        <v>0</v>
      </c>
      <c r="G19" s="123">
        <f>H19+J19+L19+N19+P19</f>
        <v>0</v>
      </c>
      <c r="H19" s="123">
        <v>0</v>
      </c>
      <c r="I19" s="127">
        <f>$E19*H19</f>
        <v>0</v>
      </c>
      <c r="J19" s="123">
        <v>0</v>
      </c>
      <c r="K19" s="15">
        <f>$E19*J19</f>
        <v>0</v>
      </c>
      <c r="L19" s="123">
        <v>0</v>
      </c>
      <c r="M19" s="15">
        <f>$E19*L19</f>
        <v>0</v>
      </c>
      <c r="N19" s="123">
        <v>0</v>
      </c>
      <c r="O19" s="15">
        <f>$E19*N19</f>
        <v>0</v>
      </c>
    </row>
    <row r="20" spans="1:17" ht="12.75">
      <c r="A20" s="7"/>
      <c r="B20" s="28">
        <v>0</v>
      </c>
      <c r="C20" s="8" t="s">
        <v>137</v>
      </c>
      <c r="D20" s="9">
        <v>1</v>
      </c>
      <c r="E20" s="15">
        <f>B20*D20</f>
        <v>0</v>
      </c>
      <c r="G20" s="123">
        <f>H20+J20+L20+N20+P20</f>
        <v>0</v>
      </c>
      <c r="H20" s="123">
        <v>0</v>
      </c>
      <c r="I20" s="127">
        <f>$E20*H20</f>
        <v>0</v>
      </c>
      <c r="J20" s="123">
        <v>0</v>
      </c>
      <c r="K20" s="15">
        <f>$E20*J20</f>
        <v>0</v>
      </c>
      <c r="L20" s="123">
        <v>0</v>
      </c>
      <c r="M20" s="15">
        <f>$E20*L20</f>
        <v>0</v>
      </c>
      <c r="N20" s="123">
        <v>0</v>
      </c>
      <c r="O20" s="15">
        <f>$E20*N20</f>
        <v>0</v>
      </c>
      <c r="P20" s="16"/>
      <c r="Q20" s="15"/>
    </row>
    <row r="21" spans="1:17" ht="12.75">
      <c r="A21" s="7"/>
      <c r="B21" s="28">
        <v>0</v>
      </c>
      <c r="C21" s="8" t="s">
        <v>74</v>
      </c>
      <c r="D21" s="9">
        <v>1</v>
      </c>
      <c r="E21" s="15">
        <f>B21*D21</f>
        <v>0</v>
      </c>
      <c r="G21" s="123">
        <f>H21+J21+L21+N21+P21</f>
        <v>0</v>
      </c>
      <c r="H21" s="123">
        <v>0</v>
      </c>
      <c r="I21" s="127">
        <f>$E21*H21</f>
        <v>0</v>
      </c>
      <c r="J21" s="123"/>
      <c r="K21" s="15">
        <f>$E21*J21</f>
        <v>0</v>
      </c>
      <c r="L21" s="123">
        <v>0</v>
      </c>
      <c r="M21" s="15">
        <f>$E21*L21</f>
        <v>0</v>
      </c>
      <c r="N21" s="123">
        <v>0</v>
      </c>
      <c r="O21" s="15">
        <f>$E21*N21</f>
        <v>0</v>
      </c>
      <c r="P21" s="16"/>
      <c r="Q21" s="15"/>
    </row>
    <row r="22" spans="2:14" ht="12.75">
      <c r="B22" s="15"/>
      <c r="G22" s="122"/>
      <c r="H22" s="122"/>
      <c r="I22" s="122"/>
      <c r="J22" s="122"/>
      <c r="L22" s="122"/>
      <c r="N22" s="122"/>
    </row>
    <row r="23" spans="1:17" ht="12.75">
      <c r="A23" s="12" t="s">
        <v>51</v>
      </c>
      <c r="B23" s="15">
        <f>SUM(B18:B22)</f>
        <v>0</v>
      </c>
      <c r="E23" s="15">
        <f>SUM(E18:E22)</f>
        <v>0</v>
      </c>
      <c r="F23" s="4"/>
      <c r="G23" s="122"/>
      <c r="H23" s="122"/>
      <c r="I23" s="129">
        <f>SUM(I18:I22)</f>
        <v>0</v>
      </c>
      <c r="J23" s="122"/>
      <c r="K23" s="4">
        <f>SUM(K18:K22)</f>
        <v>0</v>
      </c>
      <c r="L23" s="122"/>
      <c r="M23" s="4">
        <f>SUM(M18:M22)</f>
        <v>0</v>
      </c>
      <c r="N23" s="122"/>
      <c r="O23" s="4">
        <f>SUM(O18:O22)</f>
        <v>0</v>
      </c>
      <c r="Q23" s="12"/>
    </row>
    <row r="24" spans="7:9" ht="12.75">
      <c r="G24" s="122"/>
      <c r="H24" s="122"/>
      <c r="I24" s="122"/>
    </row>
    <row r="25" spans="1:15" ht="12.75" hidden="1">
      <c r="A25" s="35"/>
      <c r="B25" s="35"/>
      <c r="C25" s="35"/>
      <c r="D25" s="35"/>
      <c r="E25" s="35"/>
      <c r="F25" s="35"/>
      <c r="G25" s="35"/>
      <c r="H25" s="35"/>
      <c r="I25" s="35"/>
      <c r="J25" s="35"/>
      <c r="K25" s="35"/>
      <c r="L25" s="35"/>
      <c r="M25" s="35"/>
      <c r="N25" s="35"/>
      <c r="O25" s="35"/>
    </row>
    <row r="26" spans="1:15" ht="12.75" hidden="1">
      <c r="A26" s="50"/>
      <c r="B26" s="47"/>
      <c r="C26" s="84"/>
      <c r="D26" s="47"/>
      <c r="E26" s="35"/>
      <c r="F26" s="35"/>
      <c r="G26" s="35"/>
      <c r="H26" s="35"/>
      <c r="I26" s="35"/>
      <c r="J26" s="35"/>
      <c r="K26" s="35"/>
      <c r="L26" s="35"/>
      <c r="M26" s="35"/>
      <c r="N26" s="35"/>
      <c r="O26" s="35"/>
    </row>
    <row r="27" spans="1:15" ht="12.75">
      <c r="A27" s="1" t="s">
        <v>169</v>
      </c>
      <c r="E27" s="50"/>
      <c r="F27" s="50"/>
      <c r="G27" s="50"/>
      <c r="H27" s="50"/>
      <c r="I27" s="50"/>
      <c r="J27" s="50"/>
      <c r="K27" s="136"/>
      <c r="L27" s="136"/>
      <c r="M27" s="136"/>
      <c r="N27" s="136"/>
      <c r="O27" s="35"/>
    </row>
    <row r="28" spans="5:15" ht="12.75">
      <c r="E28" s="50"/>
      <c r="F28" s="50"/>
      <c r="G28" s="50"/>
      <c r="H28" s="50"/>
      <c r="I28" s="50"/>
      <c r="J28" s="50"/>
      <c r="K28" s="35"/>
      <c r="L28" s="35"/>
      <c r="M28" s="35"/>
      <c r="N28" s="35"/>
      <c r="O28" s="35"/>
    </row>
    <row r="29" spans="1:15" ht="12.75">
      <c r="A29" s="1" t="s">
        <v>187</v>
      </c>
      <c r="E29" s="50"/>
      <c r="K29" s="43"/>
      <c r="L29" s="42"/>
      <c r="M29" s="35"/>
      <c r="N29" s="35"/>
      <c r="O29" s="35"/>
    </row>
    <row r="30" spans="1:15" ht="12.75">
      <c r="A30" t="s">
        <v>188</v>
      </c>
      <c r="B30">
        <v>3</v>
      </c>
      <c r="C30" t="s">
        <v>154</v>
      </c>
      <c r="D30" s="29"/>
      <c r="E30" s="50"/>
      <c r="K30" s="43"/>
      <c r="L30" s="42"/>
      <c r="M30" s="35"/>
      <c r="N30" s="35"/>
      <c r="O30" s="35"/>
    </row>
    <row r="31" spans="2:15" ht="12.75">
      <c r="B31" t="s">
        <v>193</v>
      </c>
      <c r="C31" s="8" t="s">
        <v>190</v>
      </c>
      <c r="D31" s="50" t="s">
        <v>192</v>
      </c>
      <c r="E31" t="s">
        <v>195</v>
      </c>
      <c r="F31" s="29" t="s">
        <v>196</v>
      </c>
      <c r="G31" s="29" t="s">
        <v>197</v>
      </c>
      <c r="H31" s="29" t="s">
        <v>198</v>
      </c>
      <c r="I31" s="29" t="s">
        <v>199</v>
      </c>
      <c r="J31" s="29" t="s">
        <v>200</v>
      </c>
      <c r="K31" s="43"/>
      <c r="L31" s="42"/>
      <c r="M31" s="35"/>
      <c r="N31" s="35"/>
      <c r="O31" s="35"/>
    </row>
    <row r="32" spans="1:15" ht="12.75">
      <c r="A32" t="s">
        <v>189</v>
      </c>
      <c r="B32" s="23">
        <f>SUM(C32:E32)</f>
        <v>38</v>
      </c>
      <c r="C32" s="8">
        <v>18</v>
      </c>
      <c r="D32" s="100">
        <v>18</v>
      </c>
      <c r="E32" s="47">
        <v>2</v>
      </c>
      <c r="F32" s="100">
        <v>2</v>
      </c>
      <c r="G32" s="100">
        <v>2</v>
      </c>
      <c r="H32" s="3">
        <v>2</v>
      </c>
      <c r="I32" s="3">
        <v>2</v>
      </c>
      <c r="J32" s="2">
        <v>2</v>
      </c>
      <c r="K32" s="43"/>
      <c r="L32" s="42"/>
      <c r="M32" s="35"/>
      <c r="N32" s="35"/>
      <c r="O32" s="35"/>
    </row>
    <row r="33" spans="1:15" ht="12.75">
      <c r="A33" t="s">
        <v>194</v>
      </c>
      <c r="B33" s="23"/>
      <c r="C33" s="8">
        <v>1</v>
      </c>
      <c r="D33" s="110">
        <v>8</v>
      </c>
      <c r="E33" s="47">
        <v>0.5</v>
      </c>
      <c r="F33" s="8">
        <v>0.5</v>
      </c>
      <c r="G33" s="8">
        <v>0.5</v>
      </c>
      <c r="H33" s="3">
        <v>0.5</v>
      </c>
      <c r="I33" s="3">
        <v>0.5</v>
      </c>
      <c r="J33" s="65">
        <v>0.5</v>
      </c>
      <c r="K33" s="43"/>
      <c r="L33" s="42"/>
      <c r="M33" s="35"/>
      <c r="N33" s="35"/>
      <c r="O33" s="35"/>
    </row>
    <row r="34" spans="1:15" ht="12.75">
      <c r="A34" t="s">
        <v>201</v>
      </c>
      <c r="B34" s="23">
        <f>SUM(C34:J34)</f>
        <v>168</v>
      </c>
      <c r="C34" s="8">
        <f aca="true" t="shared" si="0" ref="C34:J34">C33*C32</f>
        <v>18</v>
      </c>
      <c r="D34" s="8">
        <f t="shared" si="0"/>
        <v>144</v>
      </c>
      <c r="E34" s="8">
        <f t="shared" si="0"/>
        <v>1</v>
      </c>
      <c r="F34" s="8">
        <f t="shared" si="0"/>
        <v>1</v>
      </c>
      <c r="G34" s="8">
        <f t="shared" si="0"/>
        <v>1</v>
      </c>
      <c r="H34" s="8">
        <f t="shared" si="0"/>
        <v>1</v>
      </c>
      <c r="I34" s="8">
        <f t="shared" si="0"/>
        <v>1</v>
      </c>
      <c r="J34" s="8">
        <f t="shared" si="0"/>
        <v>1</v>
      </c>
      <c r="K34" s="43"/>
      <c r="L34" s="42"/>
      <c r="M34" s="35"/>
      <c r="N34" s="35"/>
      <c r="O34" s="35"/>
    </row>
    <row r="35" spans="1:15" ht="12.75">
      <c r="A35" t="s">
        <v>191</v>
      </c>
      <c r="B35" s="8">
        <f>2*B34</f>
        <v>336</v>
      </c>
      <c r="C35" t="s">
        <v>202</v>
      </c>
      <c r="D35" s="3"/>
      <c r="E35" s="50"/>
      <c r="H35" s="93"/>
      <c r="I35" s="93"/>
      <c r="J35" s="67"/>
      <c r="K35" s="43"/>
      <c r="L35" s="42"/>
      <c r="M35" s="35"/>
      <c r="N35" s="35"/>
      <c r="O35" s="35"/>
    </row>
    <row r="36" spans="1:15" ht="12.75" hidden="1">
      <c r="A36" s="50"/>
      <c r="B36" s="50"/>
      <c r="C36" s="50"/>
      <c r="D36" s="50"/>
      <c r="E36" s="50"/>
      <c r="H36" s="22"/>
      <c r="I36" s="29"/>
      <c r="J36" s="68"/>
      <c r="K36" s="43"/>
      <c r="L36" s="42"/>
      <c r="M36" s="35"/>
      <c r="N36" s="35"/>
      <c r="O36" s="35"/>
    </row>
    <row r="37" spans="1:15" ht="12.75">
      <c r="A37" s="50"/>
      <c r="B37" s="50"/>
      <c r="C37" s="50"/>
      <c r="D37" s="50"/>
      <c r="E37" s="50"/>
      <c r="H37" s="22"/>
      <c r="I37" s="29"/>
      <c r="J37" s="68"/>
      <c r="K37" s="43"/>
      <c r="L37" s="42"/>
      <c r="M37" s="35"/>
      <c r="N37" s="35"/>
      <c r="O37" s="35"/>
    </row>
    <row r="38" spans="1:15" ht="12.75">
      <c r="A38" s="50" t="s">
        <v>157</v>
      </c>
      <c r="B38" s="50"/>
      <c r="C38" s="50"/>
      <c r="D38" s="50"/>
      <c r="E38" s="50"/>
      <c r="H38" s="22"/>
      <c r="I38" s="29"/>
      <c r="J38" s="68"/>
      <c r="K38" s="43"/>
      <c r="L38" s="42"/>
      <c r="M38" s="35"/>
      <c r="N38" s="35"/>
      <c r="O38" s="35"/>
    </row>
    <row r="39" spans="1:15" ht="12.75">
      <c r="A39" s="52" t="s">
        <v>249</v>
      </c>
      <c r="B39" s="50"/>
      <c r="C39" s="50"/>
      <c r="D39" s="50"/>
      <c r="E39" s="50"/>
      <c r="H39" s="22"/>
      <c r="I39" s="96"/>
      <c r="J39" s="7"/>
      <c r="K39" s="43"/>
      <c r="L39" s="42"/>
      <c r="M39" s="35"/>
      <c r="N39" s="35"/>
      <c r="O39" s="35"/>
    </row>
    <row r="40" spans="1:15" ht="12.75">
      <c r="A40" s="52" t="s">
        <v>205</v>
      </c>
      <c r="B40" s="50"/>
      <c r="C40" s="50"/>
      <c r="D40" s="50"/>
      <c r="E40" s="50"/>
      <c r="H40" s="22"/>
      <c r="I40" s="96"/>
      <c r="J40" s="72"/>
      <c r="K40" s="43"/>
      <c r="L40" s="42"/>
      <c r="M40" s="35"/>
      <c r="N40" s="35"/>
      <c r="O40" s="35"/>
    </row>
    <row r="41" spans="1:17" ht="12.75">
      <c r="A41" s="52" t="s">
        <v>206</v>
      </c>
      <c r="B41" s="50"/>
      <c r="C41" s="50"/>
      <c r="D41" s="50"/>
      <c r="E41" s="50"/>
      <c r="H41" s="22"/>
      <c r="I41" s="96"/>
      <c r="J41" s="72"/>
      <c r="K41" s="43"/>
      <c r="L41" s="42"/>
      <c r="M41" s="35"/>
      <c r="N41" s="35"/>
      <c r="O41" s="35"/>
      <c r="P41" s="43"/>
      <c r="Q41" s="35"/>
    </row>
    <row r="42" spans="1:17" ht="12.75" hidden="1">
      <c r="A42" s="52"/>
      <c r="B42" s="50"/>
      <c r="C42" s="50"/>
      <c r="D42" s="50"/>
      <c r="E42" s="50"/>
      <c r="H42" s="22"/>
      <c r="I42" s="35"/>
      <c r="J42" s="35"/>
      <c r="K42" s="43"/>
      <c r="L42" s="42"/>
      <c r="M42" s="43"/>
      <c r="N42" s="43"/>
      <c r="O42" s="43"/>
      <c r="P42" s="43"/>
      <c r="Q42" s="35"/>
    </row>
    <row r="43" spans="1:17" ht="12.75" hidden="1">
      <c r="A43" s="52"/>
      <c r="B43" s="50"/>
      <c r="C43" s="50"/>
      <c r="D43" s="50"/>
      <c r="E43" s="50"/>
      <c r="H43" s="35"/>
      <c r="I43" s="35"/>
      <c r="J43" s="35"/>
      <c r="K43" s="43"/>
      <c r="L43" s="42"/>
      <c r="M43" s="43"/>
      <c r="N43" s="43"/>
      <c r="O43" s="43"/>
      <c r="P43" s="43"/>
      <c r="Q43" s="35"/>
    </row>
    <row r="44" spans="1:17" ht="12.75">
      <c r="A44" t="s">
        <v>177</v>
      </c>
      <c r="B44" s="15">
        <f>(2/3)*2.3*PI()*39.37/12</f>
        <v>15.804130909733852</v>
      </c>
      <c r="C44" t="s">
        <v>154</v>
      </c>
      <c r="D44" s="29"/>
      <c r="E44" s="50"/>
      <c r="H44" s="35"/>
      <c r="I44" s="35"/>
      <c r="J44" s="35"/>
      <c r="K44" s="43"/>
      <c r="L44" s="42"/>
      <c r="M44" s="43"/>
      <c r="N44" s="43"/>
      <c r="O44" s="43"/>
      <c r="P44" s="43"/>
      <c r="Q44" s="35"/>
    </row>
    <row r="45" spans="1:17" ht="12.75">
      <c r="A45" t="s">
        <v>208</v>
      </c>
      <c r="B45" s="15">
        <v>9</v>
      </c>
      <c r="C45" t="s">
        <v>154</v>
      </c>
      <c r="D45" s="29"/>
      <c r="E45" s="50"/>
      <c r="H45" s="35"/>
      <c r="I45" s="35"/>
      <c r="J45" s="35"/>
      <c r="K45" s="43"/>
      <c r="L45" s="42"/>
      <c r="M45" s="43"/>
      <c r="N45" s="43"/>
      <c r="O45" s="43"/>
      <c r="P45" s="43"/>
      <c r="Q45" s="35"/>
    </row>
    <row r="46" spans="1:17" ht="12.75">
      <c r="A46" t="s">
        <v>178</v>
      </c>
      <c r="B46" s="15">
        <v>3</v>
      </c>
      <c r="D46" s="29"/>
      <c r="E46" s="50"/>
      <c r="H46" s="35"/>
      <c r="I46" s="35"/>
      <c r="J46" s="35"/>
      <c r="K46" s="43"/>
      <c r="L46" s="42"/>
      <c r="M46" s="43"/>
      <c r="N46" s="43"/>
      <c r="O46" s="43"/>
      <c r="P46" s="43"/>
      <c r="Q46" s="35"/>
    </row>
    <row r="47" spans="1:17" ht="12.75">
      <c r="A47" t="s">
        <v>155</v>
      </c>
      <c r="B47" s="25">
        <v>15</v>
      </c>
      <c r="C47" t="s">
        <v>207</v>
      </c>
      <c r="D47" s="3"/>
      <c r="E47" s="50"/>
      <c r="H47" s="35"/>
      <c r="I47" s="35"/>
      <c r="J47" s="35"/>
      <c r="K47" s="43"/>
      <c r="L47" s="42"/>
      <c r="M47" s="43"/>
      <c r="N47" s="43"/>
      <c r="O47" s="43"/>
      <c r="P47" s="43"/>
      <c r="Q47" s="35"/>
    </row>
    <row r="48" spans="1:17" ht="12.75">
      <c r="A48" t="s">
        <v>156</v>
      </c>
      <c r="B48" s="25">
        <f>B47*B46*(B44+B45)*2</f>
        <v>2232.3717818760465</v>
      </c>
      <c r="D48" s="3"/>
      <c r="E48" s="50"/>
      <c r="H48" s="35"/>
      <c r="I48" s="35"/>
      <c r="J48" s="35"/>
      <c r="K48" s="43"/>
      <c r="L48" s="42"/>
      <c r="M48" s="43"/>
      <c r="N48" s="43"/>
      <c r="O48" s="43"/>
      <c r="P48" s="43"/>
      <c r="Q48" s="35"/>
    </row>
    <row r="49" spans="1:17" ht="25.5">
      <c r="A49" s="7" t="s">
        <v>182</v>
      </c>
      <c r="B49" s="15">
        <f>B35*2*1.25</f>
        <v>840</v>
      </c>
      <c r="D49" s="3"/>
      <c r="E49" s="50"/>
      <c r="H49" s="35"/>
      <c r="I49" s="35"/>
      <c r="J49" s="35"/>
      <c r="K49" s="43"/>
      <c r="L49" s="42"/>
      <c r="M49" s="43"/>
      <c r="N49" s="43"/>
      <c r="O49" s="43"/>
      <c r="P49" s="43"/>
      <c r="Q49" s="35"/>
    </row>
    <row r="50" spans="1:17" ht="12.75">
      <c r="A50" t="s">
        <v>158</v>
      </c>
      <c r="B50">
        <v>0.5</v>
      </c>
      <c r="C50" t="s">
        <v>164</v>
      </c>
      <c r="D50" s="90"/>
      <c r="H50" s="35"/>
      <c r="I50" s="35"/>
      <c r="J50" s="35"/>
      <c r="K50" s="43"/>
      <c r="L50" s="42"/>
      <c r="M50" s="43"/>
      <c r="N50" s="43"/>
      <c r="O50" s="43"/>
      <c r="P50" s="43"/>
      <c r="Q50" s="35"/>
    </row>
    <row r="51" spans="1:17" ht="12.75">
      <c r="A51" t="s">
        <v>162</v>
      </c>
      <c r="B51">
        <v>0.5</v>
      </c>
      <c r="C51" t="s">
        <v>163</v>
      </c>
      <c r="D51" s="91"/>
      <c r="E51" s="42"/>
      <c r="F51" s="43"/>
      <c r="G51" s="42"/>
      <c r="H51" s="44"/>
      <c r="I51" s="42"/>
      <c r="J51" s="46"/>
      <c r="K51" s="43"/>
      <c r="L51" s="42"/>
      <c r="M51" s="43"/>
      <c r="N51" s="43"/>
      <c r="O51" s="43"/>
      <c r="P51" s="43"/>
      <c r="Q51" s="35"/>
    </row>
    <row r="52" spans="1:17" ht="12.75">
      <c r="A52" t="s">
        <v>159</v>
      </c>
      <c r="B52">
        <v>2</v>
      </c>
      <c r="D52" s="91"/>
      <c r="E52" s="42"/>
      <c r="F52" s="43"/>
      <c r="G52" s="42"/>
      <c r="H52" s="44"/>
      <c r="I52" s="42"/>
      <c r="J52" s="46"/>
      <c r="K52" s="43"/>
      <c r="L52" s="42"/>
      <c r="M52" s="43"/>
      <c r="N52" s="43"/>
      <c r="O52" s="43"/>
      <c r="P52" s="43"/>
      <c r="Q52" s="35"/>
    </row>
    <row r="53" spans="1:17" ht="12.75">
      <c r="A53" t="s">
        <v>209</v>
      </c>
      <c r="B53">
        <v>2</v>
      </c>
      <c r="C53" t="s">
        <v>211</v>
      </c>
      <c r="D53" s="91"/>
      <c r="E53" s="42"/>
      <c r="F53" s="43"/>
      <c r="G53" s="42"/>
      <c r="H53" s="44"/>
      <c r="I53" s="42"/>
      <c r="J53" s="46"/>
      <c r="K53" s="43"/>
      <c r="L53" s="42"/>
      <c r="M53" s="43"/>
      <c r="N53" s="43"/>
      <c r="O53" s="43"/>
      <c r="P53" s="55"/>
      <c r="Q53" s="35"/>
    </row>
    <row r="54" spans="1:15" ht="12.75">
      <c r="A54" t="s">
        <v>210</v>
      </c>
      <c r="B54">
        <v>2</v>
      </c>
      <c r="C54" t="s">
        <v>211</v>
      </c>
      <c r="D54" s="91"/>
      <c r="E54" s="42"/>
      <c r="F54" s="43"/>
      <c r="G54" s="42"/>
      <c r="H54" s="44"/>
      <c r="I54" s="42"/>
      <c r="J54" s="46"/>
      <c r="K54" s="43"/>
      <c r="L54" s="42"/>
      <c r="M54" s="55"/>
      <c r="N54" s="55"/>
      <c r="O54" s="55"/>
    </row>
    <row r="55" spans="1:15" ht="12.75">
      <c r="A55" t="s">
        <v>160</v>
      </c>
      <c r="B55" s="15">
        <f>B52*B51*2*B46+B49*B50/8+B54*B53*B46*2/8</f>
        <v>61.5</v>
      </c>
      <c r="D55" s="93"/>
      <c r="E55" s="42"/>
      <c r="F55" s="43"/>
      <c r="G55" s="42"/>
      <c r="H55" s="44"/>
      <c r="I55" s="42"/>
      <c r="J55" s="46"/>
      <c r="K55" s="43"/>
      <c r="L55" s="42"/>
      <c r="M55" s="35"/>
      <c r="N55" s="35"/>
      <c r="O55" s="35"/>
    </row>
    <row r="56" spans="1:15" ht="12.75">
      <c r="A56" t="s">
        <v>161</v>
      </c>
      <c r="B56" s="36">
        <f>B55*8</f>
        <v>492</v>
      </c>
      <c r="C56" t="s">
        <v>74</v>
      </c>
      <c r="D56" s="35"/>
      <c r="E56" s="44"/>
      <c r="F56" s="169"/>
      <c r="G56" s="169"/>
      <c r="H56" s="137"/>
      <c r="I56" s="137"/>
      <c r="J56" s="46"/>
      <c r="K56" s="169"/>
      <c r="L56" s="169"/>
      <c r="M56" s="35"/>
      <c r="N56" s="35"/>
      <c r="O56" s="35"/>
    </row>
    <row r="57" spans="1:15" ht="12.75">
      <c r="A57" t="s">
        <v>150</v>
      </c>
      <c r="B57" s="36">
        <f>B56/4</f>
        <v>123</v>
      </c>
      <c r="C57" t="s">
        <v>44</v>
      </c>
      <c r="D57" s="35"/>
      <c r="E57" s="46"/>
      <c r="F57" s="138"/>
      <c r="G57" s="138"/>
      <c r="H57" s="137"/>
      <c r="I57" s="137"/>
      <c r="J57" s="46"/>
      <c r="K57" s="46"/>
      <c r="L57" s="46"/>
      <c r="M57" s="35"/>
      <c r="N57" s="35"/>
      <c r="O57" s="35"/>
    </row>
    <row r="58" spans="1:15" ht="12.75">
      <c r="A58" s="40" t="s">
        <v>212</v>
      </c>
      <c r="B58" s="81">
        <f>B56+B57</f>
        <v>615</v>
      </c>
      <c r="C58" s="40" t="s">
        <v>44</v>
      </c>
      <c r="D58" s="35"/>
      <c r="E58" s="44"/>
      <c r="F58" s="45"/>
      <c r="G58" s="45"/>
      <c r="H58" s="137"/>
      <c r="I58" s="137"/>
      <c r="J58" s="46"/>
      <c r="K58" s="46"/>
      <c r="L58" s="46"/>
      <c r="M58" s="174"/>
      <c r="N58" s="174"/>
      <c r="O58" s="35"/>
    </row>
    <row r="59" spans="13:15" ht="12.75">
      <c r="M59" s="44"/>
      <c r="N59" s="42"/>
      <c r="O59" s="35"/>
    </row>
    <row r="60" spans="13:15" ht="12.75">
      <c r="M60" s="44"/>
      <c r="N60" s="42"/>
      <c r="O60" s="35"/>
    </row>
    <row r="61" spans="13:15" ht="12.75">
      <c r="M61" s="44"/>
      <c r="N61" s="42"/>
      <c r="O61" s="35"/>
    </row>
    <row r="62" spans="13:15" ht="12.75">
      <c r="M62" s="43"/>
      <c r="N62" s="42"/>
      <c r="O62" s="35"/>
    </row>
    <row r="63" spans="13:15" ht="12.75">
      <c r="M63" s="44"/>
      <c r="N63" s="42"/>
      <c r="O63" s="35"/>
    </row>
    <row r="64" spans="13:15" ht="12.75">
      <c r="M64" s="44"/>
      <c r="N64" s="42"/>
      <c r="O64" s="35"/>
    </row>
    <row r="65" spans="13:15" ht="12.75">
      <c r="M65" s="44"/>
      <c r="N65" s="42"/>
      <c r="O65" s="35"/>
    </row>
    <row r="66" spans="13:15" ht="12.75">
      <c r="M66" s="44"/>
      <c r="N66" s="42"/>
      <c r="O66" s="35"/>
    </row>
    <row r="67" spans="13:15" ht="12.75">
      <c r="M67" s="44"/>
      <c r="N67" s="42"/>
      <c r="O67" s="35"/>
    </row>
    <row r="68" spans="13:15" ht="12.75">
      <c r="M68" s="44"/>
      <c r="N68" s="42"/>
      <c r="O68" s="35"/>
    </row>
    <row r="69" spans="13:15" ht="12.75">
      <c r="M69" s="44"/>
      <c r="N69" s="42"/>
      <c r="O69" s="35"/>
    </row>
    <row r="70" spans="13:15" ht="12.75">
      <c r="M70" s="44"/>
      <c r="N70" s="42"/>
      <c r="O70" s="35"/>
    </row>
    <row r="71" spans="13:15" ht="12.75">
      <c r="M71" s="44"/>
      <c r="N71" s="42"/>
      <c r="O71" s="35"/>
    </row>
    <row r="72" spans="13:15" ht="12.75">
      <c r="M72" s="44"/>
      <c r="N72" s="42"/>
      <c r="O72" s="35"/>
    </row>
    <row r="73" spans="13:15" ht="12.75">
      <c r="M73" s="44"/>
      <c r="N73" s="42"/>
      <c r="O73" s="35"/>
    </row>
    <row r="74" spans="13:15" ht="12.75">
      <c r="M74" s="137"/>
      <c r="N74" s="137"/>
      <c r="O74" s="35"/>
    </row>
    <row r="75" spans="13:15" ht="12.75">
      <c r="M75" s="46"/>
      <c r="N75" s="46"/>
      <c r="O75" s="35"/>
    </row>
    <row r="76" spans="13:15" ht="12.75">
      <c r="M76" s="46"/>
      <c r="N76" s="46"/>
      <c r="O76" s="35"/>
    </row>
    <row r="77" spans="13:15" ht="12.75">
      <c r="M77" s="137"/>
      <c r="N77" s="137"/>
      <c r="O77" s="35"/>
    </row>
    <row r="78" spans="13:15" ht="12.75">
      <c r="M78" s="44"/>
      <c r="N78" s="44"/>
      <c r="O78" s="35"/>
    </row>
    <row r="79" spans="1:15" ht="12.75">
      <c r="A79" s="40"/>
      <c r="B79" s="40"/>
      <c r="C79" s="50"/>
      <c r="D79" s="35"/>
      <c r="E79" s="44"/>
      <c r="F79" s="45"/>
      <c r="G79" s="45"/>
      <c r="H79" s="44"/>
      <c r="I79" s="44"/>
      <c r="J79" s="46"/>
      <c r="K79" s="45"/>
      <c r="L79" s="45"/>
      <c r="M79" s="44"/>
      <c r="N79" s="44"/>
      <c r="O79" s="35"/>
    </row>
    <row r="80" spans="1:15" ht="12.75">
      <c r="A80" s="40"/>
      <c r="B80" s="35"/>
      <c r="C80" s="35"/>
      <c r="D80" s="35"/>
      <c r="E80" s="35"/>
      <c r="F80" s="35"/>
      <c r="G80" s="35"/>
      <c r="H80" s="35"/>
      <c r="I80" s="35"/>
      <c r="J80" s="35"/>
      <c r="K80" s="35"/>
      <c r="L80" s="35"/>
      <c r="M80" s="35"/>
      <c r="N80" s="35"/>
      <c r="O80" s="35"/>
    </row>
    <row r="81" spans="1:15" ht="12.75">
      <c r="A81" s="40"/>
      <c r="B81" s="50"/>
      <c r="C81" s="35"/>
      <c r="D81" s="35"/>
      <c r="E81" s="85"/>
      <c r="F81" s="168"/>
      <c r="G81" s="168"/>
      <c r="H81" s="139"/>
      <c r="I81" s="139"/>
      <c r="J81" s="35"/>
      <c r="K81" s="35"/>
      <c r="L81" s="35"/>
      <c r="M81" s="35"/>
      <c r="N81" s="35"/>
      <c r="O81" s="35"/>
    </row>
    <row r="82" spans="1:15" ht="12.75">
      <c r="A82" s="40"/>
      <c r="B82" s="50"/>
      <c r="C82" s="35"/>
      <c r="D82" s="35"/>
      <c r="E82" s="85"/>
      <c r="F82" s="168"/>
      <c r="G82" s="168"/>
      <c r="H82" s="139"/>
      <c r="I82" s="139"/>
      <c r="J82" s="35"/>
      <c r="K82" s="35"/>
      <c r="L82" s="35"/>
      <c r="M82" s="35"/>
      <c r="N82" s="35"/>
      <c r="O82" s="35"/>
    </row>
    <row r="83" spans="1:15" ht="12.75">
      <c r="A83" s="40"/>
      <c r="B83" s="50"/>
      <c r="C83" s="35"/>
      <c r="D83" s="35"/>
      <c r="E83" s="42"/>
      <c r="F83" s="43"/>
      <c r="G83" s="42"/>
      <c r="H83" s="44"/>
      <c r="I83" s="42"/>
      <c r="J83" s="35"/>
      <c r="K83" s="35"/>
      <c r="L83" s="35"/>
      <c r="M83" s="35"/>
      <c r="N83" s="35"/>
      <c r="O83" s="35"/>
    </row>
    <row r="84" spans="1:15" ht="12.75">
      <c r="A84" s="40"/>
      <c r="B84" s="50"/>
      <c r="C84" s="35"/>
      <c r="D84" s="35"/>
      <c r="E84" s="42"/>
      <c r="F84" s="43"/>
      <c r="G84" s="42"/>
      <c r="H84" s="44"/>
      <c r="I84" s="42"/>
      <c r="J84" s="35"/>
      <c r="K84" s="35"/>
      <c r="L84" s="35"/>
      <c r="M84" s="35"/>
      <c r="N84" s="35"/>
      <c r="O84" s="35"/>
    </row>
    <row r="85" spans="1:15" ht="12.75">
      <c r="A85" s="40"/>
      <c r="B85" s="50"/>
      <c r="C85" s="35"/>
      <c r="D85" s="35"/>
      <c r="E85" s="42"/>
      <c r="F85" s="43"/>
      <c r="G85" s="42"/>
      <c r="H85" s="44"/>
      <c r="I85" s="42"/>
      <c r="J85" s="35"/>
      <c r="K85" s="35"/>
      <c r="L85" s="35"/>
      <c r="M85" s="35"/>
      <c r="N85" s="35"/>
      <c r="O85" s="35"/>
    </row>
    <row r="86" spans="1:15" ht="12.75">
      <c r="A86" s="74"/>
      <c r="B86" s="35"/>
      <c r="C86" s="35"/>
      <c r="D86" s="35"/>
      <c r="E86" s="42"/>
      <c r="F86" s="43"/>
      <c r="G86" s="42"/>
      <c r="H86" s="44"/>
      <c r="I86" s="42"/>
      <c r="J86" s="35"/>
      <c r="K86" s="35"/>
      <c r="L86" s="35"/>
      <c r="M86" s="35"/>
      <c r="N86" s="35"/>
      <c r="O86" s="35"/>
    </row>
    <row r="87" spans="1:15" ht="12.75">
      <c r="A87" s="74"/>
      <c r="B87" s="74"/>
      <c r="C87" s="35"/>
      <c r="D87" s="35"/>
      <c r="E87" s="42"/>
      <c r="F87" s="43"/>
      <c r="G87" s="42"/>
      <c r="H87" s="44"/>
      <c r="I87" s="42"/>
      <c r="J87" s="35"/>
      <c r="K87" s="35"/>
      <c r="L87" s="35"/>
      <c r="M87" s="35"/>
      <c r="N87" s="35"/>
      <c r="O87" s="35"/>
    </row>
    <row r="88" spans="1:15" ht="12.75">
      <c r="A88" s="74"/>
      <c r="B88" s="74"/>
      <c r="C88" s="35"/>
      <c r="D88" s="35"/>
      <c r="E88" s="42"/>
      <c r="F88" s="43"/>
      <c r="G88" s="42"/>
      <c r="H88" s="44"/>
      <c r="I88" s="42"/>
      <c r="J88" s="35"/>
      <c r="K88" s="35"/>
      <c r="L88" s="35"/>
      <c r="M88" s="35"/>
      <c r="N88" s="35"/>
      <c r="O88" s="35"/>
    </row>
    <row r="89" spans="1:15" ht="12.75">
      <c r="A89" s="52"/>
      <c r="B89" s="74"/>
      <c r="C89" s="35"/>
      <c r="D89" s="35"/>
      <c r="E89" s="45"/>
      <c r="F89" s="43"/>
      <c r="G89" s="42"/>
      <c r="H89" s="44"/>
      <c r="I89" s="42"/>
      <c r="J89" s="35"/>
      <c r="K89" s="35"/>
      <c r="L89" s="35"/>
      <c r="M89" s="35"/>
      <c r="N89" s="35"/>
      <c r="O89" s="35"/>
    </row>
    <row r="90" spans="1:15" ht="12.75">
      <c r="A90" s="52"/>
      <c r="B90" s="74"/>
      <c r="C90" s="35"/>
      <c r="D90" s="35"/>
      <c r="E90" s="35"/>
      <c r="F90" s="138"/>
      <c r="G90" s="138"/>
      <c r="H90" s="44"/>
      <c r="I90" s="42"/>
      <c r="J90" s="35"/>
      <c r="K90" s="35"/>
      <c r="L90" s="35"/>
      <c r="M90" s="35"/>
      <c r="N90" s="35"/>
      <c r="O90" s="35"/>
    </row>
    <row r="91" spans="1:15" ht="12.75">
      <c r="A91" s="40"/>
      <c r="B91" s="74"/>
      <c r="C91" s="35"/>
      <c r="D91" s="35"/>
      <c r="E91" s="42"/>
      <c r="F91" s="43"/>
      <c r="G91" s="42"/>
      <c r="H91" s="44"/>
      <c r="I91" s="42"/>
      <c r="J91" s="35"/>
      <c r="K91" s="35"/>
      <c r="L91" s="35"/>
      <c r="M91" s="35"/>
      <c r="N91" s="35"/>
      <c r="O91" s="35"/>
    </row>
    <row r="92" spans="1:15" ht="12.75">
      <c r="A92" s="40"/>
      <c r="B92" s="50"/>
      <c r="C92" s="35"/>
      <c r="D92" s="35"/>
      <c r="E92" s="42"/>
      <c r="F92" s="43"/>
      <c r="G92" s="42"/>
      <c r="H92" s="44"/>
      <c r="I92" s="42"/>
      <c r="J92" s="35"/>
      <c r="K92" s="35"/>
      <c r="L92" s="35"/>
      <c r="M92" s="35"/>
      <c r="N92" s="35"/>
      <c r="O92" s="35"/>
    </row>
    <row r="93" spans="1:15" ht="12.75">
      <c r="A93" s="74"/>
      <c r="B93" s="35"/>
      <c r="C93" s="35"/>
      <c r="D93" s="35"/>
      <c r="E93" s="42"/>
      <c r="F93" s="43"/>
      <c r="G93" s="42"/>
      <c r="H93" s="44"/>
      <c r="I93" s="42"/>
      <c r="J93" s="35"/>
      <c r="K93" s="35"/>
      <c r="L93" s="35"/>
      <c r="M93" s="35"/>
      <c r="N93" s="35"/>
      <c r="O93" s="35"/>
    </row>
    <row r="94" spans="1:15" ht="12.75">
      <c r="A94" s="74"/>
      <c r="B94" s="74"/>
      <c r="C94" s="35"/>
      <c r="D94" s="35"/>
      <c r="E94" s="42"/>
      <c r="F94" s="43"/>
      <c r="G94" s="42"/>
      <c r="H94" s="44"/>
      <c r="I94" s="42"/>
      <c r="J94" s="35"/>
      <c r="K94" s="35"/>
      <c r="L94" s="35"/>
      <c r="M94" s="35"/>
      <c r="N94" s="35"/>
      <c r="O94" s="35"/>
    </row>
    <row r="95" spans="1:15" ht="12.75">
      <c r="A95" s="52"/>
      <c r="B95" s="74"/>
      <c r="C95" s="35"/>
      <c r="D95" s="35"/>
      <c r="E95" s="43"/>
      <c r="F95" s="43"/>
      <c r="G95" s="42"/>
      <c r="H95" s="44"/>
      <c r="I95" s="42"/>
      <c r="J95" s="35"/>
      <c r="K95" s="35"/>
      <c r="L95" s="35"/>
      <c r="M95" s="35"/>
      <c r="N95" s="35"/>
      <c r="O95" s="35"/>
    </row>
    <row r="96" spans="1:15" ht="12.75">
      <c r="A96" s="52"/>
      <c r="B96" s="74"/>
      <c r="C96" s="35"/>
      <c r="D96" s="35"/>
      <c r="E96" s="42"/>
      <c r="F96" s="43"/>
      <c r="G96" s="42"/>
      <c r="H96" s="44"/>
      <c r="I96" s="42"/>
      <c r="J96" s="35"/>
      <c r="K96" s="35"/>
      <c r="L96" s="35"/>
      <c r="M96" s="35"/>
      <c r="N96" s="35"/>
      <c r="O96" s="35"/>
    </row>
    <row r="97" spans="1:15" ht="12.75">
      <c r="A97" s="40"/>
      <c r="B97" s="74"/>
      <c r="C97" s="35"/>
      <c r="D97" s="35"/>
      <c r="E97" s="44"/>
      <c r="F97" s="169"/>
      <c r="G97" s="169"/>
      <c r="H97" s="137"/>
      <c r="I97" s="137"/>
      <c r="J97" s="35"/>
      <c r="K97" s="35"/>
      <c r="L97" s="35"/>
      <c r="M97" s="35"/>
      <c r="N97" s="35"/>
      <c r="O97" s="35"/>
    </row>
    <row r="98" spans="1:15" ht="12.75">
      <c r="A98" s="40"/>
      <c r="B98" s="50"/>
      <c r="C98" s="35"/>
      <c r="D98" s="35"/>
      <c r="E98" s="44"/>
      <c r="F98" s="169"/>
      <c r="G98" s="169"/>
      <c r="H98" s="137"/>
      <c r="I98" s="137"/>
      <c r="J98" s="35"/>
      <c r="K98" s="35"/>
      <c r="L98" s="35"/>
      <c r="M98" s="35"/>
      <c r="N98" s="35"/>
      <c r="O98" s="35"/>
    </row>
    <row r="99" spans="1:15" ht="12.75">
      <c r="A99" s="40"/>
      <c r="B99" s="50"/>
      <c r="C99" s="35"/>
      <c r="D99" s="44"/>
      <c r="E99" s="42"/>
      <c r="F99" s="43"/>
      <c r="G99" s="42"/>
      <c r="H99" s="44"/>
      <c r="I99" s="42"/>
      <c r="J99" s="35"/>
      <c r="K99" s="35"/>
      <c r="L99" s="35"/>
      <c r="M99" s="35"/>
      <c r="N99" s="35"/>
      <c r="O99" s="35"/>
    </row>
    <row r="100" spans="1:15" ht="12.75">
      <c r="A100" s="40"/>
      <c r="B100" s="40"/>
      <c r="C100" s="40"/>
      <c r="D100" s="40"/>
      <c r="E100" s="40"/>
      <c r="F100" s="40"/>
      <c r="G100" s="40"/>
      <c r="H100" s="169"/>
      <c r="I100" s="169"/>
      <c r="J100" s="35"/>
      <c r="K100" s="35"/>
      <c r="L100" s="35"/>
      <c r="M100" s="35"/>
      <c r="N100" s="35"/>
      <c r="O100" s="35"/>
    </row>
    <row r="101" spans="1:15" ht="12.75">
      <c r="A101" s="35"/>
      <c r="B101" s="35"/>
      <c r="C101" s="35"/>
      <c r="D101" s="35"/>
      <c r="E101" s="35"/>
      <c r="F101" s="35"/>
      <c r="G101" s="35"/>
      <c r="H101" s="35"/>
      <c r="I101" s="35"/>
      <c r="J101" s="46"/>
      <c r="K101" s="46"/>
      <c r="L101" s="35"/>
      <c r="M101" s="35"/>
      <c r="N101" s="35"/>
      <c r="O101" s="35"/>
    </row>
    <row r="102" spans="1:15" ht="12.75">
      <c r="A102" s="40"/>
      <c r="B102" s="50"/>
      <c r="C102" s="35"/>
      <c r="D102" s="44"/>
      <c r="E102" s="51"/>
      <c r="F102" s="43"/>
      <c r="G102" s="42"/>
      <c r="H102" s="44"/>
      <c r="I102" s="42"/>
      <c r="J102" s="46"/>
      <c r="K102" s="46"/>
      <c r="L102" s="46"/>
      <c r="M102" s="35"/>
      <c r="N102" s="35"/>
      <c r="O102" s="35"/>
    </row>
    <row r="103" spans="1:15" ht="12.75">
      <c r="A103" s="40"/>
      <c r="B103" s="50"/>
      <c r="C103" s="35"/>
      <c r="D103" s="41"/>
      <c r="E103" s="42"/>
      <c r="F103" s="43"/>
      <c r="G103" s="140"/>
      <c r="H103" s="140"/>
      <c r="I103" s="132"/>
      <c r="J103" s="132"/>
      <c r="K103" s="47"/>
      <c r="L103" s="35"/>
      <c r="M103" s="35"/>
      <c r="N103" s="35"/>
      <c r="O103" s="35"/>
    </row>
    <row r="104" spans="1:15" ht="12.75">
      <c r="A104" s="40"/>
      <c r="B104" s="50"/>
      <c r="C104" s="35"/>
      <c r="D104" s="41"/>
      <c r="E104" s="134"/>
      <c r="F104" s="134"/>
      <c r="G104" s="168"/>
      <c r="H104" s="168"/>
      <c r="I104" s="168"/>
      <c r="J104" s="168"/>
      <c r="K104" s="47"/>
      <c r="L104" s="35"/>
      <c r="M104" s="35"/>
      <c r="N104" s="35"/>
      <c r="O104" s="35"/>
    </row>
    <row r="105" spans="1:15" ht="12.75">
      <c r="A105" s="40"/>
      <c r="B105" s="50"/>
      <c r="C105" s="35"/>
      <c r="D105" s="41"/>
      <c r="E105" s="155"/>
      <c r="F105" s="155"/>
      <c r="G105" s="168"/>
      <c r="H105" s="168"/>
      <c r="I105" s="168"/>
      <c r="J105" s="168"/>
      <c r="K105" s="46"/>
      <c r="L105" s="35"/>
      <c r="M105" s="35"/>
      <c r="N105" s="35"/>
      <c r="O105" s="35"/>
    </row>
    <row r="106" spans="1:15" ht="12.75">
      <c r="A106" s="40"/>
      <c r="B106" s="50"/>
      <c r="C106" s="35"/>
      <c r="D106" s="41"/>
      <c r="E106" s="42"/>
      <c r="F106" s="43"/>
      <c r="G106" s="42"/>
      <c r="H106" s="44"/>
      <c r="I106" s="42"/>
      <c r="J106" s="46"/>
      <c r="K106" s="46"/>
      <c r="L106" s="35"/>
      <c r="M106" s="35"/>
      <c r="N106" s="35"/>
      <c r="O106" s="35"/>
    </row>
    <row r="107" spans="1:15" ht="12.75">
      <c r="A107" s="40"/>
      <c r="B107" s="50"/>
      <c r="C107" s="35"/>
      <c r="D107" s="41"/>
      <c r="E107" s="42"/>
      <c r="F107" s="42"/>
      <c r="G107" s="43"/>
      <c r="H107" s="42"/>
      <c r="I107" s="45"/>
      <c r="J107" s="42"/>
      <c r="K107" s="42"/>
      <c r="L107" s="35"/>
      <c r="M107" s="35"/>
      <c r="N107" s="35"/>
      <c r="O107" s="35"/>
    </row>
    <row r="108" spans="1:15" ht="12.75">
      <c r="A108" s="74"/>
      <c r="B108" s="35"/>
      <c r="C108" s="35"/>
      <c r="D108" s="41"/>
      <c r="E108" s="166"/>
      <c r="F108" s="166"/>
      <c r="G108" s="137"/>
      <c r="H108" s="137"/>
      <c r="I108" s="137"/>
      <c r="J108" s="137"/>
      <c r="K108" s="42"/>
      <c r="L108" s="35"/>
      <c r="M108" s="35"/>
      <c r="N108" s="35"/>
      <c r="O108" s="35"/>
    </row>
    <row r="109" spans="1:15" ht="12.75">
      <c r="A109" s="40"/>
      <c r="B109" s="50"/>
      <c r="C109" s="35"/>
      <c r="D109" s="41"/>
      <c r="E109" s="42"/>
      <c r="F109" s="42"/>
      <c r="G109" s="137"/>
      <c r="H109" s="137"/>
      <c r="I109" s="137"/>
      <c r="J109" s="137"/>
      <c r="K109" s="42"/>
      <c r="L109" s="35"/>
      <c r="M109" s="35"/>
      <c r="N109" s="35"/>
      <c r="O109" s="35"/>
    </row>
    <row r="110" spans="1:15" ht="12.75">
      <c r="A110" s="40"/>
      <c r="B110" s="37"/>
      <c r="C110" s="35"/>
      <c r="D110" s="41"/>
      <c r="E110" s="42"/>
      <c r="F110" s="42"/>
      <c r="G110" s="44"/>
      <c r="H110" s="42"/>
      <c r="I110" s="45"/>
      <c r="J110" s="42"/>
      <c r="K110" s="42"/>
      <c r="L110" s="35"/>
      <c r="M110" s="35"/>
      <c r="N110" s="35"/>
      <c r="O110" s="35"/>
    </row>
    <row r="111" spans="1:15" ht="12.75">
      <c r="A111" s="74"/>
      <c r="B111" s="35"/>
      <c r="C111" s="35"/>
      <c r="D111" s="41"/>
      <c r="E111" s="166"/>
      <c r="F111" s="166"/>
      <c r="G111" s="137"/>
      <c r="H111" s="137"/>
      <c r="I111" s="137"/>
      <c r="J111" s="137"/>
      <c r="K111" s="42"/>
      <c r="L111" s="35"/>
      <c r="M111" s="35"/>
      <c r="N111" s="35"/>
      <c r="O111" s="35"/>
    </row>
    <row r="112" spans="1:15" ht="12.75">
      <c r="A112" s="39"/>
      <c r="B112" s="35"/>
      <c r="C112" s="35"/>
      <c r="D112" s="41"/>
      <c r="E112" s="42"/>
      <c r="F112" s="42"/>
      <c r="G112" s="137"/>
      <c r="H112" s="137"/>
      <c r="I112" s="137"/>
      <c r="J112" s="137"/>
      <c r="K112" s="42"/>
      <c r="L112" s="35"/>
      <c r="M112" s="35"/>
      <c r="N112" s="35"/>
      <c r="O112" s="35"/>
    </row>
    <row r="113" spans="1:15" ht="12.75">
      <c r="A113" s="40"/>
      <c r="B113" s="52"/>
      <c r="C113" s="35"/>
      <c r="D113" s="41"/>
      <c r="E113" s="42"/>
      <c r="F113" s="42"/>
      <c r="G113" s="137"/>
      <c r="H113" s="137"/>
      <c r="I113" s="137"/>
      <c r="J113" s="137"/>
      <c r="K113" s="42"/>
      <c r="L113" s="35"/>
      <c r="M113" s="35"/>
      <c r="N113" s="35"/>
      <c r="O113" s="35"/>
    </row>
    <row r="114" spans="1:15" ht="12.75">
      <c r="A114" s="40"/>
      <c r="B114" s="37"/>
      <c r="C114" s="35"/>
      <c r="D114" s="41"/>
      <c r="E114" s="42"/>
      <c r="F114" s="42"/>
      <c r="G114" s="44"/>
      <c r="H114" s="42"/>
      <c r="I114" s="45"/>
      <c r="J114" s="42"/>
      <c r="K114" s="42"/>
      <c r="L114" s="35"/>
      <c r="M114" s="35"/>
      <c r="N114" s="35"/>
      <c r="O114" s="35"/>
    </row>
    <row r="115" spans="1:15" ht="12.75">
      <c r="A115" s="74"/>
      <c r="B115" s="35"/>
      <c r="C115" s="35"/>
      <c r="D115" s="41"/>
      <c r="E115" s="166"/>
      <c r="F115" s="166"/>
      <c r="G115" s="137"/>
      <c r="H115" s="137"/>
      <c r="I115" s="137"/>
      <c r="J115" s="137"/>
      <c r="K115" s="42"/>
      <c r="L115" s="35"/>
      <c r="M115" s="35"/>
      <c r="N115" s="35"/>
      <c r="O115" s="35"/>
    </row>
    <row r="116" spans="1:15" ht="12.75">
      <c r="A116" s="74"/>
      <c r="B116" s="35"/>
      <c r="C116" s="35"/>
      <c r="D116" s="41"/>
      <c r="E116" s="166"/>
      <c r="F116" s="166"/>
      <c r="G116" s="137"/>
      <c r="H116" s="137"/>
      <c r="I116" s="137"/>
      <c r="J116" s="137"/>
      <c r="K116" s="42"/>
      <c r="L116" s="35"/>
      <c r="M116" s="35"/>
      <c r="N116" s="35"/>
      <c r="O116" s="35"/>
    </row>
    <row r="117" spans="1:15" ht="12.75">
      <c r="A117" s="74"/>
      <c r="B117" s="35"/>
      <c r="C117" s="35"/>
      <c r="D117" s="41"/>
      <c r="E117" s="166"/>
      <c r="F117" s="166"/>
      <c r="G117" s="137"/>
      <c r="H117" s="137"/>
      <c r="I117" s="137"/>
      <c r="J117" s="137"/>
      <c r="K117" s="42"/>
      <c r="L117" s="35"/>
      <c r="M117" s="35"/>
      <c r="N117" s="35"/>
      <c r="O117" s="35"/>
    </row>
    <row r="118" spans="1:15" ht="12.75">
      <c r="A118" s="40"/>
      <c r="B118" s="74"/>
      <c r="C118" s="35"/>
      <c r="D118" s="41"/>
      <c r="E118" s="42"/>
      <c r="F118" s="42"/>
      <c r="G118" s="137"/>
      <c r="H118" s="137"/>
      <c r="I118" s="137"/>
      <c r="J118" s="137"/>
      <c r="K118" s="42"/>
      <c r="L118" s="35"/>
      <c r="M118" s="35"/>
      <c r="N118" s="35"/>
      <c r="O118" s="35"/>
    </row>
    <row r="119" spans="1:15" ht="12.75">
      <c r="A119" s="40"/>
      <c r="B119" s="50"/>
      <c r="C119" s="35"/>
      <c r="D119" s="41"/>
      <c r="E119" s="42"/>
      <c r="F119" s="42"/>
      <c r="G119" s="137"/>
      <c r="H119" s="137"/>
      <c r="I119" s="137"/>
      <c r="J119" s="137"/>
      <c r="K119" s="42"/>
      <c r="L119" s="35"/>
      <c r="M119" s="35"/>
      <c r="N119" s="35"/>
      <c r="O119" s="35"/>
    </row>
    <row r="120" spans="1:15" ht="12.75">
      <c r="A120" s="40"/>
      <c r="B120" s="37"/>
      <c r="C120" s="35"/>
      <c r="D120" s="41"/>
      <c r="E120" s="42"/>
      <c r="F120" s="42"/>
      <c r="G120" s="44"/>
      <c r="H120" s="42"/>
      <c r="I120" s="45"/>
      <c r="J120" s="42"/>
      <c r="K120" s="46"/>
      <c r="L120" s="35"/>
      <c r="M120" s="35"/>
      <c r="N120" s="35"/>
      <c r="O120" s="35"/>
    </row>
    <row r="121" spans="1:15" ht="12.75">
      <c r="A121" s="39"/>
      <c r="B121" s="35"/>
      <c r="C121" s="35"/>
      <c r="D121" s="41"/>
      <c r="E121" s="42"/>
      <c r="F121" s="42"/>
      <c r="G121" s="44"/>
      <c r="H121" s="42"/>
      <c r="I121" s="45"/>
      <c r="J121" s="42"/>
      <c r="K121" s="46"/>
      <c r="L121" s="35"/>
      <c r="M121" s="35"/>
      <c r="N121" s="35"/>
      <c r="O121" s="35"/>
    </row>
    <row r="122" spans="1:15" ht="12.75">
      <c r="A122" s="75"/>
      <c r="B122" s="35"/>
      <c r="C122" s="35"/>
      <c r="D122" s="41"/>
      <c r="E122" s="167"/>
      <c r="F122" s="167"/>
      <c r="G122" s="137"/>
      <c r="H122" s="137"/>
      <c r="I122" s="137"/>
      <c r="J122" s="137"/>
      <c r="K122" s="42"/>
      <c r="L122" s="35"/>
      <c r="M122" s="35"/>
      <c r="N122" s="35"/>
      <c r="O122" s="35"/>
    </row>
    <row r="123" spans="1:15" ht="12.75">
      <c r="A123" s="39"/>
      <c r="B123" s="35"/>
      <c r="C123" s="35"/>
      <c r="D123" s="41"/>
      <c r="E123" s="59"/>
      <c r="F123" s="59"/>
      <c r="G123" s="137"/>
      <c r="H123" s="137"/>
      <c r="I123" s="137"/>
      <c r="J123" s="137"/>
      <c r="K123" s="46"/>
      <c r="L123" s="35"/>
      <c r="M123" s="35"/>
      <c r="N123" s="35"/>
      <c r="O123" s="35"/>
    </row>
    <row r="124" spans="1:15" ht="12.75">
      <c r="A124" s="39"/>
      <c r="B124" s="35"/>
      <c r="C124" s="35"/>
      <c r="D124" s="41"/>
      <c r="E124" s="167"/>
      <c r="F124" s="167"/>
      <c r="G124" s="137"/>
      <c r="H124" s="137"/>
      <c r="I124" s="137"/>
      <c r="J124" s="137"/>
      <c r="K124" s="42"/>
      <c r="L124" s="35"/>
      <c r="M124" s="35"/>
      <c r="N124" s="35"/>
      <c r="O124" s="35"/>
    </row>
    <row r="125" spans="1:15" ht="12.75">
      <c r="A125" s="39"/>
      <c r="B125" s="35"/>
      <c r="C125" s="35"/>
      <c r="D125" s="41"/>
      <c r="E125" s="59"/>
      <c r="F125" s="59"/>
      <c r="G125" s="137"/>
      <c r="H125" s="137"/>
      <c r="I125" s="137"/>
      <c r="J125" s="137"/>
      <c r="K125" s="46"/>
      <c r="L125" s="35"/>
      <c r="M125" s="35"/>
      <c r="N125" s="35"/>
      <c r="O125" s="35"/>
    </row>
    <row r="126" spans="1:15" ht="12.75">
      <c r="A126" s="39"/>
      <c r="B126" s="35"/>
      <c r="C126" s="35"/>
      <c r="D126" s="41"/>
      <c r="E126" s="59"/>
      <c r="F126" s="59"/>
      <c r="G126" s="137"/>
      <c r="H126" s="137"/>
      <c r="I126" s="137"/>
      <c r="J126" s="137"/>
      <c r="K126" s="46"/>
      <c r="L126" s="35"/>
      <c r="M126" s="35"/>
      <c r="N126" s="35"/>
      <c r="O126" s="35"/>
    </row>
    <row r="127" spans="1:15" ht="12.75">
      <c r="A127" s="39"/>
      <c r="B127" s="35"/>
      <c r="C127" s="35"/>
      <c r="D127" s="41"/>
      <c r="E127" s="166"/>
      <c r="F127" s="166"/>
      <c r="G127" s="137"/>
      <c r="H127" s="137"/>
      <c r="I127" s="137"/>
      <c r="J127" s="137"/>
      <c r="K127" s="48"/>
      <c r="L127" s="35"/>
      <c r="M127" s="35"/>
      <c r="N127" s="35"/>
      <c r="O127" s="35"/>
    </row>
    <row r="128" spans="1:15" ht="12.75">
      <c r="A128" s="39"/>
      <c r="B128" s="35"/>
      <c r="C128" s="35"/>
      <c r="D128" s="41"/>
      <c r="E128" s="59"/>
      <c r="F128" s="59"/>
      <c r="G128" s="137"/>
      <c r="H128" s="137"/>
      <c r="I128" s="137"/>
      <c r="J128" s="137"/>
      <c r="K128" s="42"/>
      <c r="L128" s="35"/>
      <c r="M128" s="35"/>
      <c r="N128" s="35"/>
      <c r="O128" s="35"/>
    </row>
    <row r="129" spans="1:15" ht="12.75">
      <c r="A129" s="39"/>
      <c r="B129" s="35"/>
      <c r="C129" s="35"/>
      <c r="D129" s="41"/>
      <c r="E129" s="167"/>
      <c r="F129" s="167"/>
      <c r="G129" s="137"/>
      <c r="H129" s="137"/>
      <c r="I129" s="137"/>
      <c r="J129" s="137"/>
      <c r="K129" s="42"/>
      <c r="L129" s="35"/>
      <c r="M129" s="35"/>
      <c r="N129" s="35"/>
      <c r="O129" s="35"/>
    </row>
    <row r="130" spans="1:15" ht="12.75">
      <c r="A130" s="39"/>
      <c r="B130" s="35"/>
      <c r="C130" s="35"/>
      <c r="D130" s="41"/>
      <c r="E130" s="59"/>
      <c r="F130" s="59"/>
      <c r="G130" s="137"/>
      <c r="H130" s="137"/>
      <c r="I130" s="137"/>
      <c r="J130" s="137"/>
      <c r="K130" s="42"/>
      <c r="L130" s="35"/>
      <c r="M130" s="35"/>
      <c r="N130" s="35"/>
      <c r="O130" s="35"/>
    </row>
    <row r="131" spans="1:15" ht="12.75">
      <c r="A131" s="39"/>
      <c r="B131" s="35"/>
      <c r="C131" s="35"/>
      <c r="D131" s="41"/>
      <c r="E131" s="166"/>
      <c r="F131" s="166"/>
      <c r="G131" s="137"/>
      <c r="H131" s="137"/>
      <c r="I131" s="137"/>
      <c r="J131" s="137"/>
      <c r="K131" s="48"/>
      <c r="L131" s="35"/>
      <c r="M131" s="35"/>
      <c r="N131" s="35"/>
      <c r="O131" s="35"/>
    </row>
    <row r="132" spans="1:15" ht="12.75">
      <c r="A132" s="39"/>
      <c r="B132" s="35"/>
      <c r="C132" s="35"/>
      <c r="D132" s="41"/>
      <c r="E132" s="59"/>
      <c r="F132" s="59"/>
      <c r="G132" s="137"/>
      <c r="H132" s="137"/>
      <c r="I132" s="137"/>
      <c r="J132" s="137"/>
      <c r="K132" s="46"/>
      <c r="L132" s="35"/>
      <c r="M132" s="35"/>
      <c r="N132" s="35"/>
      <c r="O132" s="35"/>
    </row>
    <row r="133" spans="1:15" ht="12.75">
      <c r="A133" s="39"/>
      <c r="B133" s="35"/>
      <c r="C133" s="35"/>
      <c r="D133" s="41"/>
      <c r="E133" s="166"/>
      <c r="F133" s="166"/>
      <c r="G133" s="137"/>
      <c r="H133" s="137"/>
      <c r="I133" s="137"/>
      <c r="J133" s="137"/>
      <c r="K133" s="48"/>
      <c r="L133" s="35"/>
      <c r="M133" s="35"/>
      <c r="N133" s="35"/>
      <c r="O133" s="35"/>
    </row>
    <row r="134" spans="1:15" ht="12.75">
      <c r="A134" s="39"/>
      <c r="B134" s="35"/>
      <c r="C134" s="35"/>
      <c r="D134" s="41"/>
      <c r="E134" s="60"/>
      <c r="F134" s="59"/>
      <c r="G134" s="137"/>
      <c r="H134" s="137"/>
      <c r="I134" s="137"/>
      <c r="J134" s="137"/>
      <c r="K134" s="42"/>
      <c r="L134" s="35"/>
      <c r="M134" s="35"/>
      <c r="N134" s="35"/>
      <c r="O134" s="35"/>
    </row>
    <row r="135" spans="1:15" ht="12.75">
      <c r="A135" s="39"/>
      <c r="B135" s="35"/>
      <c r="C135" s="35"/>
      <c r="D135" s="41"/>
      <c r="E135" s="166"/>
      <c r="F135" s="166"/>
      <c r="G135" s="137"/>
      <c r="H135" s="137"/>
      <c r="I135" s="137"/>
      <c r="J135" s="137"/>
      <c r="K135" s="48"/>
      <c r="L135" s="35"/>
      <c r="M135" s="35"/>
      <c r="N135" s="35"/>
      <c r="O135" s="35"/>
    </row>
    <row r="136" spans="1:15" ht="12.75">
      <c r="A136" s="39"/>
      <c r="B136" s="35"/>
      <c r="C136" s="35"/>
      <c r="D136" s="41"/>
      <c r="E136" s="59"/>
      <c r="F136" s="59"/>
      <c r="G136" s="137"/>
      <c r="H136" s="137"/>
      <c r="I136" s="137"/>
      <c r="J136" s="137"/>
      <c r="K136" s="42"/>
      <c r="L136" s="35"/>
      <c r="M136" s="35"/>
      <c r="N136" s="35"/>
      <c r="O136" s="35"/>
    </row>
    <row r="137" spans="1:15" ht="12.75">
      <c r="A137" s="39"/>
      <c r="B137" s="35"/>
      <c r="C137" s="35"/>
      <c r="D137" s="41"/>
      <c r="E137" s="166"/>
      <c r="F137" s="166"/>
      <c r="G137" s="137"/>
      <c r="H137" s="137"/>
      <c r="I137" s="137"/>
      <c r="J137" s="137"/>
      <c r="K137" s="48"/>
      <c r="L137" s="35"/>
      <c r="M137" s="35"/>
      <c r="N137" s="35"/>
      <c r="O137" s="35"/>
    </row>
    <row r="138" spans="1:15" ht="12.75">
      <c r="A138" s="40"/>
      <c r="B138" s="52"/>
      <c r="C138" s="35"/>
      <c r="D138" s="41"/>
      <c r="E138" s="42"/>
      <c r="F138" s="42"/>
      <c r="G138" s="137"/>
      <c r="H138" s="137"/>
      <c r="I138" s="137"/>
      <c r="J138" s="137"/>
      <c r="K138" s="42"/>
      <c r="L138" s="35"/>
      <c r="M138" s="35"/>
      <c r="N138" s="35"/>
      <c r="O138" s="35"/>
    </row>
    <row r="139" spans="1:15" ht="12.75">
      <c r="A139" s="40"/>
      <c r="B139" s="50"/>
      <c r="C139" s="35"/>
      <c r="D139" s="41"/>
      <c r="E139" s="42"/>
      <c r="F139" s="42"/>
      <c r="G139" s="44"/>
      <c r="H139" s="42"/>
      <c r="I139" s="45"/>
      <c r="J139" s="42"/>
      <c r="K139" s="42"/>
      <c r="L139" s="35"/>
      <c r="M139" s="35"/>
      <c r="N139" s="35"/>
      <c r="O139" s="35"/>
    </row>
    <row r="140" spans="1:15" ht="12.75">
      <c r="A140" s="76"/>
      <c r="B140" s="35"/>
      <c r="C140" s="35"/>
      <c r="D140" s="41"/>
      <c r="E140" s="166"/>
      <c r="F140" s="166"/>
      <c r="G140" s="137"/>
      <c r="H140" s="137"/>
      <c r="I140" s="137"/>
      <c r="J140" s="137"/>
      <c r="K140" s="42"/>
      <c r="L140" s="35"/>
      <c r="M140" s="35"/>
      <c r="N140" s="35"/>
      <c r="O140" s="35"/>
    </row>
    <row r="141" spans="1:15" ht="12.75">
      <c r="A141" s="35"/>
      <c r="B141" s="50"/>
      <c r="C141" s="35"/>
      <c r="D141" s="41"/>
      <c r="E141" s="42"/>
      <c r="F141" s="42"/>
      <c r="G141" s="137"/>
      <c r="H141" s="137"/>
      <c r="I141" s="137"/>
      <c r="J141" s="137"/>
      <c r="K141" s="42"/>
      <c r="L141" s="35"/>
      <c r="M141" s="35"/>
      <c r="N141" s="35"/>
      <c r="O141" s="35"/>
    </row>
    <row r="142" spans="1:15" ht="12.75">
      <c r="A142" s="40"/>
      <c r="B142" s="50"/>
      <c r="C142" s="35"/>
      <c r="D142" s="41"/>
      <c r="E142" s="42"/>
      <c r="F142" s="42"/>
      <c r="G142" s="44"/>
      <c r="H142" s="42"/>
      <c r="I142" s="45"/>
      <c r="J142" s="42"/>
      <c r="K142" s="42"/>
      <c r="L142" s="35"/>
      <c r="M142" s="35"/>
      <c r="N142" s="35"/>
      <c r="O142" s="35"/>
    </row>
    <row r="143" spans="1:15" ht="12.75">
      <c r="A143" s="39"/>
      <c r="B143" s="35"/>
      <c r="C143" s="35"/>
      <c r="D143" s="41"/>
      <c r="E143" s="166"/>
      <c r="F143" s="166"/>
      <c r="G143" s="137"/>
      <c r="H143" s="137"/>
      <c r="I143" s="137"/>
      <c r="J143" s="137"/>
      <c r="K143" s="42"/>
      <c r="L143" s="35"/>
      <c r="M143" s="35"/>
      <c r="N143" s="35"/>
      <c r="O143" s="35"/>
    </row>
    <row r="144" spans="1:15" ht="12.75">
      <c r="A144" s="39"/>
      <c r="B144" s="35"/>
      <c r="C144" s="35"/>
      <c r="D144" s="41"/>
      <c r="E144" s="42"/>
      <c r="F144" s="42"/>
      <c r="G144" s="137"/>
      <c r="H144" s="137"/>
      <c r="I144" s="137"/>
      <c r="J144" s="137"/>
      <c r="K144" s="42"/>
      <c r="L144" s="35"/>
      <c r="M144" s="35"/>
      <c r="N144" s="35"/>
      <c r="O144" s="35"/>
    </row>
    <row r="145" spans="1:15" ht="12.75">
      <c r="A145" s="40"/>
      <c r="B145" s="50"/>
      <c r="C145" s="35"/>
      <c r="D145" s="41"/>
      <c r="E145" s="77"/>
      <c r="F145" s="42"/>
      <c r="G145" s="44"/>
      <c r="H145" s="42"/>
      <c r="I145" s="45"/>
      <c r="J145" s="42"/>
      <c r="K145" s="42"/>
      <c r="L145" s="35"/>
      <c r="M145" s="35"/>
      <c r="N145" s="35"/>
      <c r="O145" s="35"/>
    </row>
    <row r="146" spans="1:15" ht="12.75">
      <c r="A146" s="40"/>
      <c r="B146" s="50"/>
      <c r="C146" s="35"/>
      <c r="D146" s="41"/>
      <c r="E146" s="77"/>
      <c r="F146" s="42"/>
      <c r="G146" s="44"/>
      <c r="H146" s="42"/>
      <c r="I146" s="45"/>
      <c r="J146" s="42"/>
      <c r="K146" s="42"/>
      <c r="L146" s="35"/>
      <c r="M146" s="35"/>
      <c r="N146" s="35"/>
      <c r="O146" s="35"/>
    </row>
    <row r="147" spans="1:15" ht="12.75">
      <c r="A147" s="39"/>
      <c r="B147" s="35"/>
      <c r="C147" s="35"/>
      <c r="D147" s="41"/>
      <c r="E147" s="166"/>
      <c r="F147" s="166"/>
      <c r="G147" s="137"/>
      <c r="H147" s="137"/>
      <c r="I147" s="45"/>
      <c r="J147" s="42"/>
      <c r="K147" s="42"/>
      <c r="L147" s="35"/>
      <c r="M147" s="35"/>
      <c r="N147" s="35"/>
      <c r="O147" s="35"/>
    </row>
    <row r="148" spans="1:15" ht="12.75">
      <c r="A148" s="39"/>
      <c r="B148" s="35"/>
      <c r="C148" s="35"/>
      <c r="D148" s="41"/>
      <c r="E148" s="42"/>
      <c r="F148" s="42"/>
      <c r="G148" s="137"/>
      <c r="H148" s="137"/>
      <c r="I148" s="45"/>
      <c r="J148" s="42"/>
      <c r="K148" s="42"/>
      <c r="L148" s="35"/>
      <c r="M148" s="35"/>
      <c r="N148" s="35"/>
      <c r="O148" s="35"/>
    </row>
    <row r="149" spans="1:15" ht="12.75">
      <c r="A149" s="39"/>
      <c r="B149" s="35"/>
      <c r="C149" s="35"/>
      <c r="D149" s="41"/>
      <c r="E149" s="166"/>
      <c r="F149" s="166"/>
      <c r="G149" s="137"/>
      <c r="H149" s="137"/>
      <c r="I149" s="45"/>
      <c r="J149" s="42"/>
      <c r="K149" s="42"/>
      <c r="L149" s="35"/>
      <c r="M149" s="35"/>
      <c r="N149" s="35"/>
      <c r="O149" s="35"/>
    </row>
    <row r="150" spans="1:15" ht="12.75">
      <c r="A150" s="39"/>
      <c r="B150" s="35"/>
      <c r="C150" s="35"/>
      <c r="D150" s="41"/>
      <c r="E150" s="42"/>
      <c r="F150" s="42"/>
      <c r="G150" s="137"/>
      <c r="H150" s="137"/>
      <c r="I150" s="45"/>
      <c r="J150" s="42"/>
      <c r="K150" s="42"/>
      <c r="L150" s="35"/>
      <c r="M150" s="35"/>
      <c r="N150" s="35"/>
      <c r="O150" s="35"/>
    </row>
    <row r="151" spans="1:15" ht="12.75">
      <c r="A151" s="39"/>
      <c r="B151" s="35"/>
      <c r="C151" s="35"/>
      <c r="D151" s="41"/>
      <c r="E151" s="42"/>
      <c r="F151" s="42"/>
      <c r="G151" s="137"/>
      <c r="H151" s="137"/>
      <c r="I151" s="45"/>
      <c r="J151" s="42"/>
      <c r="K151" s="42"/>
      <c r="L151" s="35"/>
      <c r="M151" s="35"/>
      <c r="N151" s="35"/>
      <c r="O151" s="35"/>
    </row>
    <row r="152" spans="1:15" ht="12.75">
      <c r="A152" s="39"/>
      <c r="B152" s="35"/>
      <c r="C152" s="35"/>
      <c r="D152" s="41"/>
      <c r="E152" s="166"/>
      <c r="F152" s="166"/>
      <c r="G152" s="137"/>
      <c r="H152" s="137"/>
      <c r="I152" s="45"/>
      <c r="J152" s="42"/>
      <c r="K152" s="42"/>
      <c r="L152" s="35"/>
      <c r="M152" s="35"/>
      <c r="N152" s="35"/>
      <c r="O152" s="35"/>
    </row>
    <row r="153" spans="1:15" ht="12.75">
      <c r="A153" s="52"/>
      <c r="B153" s="35"/>
      <c r="C153" s="35"/>
      <c r="D153" s="41"/>
      <c r="E153" s="42"/>
      <c r="F153" s="42"/>
      <c r="G153" s="137"/>
      <c r="H153" s="137"/>
      <c r="I153" s="45"/>
      <c r="J153" s="42"/>
      <c r="K153" s="42"/>
      <c r="L153" s="35"/>
      <c r="M153" s="35"/>
      <c r="N153" s="35"/>
      <c r="O153" s="35"/>
    </row>
    <row r="154" spans="1:15" ht="12.75">
      <c r="A154" s="40"/>
      <c r="B154" s="52"/>
      <c r="C154" s="35"/>
      <c r="D154" s="41"/>
      <c r="E154" s="42"/>
      <c r="F154" s="42"/>
      <c r="G154" s="137"/>
      <c r="H154" s="137"/>
      <c r="I154" s="138"/>
      <c r="J154" s="138"/>
      <c r="K154" s="42"/>
      <c r="L154" s="35"/>
      <c r="M154" s="35"/>
      <c r="N154" s="35"/>
      <c r="O154" s="35"/>
    </row>
    <row r="155" spans="1:15" ht="12.75">
      <c r="A155" s="40"/>
      <c r="B155" s="50"/>
      <c r="C155" s="35"/>
      <c r="D155" s="41"/>
      <c r="E155" s="42"/>
      <c r="F155" s="42"/>
      <c r="G155" s="137"/>
      <c r="H155" s="137"/>
      <c r="I155" s="138"/>
      <c r="J155" s="138"/>
      <c r="K155" s="42"/>
      <c r="L155" s="35"/>
      <c r="M155" s="35"/>
      <c r="N155" s="35"/>
      <c r="O155" s="35"/>
    </row>
    <row r="156" spans="1:15" ht="12.75">
      <c r="A156" s="40"/>
      <c r="B156" s="50"/>
      <c r="C156" s="40"/>
      <c r="D156" s="40"/>
      <c r="E156" s="40"/>
      <c r="F156" s="40"/>
      <c r="G156" s="42"/>
      <c r="H156" s="42"/>
      <c r="I156" s="42"/>
      <c r="J156" s="42"/>
      <c r="K156" s="49"/>
      <c r="L156" s="35"/>
      <c r="M156" s="35"/>
      <c r="N156" s="35"/>
      <c r="O156" s="35"/>
    </row>
    <row r="157" spans="1:15" ht="12.75">
      <c r="A157" s="40"/>
      <c r="B157" s="50"/>
      <c r="C157" s="35"/>
      <c r="D157" s="41"/>
      <c r="E157" s="166"/>
      <c r="F157" s="166"/>
      <c r="G157" s="172"/>
      <c r="H157" s="172"/>
      <c r="I157" s="172"/>
      <c r="J157" s="172"/>
      <c r="K157" s="46"/>
      <c r="L157" s="35"/>
      <c r="M157" s="35"/>
      <c r="N157" s="35"/>
      <c r="O157" s="35"/>
    </row>
    <row r="158" spans="1:15" ht="12.75">
      <c r="A158" s="40"/>
      <c r="B158" s="50"/>
      <c r="C158" s="35"/>
      <c r="D158" s="134"/>
      <c r="E158" s="134"/>
      <c r="F158" s="134"/>
      <c r="G158" s="134"/>
      <c r="H158" s="42"/>
      <c r="I158" s="45"/>
      <c r="J158" s="42"/>
      <c r="K158" s="46"/>
      <c r="L158" s="35"/>
      <c r="M158" s="35"/>
      <c r="N158" s="35"/>
      <c r="O158" s="35"/>
    </row>
    <row r="159" spans="1:15" ht="12.75">
      <c r="A159" s="40"/>
      <c r="B159" s="50"/>
      <c r="C159" s="35"/>
      <c r="D159" s="41"/>
      <c r="E159" s="42"/>
      <c r="F159" s="42"/>
      <c r="G159" s="44"/>
      <c r="H159" s="42"/>
      <c r="I159" s="45"/>
      <c r="J159" s="46"/>
      <c r="K159" s="46"/>
      <c r="L159" s="35"/>
      <c r="M159" s="35"/>
      <c r="N159" s="35"/>
      <c r="O159" s="35"/>
    </row>
    <row r="160" spans="1:15" ht="12.75">
      <c r="A160" s="40"/>
      <c r="B160" s="50"/>
      <c r="C160" s="35"/>
      <c r="D160" s="41"/>
      <c r="E160" s="42"/>
      <c r="F160" s="42"/>
      <c r="G160" s="44"/>
      <c r="H160" s="42"/>
      <c r="I160" s="45"/>
      <c r="J160" s="46"/>
      <c r="K160" s="46"/>
      <c r="L160" s="35"/>
      <c r="M160" s="35"/>
      <c r="N160" s="35"/>
      <c r="O160" s="35"/>
    </row>
    <row r="161" spans="1:15" ht="12.75">
      <c r="A161" s="40"/>
      <c r="B161" s="50"/>
      <c r="C161" s="35"/>
      <c r="D161" s="41"/>
      <c r="E161" s="168"/>
      <c r="F161" s="168"/>
      <c r="G161" s="168"/>
      <c r="H161" s="168"/>
      <c r="I161" s="47"/>
      <c r="J161" s="54"/>
      <c r="K161" s="46"/>
      <c r="L161" s="35"/>
      <c r="M161" s="35"/>
      <c r="N161" s="35"/>
      <c r="O161" s="35"/>
    </row>
    <row r="162" spans="1:15" ht="12.75">
      <c r="A162" s="40"/>
      <c r="B162" s="50"/>
      <c r="C162" s="35"/>
      <c r="D162" s="41"/>
      <c r="E162" s="168"/>
      <c r="F162" s="168"/>
      <c r="G162" s="168"/>
      <c r="H162" s="168"/>
      <c r="I162" s="47"/>
      <c r="J162" s="51"/>
      <c r="K162" s="46"/>
      <c r="L162" s="35"/>
      <c r="M162" s="35"/>
      <c r="N162" s="35"/>
      <c r="O162" s="35"/>
    </row>
    <row r="163" spans="1:15" ht="12.75">
      <c r="A163" s="40"/>
      <c r="B163" s="50"/>
      <c r="C163" s="35"/>
      <c r="D163" s="41"/>
      <c r="E163" s="42"/>
      <c r="F163" s="43"/>
      <c r="G163" s="155"/>
      <c r="H163" s="155"/>
      <c r="I163" s="44"/>
      <c r="J163" s="46"/>
      <c r="K163" s="42"/>
      <c r="L163" s="35"/>
      <c r="M163" s="35"/>
      <c r="N163" s="35"/>
      <c r="O163" s="35"/>
    </row>
    <row r="164" spans="1:15" ht="12.75">
      <c r="A164" s="40"/>
      <c r="B164" s="50"/>
      <c r="C164" s="35"/>
      <c r="D164" s="41"/>
      <c r="E164" s="42"/>
      <c r="F164" s="42"/>
      <c r="G164" s="155"/>
      <c r="H164" s="155"/>
      <c r="I164" s="42"/>
      <c r="J164" s="46"/>
      <c r="K164" s="42"/>
      <c r="L164" s="35"/>
      <c r="M164" s="35"/>
      <c r="N164" s="35"/>
      <c r="O164" s="35"/>
    </row>
    <row r="165" spans="1:15" ht="12.75">
      <c r="A165" s="39"/>
      <c r="B165" s="35"/>
      <c r="C165" s="35"/>
      <c r="D165" s="41"/>
      <c r="E165" s="167"/>
      <c r="F165" s="167"/>
      <c r="G165" s="155"/>
      <c r="H165" s="155"/>
      <c r="I165" s="42"/>
      <c r="J165" s="46"/>
      <c r="K165" s="42"/>
      <c r="L165" s="35"/>
      <c r="M165" s="35"/>
      <c r="N165" s="35"/>
      <c r="O165" s="35"/>
    </row>
    <row r="166" spans="1:15" ht="12.75">
      <c r="A166" s="40"/>
      <c r="B166" s="50"/>
      <c r="C166" s="35"/>
      <c r="D166" s="41"/>
      <c r="E166" s="155"/>
      <c r="F166" s="155"/>
      <c r="G166" s="155"/>
      <c r="H166" s="155"/>
      <c r="I166" s="42"/>
      <c r="J166" s="46"/>
      <c r="K166" s="42"/>
      <c r="L166" s="35"/>
      <c r="M166" s="35"/>
      <c r="N166" s="35"/>
      <c r="O166" s="35"/>
    </row>
    <row r="167" spans="1:15" ht="12.75">
      <c r="A167" s="39"/>
      <c r="B167" s="35"/>
      <c r="C167" s="35"/>
      <c r="D167" s="41"/>
      <c r="E167" s="167"/>
      <c r="F167" s="167"/>
      <c r="G167" s="155"/>
      <c r="H167" s="155"/>
      <c r="I167" s="42"/>
      <c r="J167" s="46"/>
      <c r="K167" s="42"/>
      <c r="L167" s="35"/>
      <c r="M167" s="35"/>
      <c r="N167" s="35"/>
      <c r="O167" s="35"/>
    </row>
    <row r="168" spans="1:15" ht="12.75">
      <c r="A168" s="40"/>
      <c r="B168" s="50"/>
      <c r="C168" s="35"/>
      <c r="D168" s="41"/>
      <c r="E168" s="155"/>
      <c r="F168" s="155"/>
      <c r="G168" s="155"/>
      <c r="H168" s="155"/>
      <c r="I168" s="42"/>
      <c r="J168" s="46"/>
      <c r="K168" s="42"/>
      <c r="L168" s="35"/>
      <c r="M168" s="35"/>
      <c r="N168" s="35"/>
      <c r="O168" s="35"/>
    </row>
    <row r="169" spans="1:15" ht="12.75">
      <c r="A169" s="39"/>
      <c r="B169" s="35"/>
      <c r="C169" s="35"/>
      <c r="D169" s="41"/>
      <c r="E169" s="167"/>
      <c r="F169" s="167"/>
      <c r="G169" s="155"/>
      <c r="H169" s="155"/>
      <c r="I169" s="42"/>
      <c r="J169" s="46"/>
      <c r="K169" s="42"/>
      <c r="L169" s="35"/>
      <c r="M169" s="35"/>
      <c r="N169" s="35"/>
      <c r="O169" s="35"/>
    </row>
    <row r="170" spans="1:15" ht="12.75">
      <c r="A170" s="40"/>
      <c r="B170" s="50"/>
      <c r="C170" s="35"/>
      <c r="D170" s="41"/>
      <c r="E170" s="155"/>
      <c r="F170" s="155"/>
      <c r="G170" s="155"/>
      <c r="H170" s="155"/>
      <c r="I170" s="42"/>
      <c r="J170" s="46"/>
      <c r="K170" s="42"/>
      <c r="L170" s="35"/>
      <c r="M170" s="35"/>
      <c r="N170" s="35"/>
      <c r="O170" s="35"/>
    </row>
    <row r="171" spans="1:15" ht="12.75">
      <c r="A171" s="39"/>
      <c r="B171" s="35"/>
      <c r="C171" s="35"/>
      <c r="D171" s="41"/>
      <c r="E171" s="167"/>
      <c r="F171" s="167"/>
      <c r="G171" s="155"/>
      <c r="H171" s="155"/>
      <c r="I171" s="42"/>
      <c r="J171" s="46"/>
      <c r="K171" s="42"/>
      <c r="L171" s="35"/>
      <c r="M171" s="35"/>
      <c r="N171" s="35"/>
      <c r="O171" s="35"/>
    </row>
    <row r="172" spans="1:15" ht="12.75">
      <c r="A172" s="40"/>
      <c r="B172" s="50"/>
      <c r="C172" s="35"/>
      <c r="D172" s="41"/>
      <c r="E172" s="155"/>
      <c r="F172" s="155"/>
      <c r="G172" s="155"/>
      <c r="H172" s="155"/>
      <c r="I172" s="42"/>
      <c r="J172" s="46"/>
      <c r="K172" s="46"/>
      <c r="L172" s="35"/>
      <c r="M172" s="35"/>
      <c r="N172" s="35"/>
      <c r="O172" s="35"/>
    </row>
    <row r="173" spans="1:15" ht="12.75">
      <c r="A173" s="39"/>
      <c r="B173" s="35"/>
      <c r="C173" s="35"/>
      <c r="D173" s="41"/>
      <c r="E173" s="167"/>
      <c r="F173" s="167"/>
      <c r="G173" s="155"/>
      <c r="H173" s="155"/>
      <c r="I173" s="42"/>
      <c r="J173" s="46"/>
      <c r="K173" s="46"/>
      <c r="L173" s="35"/>
      <c r="M173" s="35"/>
      <c r="N173" s="35"/>
      <c r="O173" s="35"/>
    </row>
    <row r="174" spans="1:15" ht="12.75">
      <c r="A174" s="40"/>
      <c r="B174" s="35"/>
      <c r="C174" s="35"/>
      <c r="D174" s="41"/>
      <c r="E174" s="155"/>
      <c r="F174" s="155"/>
      <c r="G174" s="155"/>
      <c r="H174" s="155"/>
      <c r="I174" s="42"/>
      <c r="J174" s="46"/>
      <c r="K174" s="46"/>
      <c r="L174" s="35"/>
      <c r="M174" s="35"/>
      <c r="N174" s="35"/>
      <c r="O174" s="35"/>
    </row>
    <row r="175" spans="1:15" ht="12.75">
      <c r="A175" s="39"/>
      <c r="B175" s="35"/>
      <c r="C175" s="35"/>
      <c r="D175" s="41"/>
      <c r="E175" s="167"/>
      <c r="F175" s="167"/>
      <c r="G175" s="169"/>
      <c r="H175" s="169"/>
      <c r="I175" s="42"/>
      <c r="J175" s="46"/>
      <c r="K175" s="42"/>
      <c r="L175" s="35"/>
      <c r="M175" s="35"/>
      <c r="N175" s="35"/>
      <c r="O175" s="35"/>
    </row>
    <row r="176" spans="1:15" ht="12.75">
      <c r="A176" s="39"/>
      <c r="B176" s="35"/>
      <c r="C176" s="35"/>
      <c r="D176" s="41"/>
      <c r="E176" s="155"/>
      <c r="F176" s="155"/>
      <c r="G176" s="155"/>
      <c r="H176" s="155"/>
      <c r="I176" s="42"/>
      <c r="J176" s="46"/>
      <c r="K176" s="42"/>
      <c r="L176" s="35"/>
      <c r="M176" s="35"/>
      <c r="N176" s="35"/>
      <c r="O176" s="35"/>
    </row>
    <row r="177" spans="1:15" ht="12.75">
      <c r="A177" s="40"/>
      <c r="B177" s="50"/>
      <c r="C177" s="35"/>
      <c r="D177" s="41"/>
      <c r="E177" s="42"/>
      <c r="F177" s="42"/>
      <c r="G177" s="155"/>
      <c r="H177" s="155"/>
      <c r="I177" s="42"/>
      <c r="J177" s="46"/>
      <c r="K177" s="42"/>
      <c r="L177" s="35"/>
      <c r="M177" s="35"/>
      <c r="N177" s="35"/>
      <c r="O177" s="35"/>
    </row>
    <row r="178" spans="1:15" ht="12.75">
      <c r="A178" s="39"/>
      <c r="B178" s="35"/>
      <c r="C178" s="35"/>
      <c r="D178" s="41"/>
      <c r="E178" s="167"/>
      <c r="F178" s="167"/>
      <c r="G178" s="169"/>
      <c r="H178" s="169"/>
      <c r="I178" s="42"/>
      <c r="J178" s="46"/>
      <c r="K178" s="42"/>
      <c r="L178" s="35"/>
      <c r="M178" s="35"/>
      <c r="N178" s="35"/>
      <c r="O178" s="35"/>
    </row>
    <row r="179" spans="1:15" ht="12.75">
      <c r="A179" s="40"/>
      <c r="B179" s="39"/>
      <c r="C179" s="35"/>
      <c r="D179" s="41"/>
      <c r="E179" s="155"/>
      <c r="F179" s="155"/>
      <c r="G179" s="35"/>
      <c r="H179" s="40"/>
      <c r="I179" s="42"/>
      <c r="J179" s="46"/>
      <c r="K179" s="42"/>
      <c r="L179" s="35"/>
      <c r="M179" s="35"/>
      <c r="N179" s="35"/>
      <c r="O179" s="35"/>
    </row>
    <row r="180" spans="1:15" ht="12.75">
      <c r="A180" s="40"/>
      <c r="B180" s="40"/>
      <c r="C180" s="40"/>
      <c r="D180" s="40"/>
      <c r="E180" s="35"/>
      <c r="F180" s="40"/>
      <c r="G180" s="168"/>
      <c r="H180" s="168"/>
      <c r="I180" s="42"/>
      <c r="J180" s="46"/>
      <c r="K180" s="38"/>
      <c r="L180" s="35"/>
      <c r="M180" s="35"/>
      <c r="N180" s="35"/>
      <c r="O180" s="35"/>
    </row>
    <row r="181" spans="1:15" ht="12.75">
      <c r="A181" s="40"/>
      <c r="B181" s="39"/>
      <c r="C181" s="35"/>
      <c r="D181" s="41"/>
      <c r="E181" s="170"/>
      <c r="F181" s="170"/>
      <c r="G181" s="171"/>
      <c r="H181" s="171"/>
      <c r="I181" s="42"/>
      <c r="J181" s="46"/>
      <c r="K181" s="44"/>
      <c r="L181" s="35"/>
      <c r="M181" s="35"/>
      <c r="N181" s="35"/>
      <c r="O181" s="35"/>
    </row>
    <row r="182" spans="1:15" ht="12.75">
      <c r="A182" s="40"/>
      <c r="B182" s="39"/>
      <c r="C182" s="35"/>
      <c r="D182" s="41"/>
      <c r="E182" s="42"/>
      <c r="F182" s="42"/>
      <c r="G182" s="42"/>
      <c r="H182" s="40"/>
      <c r="I182" s="42"/>
      <c r="J182" s="46"/>
      <c r="K182" s="44"/>
      <c r="L182" s="35"/>
      <c r="M182" s="35"/>
      <c r="N182" s="35"/>
      <c r="O182" s="35"/>
    </row>
    <row r="183" spans="1:15" ht="12.75">
      <c r="A183" s="40"/>
      <c r="B183" s="39"/>
      <c r="C183" s="35"/>
      <c r="D183" s="41"/>
      <c r="E183" s="42"/>
      <c r="F183" s="42"/>
      <c r="G183" s="42"/>
      <c r="H183" s="40"/>
      <c r="I183" s="42"/>
      <c r="J183" s="46"/>
      <c r="K183" s="44"/>
      <c r="L183" s="35"/>
      <c r="M183" s="35"/>
      <c r="N183" s="35"/>
      <c r="O183" s="35"/>
    </row>
    <row r="184" spans="1:15" ht="12.75">
      <c r="A184" s="40"/>
      <c r="B184" s="39"/>
      <c r="C184" s="35"/>
      <c r="D184" s="41"/>
      <c r="E184" s="42"/>
      <c r="F184" s="42"/>
      <c r="G184" s="42"/>
      <c r="H184" s="40"/>
      <c r="I184" s="42"/>
      <c r="J184" s="46"/>
      <c r="K184" s="44"/>
      <c r="L184" s="35"/>
      <c r="M184" s="35"/>
      <c r="N184" s="35"/>
      <c r="O184" s="35"/>
    </row>
    <row r="185" spans="1:15" ht="12.75">
      <c r="A185" s="40"/>
      <c r="B185" s="50"/>
      <c r="C185" s="35"/>
      <c r="D185" s="41"/>
      <c r="E185" s="51"/>
      <c r="F185" s="82"/>
      <c r="G185" s="173"/>
      <c r="H185" s="173"/>
      <c r="I185" s="173"/>
      <c r="J185" s="173"/>
      <c r="K185" s="47"/>
      <c r="L185" s="35"/>
      <c r="M185" s="35"/>
      <c r="N185" s="35"/>
      <c r="O185" s="35"/>
    </row>
    <row r="186" spans="1:15" ht="12.75">
      <c r="A186" s="40"/>
      <c r="B186" s="50"/>
      <c r="C186" s="35"/>
      <c r="D186" s="41"/>
      <c r="E186" s="42"/>
      <c r="F186" s="83"/>
      <c r="G186" s="173"/>
      <c r="H186" s="173"/>
      <c r="I186" s="173"/>
      <c r="J186" s="173"/>
      <c r="K186" s="47"/>
      <c r="L186" s="35"/>
      <c r="M186" s="35"/>
      <c r="N186" s="35"/>
      <c r="O186" s="35"/>
    </row>
    <row r="187" spans="1:15" ht="12.75">
      <c r="A187" s="40"/>
      <c r="B187" s="50"/>
      <c r="C187" s="35"/>
      <c r="D187" s="41"/>
      <c r="E187" s="42"/>
      <c r="F187" s="43"/>
      <c r="G187" s="44"/>
      <c r="H187" s="44"/>
      <c r="I187" s="45"/>
      <c r="J187" s="46"/>
      <c r="K187" s="46"/>
      <c r="L187" s="35"/>
      <c r="M187" s="35"/>
      <c r="N187" s="35"/>
      <c r="O187" s="35"/>
    </row>
    <row r="188" spans="1:15" ht="12.75">
      <c r="A188" s="40"/>
      <c r="B188" s="50"/>
      <c r="C188" s="35"/>
      <c r="D188" s="41"/>
      <c r="E188" s="42"/>
      <c r="F188" s="43"/>
      <c r="G188" s="44"/>
      <c r="H188" s="42"/>
      <c r="I188" s="45"/>
      <c r="J188" s="42"/>
      <c r="K188" s="42"/>
      <c r="L188" s="35"/>
      <c r="M188" s="35"/>
      <c r="N188" s="35"/>
      <c r="O188" s="35"/>
    </row>
    <row r="189" spans="1:15" ht="12.75">
      <c r="A189" s="39"/>
      <c r="B189" s="35"/>
      <c r="C189" s="35"/>
      <c r="D189" s="35"/>
      <c r="E189" s="86"/>
      <c r="F189" s="43"/>
      <c r="G189" s="175"/>
      <c r="H189" s="175"/>
      <c r="I189" s="175"/>
      <c r="J189" s="175"/>
      <c r="K189" s="48"/>
      <c r="L189" s="35"/>
      <c r="M189" s="35"/>
      <c r="N189" s="35"/>
      <c r="O189" s="35"/>
    </row>
    <row r="190" spans="1:15" ht="12.75">
      <c r="A190" s="40"/>
      <c r="B190" s="39"/>
      <c r="C190" s="35"/>
      <c r="D190" s="41"/>
      <c r="E190" s="42"/>
      <c r="F190" s="43"/>
      <c r="G190" s="44"/>
      <c r="H190" s="42"/>
      <c r="I190" s="45"/>
      <c r="J190" s="42"/>
      <c r="K190" s="46"/>
      <c r="L190" s="35"/>
      <c r="M190" s="35"/>
      <c r="N190" s="35"/>
      <c r="O190" s="35"/>
    </row>
    <row r="191" spans="1:15" ht="12.75">
      <c r="A191" s="40"/>
      <c r="B191" s="50"/>
      <c r="C191" s="42"/>
      <c r="D191" s="41"/>
      <c r="E191" s="41"/>
      <c r="F191" s="43"/>
      <c r="G191" s="45"/>
      <c r="H191" s="42"/>
      <c r="I191" s="42"/>
      <c r="J191" s="42"/>
      <c r="K191" s="42"/>
      <c r="L191" s="35"/>
      <c r="M191" s="35"/>
      <c r="N191" s="35"/>
      <c r="O191" s="35"/>
    </row>
    <row r="192" spans="1:15" ht="12.75">
      <c r="A192" s="39"/>
      <c r="B192" s="35"/>
      <c r="C192" s="35"/>
      <c r="D192" s="41"/>
      <c r="E192" s="42"/>
      <c r="F192" s="43"/>
      <c r="G192" s="42"/>
      <c r="H192" s="42"/>
      <c r="I192" s="42"/>
      <c r="J192" s="42"/>
      <c r="K192" s="42"/>
      <c r="L192" s="35"/>
      <c r="M192" s="35"/>
      <c r="N192" s="35"/>
      <c r="O192" s="35"/>
    </row>
    <row r="193" spans="1:15" ht="12.75">
      <c r="A193" s="39"/>
      <c r="B193" s="35"/>
      <c r="C193" s="35"/>
      <c r="D193" s="41"/>
      <c r="E193" s="42"/>
      <c r="F193" s="43"/>
      <c r="G193" s="42"/>
      <c r="H193" s="42"/>
      <c r="I193" s="42"/>
      <c r="J193" s="42"/>
      <c r="K193" s="46"/>
      <c r="L193" s="35"/>
      <c r="M193" s="35"/>
      <c r="N193" s="35"/>
      <c r="O193" s="35"/>
    </row>
    <row r="194" spans="1:15" ht="12.75">
      <c r="A194" s="40"/>
      <c r="B194" s="50"/>
      <c r="C194" s="35"/>
      <c r="D194" s="41"/>
      <c r="E194" s="42"/>
      <c r="F194" s="43"/>
      <c r="G194" s="42"/>
      <c r="H194" s="42"/>
      <c r="I194" s="45"/>
      <c r="J194" s="42"/>
      <c r="K194" s="46"/>
      <c r="L194" s="35"/>
      <c r="M194" s="35"/>
      <c r="N194" s="35"/>
      <c r="O194" s="35"/>
    </row>
    <row r="195" spans="1:15" ht="12.75">
      <c r="A195" s="40"/>
      <c r="B195" s="40"/>
      <c r="C195" s="35"/>
      <c r="D195" s="41"/>
      <c r="E195" s="42"/>
      <c r="F195" s="43"/>
      <c r="G195" s="155"/>
      <c r="H195" s="155"/>
      <c r="I195" s="155"/>
      <c r="J195" s="155"/>
      <c r="K195" s="49"/>
      <c r="L195" s="35"/>
      <c r="M195" s="35"/>
      <c r="N195" s="35"/>
      <c r="O195" s="35"/>
    </row>
    <row r="196" spans="1:15" ht="12.75">
      <c r="A196" s="40"/>
      <c r="B196" s="50"/>
      <c r="C196" s="35"/>
      <c r="D196" s="41"/>
      <c r="E196" s="42"/>
      <c r="F196" s="43"/>
      <c r="G196" s="175"/>
      <c r="H196" s="175"/>
      <c r="I196" s="175"/>
      <c r="J196" s="175"/>
      <c r="K196" s="46"/>
      <c r="L196" s="35"/>
      <c r="M196" s="35"/>
      <c r="N196" s="35"/>
      <c r="O196" s="35"/>
    </row>
    <row r="197" spans="1:15" ht="12.75">
      <c r="A197" s="40"/>
      <c r="B197" s="50"/>
      <c r="C197" s="35"/>
      <c r="D197" s="41"/>
      <c r="E197" s="42"/>
      <c r="F197" s="43"/>
      <c r="G197" s="42"/>
      <c r="H197" s="42"/>
      <c r="I197" s="45"/>
      <c r="J197" s="42"/>
      <c r="K197" s="46"/>
      <c r="L197" s="35"/>
      <c r="M197" s="35"/>
      <c r="N197" s="35"/>
      <c r="O197" s="35"/>
    </row>
    <row r="198" spans="1:15" ht="12.75">
      <c r="A198" s="40"/>
      <c r="B198" s="52"/>
      <c r="C198" s="35"/>
      <c r="D198" s="41"/>
      <c r="E198" s="42"/>
      <c r="F198" s="43"/>
      <c r="G198" s="42"/>
      <c r="H198" s="44"/>
      <c r="I198" s="45"/>
      <c r="J198" s="46"/>
      <c r="K198" s="46"/>
      <c r="L198" s="35"/>
      <c r="M198" s="35"/>
      <c r="N198" s="35"/>
      <c r="O198" s="35"/>
    </row>
    <row r="199" spans="1:15" ht="12.75">
      <c r="A199" s="40"/>
      <c r="B199" s="52"/>
      <c r="C199" s="35"/>
      <c r="D199" s="41"/>
      <c r="E199" s="42"/>
      <c r="F199" s="43"/>
      <c r="G199" s="40"/>
      <c r="H199" s="46"/>
      <c r="I199" s="53"/>
      <c r="J199" s="46"/>
      <c r="K199" s="56"/>
      <c r="L199" s="35"/>
      <c r="M199" s="35"/>
      <c r="N199" s="35"/>
      <c r="O199" s="35"/>
    </row>
    <row r="200" spans="1:15" ht="12.75">
      <c r="A200" s="40"/>
      <c r="B200" s="52"/>
      <c r="C200" s="35"/>
      <c r="D200" s="41"/>
      <c r="E200" s="42"/>
      <c r="F200" s="43"/>
      <c r="G200" s="40"/>
      <c r="H200" s="44"/>
      <c r="I200" s="42"/>
      <c r="J200" s="46"/>
      <c r="K200" s="38"/>
      <c r="L200" s="35"/>
      <c r="M200" s="35"/>
      <c r="N200" s="35"/>
      <c r="O200" s="35"/>
    </row>
    <row r="201" spans="1:15" ht="12.75">
      <c r="A201" s="40"/>
      <c r="B201" s="52"/>
      <c r="C201" s="35"/>
      <c r="D201" s="41"/>
      <c r="E201" s="42"/>
      <c r="F201" s="43"/>
      <c r="G201" s="40"/>
      <c r="H201" s="42"/>
      <c r="I201" s="42"/>
      <c r="J201" s="46"/>
      <c r="K201" s="49"/>
      <c r="L201" s="35"/>
      <c r="M201" s="35"/>
      <c r="N201" s="35"/>
      <c r="O201" s="35"/>
    </row>
    <row r="202" spans="1:15" ht="12.75">
      <c r="A202" s="40"/>
      <c r="B202" s="52"/>
      <c r="C202" s="35"/>
      <c r="D202" s="41"/>
      <c r="E202" s="42"/>
      <c r="F202" s="43"/>
      <c r="G202" s="40"/>
      <c r="H202" s="42"/>
      <c r="I202" s="46"/>
      <c r="J202" s="46"/>
      <c r="K202" s="38"/>
      <c r="L202" s="35"/>
      <c r="M202" s="35"/>
      <c r="N202" s="35"/>
      <c r="O202" s="35"/>
    </row>
    <row r="203" spans="1:15" ht="12.75">
      <c r="A203" s="40"/>
      <c r="B203" s="52"/>
      <c r="C203" s="35"/>
      <c r="D203" s="41"/>
      <c r="E203" s="42"/>
      <c r="F203" s="43"/>
      <c r="G203" s="40"/>
      <c r="H203" s="42"/>
      <c r="I203" s="42"/>
      <c r="J203" s="46"/>
      <c r="K203" s="57"/>
      <c r="L203" s="35"/>
      <c r="M203" s="35"/>
      <c r="N203" s="35"/>
      <c r="O203" s="35"/>
    </row>
    <row r="204" spans="1:15" ht="12.75">
      <c r="A204" s="40"/>
      <c r="B204" s="52"/>
      <c r="C204" s="35"/>
      <c r="D204" s="41"/>
      <c r="E204" s="42"/>
      <c r="F204" s="43"/>
      <c r="G204" s="42"/>
      <c r="H204" s="44"/>
      <c r="I204" s="45"/>
      <c r="J204" s="46"/>
      <c r="K204" s="46"/>
      <c r="L204" s="35"/>
      <c r="M204" s="35"/>
      <c r="N204" s="35"/>
      <c r="O204" s="35"/>
    </row>
    <row r="205" spans="1:15" ht="12.75">
      <c r="A205" s="40"/>
      <c r="B205" s="52"/>
      <c r="C205" s="35"/>
      <c r="D205" s="41"/>
      <c r="E205" s="42"/>
      <c r="F205" s="43"/>
      <c r="G205" s="58"/>
      <c r="H205" s="44"/>
      <c r="I205" s="45"/>
      <c r="J205" s="46"/>
      <c r="K205" s="57"/>
      <c r="L205" s="35"/>
      <c r="M205" s="35"/>
      <c r="N205" s="35"/>
      <c r="O205" s="35"/>
    </row>
    <row r="206" spans="1:15" ht="12.75">
      <c r="A206" s="40"/>
      <c r="B206" s="52"/>
      <c r="C206" s="35"/>
      <c r="D206" s="41"/>
      <c r="E206" s="42"/>
      <c r="F206" s="43"/>
      <c r="G206" s="42"/>
      <c r="H206" s="44"/>
      <c r="I206" s="45"/>
      <c r="J206" s="46"/>
      <c r="K206" s="46"/>
      <c r="L206" s="35"/>
      <c r="M206" s="35"/>
      <c r="N206" s="35"/>
      <c r="O206" s="35"/>
    </row>
    <row r="207" spans="1:15" ht="12.75">
      <c r="A207" s="40"/>
      <c r="B207" s="52"/>
      <c r="C207" s="35"/>
      <c r="D207" s="41"/>
      <c r="E207" s="42"/>
      <c r="F207" s="43"/>
      <c r="G207" s="42"/>
      <c r="H207" s="44"/>
      <c r="I207" s="45"/>
      <c r="J207" s="46"/>
      <c r="K207" s="46"/>
      <c r="L207" s="35"/>
      <c r="M207" s="35"/>
      <c r="N207" s="35"/>
      <c r="O207" s="35"/>
    </row>
    <row r="208" spans="1:15" ht="12.75">
      <c r="A208" s="40"/>
      <c r="B208" s="52"/>
      <c r="C208" s="35"/>
      <c r="D208" s="41"/>
      <c r="E208" s="42"/>
      <c r="F208" s="43"/>
      <c r="G208" s="42"/>
      <c r="H208" s="44"/>
      <c r="I208" s="45"/>
      <c r="J208" s="46"/>
      <c r="K208" s="46"/>
      <c r="L208" s="35"/>
      <c r="M208" s="35"/>
      <c r="N208" s="35"/>
      <c r="O208" s="35"/>
    </row>
    <row r="209" spans="1:15" ht="12.75">
      <c r="A209" s="40"/>
      <c r="B209" s="52"/>
      <c r="C209" s="35"/>
      <c r="D209" s="41"/>
      <c r="E209" s="42"/>
      <c r="F209" s="43"/>
      <c r="G209" s="42"/>
      <c r="H209" s="44"/>
      <c r="I209" s="45"/>
      <c r="J209" s="46"/>
      <c r="K209" s="46"/>
      <c r="L209" s="35"/>
      <c r="M209" s="35"/>
      <c r="N209" s="35"/>
      <c r="O209" s="35"/>
    </row>
    <row r="210" spans="1:15" ht="12.75">
      <c r="A210" s="40"/>
      <c r="B210" s="52"/>
      <c r="C210" s="35"/>
      <c r="D210" s="41"/>
      <c r="E210" s="42"/>
      <c r="F210" s="43"/>
      <c r="G210" s="42"/>
      <c r="H210" s="44"/>
      <c r="I210" s="45"/>
      <c r="J210" s="46"/>
      <c r="K210" s="46"/>
      <c r="L210" s="35"/>
      <c r="M210" s="35"/>
      <c r="N210" s="35"/>
      <c r="O210" s="35"/>
    </row>
    <row r="211" spans="1:15" ht="12.75">
      <c r="A211" s="35"/>
      <c r="B211" s="35"/>
      <c r="C211" s="35"/>
      <c r="D211" s="35"/>
      <c r="E211" s="35"/>
      <c r="F211" s="35"/>
      <c r="G211" s="35"/>
      <c r="H211" s="35"/>
      <c r="I211" s="35"/>
      <c r="J211" s="35"/>
      <c r="K211" s="35"/>
      <c r="L211" s="35"/>
      <c r="M211" s="35"/>
      <c r="N211" s="35"/>
      <c r="O211" s="35"/>
    </row>
    <row r="212" spans="1:15" ht="12.75">
      <c r="A212" s="35"/>
      <c r="B212" s="35"/>
      <c r="C212" s="35"/>
      <c r="D212" s="35"/>
      <c r="E212" s="35"/>
      <c r="F212" s="35"/>
      <c r="G212" s="35"/>
      <c r="H212" s="35"/>
      <c r="I212" s="35"/>
      <c r="J212" s="35"/>
      <c r="K212" s="35"/>
      <c r="L212" s="35"/>
      <c r="M212" s="35"/>
      <c r="N212" s="35"/>
      <c r="O212" s="35"/>
    </row>
    <row r="213" spans="1:15" ht="12.75">
      <c r="A213" s="35"/>
      <c r="B213" s="35"/>
      <c r="C213" s="35"/>
      <c r="D213" s="35"/>
      <c r="E213" s="35"/>
      <c r="F213" s="35"/>
      <c r="G213" s="35"/>
      <c r="H213" s="35"/>
      <c r="I213" s="35"/>
      <c r="J213" s="35"/>
      <c r="K213" s="35"/>
      <c r="L213" s="35"/>
      <c r="M213" s="35"/>
      <c r="N213" s="35"/>
      <c r="O213" s="35"/>
    </row>
    <row r="214" spans="1:15" ht="12.75">
      <c r="A214" s="35"/>
      <c r="B214" s="35"/>
      <c r="C214" s="35"/>
      <c r="D214" s="35"/>
      <c r="E214" s="35"/>
      <c r="F214" s="35"/>
      <c r="G214" s="35"/>
      <c r="H214" s="35"/>
      <c r="I214" s="35"/>
      <c r="J214" s="35"/>
      <c r="K214" s="35"/>
      <c r="L214" s="35"/>
      <c r="M214" s="35"/>
      <c r="N214" s="35"/>
      <c r="O214" s="35"/>
    </row>
    <row r="215" spans="1:15" ht="12.75">
      <c r="A215" s="35"/>
      <c r="B215" s="35"/>
      <c r="C215" s="35"/>
      <c r="D215" s="35"/>
      <c r="E215" s="35"/>
      <c r="F215" s="35"/>
      <c r="G215" s="35"/>
      <c r="H215" s="35"/>
      <c r="I215" s="35"/>
      <c r="J215" s="35"/>
      <c r="K215" s="35"/>
      <c r="L215" s="35"/>
      <c r="M215" s="35"/>
      <c r="N215" s="35"/>
      <c r="O215" s="35"/>
    </row>
    <row r="216" spans="1:15" ht="12.75">
      <c r="A216" s="35"/>
      <c r="B216" s="35"/>
      <c r="C216" s="35"/>
      <c r="D216" s="35"/>
      <c r="E216" s="35"/>
      <c r="F216" s="35"/>
      <c r="G216" s="35"/>
      <c r="H216" s="35"/>
      <c r="I216" s="35"/>
      <c r="J216" s="35"/>
      <c r="K216" s="35"/>
      <c r="L216" s="35"/>
      <c r="M216" s="35"/>
      <c r="N216" s="35"/>
      <c r="O216" s="35"/>
    </row>
    <row r="217" spans="1:15" ht="12.75">
      <c r="A217" s="35"/>
      <c r="B217" s="35"/>
      <c r="C217" s="35"/>
      <c r="D217" s="35"/>
      <c r="E217" s="35"/>
      <c r="F217" s="35"/>
      <c r="G217" s="35"/>
      <c r="H217" s="35"/>
      <c r="I217" s="35"/>
      <c r="J217" s="35"/>
      <c r="K217" s="35"/>
      <c r="L217" s="35"/>
      <c r="M217" s="35"/>
      <c r="N217" s="35"/>
      <c r="O217" s="35"/>
    </row>
    <row r="218" spans="1:15" ht="12.75">
      <c r="A218" s="35"/>
      <c r="B218" s="35"/>
      <c r="C218" s="35"/>
      <c r="D218" s="35"/>
      <c r="E218" s="35"/>
      <c r="F218" s="35"/>
      <c r="G218" s="35"/>
      <c r="H218" s="35"/>
      <c r="I218" s="35"/>
      <c r="J218" s="35"/>
      <c r="K218" s="35"/>
      <c r="L218" s="35"/>
      <c r="M218" s="35"/>
      <c r="N218" s="35"/>
      <c r="O218" s="35"/>
    </row>
    <row r="219" spans="1:15" ht="12.75">
      <c r="A219" s="35"/>
      <c r="B219" s="35"/>
      <c r="C219" s="35"/>
      <c r="D219" s="35"/>
      <c r="E219" s="35"/>
      <c r="F219" s="35"/>
      <c r="G219" s="35"/>
      <c r="H219" s="35"/>
      <c r="I219" s="35"/>
      <c r="J219" s="35"/>
      <c r="K219" s="35"/>
      <c r="L219" s="35"/>
      <c r="M219" s="35"/>
      <c r="N219" s="35"/>
      <c r="O219" s="35"/>
    </row>
    <row r="220" spans="1:15" ht="12.75">
      <c r="A220" s="35"/>
      <c r="B220" s="35"/>
      <c r="C220" s="35"/>
      <c r="D220" s="35"/>
      <c r="E220" s="35"/>
      <c r="F220" s="35"/>
      <c r="G220" s="35"/>
      <c r="H220" s="35"/>
      <c r="I220" s="35"/>
      <c r="J220" s="35"/>
      <c r="K220" s="35"/>
      <c r="L220" s="35"/>
      <c r="M220" s="35"/>
      <c r="N220" s="35"/>
      <c r="O220" s="35"/>
    </row>
    <row r="221" spans="1:15" ht="12.75">
      <c r="A221" s="35"/>
      <c r="B221" s="35"/>
      <c r="C221" s="35"/>
      <c r="D221" s="35"/>
      <c r="E221" s="35"/>
      <c r="F221" s="35"/>
      <c r="G221" s="35"/>
      <c r="H221" s="35"/>
      <c r="I221" s="35"/>
      <c r="J221" s="35"/>
      <c r="K221" s="35"/>
      <c r="L221" s="35"/>
      <c r="M221" s="35"/>
      <c r="N221" s="35"/>
      <c r="O221" s="35"/>
    </row>
    <row r="222" spans="1:15" ht="12.75">
      <c r="A222" s="35"/>
      <c r="B222" s="35"/>
      <c r="C222" s="35"/>
      <c r="D222" s="35"/>
      <c r="E222" s="35"/>
      <c r="F222" s="35"/>
      <c r="G222" s="35"/>
      <c r="H222" s="35"/>
      <c r="I222" s="35"/>
      <c r="J222" s="35"/>
      <c r="K222" s="35"/>
      <c r="L222" s="35"/>
      <c r="M222" s="35"/>
      <c r="N222" s="35"/>
      <c r="O222" s="35"/>
    </row>
  </sheetData>
  <mergeCells count="182">
    <mergeCell ref="M58:N58"/>
    <mergeCell ref="G196:H196"/>
    <mergeCell ref="I196:J196"/>
    <mergeCell ref="K56:L56"/>
    <mergeCell ref="M74:N74"/>
    <mergeCell ref="M77:N77"/>
    <mergeCell ref="I186:J186"/>
    <mergeCell ref="G189:H189"/>
    <mergeCell ref="I189:J189"/>
    <mergeCell ref="I108:J108"/>
    <mergeCell ref="I109:J109"/>
    <mergeCell ref="G108:H108"/>
    <mergeCell ref="G109:H109"/>
    <mergeCell ref="G111:H111"/>
    <mergeCell ref="I111:J111"/>
    <mergeCell ref="G112:H112"/>
    <mergeCell ref="G113:H113"/>
    <mergeCell ref="G195:H195"/>
    <mergeCell ref="I195:J195"/>
    <mergeCell ref="I119:J119"/>
    <mergeCell ref="I126:J126"/>
    <mergeCell ref="I127:J127"/>
    <mergeCell ref="I112:J112"/>
    <mergeCell ref="I113:J113"/>
    <mergeCell ref="I115:J115"/>
    <mergeCell ref="E117:F117"/>
    <mergeCell ref="G180:H180"/>
    <mergeCell ref="G185:H185"/>
    <mergeCell ref="G186:H186"/>
    <mergeCell ref="G119:H119"/>
    <mergeCell ref="G133:H133"/>
    <mergeCell ref="G134:H134"/>
    <mergeCell ref="G135:H135"/>
    <mergeCell ref="G147:H147"/>
    <mergeCell ref="G144:H144"/>
    <mergeCell ref="E108:F108"/>
    <mergeCell ref="E111:F111"/>
    <mergeCell ref="E115:F115"/>
    <mergeCell ref="E116:F116"/>
    <mergeCell ref="I116:J116"/>
    <mergeCell ref="I117:J117"/>
    <mergeCell ref="I118:J118"/>
    <mergeCell ref="G115:H115"/>
    <mergeCell ref="G116:H116"/>
    <mergeCell ref="G117:H117"/>
    <mergeCell ref="G118:H118"/>
    <mergeCell ref="I128:J128"/>
    <mergeCell ref="G122:H122"/>
    <mergeCell ref="G123:H123"/>
    <mergeCell ref="G124:H124"/>
    <mergeCell ref="G125:H125"/>
    <mergeCell ref="G126:H126"/>
    <mergeCell ref="G127:H127"/>
    <mergeCell ref="G128:H128"/>
    <mergeCell ref="I122:J122"/>
    <mergeCell ref="I123:J123"/>
    <mergeCell ref="I124:J124"/>
    <mergeCell ref="I125:J125"/>
    <mergeCell ref="I143:J143"/>
    <mergeCell ref="I144:J144"/>
    <mergeCell ref="I140:J140"/>
    <mergeCell ref="I141:J141"/>
    <mergeCell ref="I133:J133"/>
    <mergeCell ref="I134:J134"/>
    <mergeCell ref="I135:J135"/>
    <mergeCell ref="I129:J129"/>
    <mergeCell ref="I137:J137"/>
    <mergeCell ref="I138:J138"/>
    <mergeCell ref="G136:H136"/>
    <mergeCell ref="G143:H143"/>
    <mergeCell ref="G140:H140"/>
    <mergeCell ref="G141:H141"/>
    <mergeCell ref="I130:J130"/>
    <mergeCell ref="I131:J131"/>
    <mergeCell ref="I132:J132"/>
    <mergeCell ref="G151:H151"/>
    <mergeCell ref="G148:H148"/>
    <mergeCell ref="G149:H149"/>
    <mergeCell ref="G150:H150"/>
    <mergeCell ref="G137:H137"/>
    <mergeCell ref="G138:H138"/>
    <mergeCell ref="I136:J136"/>
    <mergeCell ref="G129:H129"/>
    <mergeCell ref="G130:H130"/>
    <mergeCell ref="G131:H131"/>
    <mergeCell ref="G132:H132"/>
    <mergeCell ref="I155:J155"/>
    <mergeCell ref="G154:H154"/>
    <mergeCell ref="I154:J154"/>
    <mergeCell ref="G152:H152"/>
    <mergeCell ref="G153:H153"/>
    <mergeCell ref="G176:H176"/>
    <mergeCell ref="G178:H178"/>
    <mergeCell ref="G181:H181"/>
    <mergeCell ref="I157:J157"/>
    <mergeCell ref="G163:H163"/>
    <mergeCell ref="G166:H166"/>
    <mergeCell ref="G168:H168"/>
    <mergeCell ref="G170:H170"/>
    <mergeCell ref="G167:H167"/>
    <mergeCell ref="G169:H169"/>
    <mergeCell ref="I185:J185"/>
    <mergeCell ref="E181:F181"/>
    <mergeCell ref="G164:H164"/>
    <mergeCell ref="G165:H165"/>
    <mergeCell ref="G172:H172"/>
    <mergeCell ref="G174:H174"/>
    <mergeCell ref="G177:H177"/>
    <mergeCell ref="G171:H171"/>
    <mergeCell ref="G173:H173"/>
    <mergeCell ref="G175:H175"/>
    <mergeCell ref="E165:F165"/>
    <mergeCell ref="E167:F167"/>
    <mergeCell ref="E169:F169"/>
    <mergeCell ref="E171:F171"/>
    <mergeCell ref="E166:F166"/>
    <mergeCell ref="E168:F168"/>
    <mergeCell ref="E170:F170"/>
    <mergeCell ref="E152:F152"/>
    <mergeCell ref="G161:H161"/>
    <mergeCell ref="G162:H162"/>
    <mergeCell ref="E161:F161"/>
    <mergeCell ref="E162:F162"/>
    <mergeCell ref="E157:F157"/>
    <mergeCell ref="G157:H157"/>
    <mergeCell ref="G155:H155"/>
    <mergeCell ref="D158:G158"/>
    <mergeCell ref="E140:F140"/>
    <mergeCell ref="E143:F143"/>
    <mergeCell ref="E147:F147"/>
    <mergeCell ref="E149:F149"/>
    <mergeCell ref="E133:F133"/>
    <mergeCell ref="E129:F129"/>
    <mergeCell ref="E135:F135"/>
    <mergeCell ref="E137:F137"/>
    <mergeCell ref="E124:F124"/>
    <mergeCell ref="E127:F127"/>
    <mergeCell ref="E131:F131"/>
    <mergeCell ref="E122:F122"/>
    <mergeCell ref="E105:F105"/>
    <mergeCell ref="G104:H104"/>
    <mergeCell ref="G105:H105"/>
    <mergeCell ref="I104:J104"/>
    <mergeCell ref="I105:J105"/>
    <mergeCell ref="H82:I82"/>
    <mergeCell ref="E104:F104"/>
    <mergeCell ref="G103:H103"/>
    <mergeCell ref="I103:J103"/>
    <mergeCell ref="H58:I58"/>
    <mergeCell ref="H100:I100"/>
    <mergeCell ref="F90:G90"/>
    <mergeCell ref="F98:G98"/>
    <mergeCell ref="H98:I98"/>
    <mergeCell ref="F97:G97"/>
    <mergeCell ref="H97:I97"/>
    <mergeCell ref="F81:G81"/>
    <mergeCell ref="F82:G82"/>
    <mergeCell ref="H81:I81"/>
    <mergeCell ref="H56:I56"/>
    <mergeCell ref="F56:G56"/>
    <mergeCell ref="F57:G57"/>
    <mergeCell ref="H57:I57"/>
    <mergeCell ref="E8:F8"/>
    <mergeCell ref="A6:F7"/>
    <mergeCell ref="H7:I7"/>
    <mergeCell ref="J7:K7"/>
    <mergeCell ref="H16:I16"/>
    <mergeCell ref="G6:O6"/>
    <mergeCell ref="N16:O16"/>
    <mergeCell ref="K27:L27"/>
    <mergeCell ref="M27:N27"/>
    <mergeCell ref="L16:M16"/>
    <mergeCell ref="J16:K16"/>
    <mergeCell ref="L7:M7"/>
    <mergeCell ref="N7:O7"/>
    <mergeCell ref="E172:F172"/>
    <mergeCell ref="E174:F174"/>
    <mergeCell ref="E176:F176"/>
    <mergeCell ref="E179:F179"/>
    <mergeCell ref="E173:F173"/>
    <mergeCell ref="E175:F175"/>
    <mergeCell ref="E178:F178"/>
  </mergeCells>
  <printOptions gridLines="1"/>
  <pageMargins left="0.17" right="0.34" top="0.77" bottom="0.63" header="0.5" footer="0.5"/>
  <pageSetup fitToHeight="1" fitToWidth="1" horizontalDpi="600" verticalDpi="600" orientation="portrait" scale="80" r:id="rId1"/>
  <headerFooter alignWithMargins="0">
    <oddHeader>&amp;C&amp;"Arial,Bold"&amp;14NCSX Fabrication Project Cost and Schedule</oddHeader>
    <oddFooter>&amp;L&amp;F&amp;C&amp;"Arial,Bold"&amp;A    &amp;P of &amp;N&amp;R&amp;D   &amp;T</oddFooter>
  </headerFooter>
  <rowBreaks count="6" manualBreakCount="6">
    <brk id="24" max="14" man="1"/>
    <brk id="60" max="14" man="1"/>
    <brk id="79" max="14" man="1"/>
    <brk id="101" max="14" man="1"/>
    <brk id="159" max="14" man="1"/>
    <brk id="182" max="14" man="1"/>
  </rowBreaks>
</worksheet>
</file>

<file path=xl/worksheets/sheet5.xml><?xml version="1.0" encoding="utf-8"?>
<worksheet xmlns="http://schemas.openxmlformats.org/spreadsheetml/2006/main" xmlns:r="http://schemas.openxmlformats.org/officeDocument/2006/relationships">
  <dimension ref="A1:M11"/>
  <sheetViews>
    <sheetView workbookViewId="0" topLeftCell="A1">
      <selection activeCell="O16" sqref="O16"/>
    </sheetView>
  </sheetViews>
  <sheetFormatPr defaultColWidth="9.140625" defaultRowHeight="12.75"/>
  <cols>
    <col min="1" max="16384" width="9.140625" style="29" customWidth="1"/>
  </cols>
  <sheetData>
    <row r="1" spans="1:8" ht="20.25">
      <c r="A1" s="141" t="str">
        <f>'Fab Project'!A1:E1</f>
        <v>WBS 161 LN2 Distribution System Inside Cryostat</v>
      </c>
      <c r="B1" s="141"/>
      <c r="C1" s="141"/>
      <c r="D1" s="141"/>
      <c r="E1" s="141"/>
      <c r="F1" s="141"/>
      <c r="G1" s="141"/>
      <c r="H1" s="141"/>
    </row>
    <row r="3" spans="1:13" ht="18.75" thickBot="1">
      <c r="A3" s="142" t="s">
        <v>99</v>
      </c>
      <c r="B3" s="133"/>
      <c r="C3" s="133"/>
      <c r="D3" s="133"/>
      <c r="E3" s="133"/>
      <c r="F3" s="133"/>
      <c r="G3" s="133"/>
      <c r="H3" s="133"/>
      <c r="I3" s="133"/>
      <c r="J3" s="133"/>
      <c r="K3" s="133"/>
      <c r="L3" s="133"/>
      <c r="M3" s="133"/>
    </row>
    <row r="5" ht="12.75">
      <c r="A5" s="29" t="s">
        <v>100</v>
      </c>
    </row>
    <row r="6" ht="12.75">
      <c r="A6" s="29" t="s">
        <v>258</v>
      </c>
    </row>
    <row r="11" spans="1:2" ht="12.75">
      <c r="A11" s="29" t="s">
        <v>147</v>
      </c>
      <c r="B11" s="29" t="s">
        <v>148</v>
      </c>
    </row>
  </sheetData>
  <printOptions/>
  <pageMargins left="0.75" right="0.75" top="1" bottom="1" header="0.5" footer="0.5"/>
  <pageSetup horizontalDpi="600" verticalDpi="600" orientation="landscape" r:id="rId1"/>
  <headerFooter alignWithMargins="0">
    <oddHeader>&amp;C&amp;"Arial,Bold"&amp;14NCSX Fabrication Project Cost Estimate</oddHeader>
    <oddFooter>&amp;L&amp;"Arial,Bold"Date: August 20, 2003&amp;C&amp;"Arial,Bold"&amp;P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rstrykowsky</cp:lastModifiedBy>
  <cp:lastPrinted>2007-04-26T15:54:48Z</cp:lastPrinted>
  <dcterms:created xsi:type="dcterms:W3CDTF">2001-10-24T18:11:20Z</dcterms:created>
  <dcterms:modified xsi:type="dcterms:W3CDTF">2007-04-26T15:55:17Z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