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228" windowHeight="11640" activeTab="4"/>
  </bookViews>
  <sheets>
    <sheet name="Risk Analysis Results" sheetId="1" r:id="rId1"/>
    <sheet name="Model" sheetId="2" r:id="rId2"/>
    <sheet name="Estimate Uncertainty Matrix" sheetId="3" r:id="rId3"/>
    <sheet name="CB_DATA_" sheetId="4" state="veryHidden" r:id="rId4"/>
    <sheet name="Estimate Ranges" sheetId="5" r:id="rId5"/>
    <sheet name="Updated ETC-5-30-07" sheetId="6" r:id="rId6"/>
    <sheet name="Schedule Ranges" sheetId="7" r:id="rId7"/>
    <sheet name="Risk Register" sheetId="8" r:id="rId8"/>
    <sheet name="Risk Probability Tables" sheetId="9" r:id="rId9"/>
    <sheet name="Escalation Risk" sheetId="10" r:id="rId10"/>
  </sheets>
  <definedNames>
    <definedName name="CB_00e89eebc6f24ee9b76498d079beabef" localSheetId="4" hidden="1">'Estimate Ranges'!$S$160</definedName>
    <definedName name="CB_017047b78cca4b60b35808b0232b19d5" localSheetId="7" hidden="1">'Risk Register'!$P$8</definedName>
    <definedName name="CB_02937179fe8b492dbd57eba270a9f750" localSheetId="4" hidden="1">'Estimate Ranges'!$S$50</definedName>
    <definedName name="CB_034b3e8797da45049f3bf5eed6070587" localSheetId="4" hidden="1">'Estimate Ranges'!$K$149</definedName>
    <definedName name="CB_057576b38cda498891f0deec63486b32" localSheetId="4" hidden="1">'Estimate Ranges'!$K$33</definedName>
    <definedName name="CB_0607c973b42a4eb1bcfdd6e0731f6ea0" localSheetId="7" hidden="1">'Risk Register'!$O$25</definedName>
    <definedName name="CB_0612067e777842898b98014574226614" localSheetId="4" hidden="1">'Estimate Ranges'!$S$82</definedName>
    <definedName name="CB_0680ce4cec904cedaa883b7f1ae332b6" localSheetId="4" hidden="1">'Estimate Ranges'!$K$140</definedName>
    <definedName name="CB_0892dec460104e138692c44aaf0e854a" localSheetId="4" hidden="1">'Estimate Ranges'!$S$92</definedName>
    <definedName name="CB_09884c2d2c3f4c8db43e11c8f06e4814" localSheetId="7" hidden="1">'Risk Register'!$O$11</definedName>
    <definedName name="CB_0a0c84d2efd1432ca36e9ba7bce6bbce" localSheetId="7" hidden="1">'Risk Register'!$Q$4</definedName>
    <definedName name="CB_0a687c0be57e4dac992bab66c40ddd43" localSheetId="7" hidden="1">'Risk Register'!$P$10</definedName>
    <definedName name="CB_0a7d259926434cc0baae09a62a8ade5f" localSheetId="7" hidden="1">'Risk Register'!$O$18</definedName>
    <definedName name="CB_1138c8f209c346ec91a7af8ab18e44a3" localSheetId="4" hidden="1">'Estimate Ranges'!$K$111</definedName>
    <definedName name="CB_1331ec6ee0a3416d85a4236d09bc02ff" localSheetId="1" hidden="1">'Model'!$B$18</definedName>
    <definedName name="CB_13f61f09a4dc4c3caf4b20eff9934163" localSheetId="7" hidden="1">'Risk Register'!$P$14</definedName>
    <definedName name="CB_147fec7aec254dfba41033e057abd7e3" localSheetId="6" hidden="1">'Schedule Ranges'!$H$12</definedName>
    <definedName name="CB_160b355f54644376a9cd216280f89e96" localSheetId="4" hidden="1">'Estimate Ranges'!$S$64</definedName>
    <definedName name="CB_161d7f5007d544aaa22cbdc818686d0c" localSheetId="7" hidden="1">'Risk Register'!$P$13</definedName>
    <definedName name="CB_17cab4d41bfc4279bdc7008296c50380" localSheetId="4" hidden="1">'Estimate Ranges'!$K$161</definedName>
    <definedName name="CB_1a12106a23974e0d98841d614df28047" localSheetId="4" hidden="1">'Estimate Ranges'!$S$106</definedName>
    <definedName name="CB_1a6a4db1053a4605abaf3c3ec1fa1189" localSheetId="4" hidden="1">'Estimate Ranges'!$K$130</definedName>
    <definedName name="CB_1b9dee0af5744d4daab643cf82d2e2f7" localSheetId="4" hidden="1">'Estimate Ranges'!$K$34</definedName>
    <definedName name="CB_1de2319ecb9e4ece826ead4864f3d78f" localSheetId="4" hidden="1">'Estimate Ranges'!$K$60</definedName>
    <definedName name="CB_1deed9432a7e41d1a08f228a240e06d7" localSheetId="4" hidden="1">'Estimate Ranges'!$K$156</definedName>
    <definedName name="CB_1f11acb2b2374751b27154fdd81cd931" localSheetId="4" hidden="1">'Estimate Ranges'!$S$168</definedName>
    <definedName name="CB_1f74434778694e28b8c75549bd3710c9" localSheetId="6" hidden="1">'Schedule Ranges'!$H$11</definedName>
    <definedName name="CB_217860f3c0044931957ea71b40137a67" localSheetId="7" hidden="1">'Risk Register'!$P$11</definedName>
    <definedName name="CB_2280d508dd0543ca9d40599a3a652504" localSheetId="4" hidden="1">'Estimate Ranges'!$S$20</definedName>
    <definedName name="CB_23f13092df7d4d6fb245c6e9e765f2aa" localSheetId="4" hidden="1">'Estimate Ranges'!$K$56</definedName>
    <definedName name="CB_25705346074f488785dbd09a6f783195" localSheetId="7" hidden="1">'Risk Register'!$P$16</definedName>
    <definedName name="CB_257e1b6b6b664c49a70c9523b2adc822" localSheetId="4" hidden="1">'Estimate Ranges'!$S$140</definedName>
    <definedName name="CB_26d1b2a6251c416f8170d84a6e510845" localSheetId="4" hidden="1">'Estimate Ranges'!$S$153</definedName>
    <definedName name="CB_276fef3b71d84d2bb0fa9f76ee184dda" localSheetId="4" hidden="1">'Estimate Ranges'!$S$33</definedName>
    <definedName name="CB_2b88bcb0de02497292ce49b23136c3db" localSheetId="7" hidden="1">'Risk Register'!$P$4</definedName>
    <definedName name="CB_2cb30eac758a4f1a8f45f0b8ed04df3a" localSheetId="4" hidden="1">'Estimate Ranges'!$S$159</definedName>
    <definedName name="CB_2d7a8f0d74384778a3b990fec92a4c81" localSheetId="4" hidden="1">'Estimate Ranges'!$S$84</definedName>
    <definedName name="CB_2d9f957a86af413083361b1ddd759e1f" localSheetId="4" hidden="1">'Estimate Ranges'!$K$164</definedName>
    <definedName name="CB_2e57b41fed0a49a89231c50fb3b7b2da" localSheetId="4" hidden="1">'Estimate Ranges'!$S$149</definedName>
    <definedName name="CB_2e64b1008afb499cbdf78c5428cfc6dd" localSheetId="6" hidden="1">'Schedule Ranges'!$H$15</definedName>
    <definedName name="CB_2f8d1b53508a4778bcc529c05184bbed" localSheetId="4" hidden="1">'Estimate Ranges'!$S$32</definedName>
    <definedName name="CB_2f8ebb0eeedf4b578db3463f36f143eb" localSheetId="4" hidden="1">'Estimate Ranges'!$K$62</definedName>
    <definedName name="CB_2ff972cf61b741be8521a797c3f45f28" localSheetId="4" hidden="1">'Estimate Ranges'!$K$84</definedName>
    <definedName name="CB_32097a3dd7864d4190b19e518e0d73de" localSheetId="7" hidden="1">'Risk Register'!$P$21</definedName>
    <definedName name="CB_3368731e58354f5cae27ef07eec64ceb" localSheetId="4" hidden="1">'Estimate Ranges'!$S$40</definedName>
    <definedName name="CB_33930bde23dc4561a93b59803b2357dc" localSheetId="4" hidden="1">'Estimate Ranges'!$S$68</definedName>
    <definedName name="CB_36a8b7131c1e41d6977efcf30a1f3f9c" localSheetId="4" hidden="1">'Estimate Ranges'!$K$157</definedName>
    <definedName name="CB_37796ad585bd4422b7f4fd5a1f1c3080" localSheetId="4" hidden="1">'Estimate Ranges'!$K$40</definedName>
    <definedName name="CB_377d897741b6407faac5dd7cee656f80" localSheetId="7" hidden="1">'Risk Register'!$O$7</definedName>
    <definedName name="CB_37d6a7ee82b0420da393631cf45e7efb" localSheetId="7" hidden="1">'Risk Register'!$Q$10</definedName>
    <definedName name="CB_37fa1f6d98114ec0ae1ccb001fade634" localSheetId="4" hidden="1">'Estimate Ranges'!$S$13</definedName>
    <definedName name="CB_3839325091a142a5b4e573ded6baed23" localSheetId="3" hidden="1">#N/A</definedName>
    <definedName name="CB_3bdc7df8e987443faf8fd42cafb25afd" localSheetId="4" hidden="1">'Estimate Ranges'!$S$44</definedName>
    <definedName name="CB_3c7f65c75d4c44419e9ce07a3b5e030a" localSheetId="4" hidden="1">'Estimate Ranges'!$K$163</definedName>
    <definedName name="CB_40ca52701ac847f8a1f670e27c4d5af6" localSheetId="4" hidden="1">'Estimate Ranges'!$K$139</definedName>
    <definedName name="CB_42a5e849704f462b9752b28001925613" localSheetId="6" hidden="1">'Schedule Ranges'!$H$9</definedName>
    <definedName name="CB_4411244ae33f4d1dbb071635cf4826e6" localSheetId="4" hidden="1">'Estimate Ranges'!$S$57</definedName>
    <definedName name="CB_444a460ec37d4f28ac7cd8f60f44d9bf" localSheetId="7" hidden="1">'Risk Register'!$Q$18</definedName>
    <definedName name="CB_45dbd0e744634980a1dfe50d52166ae5" localSheetId="4" hidden="1">'Estimate Ranges'!$K$137</definedName>
    <definedName name="CB_467ece309ad541ecbbbefa2ee82b842b" localSheetId="4" hidden="1">'Estimate Ranges'!$S$134</definedName>
    <definedName name="CB_4694edde557f48e8b6f7f1eda4b7f4a3" localSheetId="4" hidden="1">'Estimate Ranges'!$K$15</definedName>
    <definedName name="CB_49b2a73216f64fcfa693d5384536a11b" localSheetId="4" hidden="1">'Estimate Ranges'!$K$141</definedName>
    <definedName name="CB_4a208c7f99674b2fac587b3e2aa55563" localSheetId="7" hidden="1">'Risk Register'!$Q$6</definedName>
    <definedName name="CB_4a754fafee074e2888750aa9a32b40ca" localSheetId="4" hidden="1">'Estimate Ranges'!$S$61</definedName>
    <definedName name="CB_4b1d4e2c0fe345668622977507c7c55c" localSheetId="7" hidden="1">'Risk Register'!$O$9</definedName>
    <definedName name="CB_4b46905b8c074dbb9fadf949fe22f8e6" localSheetId="4" hidden="1">'Estimate Ranges'!$S$52</definedName>
    <definedName name="CB_4e090812ff244da8a3c3668b1d0b5dff" localSheetId="6" hidden="1">'Schedule Ranges'!$H$7</definedName>
    <definedName name="CB_4ec644e6ad32427fac797595517e2647" localSheetId="6" hidden="1">'Schedule Ranges'!$H$14</definedName>
    <definedName name="CB_4f57fe4c242146149d9fb19179e80eb3" localSheetId="7" hidden="1">'Risk Register'!$O$5</definedName>
    <definedName name="CB_523fdc470dc04b3cb6b8ad4e61d4908f" localSheetId="4" hidden="1">'Estimate Ranges'!$S$37</definedName>
    <definedName name="CB_532e542ccfa147228c6d77e0467e6862" localSheetId="4" hidden="1">'Estimate Ranges'!$S$137</definedName>
    <definedName name="CB_536f7a288df442b1a8e0e67087cbdf50" localSheetId="4" hidden="1">'Estimate Ranges'!$K$158</definedName>
    <definedName name="CB_5492784eaf874bf997676fe246822a0a" localSheetId="7" hidden="1">'Risk Register'!$O$12</definedName>
    <definedName name="CB_55025a8971a14f6a8b55367a09b221c9" localSheetId="4" hidden="1">'Estimate Ranges'!$K$45</definedName>
    <definedName name="CB_5510d737775a4bdbabcba2dea6c48dd0" localSheetId="4" hidden="1">'Estimate Ranges'!$K$165</definedName>
    <definedName name="CB_557231ffd0cd4578a02fac332c3cbb3e" localSheetId="7" hidden="1">'Risk Register'!$O$13</definedName>
    <definedName name="CB_5655b75aa4dd473b99146a063396681f" localSheetId="4" hidden="1">'Estimate Ranges'!$S$99</definedName>
    <definedName name="CB_585efd2940e44a0db92fd39af58688c9" localSheetId="4" hidden="1">'Estimate Ranges'!$K$121</definedName>
    <definedName name="CB_5881aa75e74e40a8bfa9e68a9fca32b2" localSheetId="4" hidden="1">'Estimate Ranges'!$S$69</definedName>
    <definedName name="CB_58f69004ce7747a9803c4ba7dba4d405" localSheetId="4" hidden="1">'Estimate Ranges'!$S$35</definedName>
    <definedName name="CB_59518c6982364c38b3bdeb0e5ae02a4d" localSheetId="4" hidden="1">'Estimate Ranges'!$K$30</definedName>
    <definedName name="CB_5a3bf9122b4e488dbf4331f2e8c09183" localSheetId="3" hidden="1">#N/A</definedName>
    <definedName name="CB_5aee9ac35b1c4404ab3b58eb7c4a5f2d" localSheetId="4" hidden="1">'Estimate Ranges'!$K$4</definedName>
    <definedName name="CB_5b6491bd71ab42a7bf4cb4dc6a14a9b9" localSheetId="4" hidden="1">'Estimate Ranges'!$K$12</definedName>
    <definedName name="CB_5bc5df4df21d4e50bccf60ba7e5d0134" localSheetId="4" hidden="1">'Estimate Ranges'!$K$57</definedName>
    <definedName name="CB_5eafa166ec034035a9f01aa690d4c63d" localSheetId="4" hidden="1">'Estimate Ranges'!$S$161</definedName>
    <definedName name="CB_604638986f364ad7acff956b93b21470" localSheetId="4" hidden="1">'Estimate Ranges'!$S$162</definedName>
    <definedName name="CB_6062a2bc99aa43e7a3028a866c5fc57a" localSheetId="7" hidden="1">'Risk Register'!$P$25</definedName>
    <definedName name="CB_60d4a02315154214aefa18692c134d9e" localSheetId="7" hidden="1">'Risk Register'!$P$6</definedName>
    <definedName name="CB_614b824a8a734f939c5c75459e92a60d" localSheetId="4" hidden="1">'Estimate Ranges'!$S$118</definedName>
    <definedName name="CB_6239663e986f4092aa9f7abd98688e95" localSheetId="1" hidden="1">'Model'!$B$19</definedName>
    <definedName name="CB_62d5871847514362946fe4d8733f3a6b" localSheetId="4" hidden="1">'Estimate Ranges'!$K$14</definedName>
    <definedName name="CB_645675805fe94749a29c841f25b1b5c3" localSheetId="4" hidden="1">'Estimate Ranges'!$S$121</definedName>
    <definedName name="CB_64e33d66802749b1930b14c762febf78" localSheetId="6" hidden="1">'Schedule Ranges'!$H$10</definedName>
    <definedName name="CB_669830f4ba054cf0a3f90e01dca0160e" localSheetId="4" hidden="1">'Estimate Ranges'!$K$69</definedName>
    <definedName name="CB_66e358c40c3b49f1a84859ff64667db6" localSheetId="1" hidden="1">'Model'!$B$15</definedName>
    <definedName name="CB_69dd256714b94c8b81ac82cb397e1d89" localSheetId="7" hidden="1">'Risk Register'!$O$4</definedName>
    <definedName name="CB_6a0391e993f940678fda576dc84a1b22" localSheetId="7" hidden="1">'Risk Register'!$O$23</definedName>
    <definedName name="CB_6a36b43bde6e4adfb1d9e3b8df86ce24" localSheetId="4" hidden="1">'Estimate Ranges'!$K$65</definedName>
    <definedName name="CB_6c3281ee4c064bb2a31157a5a72c0139" localSheetId="4" hidden="1">'Estimate Ranges'!$S$36</definedName>
    <definedName name="CB_6c5b5126b44b401db309bb42a3c7e9ab" localSheetId="4" hidden="1">'Estimate Ranges'!$S$132</definedName>
    <definedName name="CB_6e0ee6d3521f4da490bf99aaf9ddec04" localSheetId="4" hidden="1">'Estimate Ranges'!$S$14</definedName>
    <definedName name="CB_6e95a8a25f1d4f0f83b0db59ca4759fa" localSheetId="7" hidden="1">'Risk Register'!$O$8</definedName>
    <definedName name="CB_6f2e7f14381740978dcd1e7810bca324" localSheetId="7" hidden="1">'Risk Register'!$P$12</definedName>
    <definedName name="CB_7008757d3d2d48c4a6eb5f2166195fae" localSheetId="7" hidden="1">'Risk Register'!$Q$15</definedName>
    <definedName name="CB_714abcdaa1864e308c0f8273d050c1f0" localSheetId="4" hidden="1">'Estimate Ranges'!$K$135</definedName>
    <definedName name="CB_719bf5799cd047ccb241f4623d494230" localSheetId="4" hidden="1">'Estimate Ranges'!$K$63</definedName>
    <definedName name="CB_71a1b4c458b9485ca231cde53bf70604" localSheetId="4" hidden="1">'Estimate Ranges'!$K$5</definedName>
    <definedName name="CB_724b909ed58c419bb261011b7bf8ea57" localSheetId="4" hidden="1">'Estimate Ranges'!$S$139</definedName>
    <definedName name="CB_731e364bc6434e90b7408c5692ab90ba" localSheetId="6" hidden="1">'Schedule Ranges'!$H$6</definedName>
    <definedName name="CB_73391e2642034a08bbd45ba430c9e009" localSheetId="4" hidden="1">'Estimate Ranges'!$K$133</definedName>
    <definedName name="CB_756cd6b28f78457b90d6781ac191ee5c" localSheetId="4" hidden="1">'Estimate Ranges'!$S$155</definedName>
    <definedName name="CB_75cd53b886e6406daa9932f24bb72322" localSheetId="7" hidden="1">'Risk Register'!$P$7</definedName>
    <definedName name="CB_76c87196cb6247eda3f850aa121afe94" localSheetId="4" hidden="1">'Estimate Ranges'!$K$83</definedName>
    <definedName name="CB_76d3dd5d3b2845adb187303f1ce66eb3" localSheetId="4" hidden="1">'Estimate Ranges'!$K$81</definedName>
    <definedName name="CB_780c84fd6e844310bfdf63510eecb404" localSheetId="4" hidden="1">'Estimate Ranges'!$S$124</definedName>
    <definedName name="CB_783d503fab054d738eddb725d216ea1b" localSheetId="4" hidden="1">'Estimate Ranges'!$K$38</definedName>
    <definedName name="CB_7a3bb65988c74fca918aaae944990383" localSheetId="4" hidden="1">'Estimate Ranges'!$S$77</definedName>
    <definedName name="CB_7a40e1a2d0a6433a9c9e5080fd584978" localSheetId="7" hidden="1">'Risk Register'!$Q$22</definedName>
    <definedName name="CB_7ab54aac5d2a47c38b1e68d8c501807f" localSheetId="7" hidden="1">'Risk Register'!$P$9</definedName>
    <definedName name="CB_7b5ccaacffc8436e8e84bb1e1538b359" localSheetId="7" hidden="1">'Risk Register'!$O$16</definedName>
    <definedName name="CB_7ce005cf2118473f83d9bef90e1157a6" localSheetId="7" hidden="1">'Risk Register'!$O$21</definedName>
    <definedName name="CB_7edde725c99c41a8a6a3b7eb3664dfd5" localSheetId="4" hidden="1">'Estimate Ranges'!$S$65</definedName>
    <definedName name="CB_7f044b10e7504702a48ec96d6d8e8e95" localSheetId="4" hidden="1">'Estimate Ranges'!$K$36</definedName>
    <definedName name="CB_81a5e481f8b14d25b29e189371c90bbc" localSheetId="4" hidden="1">'Estimate Ranges'!$K$48</definedName>
    <definedName name="CB_81f6e4397df94d3099c935780af3c03b" localSheetId="4" hidden="1">'Estimate Ranges'!$S$26</definedName>
    <definedName name="CB_8215ac717923446f9174af7213f0cbd5" localSheetId="4" hidden="1">'Estimate Ranges'!$K$89</definedName>
    <definedName name="CB_83089bd484d546a6ae78ff77db1d964d" localSheetId="4" hidden="1">'Estimate Ranges'!$S$141</definedName>
    <definedName name="CB_83a40e759e934a53934844249c9fea54" localSheetId="4" hidden="1">'Estimate Ranges'!$S$130</definedName>
    <definedName name="CB_852cdc593b9e43dfa528bb594aab9203" localSheetId="7" hidden="1">'Risk Register'!$Q$20</definedName>
    <definedName name="CB_8736ce4387604ef2a0b1789e9d8c3d4d" localSheetId="7" hidden="1">'Risk Register'!$P$5</definedName>
    <definedName name="CB_87c3cd84f8124027a3db72fe2965f414" localSheetId="4" hidden="1">'Estimate Ranges'!$S$163</definedName>
    <definedName name="CB_87f7b295c5c840c899e4f5b707c56deb" localSheetId="4" hidden="1">'Estimate Ranges'!$K$50</definedName>
    <definedName name="CB_8822d35e6cea4010a8e7dde09b24f599" localSheetId="4" hidden="1">'Estimate Ranges'!$S$157</definedName>
    <definedName name="CB_894ad80b5a904fa2966b80cf6e07ef89" localSheetId="4" hidden="1">'Estimate Ranges'!$K$124</definedName>
    <definedName name="CB_89585797f7054e9999f310f429d0198a" localSheetId="4" hidden="1">'Estimate Ranges'!$K$105</definedName>
    <definedName name="CB_89bd523678ec4bba9f8d856c5bb8c414" localSheetId="4" hidden="1">'Estimate Ranges'!$S$48</definedName>
    <definedName name="CB_8a597c649b8743a791062db66770c279" localSheetId="4" hidden="1">'Estimate Ranges'!$S$85</definedName>
    <definedName name="CB_8e4722043d2549b791117cdbf5c022fa" localSheetId="4" hidden="1">'Estimate Ranges'!$S$111</definedName>
    <definedName name="CB_8f01011d36434917949ebd1a5dd4e103" localSheetId="4" hidden="1">'Estimate Ranges'!$K$85</definedName>
    <definedName name="CB_9198d9238739454396aa030c5040a8b7" localSheetId="4" hidden="1">'Estimate Ranges'!$K$91</definedName>
    <definedName name="CB_934c54e5a05f40a69e31c76867f8ddd3" localSheetId="7" hidden="1">'Risk Register'!$O$6</definedName>
    <definedName name="CB_937130e3f5174db99cb0bcd2e5c89945" localSheetId="4" hidden="1">'Estimate Ranges'!$S$60</definedName>
    <definedName name="CB_94dc0aa7645e47f88c2bbeb0949503a5" localSheetId="4" hidden="1">'Estimate Ranges'!$K$153</definedName>
    <definedName name="CB_95fc8079681142c0976f0780c4ff0734" localSheetId="4" hidden="1">'Estimate Ranges'!$K$82</definedName>
    <definedName name="CB_98769f0825d348d589011fa90907914a" localSheetId="4" hidden="1">'Estimate Ranges'!$S$156</definedName>
    <definedName name="CB_997737a050724f44bd6f0f6d6f045350" localSheetId="4" hidden="1">'Estimate Ranges'!$S$56</definedName>
    <definedName name="CB_9d81d29c9d9d45ef9a21897451ce5035" localSheetId="4" hidden="1">'Estimate Ranges'!$K$168</definedName>
    <definedName name="CB_a161c66d6115466699e43c945b038cdd" localSheetId="1" hidden="1">'Model'!$B$13</definedName>
    <definedName name="CB_a1bc9e91313a4a02b0a214e49a573cd3" localSheetId="4" hidden="1">'Estimate Ranges'!$K$19</definedName>
    <definedName name="CB_a1fcc3a953414f0b9f5a1b9ee260dc94" localSheetId="7" hidden="1">'Risk Register'!$P$23</definedName>
    <definedName name="CB_a2431bf178dd45a993e60a605661edea" localSheetId="4" hidden="1">'Estimate Ranges'!$S$165</definedName>
    <definedName name="CB_a3892a3db3564ae78120edce48fe6aee" localSheetId="7" hidden="1">'Risk Register'!$Q$8</definedName>
    <definedName name="CB_a5270897caf34c2da83cda24662494d2" localSheetId="4" hidden="1">'Estimate Ranges'!$K$154</definedName>
    <definedName name="CB_a58b1f16adba4ea69821bbf04a0adee2" localSheetId="4" hidden="1">'Estimate Ranges'!$K$159</definedName>
    <definedName name="CB_a79bd5394c0c412b8f5dc8a0d5b10c0e" localSheetId="4" hidden="1">'Estimate Ranges'!$S$5</definedName>
    <definedName name="CB_a87aa0048cb64395a53de772e444c83f" localSheetId="4" hidden="1">'Estimate Ranges'!$K$46</definedName>
    <definedName name="CB_ab8530e45e344cd8839f2efaad032263" localSheetId="7" hidden="1">'Risk Register'!$Q$21</definedName>
    <definedName name="CB_ad61fa766cc8424a8718cb42c2896386" localSheetId="7" hidden="1">'Risk Register'!$O$22</definedName>
    <definedName name="CB_adad55862e71475a8971f702510708eb" localSheetId="4" hidden="1">'Estimate Ranges'!$K$162</definedName>
    <definedName name="CB_af169cc7dcf641ea9bca67efa822cf0e" localSheetId="4" hidden="1">'Estimate Ranges'!$K$92</definedName>
    <definedName name="CB_b0de5bdd5a17445196c46c0f77ec94d6" localSheetId="4" hidden="1">'Estimate Ranges'!$S$4</definedName>
    <definedName name="CB_b0ec4d6e2ac0448a99c8ba407566e7ac" localSheetId="4" hidden="1">'Estimate Ranges'!$S$63</definedName>
    <definedName name="CB_b0f06a0dad524837bd233172063a7a84" localSheetId="4" hidden="1">'Estimate Ranges'!$K$123</definedName>
    <definedName name="CB_b1a49f27a2904530a92ddcfaf5b86301" localSheetId="7" hidden="1">'Risk Register'!$Q$12</definedName>
    <definedName name="CB_b219a516369645c1aae53f0cc00f5fbb" localSheetId="4" hidden="1">'Estimate Ranges'!$S$89</definedName>
    <definedName name="CB_b24022459cef40df8f0caca16b9a5a5b" localSheetId="4" hidden="1">'Estimate Ranges'!$K$106</definedName>
    <definedName name="CB_b287d422a1954b4bb2aa1650d24ebeda" localSheetId="4" hidden="1">'Estimate Ranges'!$S$51</definedName>
    <definedName name="CB_b39892f706fd46a099b0b6fd53895e8b" localSheetId="7" hidden="1">'Risk Register'!$O$24</definedName>
    <definedName name="CB_b42cf43e516444d2aca3d734e1b57977" localSheetId="4" hidden="1">'Estimate Ranges'!$K$134</definedName>
    <definedName name="CB_b6471b682a95438e84a8043c1548d4d8" localSheetId="4" hidden="1">'Estimate Ranges'!$S$158</definedName>
    <definedName name="CB_b754ec634327465cb97a5823c3b76102" localSheetId="4" hidden="1">'Estimate Ranges'!$S$83</definedName>
    <definedName name="CB_b813cb9690d24da5bbc2f7ada855c78a" localSheetId="4" hidden="1">'Estimate Ranges'!$K$99</definedName>
    <definedName name="CB_ba8020974d524220a4194dc1e6a0242a" localSheetId="4" hidden="1">'Estimate Ranges'!$K$64</definedName>
    <definedName name="CB_bbb3abec36284dce8e392bb06efb89a5" localSheetId="7" hidden="1">'Risk Register'!$P$15</definedName>
    <definedName name="CB_bdec295b4e4a4b81babbd59b6abcf8bd" localSheetId="4" hidden="1">'Estimate Ranges'!$S$164</definedName>
    <definedName name="CB_be91ad7eb45a42b8b61c0b9ba4278540" localSheetId="4" hidden="1">'Estimate Ranges'!$S$62</definedName>
    <definedName name="CB_bf25ad4d9b4247a38cd14888a3946c21" localSheetId="7" hidden="1">'Risk Register'!$O$17</definedName>
    <definedName name="CB_bf96f7f4ec304dbb94ca35ea8cfcb570" localSheetId="7" hidden="1">'Risk Register'!$O$20</definedName>
    <definedName name="CB_c0191811a88742fd848586e7b08f4697" localSheetId="4" hidden="1">'Estimate Ranges'!$S$15</definedName>
    <definedName name="CB_c030aace0cef4040a50242ed52938651" localSheetId="4" hidden="1">'Estimate Ranges'!$K$44</definedName>
    <definedName name="CB_c1018ebcb05248e29d37af24907bd114" localSheetId="4" hidden="1">'Estimate Ranges'!$K$52</definedName>
    <definedName name="CB_c4c66dbf96354452b6831b5ba367c624" localSheetId="4" hidden="1">'Estimate Ranges'!$S$123</definedName>
    <definedName name="CB_c67f41033f6b411ab499df2022e2d147" localSheetId="4" hidden="1">'Estimate Ranges'!$S$45</definedName>
    <definedName name="CB_c9f89a29e10146a59c200e5045045039" localSheetId="7" hidden="1">'Risk Register'!$O$15</definedName>
    <definedName name="CB_cb777b2ba0d44848b45613fa66ed2f0c" localSheetId="4" hidden="1">'Estimate Ranges'!$S$38</definedName>
    <definedName name="CB_cc258141da144459bffed4c93711badd" localSheetId="4" hidden="1">'Estimate Ranges'!$K$37</definedName>
    <definedName name="CB_cdbaed07f28a45d7853595d7fa916b7c" localSheetId="4" hidden="1">'Estimate Ranges'!$S$133</definedName>
    <definedName name="CB_d27021801d344563b46a2ec2a4ed6974" localSheetId="4" hidden="1">'Estimate Ranges'!$K$32</definedName>
    <definedName name="CB_d341ae00fb8d480aaa950e718f65f611" localSheetId="7" hidden="1">'Risk Register'!$P$19</definedName>
    <definedName name="CB_d53819065b894e7a8202cdb4e8b05b0a" localSheetId="7" hidden="1">'Risk Register'!$O$19</definedName>
    <definedName name="CB_d6d3c15781fc42b29b17dec42ce06e63" localSheetId="4" hidden="1">'Estimate Ranges'!$K$118</definedName>
    <definedName name="CB_d887c03937b24369bcda14e34af6c257" localSheetId="1" hidden="1">'Model'!$B$10</definedName>
    <definedName name="CB_da455c3ffd9a4f6c97c93693d453f850" localSheetId="7" hidden="1">'Risk Register'!$P$20</definedName>
    <definedName name="CB_db5783e6e1b748379ca3aea5915b44e2" localSheetId="4" hidden="1">'Estimate Ranges'!$K$26</definedName>
    <definedName name="CB_ddc60664f2bf407f95ab97fafe1ec2e3" localSheetId="4" hidden="1">'Estimate Ranges'!$K$35</definedName>
    <definedName name="CB_ddf8bcdd2f1f476d83dbe001a40df5f0" localSheetId="4" hidden="1">'Estimate Ranges'!$K$77</definedName>
    <definedName name="CB_dede3b87025f4717aba5c2a01f0dcb91" localSheetId="4" hidden="1">'Estimate Ranges'!$K$160</definedName>
    <definedName name="CB_e1a41073b02f4caba099fb84a7fd335e" localSheetId="4" hidden="1">'Estimate Ranges'!$S$91</definedName>
    <definedName name="CB_e22e229dc88547e389663b640ea78599" localSheetId="4" hidden="1">'Estimate Ranges'!$S$105</definedName>
    <definedName name="CB_e26d4a279bd541608108430f12b24b8a" localSheetId="4" hidden="1">'Estimate Ranges'!$S$81</definedName>
    <definedName name="CB_e2e32f105dc0402ca3ee70f0dc2310b4" localSheetId="4" hidden="1">'Estimate Ranges'!$K$13</definedName>
    <definedName name="CB_e3dfd2f2d045478391b8d969f50608ff" localSheetId="7" hidden="1">'Risk Register'!$Q$7</definedName>
    <definedName name="CB_e3e0b67757f94c508bbeb80a02093ba4" localSheetId="7" hidden="1">'Risk Register'!$O$14</definedName>
    <definedName name="CB_e665ba5335dc4843a70dfcfe7a7ea414" localSheetId="4" hidden="1">'Estimate Ranges'!$S$12</definedName>
    <definedName name="CB_e86e4e9316db42c28977f41ccd02e601" localSheetId="7" hidden="1">'Risk Register'!$P$17</definedName>
    <definedName name="CB_e90e3f81e7e948d18ff788cfb5fe44a4" localSheetId="4" hidden="1">'Estimate Ranges'!$K$155</definedName>
    <definedName name="CB_edc5f5b2bacb4297a78bbfe8b9934488" localSheetId="1" hidden="1">'Model'!$B$11</definedName>
    <definedName name="CB_eef92284695a40ef876f6589c0ef3048" localSheetId="4" hidden="1">'Estimate Ranges'!$S$154</definedName>
    <definedName name="CB_f06d37b77e3e4b4483dc30a2cb09df8c" localSheetId="7" hidden="1">'Risk Register'!$P$18</definedName>
    <definedName name="CB_f24b971d5afa4593bd8aabb30da65d99" localSheetId="4" hidden="1">'Estimate Ranges'!$K$51</definedName>
    <definedName name="CB_f321ba524cfa441ca3b66ce55cbd8ec8" localSheetId="4" hidden="1">'Estimate Ranges'!$K$68</definedName>
    <definedName name="CB_f416df7e8a804ab18994793b435ec1a1" localSheetId="4" hidden="1">'Estimate Ranges'!$S$19</definedName>
    <definedName name="CB_f448bf52fc8b41829189b9d7265f3a5a" localSheetId="6" hidden="1">'Schedule Ranges'!$H$16</definedName>
    <definedName name="CB_f480f284a1b04495a3dc35b9925e408d" localSheetId="4" hidden="1">'Estimate Ranges'!$K$49</definedName>
    <definedName name="CB_f511d697de23425b98a4faf9c334e045" localSheetId="7" hidden="1">'Risk Register'!$Q$13</definedName>
    <definedName name="CB_f5bcad70178749139e8b866796aafd8f" localSheetId="4" hidden="1">'Estimate Ranges'!$S$135</definedName>
    <definedName name="CB_f65c34d064cf47caa574eeb17c1a7145" localSheetId="4" hidden="1">'Estimate Ranges'!$K$132</definedName>
    <definedName name="CB_f6cea0ab67c44c1e80cf69ee11b0208c" localSheetId="4" hidden="1">'Estimate Ranges'!$S$46</definedName>
    <definedName name="CB_f78071de3f3e494fb7d403f506c1eb1b" localSheetId="4" hidden="1">'Estimate Ranges'!$K$20</definedName>
    <definedName name="CB_f833b5a673a64b25b83fe832719a7f4f" localSheetId="4" hidden="1">'Estimate Ranges'!$K$61</definedName>
    <definedName name="CB_f937fa43559e4b069d61c0d5e9827fbd" localSheetId="4" hidden="1">'Estimate Ranges'!$S$30</definedName>
    <definedName name="CB_fb97f771a1914df8aada5dac584ffb35" localSheetId="7" hidden="1">'Risk Register'!$O$10</definedName>
    <definedName name="CB_fca92f2ca7d2466badbda0af25d26f62" localSheetId="4" hidden="1">'Estimate Ranges'!$S$49</definedName>
    <definedName name="CB_fcef96e525fd4577a7b4f5b494449355" localSheetId="1" hidden="1">'Model'!$B$21</definedName>
    <definedName name="CB_ff04cfdf048b467c946ad32b30d16acb" localSheetId="7" hidden="1">'Risk Register'!$P$24</definedName>
    <definedName name="CB_fffc5e15efec4056bb300c58a179d7fe" localSheetId="4" hidden="1">'Estimate Ranges'!$S$34</definedName>
    <definedName name="CBCR_009279ecb4554fc2b80023aade0e7662" localSheetId="4" hidden="1">'Estimate Ranges'!$B$68</definedName>
    <definedName name="CBCR_01a067911ae34a3bbde358fafb0b988a" localSheetId="4" hidden="1">'Estimate Ranges'!$B$133</definedName>
    <definedName name="CBCR_023f70a9c0c2405e99966c25c2d90628" localSheetId="4" hidden="1">'Estimate Ranges'!$H$56</definedName>
    <definedName name="CBCR_02c31d35335c41a7943bea0442c9d3d2" localSheetId="7" hidden="1">'Risk Register'!$J$4</definedName>
    <definedName name="CBCR_0301b4785f8d4dab98dd7bb2f05bf20b" localSheetId="7" hidden="1">'Risk Register'!$M$6</definedName>
    <definedName name="CBCR_0317c9297fa144a8adb8cba61daa789b" localSheetId="4" hidden="1">'Estimate Ranges'!$P$38</definedName>
    <definedName name="CBCR_03240f1f29e74d3a95c0e298b52d53bc" localSheetId="4" hidden="1">'Estimate Ranges'!$D$153</definedName>
    <definedName name="CBCR_03ffbb82c5044295975c9f04428e3a4c" localSheetId="4" hidden="1">'Estimate Ranges'!$B$36</definedName>
    <definedName name="CBCR_046735ac22584ce28ddf0d3782edf73e" localSheetId="4" hidden="1">'Estimate Ranges'!$B$63</definedName>
    <definedName name="CBCR_04720aca7fc04b6eb2e08d8a3795cdac" localSheetId="4" hidden="1">'Estimate Ranges'!$Q$14</definedName>
    <definedName name="CBCR_047548c8cca94d5b81d84726b0162bbb" localSheetId="4" hidden="1">'Estimate Ranges'!$D$62</definedName>
    <definedName name="CBCR_04cd40b71a32432c8ff0c1e42988b383" localSheetId="6" hidden="1">'Schedule Ranges'!$F$14</definedName>
    <definedName name="CBCR_0582f2d190a74be4912d82d4c0fe06a8" localSheetId="4" hidden="1">'Estimate Ranges'!$Q$89</definedName>
    <definedName name="CBCR_0588b5afbd0542c18eb842b6ac278e92" localSheetId="7" hidden="1">'Risk Register'!$M$14</definedName>
    <definedName name="CBCR_05cc2c8d1afa4fb0a180b86a0991b9a9" localSheetId="4" hidden="1">'Estimate Ranges'!$B$65</definedName>
    <definedName name="CBCR_061d681c8d484c37a27e316ccdade3cb" localSheetId="4" hidden="1">'Estimate Ranges'!$D$139</definedName>
    <definedName name="CBCR_06f0d63bba2a4e5daf029da470703f5d" localSheetId="4" hidden="1">'Estimate Ranges'!$B$82</definedName>
    <definedName name="CBCR_070a77e31d6949a4b0f538d67016bfea" localSheetId="4" hidden="1">'Estimate Ranges'!$H$82</definedName>
    <definedName name="CBCR_071f27191a53477bb917554d76145c74" localSheetId="4" hidden="1">'Estimate Ranges'!$C$154</definedName>
    <definedName name="CBCR_07bb45b809b640c48e9048446282a1e6" localSheetId="4" hidden="1">'Estimate Ranges'!$I$141</definedName>
    <definedName name="CBCR_07ea75ada58a40a7898b8d501c5f9475" localSheetId="7" hidden="1">'Risk Register'!$H$11</definedName>
    <definedName name="CBCR_0817160c92664480be08ee47bd0faa62" localSheetId="4" hidden="1">'Estimate Ranges'!$C$161</definedName>
    <definedName name="CBCR_0826916784064e3581f99e33c0df454b" localSheetId="4" hidden="1">'Estimate Ranges'!$P$161</definedName>
    <definedName name="CBCR_082fa12a59a64f0d872abfa421ba7ca9" localSheetId="4" hidden="1">'Estimate Ranges'!$Q$121</definedName>
    <definedName name="CBCR_0841f6488f1841d99f62f8137d62c71a" localSheetId="4" hidden="1">'Estimate Ranges'!$B$64</definedName>
    <definedName name="CBCR_0859aca63f284310b7f62a2321d4795f" localSheetId="4" hidden="1">'Estimate Ranges'!$I$124</definedName>
    <definedName name="CBCR_0929f38762b145e7a557486e797bb2a6" localSheetId="4" hidden="1">'Estimate Ranges'!$B$57</definedName>
    <definedName name="CBCR_0938fb370d764aecaa79730f9ba6d646" localSheetId="4" hidden="1">'Estimate Ranges'!$Q$26</definedName>
    <definedName name="CBCR_09baab2cea094dba87f9f31ddb5bc174" localSheetId="4" hidden="1">'Estimate Ranges'!$D$12</definedName>
    <definedName name="CBCR_09c5e3b887474eb38710479d954d3ea8" localSheetId="4" hidden="1">'Estimate Ranges'!$B$20</definedName>
    <definedName name="CBCR_09dd7f8da0b446b3b444d2648308030d" localSheetId="4" hidden="1">'Estimate Ranges'!$D$61</definedName>
    <definedName name="CBCR_0a27e987dc0848eca56373772c44cbb5" localSheetId="4" hidden="1">'Estimate Ranges'!$Q$83</definedName>
    <definedName name="CBCR_0a38ade58cfd4767b7f6b716266c60bd" localSheetId="4" hidden="1">'Estimate Ranges'!$D$155</definedName>
    <definedName name="CBCR_0a61c28f7d7d4e0b84e7ecbae45bf903" localSheetId="7" hidden="1">'Risk Register'!$N$14</definedName>
    <definedName name="CBCR_0aa512aa64944a6b84409860e6168ec7" localSheetId="4" hidden="1">'Estimate Ranges'!$C$140</definedName>
    <definedName name="CBCR_0ad8076ebc2548a1814c9b91e303b0ae" localSheetId="4" hidden="1">'Estimate Ranges'!$I$36</definedName>
    <definedName name="CBCR_0b00b37ed96d4ad1bd39294187e00f6d" localSheetId="4" hidden="1">'Estimate Ranges'!$P$61</definedName>
    <definedName name="CBCR_0ba9da7c3d004d8fb8cbe479bff8fd9f" localSheetId="4" hidden="1">'Estimate Ranges'!$D$50</definedName>
    <definedName name="CBCR_0bf1efb0e71a444ab339a1a135312864" localSheetId="6" hidden="1">'Schedule Ranges'!$A$7</definedName>
    <definedName name="CBCR_0c3d5b1d4d2b40c1b8d84cf517d20ba8" localSheetId="4" hidden="1">'Estimate Ranges'!$D$57</definedName>
    <definedName name="CBCR_0d6f7699fc564dc785f5d5ab2f131694" localSheetId="4" hidden="1">'Estimate Ranges'!$B$92</definedName>
    <definedName name="CBCR_0e051c26ef9449768e96e8c539ee09d4" localSheetId="4" hidden="1">'Estimate Ranges'!$B$62</definedName>
    <definedName name="CBCR_0e34134d60be4514a88a355183b46773" localSheetId="4" hidden="1">'Estimate Ranges'!$B$50</definedName>
    <definedName name="CBCR_0e35fa2992344de39140efc92f20262c" localSheetId="4" hidden="1">'Estimate Ranges'!$D$123</definedName>
    <definedName name="CBCR_0e4a0e3c534a422fa0fcd77fb6ffe840" localSheetId="4" hidden="1">'Estimate Ranges'!$D$52</definedName>
    <definedName name="CBCR_0e7317a473e14b2987186978b46497c9" localSheetId="4" hidden="1">'Estimate Ranges'!$C$165</definedName>
    <definedName name="CBCR_0e8abb668dde471f9ba491cd26620a07" localSheetId="4" hidden="1">'Estimate Ranges'!$P$105</definedName>
    <definedName name="CBCR_0ed168f81577440fa5740597a651f299" localSheetId="7" hidden="1">'Risk Register'!$A$17</definedName>
    <definedName name="CBCR_0f261b16cd9c4e7db5e04df42a9ccce8" localSheetId="4" hidden="1">'Estimate Ranges'!$Q$63</definedName>
    <definedName name="CBCR_0f4dd1013baf47b19e179c2353515f63" localSheetId="4" hidden="1">'Estimate Ranges'!$D$36</definedName>
    <definedName name="CBCR_0f59fd6e11ed41e4bd764bab96ee17f6" localSheetId="4" hidden="1">'Estimate Ranges'!$P$37</definedName>
    <definedName name="CBCR_0fa35be79e0246168cfc9dcdddc44be8" localSheetId="4" hidden="1">'Estimate Ranges'!$H$92</definedName>
    <definedName name="CBCR_0fba0879cbf642278a07a87f3bcb743e" localSheetId="4" hidden="1">'Estimate Ranges'!$I$168</definedName>
    <definedName name="CBCR_1029f8682f5b4bb9975a8dc2fbb5eee2" localSheetId="4" hidden="1">'Estimate Ranges'!$I$5</definedName>
    <definedName name="CBCR_103e00ee6b4145f2afbc16a213f026ed" localSheetId="4" hidden="1">'Estimate Ranges'!$Q$164</definedName>
    <definedName name="CBCR_105859932c6a456d8d60478bceb5e261" localSheetId="4" hidden="1">'Estimate Ranges'!$I$164</definedName>
    <definedName name="CBCR_107dc059952448418f66b358ead77780" localSheetId="7" hidden="1">'Risk Register'!$N$15</definedName>
    <definedName name="CBCR_10b206e3087b4d0b8016a68349b67757" localSheetId="6" hidden="1">'Schedule Ranges'!$F$11</definedName>
    <definedName name="CBCR_10b62fb9d74844d2b1fddee85e8677c5" localSheetId="4" hidden="1">'Estimate Ranges'!$C$162</definedName>
    <definedName name="CBCR_10f61f25c30249c1b3283af32132508f" localSheetId="7" hidden="1">'Risk Register'!$H$9</definedName>
    <definedName name="CBCR_1139d8d7925d4db590039cca66c05a5d" localSheetId="4" hidden="1">'Estimate Ranges'!$D$64</definedName>
    <definedName name="CBCR_113aa6f9e9b442efbd7410ab39bbace2" localSheetId="4" hidden="1">'Estimate Ranges'!$H$44</definedName>
    <definedName name="CBCR_116a3ed545f84dde91894c187358e211" localSheetId="7" hidden="1">'Risk Register'!$H$23</definedName>
    <definedName name="CBCR_125deb424a7c465c8cc912ee33ce0ac1" localSheetId="4" hidden="1">'Estimate Ranges'!$B$4</definedName>
    <definedName name="CBCR_12ae01c3bbb3478684659a27ff6b12b1" localSheetId="4" hidden="1">'Estimate Ranges'!$I$30</definedName>
    <definedName name="CBCR_12fe8866181c4372ace98fb9ea07aa8c" localSheetId="4" hidden="1">'Estimate Ranges'!$C$140</definedName>
    <definedName name="CBCR_1359250b7fbe4532879f1ce2cac53e0e" localSheetId="7" hidden="1">'Risk Register'!$I$12</definedName>
    <definedName name="CBCR_13ce04f02ad7416584b0e86e0590d342" localSheetId="4" hidden="1">'Estimate Ranges'!$Q$5</definedName>
    <definedName name="CBCR_13ee34db77b24a17af90d790e58ff152" localSheetId="4" hidden="1">'Estimate Ranges'!$P$34</definedName>
    <definedName name="CBCR_14ba4965a4dc4b959e06f512e93f395c" localSheetId="4" hidden="1">'Estimate Ranges'!$B$62</definedName>
    <definedName name="CBCR_14cb98ff76584d86b0962930e97870c5" localSheetId="4" hidden="1">'Estimate Ranges'!$B$40</definedName>
    <definedName name="CBCR_14ebdb02c9f742b8a56d085824f5f2a4" localSheetId="4" hidden="1">'Estimate Ranges'!$I$46</definedName>
    <definedName name="CBCR_14f1b36da4cf4711a55fab275f468a76" localSheetId="4" hidden="1">'Estimate Ranges'!$H$19</definedName>
    <definedName name="CBCR_14fb7d29ee954d9bb6adf3b0c5a33e4e" localSheetId="4" hidden="1">'Estimate Ranges'!$D$56</definedName>
    <definedName name="CBCR_152169de3ff74440899469afdc77101a" localSheetId="4" hidden="1">'Estimate Ranges'!$P$64</definedName>
    <definedName name="CBCR_1531f0fda8d8424fbe4897f1b59d44c7" localSheetId="4" hidden="1">'Estimate Ranges'!$P$118</definedName>
    <definedName name="CBCR_15fd4a40385b47fda3ee6021b36a8fb1" localSheetId="4" hidden="1">'Estimate Ranges'!$Q$34</definedName>
    <definedName name="CBCR_1631494380b94832b85ff99fc71b4323" localSheetId="4" hidden="1">'Estimate Ranges'!$C$155</definedName>
    <definedName name="CBCR_164ce4392b3f4fa38fdaf2b48f7d3b47" localSheetId="4" hidden="1">'Estimate Ranges'!$P$168</definedName>
    <definedName name="CBCR_1691be35e075497e85eab80ffb8c7ecc" localSheetId="4" hidden="1">'Estimate Ranges'!$Q$124</definedName>
    <definedName name="CBCR_1739cdfc29c344f5acc99d437d997736" localSheetId="4" hidden="1">'Estimate Ranges'!$Q$57</definedName>
    <definedName name="CBCR_1786f6c37ddc493dbc087c8b9a9ebc06" localSheetId="6" hidden="1">'Schedule Ranges'!$E$6</definedName>
    <definedName name="CBCR_17dfbf5b9a384f12ba72da56fed0b7e4" localSheetId="4" hidden="1">'Estimate Ranges'!$D$157</definedName>
    <definedName name="CBCR_1803b5d5af9047fa8ea31491e22ae303" localSheetId="4" hidden="1">'Estimate Ranges'!$D$92</definedName>
    <definedName name="CBCR_18749645b6b042b082994fea885ceed6" localSheetId="4" hidden="1">'Estimate Ranges'!$P$69</definedName>
    <definedName name="CBCR_18775274b4264156a108dd9292e1abbf" localSheetId="4" hidden="1">'Estimate Ranges'!$I$45</definedName>
    <definedName name="CBCR_189ba2c12f4d45dfba6db6658f16a825" localSheetId="4" hidden="1">'Estimate Ranges'!$B$51</definedName>
    <definedName name="CBCR_18ba741618c94db1a12b8b3befaafc6e" localSheetId="4" hidden="1">'Estimate Ranges'!$D$37</definedName>
    <definedName name="CBCR_18c6803b04ac499a85b1952d7472dcbd" localSheetId="7" hidden="1">'Risk Register'!$I$18</definedName>
    <definedName name="CBCR_18eba8ee48294998bbafd41b8ceac8e0" localSheetId="7" hidden="1">'Risk Register'!$N$25</definedName>
    <definedName name="CBCR_1a56fd02b7f04662bf8deb11c3b59caf" localSheetId="4" hidden="1">'Estimate Ranges'!$B$81</definedName>
    <definedName name="CBCR_1a6baa8fa1a94d85a85f61b66956bf62" localSheetId="4" hidden="1">'Estimate Ranges'!$Q$160</definedName>
    <definedName name="CBCR_1b1c3752e127401a9c7411ac957c28b9" localSheetId="4" hidden="1">'Estimate Ranges'!$H$133</definedName>
    <definedName name="CBCR_1b7f78254cb14d1a8de30640dc8eab95" localSheetId="7" hidden="1">'Risk Register'!$A$12</definedName>
    <definedName name="CBCR_1ba6b08c93484a16b230f370baa2b181" localSheetId="4" hidden="1">'Estimate Ranges'!$Q$37</definedName>
    <definedName name="CBCR_1c566fdc28f64c54acbb04f24e8e7d5d" localSheetId="7" hidden="1">'Risk Register'!$N$9</definedName>
    <definedName name="CBCR_1c594a95e1e346fdae283e50d261b722" localSheetId="4" hidden="1">'Estimate Ranges'!$B$50</definedName>
    <definedName name="CBCR_1ca2095559b14c73ad01bfe4e5627a4b" localSheetId="4" hidden="1">'Estimate Ranges'!$P$51</definedName>
    <definedName name="CBCR_1d6c5a81fb7348f89052a8dc866682af" localSheetId="4" hidden="1">'Estimate Ranges'!$P$81</definedName>
    <definedName name="CBCR_1d7368e9ff3844f5a34a1d142e8260a5" localSheetId="4" hidden="1">'Estimate Ranges'!$I$156</definedName>
    <definedName name="CBCR_1d85bea88f5a4f5f903d4735330f6721" localSheetId="4" hidden="1">'Estimate Ranges'!$I$26</definedName>
    <definedName name="CBCR_1dad7602d5e84899a79f50a5de025495" localSheetId="4" hidden="1">'Estimate Ranges'!$I$132</definedName>
    <definedName name="CBCR_1dbc431c19b1489f93de6d9f5952a724" localSheetId="7" hidden="1">'Risk Register'!$N$17</definedName>
    <definedName name="CBCR_1e6d8f9b2458458198fd465b1831d7ab" localSheetId="4" hidden="1">'Estimate Ranges'!$C$139</definedName>
    <definedName name="CBCR_1e9927abc28d44bfa68d700d59cefddb" localSheetId="4" hidden="1">'Estimate Ranges'!$Q$61</definedName>
    <definedName name="CBCR_1f099414180e4759bdcf7648cfa01936" localSheetId="4" hidden="1">'Estimate Ranges'!$P$159</definedName>
    <definedName name="CBCR_1f29f75aed8b43949e33e55977a4140b" localSheetId="4" hidden="1">'Estimate Ranges'!$D$4</definedName>
    <definedName name="CBCR_1f66b8f3cb9648d38ca79b757b8dbd8f" localSheetId="4" hidden="1">'Estimate Ranges'!$D$15</definedName>
    <definedName name="CBCR_202e09fca635425b9b706312ebe14bce" localSheetId="4" hidden="1">'Estimate Ranges'!$Q$38</definedName>
    <definedName name="CBCR_203ff35609db424a8226ba356507e3b1" localSheetId="4" hidden="1">'Estimate Ranges'!$Q$135</definedName>
    <definedName name="CBCR_20488e194b694b9a85d5b76690fb9010" localSheetId="4" hidden="1">'Estimate Ranges'!$H$32</definedName>
    <definedName name="CBCR_20ea0e41bb464778bb52835b084fabe5" localSheetId="4" hidden="1">'Estimate Ranges'!$I$135</definedName>
    <definedName name="CBCR_221a0797523c40a6abf3136c36ecd644" localSheetId="4" hidden="1">'Estimate Ranges'!$D$159</definedName>
    <definedName name="CBCR_223aef48767842b996e9e2fb5c12cfeb" localSheetId="4" hidden="1">'Estimate Ranges'!$D$32</definedName>
    <definedName name="CBCR_227b1c7fa983410691c73619e8c70242" localSheetId="4" hidden="1">'Estimate Ranges'!$C$156</definedName>
    <definedName name="CBCR_2295944909a04f6384a09475495136ff" localSheetId="6" hidden="1">'Schedule Ranges'!$E$10</definedName>
    <definedName name="CBCR_22bc08c9d0f548d0aced5a7d98389234" localSheetId="4" hidden="1">'Estimate Ranges'!$B$33</definedName>
    <definedName name="CBCR_22d99b45d8884539862e3d4e4c1e58b7" localSheetId="4" hidden="1">'Estimate Ranges'!$D$124</definedName>
    <definedName name="CBCR_22e0c18878ff44bfbd11a1a3fea63c9f" localSheetId="4" hidden="1">'Estimate Ranges'!$I$64</definedName>
    <definedName name="CBCR_22e6774699dd4e5d9c976ab1dfc5da8a" localSheetId="4" hidden="1">'Estimate Ranges'!$B$64</definedName>
    <definedName name="CBCR_2325748e128048dba064261e14f15cf5" localSheetId="7" hidden="1">'Risk Register'!$A$8</definedName>
    <definedName name="CBCR_23a4dbb02e074c8f951866bfab4935ff" localSheetId="4" hidden="1">'Estimate Ranges'!$D$63</definedName>
    <definedName name="CBCR_23c66488ed454700916c6ffab7b0ae04" localSheetId="4" hidden="1">'Estimate Ranges'!$D$130</definedName>
    <definedName name="CBCR_2458a2941f724ec3bee3812674cf23b6" localSheetId="4" hidden="1">'Estimate Ranges'!$B$45</definedName>
    <definedName name="CBCR_2461b301f7e4427bafce53d71e3e9498" localSheetId="4" hidden="1">'Estimate Ranges'!$H$105</definedName>
    <definedName name="CBCR_247b052db6bf4eb1bea33728be552277" localSheetId="7" hidden="1">'Risk Register'!$I$23</definedName>
    <definedName name="CBCR_24dabb6298354b87ad60c12b72a8b77f" localSheetId="4" hidden="1">'Estimate Ranges'!$Q$77</definedName>
    <definedName name="CBCR_256546e5b63c4997aaed3565a9475c06" localSheetId="4" hidden="1">'Estimate Ranges'!$P$5</definedName>
    <definedName name="CBCR_258691bc35c2474f8cc24a4e55aedf72" localSheetId="4" hidden="1">'Estimate Ranges'!$Q$149</definedName>
    <definedName name="CBCR_260783afbd8f46609120175123920ae4" localSheetId="4" hidden="1">'Estimate Ranges'!$H$81</definedName>
    <definedName name="CBCR_2618fcf8bc134ec0874454e3cfbb23e3" localSheetId="4" hidden="1">'Estimate Ranges'!$Q$91</definedName>
    <definedName name="CBCR_267706a90e67412781039129e2083883" localSheetId="4" hidden="1">'Estimate Ranges'!$P$165</definedName>
    <definedName name="CBCR_2698f61abda147e782ec43560543fefb" localSheetId="4" hidden="1">'Estimate Ranges'!$D$68</definedName>
    <definedName name="CBCR_272ccc7d3c974bf28c898dfeea323a7a" localSheetId="7" hidden="1">'Risk Register'!$A$4</definedName>
    <definedName name="CBCR_27462cdd857f474f8edf4b8940490151" localSheetId="4" hidden="1">'Estimate Ranges'!$I$32</definedName>
    <definedName name="CBCR_2823b5dc8feb41ceb0368f4a7509ef33" localSheetId="7" hidden="1">'Risk Register'!$I$5</definedName>
    <definedName name="CBCR_28ec0e10609f4783878d2b80a5844589" localSheetId="4" hidden="1">'Estimate Ranges'!$P$133</definedName>
    <definedName name="CBCR_295d2c009d87421cb09650e315076be9" localSheetId="6" hidden="1">'Schedule Ranges'!$A$6</definedName>
    <definedName name="CBCR_29893296ee774f60b653af0e686f661a" localSheetId="4" hidden="1">'Estimate Ranges'!$D$4</definedName>
    <definedName name="CBCR_29abd9b53fc6464680acf558f15d6e6a" localSheetId="4" hidden="1">'Estimate Ranges'!$Q$19</definedName>
    <definedName name="CBCR_2a1a8bd246af46ed81f0e5c12e6bfb3c" localSheetId="4" hidden="1">'Estimate Ranges'!$H$157</definedName>
    <definedName name="CBCR_2a86d681b64d49689fdd3c91a0eba336" localSheetId="4" hidden="1">'Estimate Ranges'!$D$40</definedName>
    <definedName name="CBCR_2a929d55373d4d02b518082c9c5718ff" localSheetId="4" hidden="1">'Estimate Ranges'!$B$135</definedName>
    <definedName name="CBCR_2addb3f48dfc4a3b852513953b63e753" localSheetId="7" hidden="1">'Risk Register'!$M$9</definedName>
    <definedName name="CBCR_2b0317791c7e49d78e0196112c1e5137" localSheetId="4" hidden="1">'Estimate Ranges'!$B$56</definedName>
    <definedName name="CBCR_2b2c7d14c07c4f85b1faa91f627be974" localSheetId="4" hidden="1">'Estimate Ranges'!$B$149</definedName>
    <definedName name="CBCR_2bdc2de69e7f4817addd26dd217905d2" localSheetId="4" hidden="1">'Estimate Ranges'!$D$14</definedName>
    <definedName name="CBCR_2bfde65a5ce84e79b2e9efe8210c1537" localSheetId="4" hidden="1">'Estimate Ranges'!$B$46</definedName>
    <definedName name="CBCR_2c78fab8e2e84363a3a02594141e2a28" localSheetId="4" hidden="1">'Estimate Ranges'!$I$19</definedName>
    <definedName name="CBCR_2cb9f3070342421d91a68a6f93efa2af" localSheetId="4" hidden="1">'Estimate Ranges'!$D$92</definedName>
    <definedName name="CBCR_2cc5f4e569b1455bb825b7e5c9fa24b6" localSheetId="4" hidden="1">'Estimate Ranges'!$I$158</definedName>
    <definedName name="CBCR_2cd07b32a40c4386bf6a3a06e4a94bc4" localSheetId="4" hidden="1">'Estimate Ranges'!$D$14</definedName>
    <definedName name="CBCR_2cd12f4824f14964b05ca96937b33602" localSheetId="4" hidden="1">'Estimate Ranges'!$H$63</definedName>
    <definedName name="CBCR_2cdb4b508de343c28864c04320dc9b8b" localSheetId="7" hidden="1">'Risk Register'!$J$8</definedName>
    <definedName name="CBCR_2e137fc1a0e74d8090e12e9c55c809e2" localSheetId="4" hidden="1">'Estimate Ranges'!$P$155</definedName>
    <definedName name="CBCR_2ed6ab3983a5494399bf0f54b6e61d6b" localSheetId="4" hidden="1">'Estimate Ranges'!$B$63</definedName>
    <definedName name="CBCR_2ed79633b7484653803ab18797b0b5e0" localSheetId="6" hidden="1">'Schedule Ranges'!$B$9</definedName>
    <definedName name="CBCR_2fa3acbb964a4b8c9975f12729347e34" localSheetId="4" hidden="1">'Estimate Ranges'!$B$124</definedName>
    <definedName name="CBCR_301618cb410d43a6a3cc290251d84f69" localSheetId="4" hidden="1">'Estimate Ranges'!$D$45</definedName>
    <definedName name="CBCR_30781bed28f24f00b2faf01b74d45d8e" localSheetId="4" hidden="1">'Estimate Ranges'!$D$118</definedName>
    <definedName name="CBCR_307e40f2165946aabb6ac4777f6dcc59" localSheetId="4" hidden="1">'Estimate Ranges'!$P$137</definedName>
    <definedName name="CBCR_30d50f7f191641e2a0dd7a71d14f2776" localSheetId="4" hidden="1">'Estimate Ranges'!$D$60</definedName>
    <definedName name="CBCR_314283d2fb7f4a3d802fe97846f307bb" localSheetId="6" hidden="1">'Schedule Ranges'!$E$7</definedName>
    <definedName name="CBCR_31ba42245e8c48b392e4fdefe3d59152" localSheetId="4" hidden="1">'Estimate Ranges'!$B$105</definedName>
    <definedName name="CBCR_320cbaed105d45d99cdc46611a9bb250" localSheetId="4" hidden="1">'Estimate Ranges'!$D$35</definedName>
    <definedName name="CBCR_329955bebd4e47c1ad04c6871e5b1ff5" localSheetId="4" hidden="1">'Estimate Ranges'!$P$26</definedName>
    <definedName name="CBCR_32ee92a47a5c408da4ad37c71a54e9d1" localSheetId="4" hidden="1">'Estimate Ranges'!$D$106</definedName>
    <definedName name="CBCR_32f30c0271264dd895a9dd904d767a72" localSheetId="4" hidden="1">'Estimate Ranges'!$Q$140</definedName>
    <definedName name="CBCR_3336ca6325ca4351b512208c20a41185" localSheetId="6" hidden="1">'Schedule Ranges'!$B$12</definedName>
    <definedName name="CBCR_335122f559b9498c921970c083bab8e7" localSheetId="4" hidden="1">'Estimate Ranges'!$D$34</definedName>
    <definedName name="CBCR_3385fcf7ce564965a34d2a6413ae86fe" localSheetId="7" hidden="1">'Risk Register'!$M$11</definedName>
    <definedName name="CBCR_3392f4f7d0e54df7aec2ce3c4a355991" localSheetId="4" hidden="1">'Estimate Ranges'!$C$141</definedName>
    <definedName name="CBCR_33e0a9b534be49debf55afad6c87af69" localSheetId="4" hidden="1">'Estimate Ranges'!$Q$49</definedName>
    <definedName name="CBCR_33fb461db82c4671940bb46b77773e19" localSheetId="7" hidden="1">'Risk Register'!$A$25</definedName>
    <definedName name="CBCR_347c807544d64d9f9c5e23f06db99c5d" localSheetId="4" hidden="1">'Estimate Ranges'!$Q$15</definedName>
    <definedName name="CBCR_348004405b8e436792b90bf7dedce345" localSheetId="4" hidden="1">'Estimate Ranges'!$Q$60</definedName>
    <definedName name="CBCR_349cb92332e948ed9b53e11819ff1a26" localSheetId="4" hidden="1">'Estimate Ranges'!$B$51</definedName>
    <definedName name="CBCR_34a17725124343afbc00641a41e0a249" localSheetId="4" hidden="1">'Estimate Ranges'!$Q$157</definedName>
    <definedName name="CBCR_34bea35df0344b8cb8d46e6ecd76be08" localSheetId="4" hidden="1">'Estimate Ranges'!$D$158</definedName>
    <definedName name="CBCR_35439d34c3574a2d989ff00b5eb83963" localSheetId="7" hidden="1">'Risk Register'!$K$12</definedName>
    <definedName name="CBCR_359a7f54631b4c0bb4bd8719048d27d7" localSheetId="4" hidden="1">'Estimate Ranges'!$D$46</definedName>
    <definedName name="CBCR_36b485e050c74cc9927a8c419af39a7d" localSheetId="7" hidden="1">'Risk Register'!$H$4</definedName>
    <definedName name="CBCR_372db9eee4f744bfbcf1833a529caf2e" localSheetId="7" hidden="1">'Risk Register'!$N$22</definedName>
    <definedName name="CBCR_375cbcc7a50b40638e0b492d97650c40" localSheetId="4" hidden="1">'Estimate Ranges'!$H$35</definedName>
    <definedName name="CBCR_375f218fdc374b91982d7da87d71d125" localSheetId="4" hidden="1">'Estimate Ranges'!$D$60</definedName>
    <definedName name="CBCR_38337335bfa64662b3df77de2f45d599" localSheetId="4" hidden="1">'Estimate Ranges'!$P$33</definedName>
    <definedName name="CBCR_38e83016e83349168a6561d16862f856" localSheetId="4" hidden="1">'Estimate Ranges'!$D$124</definedName>
    <definedName name="CBCR_3938ce528ecc4906816f1b6cf38236b6" localSheetId="7" hidden="1">'Risk Register'!$N$19</definedName>
    <definedName name="CBCR_396069a9276540628b67069781bd5ca6" localSheetId="4" hidden="1">'Estimate Ranges'!$D$13</definedName>
    <definedName name="CBCR_3a0fd6006d304bab886838a8ea6432b9" localSheetId="4" hidden="1">'Estimate Ranges'!$Q$65</definedName>
    <definedName name="CBCR_3ac24f73c229475d9723aeeb64a69819" localSheetId="4" hidden="1">'Estimate Ranges'!$H$83</definedName>
    <definedName name="CBCR_3b2c825f7d854aa7af0869631fb10e36" localSheetId="4" hidden="1">'Estimate Ranges'!$H$69</definedName>
    <definedName name="CBCR_3b2febc21c58469b99c84fdf937cc594" localSheetId="7" hidden="1">'Risk Register'!$I$9</definedName>
    <definedName name="CBCR_3b51e5b6a12b4021b1269cd1edc7906c" localSheetId="7" hidden="1">'Risk Register'!$A$6</definedName>
    <definedName name="CBCR_3c16bebb4f1f4365991f63578eb1e1f1" localSheetId="7" hidden="1">'Risk Register'!$J$13</definedName>
    <definedName name="CBCR_3c4fc4632bd34cec9052c4e64a57fa76" localSheetId="4" hidden="1">'Estimate Ranges'!$P$164</definedName>
    <definedName name="CBCR_3c802046dded4d2e9ff2eb014872ccc2" localSheetId="4" hidden="1">'Estimate Ranges'!$D$49</definedName>
    <definedName name="CBCR_3c9d574a0a66452e9f70a99bb9e84b06" localSheetId="6" hidden="1">'Schedule Ranges'!$E$12</definedName>
    <definedName name="CBCR_3cdb664a10f84ce0ae617c5f230828e6" localSheetId="4" hidden="1">'Estimate Ranges'!$B$111</definedName>
    <definedName name="CBCR_3d0eb1ddd0e94fc6bff7ea39dd7d974c" localSheetId="4" hidden="1">'Estimate Ranges'!$D$164</definedName>
    <definedName name="CBCR_3d18d1fb312e489c95c505b3709e6923" localSheetId="4" hidden="1">'Estimate Ranges'!$B$68</definedName>
    <definedName name="CBCR_3d35a6b6f8124afe843448b9c3a9c94e" localSheetId="4" hidden="1">'Estimate Ranges'!$Q$13</definedName>
    <definedName name="CBCR_3d371aecbdab4f09b9818dcd27f3ca23" localSheetId="4" hidden="1">'Estimate Ranges'!$I$15</definedName>
    <definedName name="CBCR_3d67df45cc284046bdea76d9db6903ad" localSheetId="7" hidden="1">'Risk Register'!$M$17</definedName>
    <definedName name="CBCR_3dc451b544194436a3cbd2a054f69c1c" localSheetId="4" hidden="1">'Estimate Ranges'!$D$141</definedName>
    <definedName name="CBCR_3e528c45c63c4b638def7dddcf331277" localSheetId="6" hidden="1">'Schedule Ranges'!$C$10</definedName>
    <definedName name="CBCR_3e6b2952d7cc405283f9e48bd6994f1e" localSheetId="7" hidden="1">'Risk Register'!$K$21</definedName>
    <definedName name="CBCR_3e6ff125507549ab943b18076084df2c" localSheetId="7" hidden="1">'Risk Register'!$I$10</definedName>
    <definedName name="CBCR_3e8f319f0d2942ff9a9aedb8836e031d" localSheetId="7" hidden="1">'Risk Register'!$N$5</definedName>
    <definedName name="CBCR_3e9a7fa92a864708868c0c5cc7387174" localSheetId="7" hidden="1">'Risk Register'!$M$8</definedName>
    <definedName name="CBCR_3ebf94e0878e43a28455f86209d1b84c" localSheetId="4" hidden="1">'Estimate Ranges'!$Q$56</definedName>
    <definedName name="CBCR_3edf0864154f40799465b917983d40d4" localSheetId="4" hidden="1">'Estimate Ranges'!$D$135</definedName>
    <definedName name="CBCR_3f2324f26ac34afc8e8eca2d8c9fb1c0" localSheetId="4" hidden="1">'Estimate Ranges'!$H$62</definedName>
    <definedName name="CBCR_3f60f9d779504192aeb5ce73aa13eb3e" localSheetId="4" hidden="1">'Estimate Ranges'!$Q$12</definedName>
    <definedName name="CBCR_3f90792fb7cb4f1699658e4a6a525170" localSheetId="4" hidden="1">'Estimate Ranges'!$D$168</definedName>
    <definedName name="CBCR_3fd90df1dcbf4458928fd1a1f36e41b9" localSheetId="6" hidden="1">'Schedule Ranges'!$F$6</definedName>
    <definedName name="CBCR_3fda925a7458480c96a6823e3085d4cf" localSheetId="4" hidden="1">'Estimate Ranges'!$C$157</definedName>
    <definedName name="CBCR_4010483cfbd64a53a106e8c2cf7f6e74" localSheetId="7" hidden="1">'Risk Register'!$J$21</definedName>
    <definedName name="CBCR_406824e88efb4df78f8a854610297e62" localSheetId="4" hidden="1">'Estimate Ranges'!$H$132</definedName>
    <definedName name="CBCR_407e1e3c783a4b13963b40ea126ad2a3" localSheetId="4" hidden="1">'Estimate Ranges'!$B$133</definedName>
    <definedName name="CBCR_40c9fa3aaf6f42f792af097188a80ccc" localSheetId="4" hidden="1">'Estimate Ranges'!$H$60</definedName>
    <definedName name="CBCR_40f328e709524394b1cdfed3ec864aa9" localSheetId="4" hidden="1">'Estimate Ranges'!$D$161</definedName>
    <definedName name="CBCR_41346f39568a42dcbc1ef3de1b9913de" localSheetId="4" hidden="1">'Estimate Ranges'!$P$84</definedName>
    <definedName name="CBCR_4316e051e7054e8bb0f8804e747d2eb6" localSheetId="4" hidden="1">'Estimate Ranges'!$I$162</definedName>
    <definedName name="CBCR_43693196993849648ab4467d20600376" localSheetId="4" hidden="1">'Estimate Ranges'!$B$44</definedName>
    <definedName name="CBCR_43d0b7779cd840f084a8a1e8f0e6e6d6" localSheetId="4" hidden="1">'Estimate Ranges'!$P$82</definedName>
    <definedName name="CBCR_444ccd4ac9a54f9a8e79f2c356321f5d" localSheetId="4" hidden="1">'Estimate Ranges'!$B$130</definedName>
    <definedName name="CBCR_447fb962eab74648a956b68f163e3599" localSheetId="4" hidden="1">'Estimate Ranges'!$B$5</definedName>
    <definedName name="CBCR_448460a8d41444c99ca689f6d7c73173" localSheetId="4" hidden="1">'Estimate Ranges'!$D$160</definedName>
    <definedName name="CBCR_44b83e41e0e644dc9bdeb8401546aef7" localSheetId="7" hidden="1">'Risk Register'!$N$13</definedName>
    <definedName name="CBCR_44c498d042084969bb761fda92f73ac8" localSheetId="4" hidden="1">'Estimate Ranges'!$P$13</definedName>
    <definedName name="CBCR_4542404292934b199ebb69f1c11a88db" localSheetId="4" hidden="1">'Estimate Ranges'!$B$153</definedName>
    <definedName name="CBCR_457d0defd9b34fe7bd987d581eb960db" localSheetId="4" hidden="1">'Estimate Ranges'!$H$45</definedName>
    <definedName name="CBCR_45ada32cf7e548b38188312662980d6c" localSheetId="7" hidden="1">'Risk Register'!$K$10</definedName>
    <definedName name="CBCR_45afaa468eba4eb9b75b60f1fef8a6ce" localSheetId="4" hidden="1">'Estimate Ranges'!$D$50</definedName>
    <definedName name="CBCR_45e129f577dd4cfd94912a8a5d048b77" localSheetId="7" hidden="1">'Risk Register'!$A$13</definedName>
    <definedName name="CBCR_473c7aee1c2948d9a180dd9df1bcfcd9" localSheetId="4" hidden="1">'Estimate Ranges'!$I$4</definedName>
    <definedName name="CBCR_476d8488cb7645e4be4f48760c38c010" localSheetId="4" hidden="1">'Estimate Ranges'!$C$163</definedName>
    <definedName name="CBCR_479f7c5d17b043e8aca3818f132d1711" localSheetId="4" hidden="1">'Estimate Ranges'!$I$37</definedName>
    <definedName name="CBCR_47d1056801414fdd99370110e22fabaf" localSheetId="7" hidden="1">'Risk Register'!$J$7</definedName>
    <definedName name="CBCR_47f1f24c0fe64bd8b2109d63ad106c23" localSheetId="4" hidden="1">'Estimate Ranges'!$D$156</definedName>
    <definedName name="CBCR_4802ba87cdee4e96bdfce30597a58067" localSheetId="4" hidden="1">'Estimate Ranges'!$D$40</definedName>
    <definedName name="CBCR_4824bf3f7ff04eb7a0be3b595e4068ec" localSheetId="4" hidden="1">'Estimate Ranges'!$Q$156</definedName>
    <definedName name="CBCR_4835dc034c864a569e2f19581c4a42fb" localSheetId="7" hidden="1">'Risk Register'!$M$12</definedName>
    <definedName name="CBCR_484d9140447048ce9f753dbca5c94aed" localSheetId="7" hidden="1">'Risk Register'!$N$24</definedName>
    <definedName name="CBCR_493cd5cae90244dc8eae42a95ef2cfaa" localSheetId="4" hidden="1">'Estimate Ranges'!$P$4</definedName>
    <definedName name="CBCR_498e08aea6534de48425eda7d3bfc54e" localSheetId="4" hidden="1">'Estimate Ranges'!$P$156</definedName>
    <definedName name="CBCR_49b3820069904eba806134263aec9c35" localSheetId="4" hidden="1">'Estimate Ranges'!$H$50</definedName>
    <definedName name="CBCR_49fc5fbc5e3646ebafdbc30f1ca25f4a" localSheetId="4" hidden="1">'Estimate Ranges'!$D$32</definedName>
    <definedName name="CBCR_4a0596cadb4b450e8e91ae7cde53f8a6" localSheetId="7" hidden="1">'Risk Register'!$K$8</definedName>
    <definedName name="CBCR_4a4dbd163a7f47ecaaee9d8987ea7df1" localSheetId="7" hidden="1">'Risk Register'!$H$19</definedName>
    <definedName name="CBCR_4a6878c8f13b43768c314416b5ab0346" localSheetId="7" hidden="1">'Risk Register'!$M$4</definedName>
    <definedName name="CBCR_4a981e0a2332404baa6ae81015763312" localSheetId="7" hidden="1">'Risk Register'!$M$4</definedName>
    <definedName name="CBCR_4b5cd68380454e02a79fd6400649fce3" localSheetId="7" hidden="1">'Risk Register'!$H$5</definedName>
    <definedName name="CBCR_4b9967fb85ed4dab956df1eb55c9730b" localSheetId="7" hidden="1">'Risk Register'!$I$7</definedName>
    <definedName name="CBCR_4c77f8c113b34d948a00a075ed3ae388" localSheetId="7" hidden="1">'Risk Register'!$N$16</definedName>
    <definedName name="CBCR_4c8e6477c1114df5863f22ff2822c495" localSheetId="7" hidden="1">'Risk Register'!$H$10</definedName>
    <definedName name="CBCR_4d67ba37e3054ca592da6db7ca295134" localSheetId="4" hidden="1">'Estimate Ranges'!$B$130</definedName>
    <definedName name="CBCR_4d7bf5f20a35413d91d390b293e84bca" localSheetId="4" hidden="1">'Estimate Ranges'!$B$60</definedName>
    <definedName name="CBCR_4db8ddc169524c8e8614838c3effde6f" localSheetId="4" hidden="1">'Estimate Ranges'!$H$36</definedName>
    <definedName name="CBCR_4dff7c438a074b3188676baaea963ba6" localSheetId="4" hidden="1">'Estimate Ranges'!$P$91</definedName>
    <definedName name="CBCR_4e3b28554c1b4211b01efa0a4c5e2eb2" localSheetId="4" hidden="1">'Estimate Ranges'!$B$134</definedName>
    <definedName name="CBCR_4e590061faec47bd85dd48b3697b50f4" localSheetId="4" hidden="1">'Estimate Ranges'!$H$85</definedName>
    <definedName name="CBCR_4e76df184fb545ceae4746bf29daa82e" localSheetId="4" hidden="1">'Estimate Ranges'!$D$69</definedName>
    <definedName name="CBCR_4e8681acc2d44456abeb2d6bf3995bc8" localSheetId="4" hidden="1">'Estimate Ranges'!$D$140</definedName>
    <definedName name="CBCR_4ea95ae197f44283b710682d217beac9" localSheetId="4" hidden="1">'Estimate Ranges'!$Q$69</definedName>
    <definedName name="CBCR_4eb7e39d480746c98b088cf42d5f6b3a" localSheetId="6" hidden="1">'Schedule Ranges'!$C$15</definedName>
    <definedName name="CBCR_4f21597f3937434180b79750ce873874" localSheetId="4" hidden="1">'Estimate Ranges'!$D$83</definedName>
    <definedName name="CBCR_4fd0edbc4d56474589baf0482f8dac4d" localSheetId="4" hidden="1">'Estimate Ranges'!$Q$92</definedName>
    <definedName name="CBCR_502f68c4e87d40ddaec3e81b7a6864f4" localSheetId="4" hidden="1">'Estimate Ranges'!$D$5</definedName>
    <definedName name="CBCR_50797de581514abc9b3f124e649222e7" localSheetId="7" hidden="1">'Risk Register'!$K$13</definedName>
    <definedName name="CBCR_50c6bd5c64dd47299e5f578322b0f42d" localSheetId="4" hidden="1">'Estimate Ranges'!$D$52</definedName>
    <definedName name="CBCR_513a759c61b54c868c352d2dead6bcb7" localSheetId="4" hidden="1">'Estimate Ranges'!$P$121</definedName>
    <definedName name="CBCR_518efed57442493493bc1b36cdacccec" localSheetId="7" hidden="1">'Risk Register'!$A$21</definedName>
    <definedName name="CBCR_520aa35eadfb4e77b7bf1536ba130307" localSheetId="6" hidden="1">'Schedule Ranges'!$C$6</definedName>
    <definedName name="CBCR_5293122788664dc08938d7a000801e6f" localSheetId="4" hidden="1">'Estimate Ranges'!$B$35</definedName>
    <definedName name="CBCR_52bdfe1dc6a1404eb1d289cce8e3f5ab" localSheetId="4" hidden="1">'Estimate Ranges'!$D$111</definedName>
    <definedName name="CBCR_52f34b23e012480d82f439158a4cdadc" localSheetId="4" hidden="1">'Estimate Ranges'!$D$84</definedName>
    <definedName name="CBCR_52f93900654a42cb81fe3a5a5c6f715b" localSheetId="4" hidden="1">'Estimate Ranges'!$B$106</definedName>
    <definedName name="CBCR_53d52929f7a940dcad37fc197c2bd7e2" localSheetId="4" hidden="1">'Estimate Ranges'!$D$89</definedName>
    <definedName name="CBCR_54148786a34148cc8114a6343d43234a" localSheetId="4" hidden="1">'Estimate Ranges'!$I$161</definedName>
    <definedName name="CBCR_54520b4866ca488e9eb8e69682f518fd" localSheetId="4" hidden="1">'Estimate Ranges'!$Q$161</definedName>
    <definedName name="CBCR_54d39e496bf24f6c97dcb394348cc153" localSheetId="4" hidden="1">'Estimate Ranges'!$H$91</definedName>
    <definedName name="CBCR_54dd638086cd4d319c7fd43a72fa16d6" localSheetId="7" hidden="1">'Risk Register'!$I$25</definedName>
    <definedName name="CBCR_54f37f48ce7f445db63804dd795b18ea" localSheetId="6" hidden="1">'Schedule Ranges'!$E$14</definedName>
    <definedName name="CBCR_550255eabec642f38dc43f5c14e89ed6" localSheetId="4" hidden="1">'Estimate Ranges'!$D$51</definedName>
    <definedName name="CBCR_550ea9042ea046109d624be778f0d3a0" localSheetId="4" hidden="1">'Estimate Ranges'!$H$155</definedName>
    <definedName name="CBCR_5531fca00a2e462fac95d2303fa31f2c" localSheetId="7" hidden="1">'Risk Register'!$M$10</definedName>
    <definedName name="CBCR_564f1dcf171d492c9d1f914da7c82d59" localSheetId="4" hidden="1">'Estimate Ranges'!$Q$32</definedName>
    <definedName name="CBCR_567a4e12c4bd4be78cc84fc22b66108f" localSheetId="7" hidden="1">'Risk Register'!$K$4</definedName>
    <definedName name="CBCR_571afc98f791476b96c6d09ec0762179" localSheetId="4" hidden="1">'Estimate Ranges'!$D$158</definedName>
    <definedName name="CBCR_574fe36ba4254bedbf6eb4f029734bc0" localSheetId="4" hidden="1">'Estimate Ranges'!$B$77</definedName>
    <definedName name="CBCR_57bfc20ea88c482ab46760916d5a9591" localSheetId="4" hidden="1">'Estimate Ranges'!$Q$84</definedName>
    <definedName name="CBCR_57f3f08889cc494da41c26e23ab41883" localSheetId="4" hidden="1">'Estimate Ranges'!$B$168</definedName>
    <definedName name="CBCR_5809781652234012800694cd14f2b783" localSheetId="4" hidden="1">'Estimate Ranges'!$D$137</definedName>
    <definedName name="CBCR_58f6746da2964553b3f381680bcb44e6" localSheetId="4" hidden="1">'Estimate Ranges'!$H$61</definedName>
    <definedName name="CBCR_593a4a74649e4e9fb5c4f746cfc8abd2" localSheetId="4" hidden="1">'Estimate Ranges'!$H$124</definedName>
    <definedName name="CBCR_59619b3d896748f4ae7ceb0267f1fd8f" localSheetId="4" hidden="1">'Estimate Ranges'!$I$34</definedName>
    <definedName name="CBCR_59663b11aa564911811619f7b8cb26ed" localSheetId="4" hidden="1">'Estimate Ranges'!$I$85</definedName>
    <definedName name="CBCR_59cd86b4417c44f6b088a53e9dc88046" localSheetId="4" hidden="1">'Estimate Ranges'!$H$68</definedName>
    <definedName name="CBCR_5a14626955a64fd8888fc25b3a250bd5" localSheetId="7" hidden="1">'Risk Register'!$N$10</definedName>
    <definedName name="CBCR_5a1e13257cd744a5aad78ad9a03c99e8" localSheetId="4" hidden="1">'Estimate Ranges'!$H$38</definedName>
    <definedName name="CBCR_5a75807777734319a3696dc439eb3a11" localSheetId="4" hidden="1">'Estimate Ranges'!$D$44</definedName>
    <definedName name="CBCR_5a80c165e54544b4a0388d6018ac9f35" localSheetId="4" hidden="1">'Estimate Ranges'!$D$44</definedName>
    <definedName name="CBCR_5adf395dc5024dceb0e61d4c315ac100" localSheetId="6" hidden="1">'Schedule Ranges'!$C$9</definedName>
    <definedName name="CBCR_5bdb3e7037ff4231975dfac03f6bc2a4" localSheetId="4" hidden="1">'Estimate Ranges'!$Q$50</definedName>
    <definedName name="CBCR_5c18b50606144bc4957307bf372e5e5d" localSheetId="4" hidden="1">'Estimate Ranges'!$Q$133</definedName>
    <definedName name="CBCR_5c4ce03545464cb1aff64458d5807410" localSheetId="4" hidden="1">'Estimate Ranges'!$B$121</definedName>
    <definedName name="CBCR_5c7436da6ef54a309324a7fb9e05cdb0" localSheetId="7" hidden="1">'Risk Register'!$A$19</definedName>
    <definedName name="CBCR_5c7d8a37a7da4198b8a546ec929eaac6" localSheetId="4" hidden="1">'Estimate Ranges'!$D$165</definedName>
    <definedName name="CBCR_5ce9ed39ba7d4a6bb80920a43858b275" localSheetId="7" hidden="1">'Risk Register'!$A$5</definedName>
    <definedName name="CBCR_5cf100404ed14a29b976993734854613" localSheetId="4" hidden="1">'Estimate Ranges'!$Q$154</definedName>
    <definedName name="CBCR_5ebdc5501e91476f85fa951eafc14f99" localSheetId="4" hidden="1">'Estimate Ranges'!$B$168</definedName>
    <definedName name="CBCR_5edc93a08ac64a2f9b2b32226afd000f" localSheetId="4" hidden="1">'Estimate Ranges'!$D$49</definedName>
    <definedName name="CBCR_5ef003b148814e57bf8fc48a669258f5" localSheetId="4" hidden="1">'Estimate Ranges'!$P$50</definedName>
    <definedName name="CBCR_5f488aa2e31e450f9a6783d8189fe9f8" localSheetId="7" hidden="1">'Risk Register'!$I$19</definedName>
    <definedName name="CBCR_5ffe6c1641da440d8c5694e6106a7346" localSheetId="4" hidden="1">'Estimate Ranges'!$B$132</definedName>
    <definedName name="CBCR_605673073cdf45f58b2b02a770c32a6f" localSheetId="4" hidden="1">'Estimate Ranges'!$B$69</definedName>
    <definedName name="CBCR_606ad7e1b59044c085c7cd93071c5194" localSheetId="4" hidden="1">'Estimate Ranges'!$D$154</definedName>
    <definedName name="CBCR_61050dc394224759ae84017a752bc6ed" localSheetId="7" hidden="1">'Risk Register'!$N$11</definedName>
    <definedName name="CBCR_61124093d8ab4cb6b7b8a63bf2f901ef" localSheetId="4" hidden="1">'Estimate Ranges'!$D$99</definedName>
    <definedName name="CBCR_61293c15780b42808d09292bcc10898e" localSheetId="4" hidden="1">'Estimate Ranges'!$I$160</definedName>
    <definedName name="CBCR_6158c81362c84d0a8fc83565f8fee4ef" localSheetId="4" hidden="1">'Estimate Ranges'!$P$49</definedName>
    <definedName name="CBCR_618d4a37cf5a420fbdac544f3ddd3a78" localSheetId="4" hidden="1">'Estimate Ranges'!$C$159</definedName>
    <definedName name="CBCR_6196ee6f8f9d4223854c5fd406aa06c6" localSheetId="4" hidden="1">'Estimate Ranges'!$H$154</definedName>
    <definedName name="CBCR_620eb6185f4048358070745091ada3b3" localSheetId="4" hidden="1">'Estimate Ranges'!$D$134</definedName>
    <definedName name="CBCR_6234a986d39245f19842b3b4a7953cc6" localSheetId="7" hidden="1">'Risk Register'!$K$22</definedName>
    <definedName name="CBCR_62553d137b7f4ad98e3baa87451ff156" localSheetId="7" hidden="1">'Risk Register'!$I$17</definedName>
    <definedName name="CBCR_62cbadfb6c7049f98498e8a101fda6b1" localSheetId="4" hidden="1">'Estimate Ranges'!$P$30</definedName>
    <definedName name="CBCR_638b9c3b68a54604949bee96720c1a47" localSheetId="4" hidden="1">'Estimate Ranges'!$P$46</definedName>
    <definedName name="CBCR_63bec570b8784279a29d66823fa2d299" localSheetId="7" hidden="1">'Risk Register'!$M$12</definedName>
    <definedName name="CBCR_63c609e9467449669c7c55af13095a08" localSheetId="4" hidden="1">'Estimate Ranges'!$B$81</definedName>
    <definedName name="CBCR_63e7d236998644748c5d53034b40efe7" localSheetId="4" hidden="1">'Estimate Ranges'!$D$133</definedName>
    <definedName name="CBCR_63e8acb2946841dc9946ed4d213c2329" localSheetId="4" hidden="1">'Estimate Ranges'!$I$51</definedName>
    <definedName name="CBCR_641f6b7b5e644a339d797de43e881a5d" localSheetId="4" hidden="1">'Estimate Ranges'!$B$149</definedName>
    <definedName name="CBCR_642f26fa510440f08183862df0239ee0" localSheetId="4" hidden="1">'Estimate Ranges'!$D$48</definedName>
    <definedName name="CBCR_6503fc2fe90f44e3ab5616781476c704" localSheetId="4" hidden="1">'Estimate Ranges'!$P$135</definedName>
    <definedName name="CBCR_650ff824529d47e3b3494d0411599fa7" localSheetId="4" hidden="1">'Estimate Ranges'!$I$134</definedName>
    <definedName name="CBCR_6582e32adb0c48878c0426920650e5bd" localSheetId="7" hidden="1">'Risk Register'!$M$18</definedName>
    <definedName name="CBCR_65df3e73c025430c833ab0babd085d60" localSheetId="4" hidden="1">'Estimate Ranges'!$B$137</definedName>
    <definedName name="CBCR_65f4a15315bc408389091ee351e90222" localSheetId="4" hidden="1">'Estimate Ranges'!$H$15</definedName>
    <definedName name="CBCR_66152bff7c4444c0b69ae4544a8c4772" localSheetId="4" hidden="1">'Estimate Ranges'!$C$162</definedName>
    <definedName name="CBCR_662964109e60485d95b876eca412935f" localSheetId="7" hidden="1">'Risk Register'!$M$13</definedName>
    <definedName name="CBCR_662eef64140d4d068c8cb5f89ba1038e" localSheetId="4" hidden="1">'Estimate Ranges'!$B$4</definedName>
    <definedName name="CBCR_66474e0f2e384c55b9e2af9f12e32bfb" localSheetId="7" hidden="1">'Risk Register'!$M$23</definedName>
    <definedName name="CBCR_666f422ca4bb4205915f34ca657a8e5f" localSheetId="4" hidden="1">'Estimate Ranges'!$C$139</definedName>
    <definedName name="CBCR_6687c7964d5648a6961835cb75ee5f64" localSheetId="4" hidden="1">'Estimate Ranges'!$I$123</definedName>
    <definedName name="CBCR_66a9b7944a69445fbaf2987b50c50ef2" localSheetId="4" hidden="1">'Estimate Ranges'!$D$134</definedName>
    <definedName name="CBCR_679eda9de22f4c78a52e26f7ae38465d" localSheetId="4" hidden="1">'Estimate Ranges'!$B$48</definedName>
    <definedName name="CBCR_67dc64bc471740cd83ecd12e64109e08" localSheetId="4" hidden="1">'Estimate Ranges'!$B$84</definedName>
    <definedName name="CBCR_681583edfefe45f7ae6c0102ecaf3fda" localSheetId="7" hidden="1">'Risk Register'!$N$8</definedName>
    <definedName name="CBCR_68611fcf6a504696becd800bc81a1c36" localSheetId="4" hidden="1">'Estimate Ranges'!$B$123</definedName>
    <definedName name="CBCR_68fff1860adb443aa062d20cbb86f666" localSheetId="4" hidden="1">'Estimate Ranges'!$I$56</definedName>
    <definedName name="CBCR_69123cb900054db28dea9f3689aaf1c7" localSheetId="4" hidden="1">'Estimate Ranges'!$B$91</definedName>
    <definedName name="CBCR_6926c1fa19664aaf94d362a9b7a89fce" localSheetId="4" hidden="1">'Estimate Ranges'!$I$81</definedName>
    <definedName name="CBCR_6973bfb0d4dc48c6994f885290228878" localSheetId="4" hidden="1">'Estimate Ranges'!$D$33</definedName>
    <definedName name="CBCR_6986f0e3f41949dfabb47d5dd33b440b" localSheetId="4" hidden="1">'Estimate Ranges'!$I$69</definedName>
    <definedName name="CBCR_699efc0182464090a1a08bcc4ae766eb" localSheetId="4" hidden="1">'Estimate Ranges'!$C$161</definedName>
    <definedName name="CBCR_69c3997bac1b46a593855cd4097b87f4" localSheetId="4" hidden="1">'Estimate Ranges'!$I$84</definedName>
    <definedName name="CBCR_6a01b4eb4ba54d7a8a3b6c2702573268" localSheetId="4" hidden="1">'Estimate Ranges'!$I$165</definedName>
    <definedName name="CBCR_6a087c00029340dc9c3ed6be7a210787" localSheetId="6" hidden="1">'Schedule Ranges'!$C$12</definedName>
    <definedName name="CBCR_6a539dd5282045d2910a64a49dd7117d" localSheetId="7" hidden="1">'Risk Register'!$H$20</definedName>
    <definedName name="CBCR_6a72d25d67514ec0b0ab7e7beb6cf212" localSheetId="4" hidden="1">'Estimate Ranges'!$Q$130</definedName>
    <definedName name="CBCR_6a97785d6225471c8e517dcaa48156b1" localSheetId="7" hidden="1">'Risk Register'!$I$14</definedName>
    <definedName name="CBCR_6aca9435b7084287ab10de70ecdbe4f8" localSheetId="4" hidden="1">'Estimate Ranges'!$B$61</definedName>
    <definedName name="CBCR_6b2214860c4a449ba8b7197cb19a80cf" localSheetId="4" hidden="1">'Estimate Ranges'!$P$99</definedName>
    <definedName name="CBCR_6b74e99bb1214905a062d102937f4a7f" localSheetId="4" hidden="1">'Estimate Ranges'!$B$77</definedName>
    <definedName name="CBCR_6b8911657c47481b9e8c53d77a4b58be" localSheetId="4" hidden="1">'Estimate Ranges'!$D$162</definedName>
    <definedName name="CBCR_6be1d6d0282947668ae5a11361124573" localSheetId="4" hidden="1">'Estimate Ranges'!$B$123</definedName>
    <definedName name="CBCR_6be49759d38442cebb046db9c4b3afe3" localSheetId="4" hidden="1">'Estimate Ranges'!$B$14</definedName>
    <definedName name="CBCR_6bf4a8ed87734475b1b3bf020c1aa9dc" localSheetId="7" hidden="1">'Risk Register'!$M$5</definedName>
    <definedName name="CBCR_6c656c05a5a54151b29f2070b74ac85d" localSheetId="4" hidden="1">'Estimate Ranges'!$I$121</definedName>
    <definedName name="CBCR_6c665bb04ea146ff880d46edd52419b4" localSheetId="4" hidden="1">'Estimate Ranges'!$D$165</definedName>
    <definedName name="CBCR_6cec4682ddd0496ba9992b02376c0fb5" localSheetId="4" hidden="1">'Estimate Ranges'!$B$82</definedName>
    <definedName name="CBCR_6dc5bc0913764061bf5b8cfb3988c298" localSheetId="4" hidden="1">'Estimate Ranges'!$I$20</definedName>
    <definedName name="CBCR_6ddb9470e16f40bf80124b063d182039" localSheetId="4" hidden="1">'Estimate Ranges'!$H$65</definedName>
    <definedName name="CBCR_6eb8093344d24276870e4991ec8f7918" localSheetId="4" hidden="1">'Estimate Ranges'!$P$32</definedName>
    <definedName name="CBCR_6f5be39c763b43e7b91aa6d29e50443a" localSheetId="4" hidden="1">'Estimate Ranges'!$D$159</definedName>
    <definedName name="CBCR_6f79892cfb864d34b4e1151ef2c1be42" localSheetId="7" hidden="1">'Risk Register'!$I$13</definedName>
    <definedName name="CBCR_6f9f6f49f21a4ed293f385632feb0746" localSheetId="7" hidden="1">'Risk Register'!$M$6</definedName>
    <definedName name="CBCR_6fc20a91b52642c9b5043c68398e7a8a" localSheetId="4" hidden="1">'Estimate Ranges'!$B$30</definedName>
    <definedName name="CBCR_6ff0871e571244a7a03d8d1fc01e638c" localSheetId="4" hidden="1">'Estimate Ranges'!$D$153</definedName>
    <definedName name="CBCR_704610d21e3e4188afe43d22f2df1eb2" localSheetId="7" hidden="1">'Risk Register'!$A$9</definedName>
    <definedName name="CBCR_706cd95268494766bb7e830bb72b11e4" localSheetId="4" hidden="1">'Estimate Ranges'!$D$130</definedName>
    <definedName name="CBCR_71078d2d5fb3427f9d09b1f172ac2b5c" localSheetId="4" hidden="1">'Estimate Ranges'!$D$33</definedName>
    <definedName name="CBCR_7152d8747c8f48b5afb98ca58a9aaeaf" localSheetId="7" hidden="1">'Risk Register'!$K$7</definedName>
    <definedName name="CBCR_71b8dd1280ab484d8012a572507dfd17" localSheetId="4" hidden="1">'Estimate Ranges'!$C$157</definedName>
    <definedName name="CBCR_72ed0aba8f984b9cb50122609173f563" localSheetId="4" hidden="1">'Estimate Ranges'!$D$84</definedName>
    <definedName name="CBCR_72ee1d66ef7e440a81c8bf25ebce4886" localSheetId="4" hidden="1">'Estimate Ranges'!$D$81</definedName>
    <definedName name="CBCR_72ffbe3aaa5342528660e1ca1999846c" localSheetId="4" hidden="1">'Estimate Ranges'!$P$85</definedName>
    <definedName name="CBCR_737a52710cf9422da31d716a401460dd" localSheetId="4" hidden="1">'Estimate Ranges'!$B$83</definedName>
    <definedName name="CBCR_73948863c08c4a1eaf5eca8a815083ee" localSheetId="4" hidden="1">'Estimate Ranges'!$D$56</definedName>
    <definedName name="CBCR_73aefbac7bea4aef96f40a8b6484072d" localSheetId="4" hidden="1">'Estimate Ranges'!$P$158</definedName>
    <definedName name="CBCR_73ebd9a919b04cdf89be10aac067bf14" localSheetId="4" hidden="1">'Estimate Ranges'!$D$132</definedName>
    <definedName name="CBCR_7406d33c0a5548dda2f4bcdc43beb0ad" localSheetId="7" hidden="1">'Risk Register'!$I$21</definedName>
    <definedName name="CBCR_7420e6104f5a404e8e508d2ddeba098c" localSheetId="4" hidden="1">'Estimate Ranges'!$B$49</definedName>
    <definedName name="CBCR_746b2ec7418d429baea295f3f818d4f8" localSheetId="4" hidden="1">'Estimate Ranges'!$Q$134</definedName>
    <definedName name="CBCR_749b5a3479e048ebb279fc2bf6d7bee2" localSheetId="4" hidden="1">'Estimate Ranges'!$B$60</definedName>
    <definedName name="CBCR_74dbb2311c6548a1b08d5fa1f4d750e2" localSheetId="4" hidden="1">'Estimate Ranges'!$P$111</definedName>
    <definedName name="CBCR_74ec551cbfba414b92f8f365c62a7761" localSheetId="4" hidden="1">'Estimate Ranges'!$H$84</definedName>
    <definedName name="CBCR_754535b30faf4dd6a38c908f2eb6170b" localSheetId="4" hidden="1">'Estimate Ranges'!$B$92</definedName>
    <definedName name="CBCR_75f8eb9dabb14da7998fe8a7376eebc1" localSheetId="4" hidden="1">'Estimate Ranges'!$B$137</definedName>
    <definedName name="CBCR_761ca6e3906f4549983e9a9e74e0a46a" localSheetId="4" hidden="1">'Estimate Ranges'!$I$44</definedName>
    <definedName name="CBCR_7697da51a1db4dd0a4d18fe1547b96a6" localSheetId="4" hidden="1">'Estimate Ranges'!$B$37</definedName>
    <definedName name="CBCR_76c86e317a024c4289444699047180b3" localSheetId="4" hidden="1">'Estimate Ranges'!$C$163</definedName>
    <definedName name="CBCR_76dd6b2172b54cb5885feef0a309145c" localSheetId="4" hidden="1">'Estimate Ranges'!$C$164</definedName>
    <definedName name="CBCR_76dd7c97abf1407ea2d53a1adadeeaa9" localSheetId="7" hidden="1">'Risk Register'!$H$16</definedName>
    <definedName name="CBCR_76f97154a45b4ccfa02cd50f95e3280c" localSheetId="7" hidden="1">'Risk Register'!$H$8</definedName>
    <definedName name="CBCR_77276cec8f9b4a7c96642191fc63d619" localSheetId="4" hidden="1">'Estimate Ranges'!$P$130</definedName>
    <definedName name="CBCR_7859061ba1f1490f83ff03c2b6302383" localSheetId="4" hidden="1">'Estimate Ranges'!$P$35</definedName>
    <definedName name="CBCR_79591c6fbd8d4992b2aefb7dfd407a07" localSheetId="4" hidden="1">'Estimate Ranges'!$D$133</definedName>
    <definedName name="CBCR_796007be37ab41349da461a0aca9a019" localSheetId="4" hidden="1">'Estimate Ranges'!$D$77</definedName>
    <definedName name="CBCR_79a9cd344daf46ee87886fd360de053e" localSheetId="4" hidden="1">'Estimate Ranges'!$P$40</definedName>
    <definedName name="CBCR_7b18eff50b5c45608a7bb0a0c6c33fb7" localSheetId="4" hidden="1">'Estimate Ranges'!$P$124</definedName>
    <definedName name="CBCR_7c3316aba8e5494091dcc49925058f14" localSheetId="4" hidden="1">'Estimate Ranges'!$P$92</definedName>
    <definedName name="CBCR_7cc012f13a3d4292986553e59ed1c99f" localSheetId="7" hidden="1">'Risk Register'!$A$10</definedName>
    <definedName name="CBCR_7cdaece7a37c48d9a258c06611233764" localSheetId="4" hidden="1">'Estimate Ranges'!$B$132</definedName>
    <definedName name="CBCR_7d0316c31f1f462a84e80cde5fc99e50" localSheetId="4" hidden="1">'Estimate Ranges'!$H$118</definedName>
    <definedName name="CBCR_7d27881e74064ef5b5aac0e665719114" localSheetId="4" hidden="1">'Estimate Ranges'!$I$35</definedName>
    <definedName name="CBCR_7df54ad2410b4141bc0a6f25071be899" localSheetId="4" hidden="1">'Estimate Ranges'!$H$141</definedName>
    <definedName name="CBCR_7e50681b9d0d49b98d52ca785d85541a" localSheetId="4" hidden="1">'Estimate Ranges'!$I$13</definedName>
    <definedName name="CBCR_7eff47177da64d9d84d451ef7a2dc7a8" localSheetId="4" hidden="1">'Estimate Ranges'!$Q$105</definedName>
    <definedName name="CBCR_7f01c05a56924878b30460169c733cc4" localSheetId="4" hidden="1">'Estimate Ranges'!$P$149</definedName>
    <definedName name="CBCR_809182cca48b400084d0afa0f9f5b819" localSheetId="4" hidden="1">'Estimate Ranges'!$H$89</definedName>
    <definedName name="CBCR_80984b65ae7543c3a3d7290514600b21" localSheetId="7" hidden="1">'Risk Register'!$N$21</definedName>
    <definedName name="CBCR_80f518637ebf41018ccc671375d814e6" localSheetId="4" hidden="1">'Estimate Ranges'!$Q$163</definedName>
    <definedName name="CBCR_81e7bb0fa86e454896ecd0954c9dbefa" localSheetId="4" hidden="1">'Estimate Ranges'!$I$154</definedName>
    <definedName name="CBCR_826aba54148f4ad381cafe43a617288d" localSheetId="4" hidden="1">'Estimate Ranges'!$D$106</definedName>
    <definedName name="CBCR_83f9580502914aa3b73bdae835aac61f" localSheetId="4" hidden="1">'Estimate Ranges'!$D$163</definedName>
    <definedName name="CBCR_840c2a76810845a9ab33ef3a0c1bb071" localSheetId="4" hidden="1">'Estimate Ranges'!$I$12</definedName>
    <definedName name="CBCR_84751035c5eb46d287f95d63d8f47103" localSheetId="4" hidden="1">'Estimate Ranges'!$D$19</definedName>
    <definedName name="CBCR_84815ee3d8194a3bb5e968b605585f16" localSheetId="4" hidden="1">'Estimate Ranges'!$D$45</definedName>
    <definedName name="CBCR_850860e69f524340b1b287fd71a716d9" localSheetId="7" hidden="1">'Risk Register'!$M$10</definedName>
    <definedName name="CBCR_859745850964403ab0ac1d1281bcfc04" localSheetId="4" hidden="1">'Estimate Ranges'!$I$111</definedName>
    <definedName name="CBCR_85e0b512e4064d8b9ad2e821db3a7098" localSheetId="4" hidden="1">'Estimate Ranges'!$Q$159</definedName>
    <definedName name="CBCR_85f43849b1b247368ff184086f906647" localSheetId="4" hidden="1">'Estimate Ranges'!$H$77</definedName>
    <definedName name="CBCR_867ea62044eb4a60b716552b18158672" localSheetId="4" hidden="1">'Estimate Ranges'!$H$52</definedName>
    <definedName name="CBCR_8741b30b9e7b4e65a3598507c3bc0cf9" localSheetId="4" hidden="1">'Estimate Ranges'!$I$40</definedName>
    <definedName name="CBCR_874bc070a1ba45038472e2b994185a1a" localSheetId="4" hidden="1">'Estimate Ranges'!$D$5</definedName>
    <definedName name="CBCR_87795fe3adef4c89be784934f8e575d9" localSheetId="7" hidden="1">'Risk Register'!$N$20</definedName>
    <definedName name="CBCR_87b3f8f525d04950ac56ebc1ad7ae6bf" localSheetId="4" hidden="1">'Estimate Ranges'!$D$82</definedName>
    <definedName name="CBCR_8891ce28049e4ca4a74210ac3e1a4854" localSheetId="4" hidden="1">'Estimate Ranges'!$P$106</definedName>
    <definedName name="CBCR_88f3f77f997443868b5d0aa27f07fb73" localSheetId="4" hidden="1">'Estimate Ranges'!$I$77</definedName>
    <definedName name="CBCR_89053f4899e44563b627f9ec447b2066" localSheetId="4" hidden="1">'Estimate Ranges'!$D$91</definedName>
    <definedName name="CBCR_89117cd39c0d4007839f05787283a2c1" localSheetId="6" hidden="1">'Schedule Ranges'!$F$16</definedName>
    <definedName name="CBCR_8930a1889eb64798b86efa6748b7f2f1" localSheetId="4" hidden="1">'Estimate Ranges'!$B$40</definedName>
    <definedName name="CBCR_896b62ef21ac4a9aa61d237906becd9b" localSheetId="6" hidden="1">'Schedule Ranges'!$C$7</definedName>
    <definedName name="CBCR_899d6c694cd345d68e7f1de7ad195810" localSheetId="4" hidden="1">'Estimate Ranges'!$I$106</definedName>
    <definedName name="CBCR_8a437c0d5fbd41eb9863b40465655a8e" localSheetId="6" hidden="1">'Schedule Ranges'!$F$10</definedName>
    <definedName name="CBCR_8a45e4d621264b44b0c300ba88fce48a" localSheetId="4" hidden="1">'Estimate Ranges'!$D$48</definedName>
    <definedName name="CBCR_8ab6dcd6abab4b29b5ccd67ff6830246" localSheetId="4" hidden="1">'Estimate Ranges'!$D$62</definedName>
    <definedName name="CBCR_8ac9d650e5e0482db71de3b4afab2c26" localSheetId="4" hidden="1">'Estimate Ranges'!$D$35</definedName>
    <definedName name="CBCR_8adba7037aa94717a1ccd7749189df9b" localSheetId="4" hidden="1">'Estimate Ranges'!$I$140</definedName>
    <definedName name="CBCR_8aef80a7bf6f4311a52011f6127e833c" localSheetId="4" hidden="1">'Estimate Ranges'!$P$45</definedName>
    <definedName name="CBCR_8b23909560404643a16672e33d6fa795" localSheetId="4" hidden="1">'Estimate Ranges'!$P$83</definedName>
    <definedName name="CBCR_8b58d84abef44bf2bfb3f5e63073c08a" localSheetId="4" hidden="1">'Estimate Ranges'!$P$44</definedName>
    <definedName name="CBCR_8cd7e61d5d4b49628ca9a62dabcabeee" localSheetId="7" hidden="1">'Risk Register'!$M$18</definedName>
    <definedName name="CBCR_8cefda93c3ee49e9b63c67d2214c04c5" localSheetId="4" hidden="1">'Estimate Ranges'!$D$118</definedName>
    <definedName name="CBCR_8d836745fd564d838707fa7cfc8abe58" localSheetId="6" hidden="1">'Schedule Ranges'!$F$9</definedName>
    <definedName name="CBCR_8df594292e3d448c8aacd8a083ce5b98" localSheetId="7" hidden="1">'Risk Register'!$N$6</definedName>
    <definedName name="CBCR_8e2115de9c2c498da579fe429a54c515" localSheetId="4" hidden="1">'Estimate Ranges'!$P$153</definedName>
    <definedName name="CBCR_8e48de62896a4482a2952b10d181c1d1" localSheetId="4" hidden="1">'Estimate Ranges'!$Q$153</definedName>
    <definedName name="CBCR_8e989a3ede5b4538a3c24217df52e0ab" localSheetId="7" hidden="1">'Risk Register'!$M$20</definedName>
    <definedName name="CBCR_8e9a016c2fea4e25867749da94971b12" localSheetId="4" hidden="1">'Estimate Ranges'!$D$20</definedName>
    <definedName name="CBCR_90725aacbe224b60b4234f43189ec3c2" localSheetId="4" hidden="1">'Estimate Ranges'!$I$48</definedName>
    <definedName name="CBCR_90c2ce7afe7d487da8bd5e4c094671d9" localSheetId="7" hidden="1">'Risk Register'!$I$16</definedName>
    <definedName name="CBCR_9174c6a922c94a65a96efe1069bf775c" localSheetId="4" hidden="1">'Estimate Ranges'!$B$44</definedName>
    <definedName name="CBCR_92595b2394cc42b2b4f0c5c0d7278279" localSheetId="4" hidden="1">'Estimate Ranges'!$D$64</definedName>
    <definedName name="CBCR_92beec17e3f64c2b8f6484053ae5c626" localSheetId="7" hidden="1">'Risk Register'!$I$8</definedName>
    <definedName name="CBCR_93acf82eb5fb454db1b2295240ab1312" localSheetId="7" hidden="1">'Risk Register'!$M$13</definedName>
    <definedName name="CBCR_93e436503bc04fe387785b5277bb8cdd" localSheetId="4" hidden="1">'Estimate Ranges'!$P$123</definedName>
    <definedName name="CBCR_93e8682179394e928baf912c6ba72f73" localSheetId="4" hidden="1">'Estimate Ranges'!$C$159</definedName>
    <definedName name="CBCR_9462a457286c42238978408542233983" localSheetId="4" hidden="1">'Estimate Ranges'!$I$38</definedName>
    <definedName name="CBCR_94cdf61595d34ae98ac586a9fdb755ae" localSheetId="4" hidden="1">'Estimate Ranges'!$Q$36</definedName>
    <definedName name="CBCR_94f1de26a5734c1a95231fefa0c7186f" localSheetId="4" hidden="1">'Estimate Ranges'!$B$52</definedName>
    <definedName name="CBCR_955ebcf68daf42b8941aba653f1fb54c" localSheetId="7" hidden="1">'Risk Register'!$J$10</definedName>
    <definedName name="CBCR_957ad7ce0ff34c07b177d2c7513b4dec" localSheetId="7" hidden="1">'Risk Register'!$H$24</definedName>
    <definedName name="CBCR_95f04ed2489941e2902f090c585121cb" localSheetId="7" hidden="1">'Risk Register'!$K$18</definedName>
    <definedName name="CBCR_9635160384604573b0829ad625cd07b8" localSheetId="4" hidden="1">'Estimate Ranges'!$H$33</definedName>
    <definedName name="CBCR_9681eb4a4df84856a4b7fe14ff01d1e3" localSheetId="4" hidden="1">'Estimate Ranges'!$D$161</definedName>
    <definedName name="CBCR_96a467eeac21490791a1e93f84bcd1ae" localSheetId="4" hidden="1">'Estimate Ranges'!$Q$165</definedName>
    <definedName name="CBCR_96fcd6b8ee6546dabb017d29ee4560ee" localSheetId="4" hidden="1">'Estimate Ranges'!$I$139</definedName>
    <definedName name="CBCR_9756c6659b734ebd9f4d5a28ae7d13b5" localSheetId="7" hidden="1">'Risk Register'!$M$20</definedName>
    <definedName name="CBCR_98393360815f4c33b3ec6011b12b11ad" localSheetId="4" hidden="1">'Estimate Ranges'!$B$34</definedName>
    <definedName name="CBCR_9855726faf49437f8c4e9bd4b4dc168a" localSheetId="7" hidden="1">'Risk Register'!$I$6</definedName>
    <definedName name="CBCR_985b3203141a494bbd9c169f92514579" localSheetId="4" hidden="1">'Estimate Ranges'!$D$15</definedName>
    <definedName name="CBCR_986d97a60aa44f699a9a85f314ef5ecf" localSheetId="4" hidden="1">'Estimate Ranges'!$P$68</definedName>
    <definedName name="CBCR_98c91da4275147a288f93ac59216b2da" localSheetId="4" hidden="1">'Estimate Ranges'!$H$20</definedName>
    <definedName name="CBCR_98d77be2dbe14d618e5545ba0e5c9f0b" localSheetId="4" hidden="1">'Estimate Ranges'!$B$65</definedName>
    <definedName name="CBCR_99494c55aaef433d96e3395d397a797a" localSheetId="4" hidden="1">'Estimate Ranges'!$B$45</definedName>
    <definedName name="CBCR_99a0c66acdd241458c2bb927a8a6bfdd" localSheetId="4" hidden="1">'Estimate Ranges'!$H$40</definedName>
    <definedName name="CBCR_9a92f6bd001c47408c8b52be07b00f64" localSheetId="4" hidden="1">'Estimate Ranges'!$I$52</definedName>
    <definedName name="CBCR_9aa769d8ad894967b709ee92405bfda4" localSheetId="4" hidden="1">'Estimate Ranges'!$D$77</definedName>
    <definedName name="CBCR_9b4b0f30a5fa48399821063086f81a1d" localSheetId="4" hidden="1">'Estimate Ranges'!$P$154</definedName>
    <definedName name="CBCR_9bf5f284dd314b7b8b26d87fe1802335" localSheetId="6" hidden="1">'Schedule Ranges'!$B$14</definedName>
    <definedName name="CBCR_9d73be0136ac4f0d98d166994fbe5f2c" localSheetId="4" hidden="1">'Estimate Ranges'!$B$99</definedName>
    <definedName name="CBCR_9ded6371253a4bceb17ad4a4aa674888" localSheetId="4" hidden="1">'Estimate Ranges'!$I$155</definedName>
    <definedName name="CBCR_9e4578cf7be34445a2bb46871584414c" localSheetId="4" hidden="1">'Estimate Ranges'!$H$168</definedName>
    <definedName name="CBCR_9e76aa13677a445f8892505299931242" localSheetId="7" hidden="1">'Risk Register'!$A$20</definedName>
    <definedName name="CBCR_9f92fc0b21f34910a63c532b5ee84dc2" localSheetId="7" hidden="1">'Risk Register'!$H$17</definedName>
    <definedName name="CBCR_9fa015a9b51d4fc3b837309be1851105" localSheetId="4" hidden="1">'Estimate Ranges'!$D$135</definedName>
    <definedName name="CBCR_9fd1217c7d084a19b0a2f6f57acf9a95" localSheetId="7" hidden="1">'Risk Register'!$M$15</definedName>
    <definedName name="CBCR_9ffd3decec80434eb0500ff23a67120e" localSheetId="4" hidden="1">'Estimate Ranges'!$D$148</definedName>
    <definedName name="CBCR_a02794fb5f7145a282bf29e9df796e52" localSheetId="4" hidden="1">'Estimate Ranges'!$D$157</definedName>
    <definedName name="CBCR_a0339042a5774ac39510e1ec0744c470" localSheetId="7" hidden="1">'Risk Register'!$M$21</definedName>
    <definedName name="CBCR_a070e32ebb1c4d64bf79067fe388c36c" localSheetId="4" hidden="1">'Estimate Ranges'!$Q$168</definedName>
    <definedName name="CBCR_a08d4adb793643769d8ef0f62d4b814d" localSheetId="4" hidden="1">'Estimate Ranges'!$C$156</definedName>
    <definedName name="CBCR_a132d8aad098416b9c45f9524b8deb3b" localSheetId="6" hidden="1">'Schedule Ranges'!$C$16</definedName>
    <definedName name="CBCR_a17239f8f2c9426180d50c366a8e24e1" localSheetId="4" hidden="1">'Estimate Ranges'!$Q$85</definedName>
    <definedName name="CBCR_a176ef6a8c4445cf840755da49a16f1b" localSheetId="4" hidden="1">'Estimate Ranges'!$Q$99</definedName>
    <definedName name="CBCR_a17cb8a3644b40a6a0dd442d70c986d1" localSheetId="7" hidden="1">'Risk Register'!$N$23</definedName>
    <definedName name="CBCR_a1adf8abd1f44def89ccc4a76c6e2544" localSheetId="4" hidden="1">'Estimate Ranges'!$H$111</definedName>
    <definedName name="CBCR_a1deb9bb59ab49c08f09623ab368c25b" localSheetId="4" hidden="1">'Estimate Ranges'!$D$105</definedName>
    <definedName name="CBCR_a21592892ae047e29061e9e9bb6c5986" localSheetId="4" hidden="1">'Estimate Ranges'!$P$139</definedName>
    <definedName name="CBCR_a21d5a07b0b441bb8f305115f9c62a76" localSheetId="4" hidden="1">'Estimate Ranges'!$I$68</definedName>
    <definedName name="CBCR_a23064605f5d4fd7bfe0cbf7b3939b2e" localSheetId="6" hidden="1">'Schedule Ranges'!$A$16</definedName>
    <definedName name="CBCR_a2918f64bce74e64a443264eceaafddd" localSheetId="7" hidden="1">'Risk Register'!$K$6</definedName>
    <definedName name="CBCR_a3497940f36343efa513951bbf10aee7" localSheetId="4" hidden="1">'Estimate Ranges'!$C$154</definedName>
    <definedName name="CBCR_a40a31bd23b8442aa0879bd15a74eb84" localSheetId="4" hidden="1">'Estimate Ranges'!$B$99</definedName>
    <definedName name="CBCR_a41cb155a9f749f0a21b002ff04aeff1" localSheetId="4" hidden="1">'Estimate Ranges'!$C$164</definedName>
    <definedName name="CBCR_a42445807362421c84a5b09feef25fd6" localSheetId="4" hidden="1">'Estimate Ranges'!$I$61</definedName>
    <definedName name="CBCR_a4406af2942443f69b5e254f73392cda" localSheetId="4" hidden="1">'Estimate Ranges'!$H$48</definedName>
    <definedName name="CBCR_a46c1c82a80544c3b6b4cd53989ddda7" localSheetId="4" hidden="1">'Estimate Ranges'!$B$13</definedName>
    <definedName name="CBCR_a5179df666814c90beb466ae9b8e39a6" localSheetId="4" hidden="1">'Estimate Ranges'!$B$56</definedName>
    <definedName name="CBCR_a56d7b9b356a428fa488ee068c9c5090" localSheetId="4" hidden="1">'Estimate Ranges'!$D$168</definedName>
    <definedName name="CBCR_a7a5121d503a4038a8b3efac81e01a09" localSheetId="6" hidden="1">'Schedule Ranges'!$A$15</definedName>
    <definedName name="CBCR_a7e355ae2c4b457682352b1a66d0a91d" localSheetId="4" hidden="1">'Estimate Ranges'!$B$89</definedName>
    <definedName name="CBCR_a86b395e6fb04dcbb6a6adc0590f277f" localSheetId="4" hidden="1">'Estimate Ranges'!$P$56</definedName>
    <definedName name="CBCR_a87a838fc51444d9bec15d03150f5620" localSheetId="4" hidden="1">'Estimate Ranges'!$H$57</definedName>
    <definedName name="CBCR_a93b35c461d244849176bfb817a4b854" localSheetId="4" hidden="1">'Estimate Ranges'!$I$92</definedName>
    <definedName name="CBCR_a956ca5b6a3741fe8dd0cb8e3e265d9d" localSheetId="4" hidden="1">'Estimate Ranges'!$D$132</definedName>
    <definedName name="CBCR_a9685810258a4b3bb497945c45fca92c" localSheetId="4" hidden="1">'Estimate Ranges'!$I$153</definedName>
    <definedName name="CBCR_a9d23f3443454acaabd425c10adbfb56" localSheetId="4" hidden="1">'Estimate Ranges'!$D$34</definedName>
    <definedName name="CBCR_aa30b875580e463c803754f9c66498b0" localSheetId="7" hidden="1">'Risk Register'!$N$4</definedName>
    <definedName name="CBCR_aa5a1011e4b04664b606c93fc2fb0b1c" localSheetId="4" hidden="1">'Estimate Ranges'!$Q$158</definedName>
    <definedName name="CBCR_aaa6762a1ee84bf3ba338f9731f62e36" localSheetId="4" hidden="1">'Estimate Ranges'!$D$164</definedName>
    <definedName name="CBCR_ab39f1cf2d73473aaef670d1f8440190" localSheetId="4" hidden="1">'Estimate Ranges'!$B$48</definedName>
    <definedName name="CBCR_ab44aecfc6f346eba7da986275228d8e" localSheetId="4" hidden="1">'Estimate Ranges'!$B$26</definedName>
    <definedName name="CBCR_ac04f06c67e24b93b69552145b9baf57" localSheetId="4" hidden="1">'Estimate Ranges'!$C$155</definedName>
    <definedName name="CBCR_ac42a3c2aa864ef49dc6cb9ba8b0585d" localSheetId="4" hidden="1">'Estimate Ranges'!$D$105</definedName>
    <definedName name="CBCR_ace6a803c2f64b84b7d52c2572224c4a" localSheetId="4" hidden="1">'Estimate Ranges'!$P$52</definedName>
    <definedName name="CBCR_acf80acd5122432a9341b56314962b29" localSheetId="4" hidden="1">'Estimate Ranges'!$I$50</definedName>
    <definedName name="CBCR_ad07678ca1e9405bbbd62567e966658d" localSheetId="4" hidden="1">'Estimate Ranges'!$B$121</definedName>
    <definedName name="CBCR_ad383352360c4b1d9681c05c556195e1" localSheetId="4" hidden="1">'Estimate Ranges'!$D$156</definedName>
    <definedName name="CBCR_ad3d49d31884440abc26f70809a2be27" localSheetId="4" hidden="1">'Estimate Ranges'!$H$121</definedName>
    <definedName name="CBCR_ad5800a37f46428e8c137ba1d4de9dec" localSheetId="4" hidden="1">'Estimate Ranges'!$B$52</definedName>
    <definedName name="CBCR_adc98face94d493ab4b7a0190f20af3f" localSheetId="4" hidden="1">'Estimate Ranges'!$D$121</definedName>
    <definedName name="CBCR_aec9d05a6a09450ba73604453dc8960a" localSheetId="4" hidden="1">'Estimate Ranges'!$D$141</definedName>
    <definedName name="CBCR_aedfbee4376845d5a1f08664e2e27441" localSheetId="4" hidden="1">'Estimate Ranges'!$P$160</definedName>
    <definedName name="CBCR_af9c3f85d0514f47a8c31424b74cb85e" localSheetId="4" hidden="1">'Estimate Ranges'!$I$159</definedName>
    <definedName name="CBCR_b07e215e5a7a49f39646c813b04b09d7" localSheetId="4" hidden="1">'Estimate Ranges'!$H$14</definedName>
    <definedName name="CBCR_b13890f0546c49d2b3770457605610ff" localSheetId="4" hidden="1">'Estimate Ranges'!$D$81</definedName>
    <definedName name="CBCR_b1ad91a4d2a646388f65cd3255048168" localSheetId="4" hidden="1">'Estimate Ranges'!$C$160</definedName>
    <definedName name="CBCR_b293845416124e7d81ca73b3e25d7d6c" localSheetId="4" hidden="1">'Estimate Ranges'!$P$57</definedName>
    <definedName name="CBCR_b2e908cbfd8e4b9b8c5003de69cbd991" localSheetId="4" hidden="1">'Estimate Ranges'!$Q$46</definedName>
    <definedName name="CBCR_b32594ff6f344952bbb012484811a570" localSheetId="6" hidden="1">'Schedule Ranges'!$C$14</definedName>
    <definedName name="CBCR_b41f68c578024411a6715f972d13c009" localSheetId="4" hidden="1">'Estimate Ranges'!$H$46</definedName>
    <definedName name="CBCR_b49e1df3e0184bfea8bf05a625cbaa52" localSheetId="4" hidden="1">'Estimate Ranges'!$Q$30</definedName>
    <definedName name="CBCR_b56a0f26ea45462ab9a3740fe54d2aae" localSheetId="6" hidden="1">'Schedule Ranges'!$E$9</definedName>
    <definedName name="CBCR_b5d79a7c5ba84303ae8a93bb9d3bc998" localSheetId="4" hidden="1">'Estimate Ranges'!$H$162</definedName>
    <definedName name="CBCR_b5edd9c822314c3f818204ea81163c31" localSheetId="7" hidden="1">'Risk Register'!$K$20</definedName>
    <definedName name="CBCR_b6b8a83c50a742d58075743996501f52" localSheetId="4" hidden="1">'Estimate Ranges'!$D$89</definedName>
    <definedName name="CBCR_b6f5fdfdf9a5492facb8b2ae028d38b8" localSheetId="4" hidden="1">'Estimate Ranges'!$B$111</definedName>
    <definedName name="CBCR_b70a997de0f94324ad7891ee3ca2f1ba" localSheetId="4" hidden="1">'Estimate Ranges'!$I$60</definedName>
    <definedName name="CBCR_b764dd1fef374c8a84e55b4728442ff4" localSheetId="6" hidden="1">'Schedule Ranges'!$B$11</definedName>
    <definedName name="CBCR_b77be487d2ce422ab895de0271d9b500" localSheetId="4" hidden="1">'Estimate Ranges'!$B$91</definedName>
    <definedName name="CBCR_b7c0a870f6d34560bdd954340d179b28" localSheetId="4" hidden="1">'Estimate Ranges'!$H$139</definedName>
    <definedName name="CBCR_b849d23ca34e47c2b348c03b1f09e2f5" localSheetId="4" hidden="1">'Estimate Ranges'!$H$5</definedName>
    <definedName name="CBCR_b8b24a7e9839477b82dc538f8b1998c7" localSheetId="4" hidden="1">'Estimate Ranges'!$B$61</definedName>
    <definedName name="CBCR_b8f757c9adbd42098f1638f14aeab46b" localSheetId="4" hidden="1">'Estimate Ranges'!$Q$137</definedName>
    <definedName name="CBCR_b91db7f3b6f84b4b9c67ac76bd8aaefc" localSheetId="4" hidden="1">'Estimate Ranges'!$B$89</definedName>
    <definedName name="CBCR_b9976ff63c744fc09cba8f9998875edc" localSheetId="7" hidden="1">'Risk Register'!$A$24</definedName>
    <definedName name="CBCR_b9b547281cf24c81b8659bb3a6d4c416" localSheetId="4" hidden="1">'Estimate Ranges'!$B$69</definedName>
    <definedName name="CBCR_b9eb44b7b1ad4c4eb2c35c247b5b8a7f" localSheetId="7" hidden="1">'Risk Register'!$A$23</definedName>
    <definedName name="CBCR_ba0791b764424a4eb040fe85c5c261c1" localSheetId="4" hidden="1">'Estimate Ranges'!$D$68</definedName>
    <definedName name="CBCR_ba5a22df9b984bbfb8c96813bef825a1" localSheetId="4" hidden="1">'Estimate Ranges'!$D$30</definedName>
    <definedName name="CBCR_bb88bbae82aa4a71b1f0381e61dacff5" localSheetId="4" hidden="1">'Estimate Ranges'!$D$137</definedName>
    <definedName name="CBCR_bb9707ee241443f9aa0650e517aa1b57" localSheetId="4" hidden="1">'Estimate Ranges'!$D$38</definedName>
    <definedName name="CBCR_bbc4ec9da6c1412aa11b8e53d762514e" localSheetId="4" hidden="1">'Estimate Ranges'!$H$4</definedName>
    <definedName name="CBCR_bbc63a411a0242efa62aea14c19ad955" localSheetId="6" hidden="1">'Schedule Ranges'!$F$15</definedName>
    <definedName name="CBCR_bc77a1a413da48eca24e3f756184c333" localSheetId="4" hidden="1">'Estimate Ranges'!$B$19</definedName>
    <definedName name="CBCR_bcf0e48cdf8b443896f1a6b033f4aa84" localSheetId="4" hidden="1">'Estimate Ranges'!$D$61</definedName>
    <definedName name="CBCR_bcf1cfc9f4d74bc2af3c3a2542990a97" localSheetId="4" hidden="1">'Estimate Ranges'!$B$15</definedName>
    <definedName name="CBCR_bd53cedef99046938febefcbd7066192" localSheetId="4" hidden="1">'Estimate Ranges'!$I$137</definedName>
    <definedName name="CBCR_bd62520ad53941bf9d1c45f20ac99898" localSheetId="4" hidden="1">'Estimate Ranges'!$P$60</definedName>
    <definedName name="CBCR_bd79198ea7604e15b86f0b526a60d956" localSheetId="4" hidden="1">'Estimate Ranges'!$B$153</definedName>
    <definedName name="CBCR_be1a7e3be307433f99e4a03445d19f32" localSheetId="4" hidden="1">'Estimate Ranges'!$P$63</definedName>
    <definedName name="CBCR_be2e7467fa954dfab85dd56c117167b0" localSheetId="4" hidden="1">'Estimate Ranges'!$D$12</definedName>
    <definedName name="CBCR_be95dee41397417a958824bbda3e31d8" localSheetId="4" hidden="1">'Estimate Ranges'!$I$118</definedName>
    <definedName name="CBCR_bebe5f45a78f44e6845bf78defc3a2f8" localSheetId="4" hidden="1">'Estimate Ranges'!$Q$52</definedName>
    <definedName name="CBCR_bed70f2bf16c4ef8b9f39f6b68ca68e9" localSheetId="7" hidden="1">'Risk Register'!$N$18</definedName>
    <definedName name="CBCR_bedf25ecbcb4464d8f26bdd029f6cfc5" localSheetId="4" hidden="1">'Estimate Ranges'!$B$15</definedName>
    <definedName name="CBCR_bf1b3daf53074685a490a2da70a50719" localSheetId="4" hidden="1">'Estimate Ranges'!$H$13</definedName>
    <definedName name="CBCR_bf271d1d4c4b41bb892c8450b91ff44d" localSheetId="4" hidden="1">'Estimate Ranges'!$B$84</definedName>
    <definedName name="CBCR_bf4b06c56b294eaa889b31a8fec15e66" localSheetId="4" hidden="1">'Estimate Ranges'!$B$124</definedName>
    <definedName name="CBCR_bf617d6d4a604384a0d6856d7590bd01" localSheetId="4" hidden="1">'Estimate Ranges'!$D$111</definedName>
    <definedName name="CBCR_bfde41b7a72745ceb5e4593d80f80954" localSheetId="4" hidden="1">'Estimate Ranges'!$P$48</definedName>
    <definedName name="CBCR_bff71674a604462c9735a2228417f5fd" localSheetId="4" hidden="1">'Estimate Ranges'!$Q$118</definedName>
    <definedName name="CBCR_c03017a50e4845cd9e35448eee2f5097" localSheetId="7" hidden="1">'Risk Register'!$J$15</definedName>
    <definedName name="CBCR_c05ccab2af184ae5b70c91c8bec7f5e8" localSheetId="4" hidden="1">'Estimate Ranges'!$D$162</definedName>
    <definedName name="CBCR_c0845a2a463a4fb1a6ce6f2b5fc40d3b" localSheetId="4" hidden="1">'Estimate Ranges'!$B$30</definedName>
    <definedName name="CBCR_c0d731e9cc57498f96d81e0731af9d29" localSheetId="4" hidden="1">'Estimate Ranges'!$B$49</definedName>
    <definedName name="CBCR_c18c420f61a545b2b21fde0ab6b778f4" localSheetId="4" hidden="1">'Estimate Ranges'!$H$134</definedName>
    <definedName name="CBCR_c1f07b2555f54a8d961f599cc4e4c75d" localSheetId="4" hidden="1">'Estimate Ranges'!$H$161</definedName>
    <definedName name="CBCR_c2c719949e334c27b3251248b7913bc6" localSheetId="4" hidden="1">'Estimate Ranges'!$Q$132</definedName>
    <definedName name="CBCR_c2fb65c10433412caed9871916237dd7" localSheetId="6" hidden="1">'Schedule Ranges'!$E$11</definedName>
    <definedName name="CBCR_c2fc23a7e52245b2a04b3ae07422a8cf" localSheetId="4" hidden="1">'Estimate Ranges'!$H$165</definedName>
    <definedName name="CBCR_c33eef280ec84235bf52406a10e6bc10" localSheetId="4" hidden="1">'Estimate Ranges'!$H$49</definedName>
    <definedName name="CBCR_c341b37108da4b108d36ae5ed3aa9350" localSheetId="7" hidden="1">'Risk Register'!$A$15</definedName>
    <definedName name="CBCR_c39d271649d04e339881b0014170cea1" localSheetId="4" hidden="1">'Estimate Ranges'!$P$19</definedName>
    <definedName name="CBCR_c461c8d0b05241e082c5a81735dd5ce3" localSheetId="4" hidden="1">'Estimate Ranges'!$D$148</definedName>
    <definedName name="CBCR_c4c58553975740cfb291f368ad27e824" localSheetId="4" hidden="1">'Estimate Ranges'!$D$121</definedName>
    <definedName name="CBCR_c53473a75ed6409aaff02e5c44d4662f" localSheetId="4" hidden="1">'Estimate Ranges'!$P$132</definedName>
    <definedName name="CBCR_c55f13f9fec14382a7454555c77c2433" localSheetId="4" hidden="1">'Estimate Ranges'!$Q$139</definedName>
    <definedName name="CBCR_c57eca4715354f589bf097855f94f2c5" localSheetId="7" hidden="1">'Risk Register'!$H$15</definedName>
    <definedName name="CBCR_c5aa43bfdd49453196b865ae864f3b83" localSheetId="4" hidden="1">'Estimate Ranges'!$P$20</definedName>
    <definedName name="CBCR_c5b5238e42a84a2c8abbe24937889bc2" localSheetId="4" hidden="1">'Estimate Ranges'!$I$89</definedName>
    <definedName name="CBCR_c5ba9fa85aa34fdaa7da641fceecb856" localSheetId="4" hidden="1">'Estimate Ranges'!$H$30</definedName>
    <definedName name="CBCR_c60821c56714435e969f25b1d788179e" localSheetId="7" hidden="1">'Risk Register'!$H$18</definedName>
    <definedName name="CBCR_c60a4ef4b6514ff38c1bf2424af76daa" localSheetId="4" hidden="1">'Estimate Ranges'!$I$63</definedName>
    <definedName name="CBCR_c6d8fcc2a40c402ab39f1ccc6eb21172" localSheetId="6" hidden="1">'Schedule Ranges'!$F$7</definedName>
    <definedName name="CBCR_c6e4f98cd6c04cbfa7ddd7baeebac73d" localSheetId="6" hidden="1">'Schedule Ranges'!$C$11</definedName>
    <definedName name="CBCR_c7bab46476254cad9a06c02027166e2a" localSheetId="4" hidden="1">'Estimate Ranges'!$D$163</definedName>
    <definedName name="CBCR_c7fdb67464e6400ebe5c0c0fa3dcdbf5" localSheetId="7" hidden="1">'Risk Register'!$N$12</definedName>
    <definedName name="CBCR_c8ca40b00d484fae84fb77b3720e0c4f" localSheetId="4" hidden="1">'Estimate Ranges'!$B$12</definedName>
    <definedName name="CBCR_c9ce4060d8d246d090ba8476817c48c8" localSheetId="4" hidden="1">'Estimate Ranges'!$H$140</definedName>
    <definedName name="CBCR_c9eedd9b2fee49eca048b7e2c27748e3" localSheetId="4" hidden="1">'Estimate Ranges'!$D$37</definedName>
    <definedName name="CBCR_ca162701f2df42e597e1ca854ab0da8d" localSheetId="4" hidden="1">'Estimate Ranges'!$H$130</definedName>
    <definedName name="CBCR_ca77cbc44e4b4b73b7793ac9ba21ba5f" localSheetId="4" hidden="1">'Estimate Ranges'!$B$118</definedName>
    <definedName name="CBCR_ca84d27f69334793bc54d63431c0c381" localSheetId="4" hidden="1">'Estimate Ranges'!$P$14</definedName>
    <definedName name="CBCR_cb28120800d64e69a1f74126257dd925" localSheetId="4" hidden="1">'Estimate Ranges'!$D$140</definedName>
    <definedName name="CBCR_cb60381ed23047339ab7b037cdcba1ce" localSheetId="4" hidden="1">'Estimate Ranges'!$H$99</definedName>
    <definedName name="CBCR_cb969e60b6624e729274e8a5ebcb9085" localSheetId="4" hidden="1">'Estimate Ranges'!$Q$44</definedName>
    <definedName name="CBCR_cbbf2f201332406e809ff38308a37919" localSheetId="7" hidden="1">'Risk Register'!$M$7</definedName>
    <definedName name="CBCR_cc868bf145ba4541a396b53b3b9ae44d" localSheetId="4" hidden="1">'Estimate Ranges'!$Q$62</definedName>
    <definedName name="CBCR_cc9fcfb1fab74b76b9b79e176a07eccf" localSheetId="4" hidden="1">'Estimate Ranges'!$B$57</definedName>
    <definedName name="CBCR_cd2700d2bc814a3ba539f275edce0131" localSheetId="4" hidden="1">'Estimate Ranges'!$P$134</definedName>
    <definedName name="CBCR_cd48765ea75b41f4a4c0c4d7be027420" localSheetId="7" hidden="1">'Risk Register'!$A$18</definedName>
    <definedName name="CBCR_cd5115cba26c4491bfc9db61763d929f" localSheetId="4" hidden="1">'Estimate Ranges'!$H$123</definedName>
    <definedName name="CBCR_cd9f79fd29994a91936836f8b93c1cdf" localSheetId="4" hidden="1">'Estimate Ranges'!$H$163</definedName>
    <definedName name="CBCR_cdc9a7397de4409790af0a24975da9bd" localSheetId="7" hidden="1">'Risk Register'!$J$22</definedName>
    <definedName name="CBCR_cdd3a55344614f01a4496fa604f8e5d4" localSheetId="7" hidden="1">'Risk Register'!$A$22</definedName>
    <definedName name="CBCR_cddd7e7308c14d4cb1323b2c0faadbed" localSheetId="4" hidden="1">'Estimate Ranges'!$I$33</definedName>
    <definedName name="CBCR_ce44972aedcd447694c431561e786c65" localSheetId="4" hidden="1">'Estimate Ranges'!$P$89</definedName>
    <definedName name="CBCR_ce9d84ca41154603a2d1e43e8715d3b2" localSheetId="4" hidden="1">'Estimate Ranges'!$Q$64</definedName>
    <definedName name="CBCR_ce9dcb34eab7427b8f7ef7529a693c20" localSheetId="4" hidden="1">'Estimate Ranges'!$Q$45</definedName>
    <definedName name="CBCR_ceb8f18dcffc434e8d0697c45fa0c035" localSheetId="4" hidden="1">'Estimate Ranges'!$Q$33</definedName>
    <definedName name="CBCR_cf8bb531ed93436ea9e2c49f8cf5350d" localSheetId="7" hidden="1">'Risk Register'!$H$12</definedName>
    <definedName name="CBCR_cfd0f28f8e4042158f55aa095068306a" localSheetId="4" hidden="1">'Estimate Ranges'!$H$106</definedName>
    <definedName name="CBCR_cff34d01516a4eadbeb0259d83e7d0cf" localSheetId="7" hidden="1">'Risk Register'!$M$8</definedName>
    <definedName name="CBCR_d188ec047f9d4de580288649ec9da560" localSheetId="4" hidden="1">'Estimate Ranges'!$H$153</definedName>
    <definedName name="CBCR_d21d32f5c50644749899109d4dbceff6" localSheetId="4" hidden="1">'Estimate Ranges'!$D$83</definedName>
    <definedName name="CBCR_d24e1ce0200d40028d3b5536a03187f8" localSheetId="4" hidden="1">'Estimate Ranges'!$H$37</definedName>
    <definedName name="CBCR_d2df3381c882496db362f039b1f68413" localSheetId="4" hidden="1">'Estimate Ranges'!$B$135</definedName>
    <definedName name="CBCR_d2fee8b306414de99f9c360744cc91fc" localSheetId="4" hidden="1">'Estimate Ranges'!$I$163</definedName>
    <definedName name="CBCR_d37babbc68524b8a8313cda8fc96d6ef" localSheetId="4" hidden="1">'Estimate Ranges'!$D$123</definedName>
    <definedName name="CBCR_d389cceafcec4338b9d491dd987798c5" localSheetId="4" hidden="1">'Estimate Ranges'!$B$134</definedName>
    <definedName name="CBCR_d3ae8bad9eb34adb985a128b0972ffee" localSheetId="4" hidden="1">'Estimate Ranges'!$Q$81</definedName>
    <definedName name="CBCR_d5cd890786684a5e9c4d450decb34af8" localSheetId="4" hidden="1">'Estimate Ranges'!$I$133</definedName>
    <definedName name="CBCR_d617c7bb17a848aba6f2be72c1eeeb22" localSheetId="4" hidden="1">'Estimate Ranges'!$D$82</definedName>
    <definedName name="CBCR_d67ffabba42840e69c16b40ab3533bc7" localSheetId="4" hidden="1">'Estimate Ranges'!$P$65</definedName>
    <definedName name="CBCR_d74ac519f0514eddabb3de278582f08c" localSheetId="4" hidden="1">'Estimate Ranges'!$H$164</definedName>
    <definedName name="CBCR_d79acaa547894bd38c2d70445c204993" localSheetId="4" hidden="1">'Estimate Ranges'!$B$26</definedName>
    <definedName name="CBCR_d8121567f14544bfb38368be066a8a04" localSheetId="4" hidden="1">'Estimate Ranges'!$Q$35</definedName>
    <definedName name="CBCR_d84e33ab82774aee8f27b75708ea9637" localSheetId="4" hidden="1">'Estimate Ranges'!$Q$123</definedName>
    <definedName name="CBCR_d8899a2927244fb2b411686f04ee2608" localSheetId="4" hidden="1">'Estimate Ranges'!$B$13</definedName>
    <definedName name="CBCR_d88bf24471604695b60cf670010c5939" localSheetId="4" hidden="1">'Estimate Ranges'!$P$77</definedName>
    <definedName name="CBCR_d8c0a5ade3784ff1b100c93a3a58229b" localSheetId="4" hidden="1">'Estimate Ranges'!$Q$162</definedName>
    <definedName name="CBCR_d9476cd23a1746c7b6193de796902cda" localSheetId="4" hidden="1">'Estimate Ranges'!$I$62</definedName>
    <definedName name="CBCR_da64766bbde34325ac5ce8ae2dd6e46f" localSheetId="7" hidden="1">'Risk Register'!$A$11</definedName>
    <definedName name="CBCR_dab193ad1b9c40eb83cbff583b37c700" localSheetId="4" hidden="1">'Estimate Ranges'!$I$82</definedName>
    <definedName name="CBCR_dad813498429403ba91af556f66e5daa" localSheetId="4" hidden="1">'Estimate Ranges'!$P$15</definedName>
    <definedName name="CBCR_db226b0c1f0d4724ba06637055d647b9" localSheetId="4" hidden="1">'Estimate Ranges'!$I$14</definedName>
    <definedName name="CBCR_db28f227370c445fb938579704725454" localSheetId="4" hidden="1">'Estimate Ranges'!$D$13</definedName>
    <definedName name="CBCR_dbb3909b9f834dee88181dde4fa273bc" localSheetId="7" hidden="1">'Risk Register'!$H$6</definedName>
    <definedName name="CBCR_dc1ed8efd3ad42acac606b419b26d7ba" localSheetId="4" hidden="1">'Estimate Ranges'!$C$141</definedName>
    <definedName name="CBCR_dc3b2c9e5c724f2ab63d24a68922b0ec" localSheetId="4" hidden="1">'Estimate Ranges'!$P$36</definedName>
    <definedName name="CBCR_dc85cc239bd4400388eba9338bf0fd4b" localSheetId="4" hidden="1">'Estimate Ranges'!$Q$51</definedName>
    <definedName name="CBCR_dce6cf79e01048fdb67e2ee1eff8d026" localSheetId="7" hidden="1">'Risk Register'!$J$6</definedName>
    <definedName name="CBCR_dd5967c8ca364c158d0340dd961e290f" localSheetId="7" hidden="1">'Risk Register'!$A$7</definedName>
    <definedName name="CBCR_dd6d3a9e0d744d35ab520902335710cc" localSheetId="4" hidden="1">'Estimate Ranges'!$H$12</definedName>
    <definedName name="CBCR_de73c71e5fee46058c417d84a1a9760a" localSheetId="4" hidden="1">'Estimate Ranges'!$D$26</definedName>
    <definedName name="CBCR_dec3a5d906e04d19b2c1691d5b59b2ff" localSheetId="4" hidden="1">'Estimate Ranges'!$Q$40</definedName>
    <definedName name="CBCR_dec6d373134d484c940d5deb91463195" localSheetId="7" hidden="1">'Risk Register'!$J$18</definedName>
    <definedName name="CBCR_decb0e881be14f2abff3b792a1ccd597" localSheetId="4" hidden="1">'Estimate Ranges'!$H$158</definedName>
    <definedName name="CBCR_df6171a2910d47f3ab929e5cfdde645f" localSheetId="4" hidden="1">'Estimate Ranges'!$P$162</definedName>
    <definedName name="CBCR_df7347f77023477b86bdc41b1fe7f274" localSheetId="6" hidden="1">'Schedule Ranges'!$B$10</definedName>
    <definedName name="CBCR_df8276d703f04ba3bb4b123a51d29807" localSheetId="7" hidden="1">'Risk Register'!$M$15</definedName>
    <definedName name="CBCR_dfb05a76c9494b298f6a673aa24f65a8" localSheetId="7" hidden="1">'Risk Register'!$M$7</definedName>
    <definedName name="CBCR_dfb3ede4012d40e1a85ac9a37ba545cf" localSheetId="7" hidden="1">'Risk Register'!$M$19</definedName>
    <definedName name="CBCR_dff3bab005c94b07b0ee28c1f067deda" localSheetId="7" hidden="1">'Risk Register'!$I$20</definedName>
    <definedName name="CBCR_e14d61c613334b59bab355ec41e054d6" localSheetId="4" hidden="1">'Estimate Ranges'!$P$12</definedName>
    <definedName name="CBCR_e23056de2fb74ae598073612f82a8c3b" localSheetId="4" hidden="1">'Estimate Ranges'!$D$57</definedName>
    <definedName name="CBCR_e2d315205bf546a694ea7c0827c6a837" localSheetId="4" hidden="1">'Estimate Ranges'!$I$65</definedName>
    <definedName name="CBCR_e31be35bbdab4320b471a0fcaf82c2b1" localSheetId="4" hidden="1">'Estimate Ranges'!$D$99</definedName>
    <definedName name="CBCR_e33c9676f1eb438f90d88eaf9381ee4e" localSheetId="7" hidden="1">'Risk Register'!$A$14</definedName>
    <definedName name="CBCR_e39d8f8bd380452db2798a6342550912" localSheetId="6" hidden="1">'Schedule Ranges'!$E$16</definedName>
    <definedName name="CBCR_e3ddc1ca1a5f4f1db4f58f6b7c1824d0" localSheetId="4" hidden="1">'Estimate Ranges'!$C$160</definedName>
    <definedName name="CBCR_e3f6790d2d074f178474f9942b3557c0" localSheetId="4" hidden="1">'Estimate Ranges'!$B$5</definedName>
    <definedName name="CBCR_e4176bd6400e4c0094bfb4ffae75aa86" localSheetId="4" hidden="1">'Estimate Ranges'!$D$91</definedName>
    <definedName name="CBCR_e460997170b94aa9a4b9a56111d6c794" localSheetId="4" hidden="1">'Estimate Ranges'!$B$32</definedName>
    <definedName name="CBCR_e4a4d3e2e0fb46afbae84245ccf789dd" localSheetId="4" hidden="1">'Estimate Ranges'!$P$141</definedName>
    <definedName name="CBCR_e501eda28f2b4ec682340f2c00f62316" localSheetId="7" hidden="1">'Risk Register'!$I$15</definedName>
    <definedName name="CBCR_e51bccf902984963becba78682c2792f" localSheetId="4" hidden="1">'Estimate Ranges'!$H$26</definedName>
    <definedName name="CBCR_e6102f1c2d8f455a9cfa7fba0e9ce8cf" localSheetId="4" hidden="1">'Estimate Ranges'!$D$51</definedName>
    <definedName name="CBCR_e652c20128e64afe8a725d27d441a9c2" localSheetId="4" hidden="1">'Estimate Ranges'!$D$155</definedName>
    <definedName name="CBCR_e68bbefe44314e53acdc8c9ed91f7c6a" localSheetId="6" hidden="1">'Schedule Ranges'!$F$12</definedName>
    <definedName name="CBCR_e6fd80ec2fa7448082bc306850d2238a" localSheetId="4" hidden="1">'Estimate Ranges'!$D$65</definedName>
    <definedName name="CBCR_e783eb42222747a1982c745ce876b7fc" localSheetId="4" hidden="1">'Estimate Ranges'!$H$159</definedName>
    <definedName name="CBCR_e845fdbb943d46baad62263ec8917007" localSheetId="4" hidden="1">'Estimate Ranges'!$Q$82</definedName>
    <definedName name="CBCR_e857980cc001420a870717e21bf977c2" localSheetId="4" hidden="1">'Estimate Ranges'!$D$139</definedName>
    <definedName name="CBCR_e8eba299e4a94ab589606e37bbe23338" localSheetId="4" hidden="1">'Estimate Ranges'!$I$105</definedName>
    <definedName name="CBCR_e920894bca9f4467a3a1d7c810aba829" localSheetId="4" hidden="1">'Estimate Ranges'!$B$85</definedName>
    <definedName name="CBCR_e936eab866a042b396e5cae0793b84d6" localSheetId="4" hidden="1">'Estimate Ranges'!$B$118</definedName>
    <definedName name="CBCR_e97e6b09a6c04bd186f01897543719d9" localSheetId="4" hidden="1">'Estimate Ranges'!$P$157</definedName>
    <definedName name="CBCR_e9a204882da74d4992ae602f24d5ea1e" localSheetId="7" hidden="1">'Risk Register'!$M$24</definedName>
    <definedName name="CBCR_e9c028e05e6e41438460f8f1327d4cf2" localSheetId="4" hidden="1">'Estimate Ranges'!$Q$20</definedName>
    <definedName name="CBCR_eacca2c815eb4ad188674fa2191dcb35" localSheetId="4" hidden="1">'Estimate Ranges'!$B$20</definedName>
    <definedName name="CBCR_eaf0509090e9498a92dbb8e010631ae6" localSheetId="4" hidden="1">'Estimate Ranges'!$D$63</definedName>
    <definedName name="CBCR_eb0915e2110a461bb12acbda18c59e47" localSheetId="4" hidden="1">'Estimate Ranges'!$Q$141</definedName>
    <definedName name="CBCR_eb78a48722f64431be80d20bea51b03b" localSheetId="4" hidden="1">'Estimate Ranges'!$D$26</definedName>
    <definedName name="CBCR_eb958d3710e84ea0a0bf24b055fd1029" localSheetId="4" hidden="1">'Estimate Ranges'!$Q$4</definedName>
    <definedName name="CBCR_ec42c47b23f044a6b94349fc34f127a8" localSheetId="4" hidden="1">'Estimate Ranges'!$C$158</definedName>
    <definedName name="CBCR_ec77e1bbae174418aa7ec692648f9fc9" localSheetId="4" hidden="1">'Estimate Ranges'!$D$69</definedName>
    <definedName name="CBCR_ed35986837464da39d130af3ac83d670" localSheetId="4" hidden="1">'Estimate Ranges'!$D$85</definedName>
    <definedName name="CBCR_ed72eb1e2e9d42578c61340456201358" localSheetId="4" hidden="1">'Estimate Ranges'!$B$14</definedName>
    <definedName name="CBCR_edaf6cd5b046452ba4a1c3f492b60539" localSheetId="4" hidden="1">'Estimate Ranges'!$H$137</definedName>
    <definedName name="CBCR_edb7fb2a7a9447098a38d74c881e5ab8" localSheetId="4" hidden="1">'Estimate Ranges'!$Q$68</definedName>
    <definedName name="CBCR_ee1254a92ba6456aac3e20e66bab3313" localSheetId="7" hidden="1">'Risk Register'!$M$22</definedName>
    <definedName name="CBCR_ee3762232b404609984dfa3f8fa4c17a" localSheetId="7" hidden="1">'Risk Register'!$J$20</definedName>
    <definedName name="CBCR_ee4050bd764448268b87fed3bc31e96a" localSheetId="4" hidden="1">'Estimate Ranges'!$H$160</definedName>
    <definedName name="CBCR_ef1349ffc0514fb39fa189db15cae4b6" localSheetId="4" hidden="1">'Estimate Ranges'!$B$105</definedName>
    <definedName name="CBCR_ef1764715a1542c2b5a0495b3b5c11f2" localSheetId="4" hidden="1">'Estimate Ranges'!$H$34</definedName>
    <definedName name="CBCR_ef2a7fc7bcae440ab7467619ca50640b" localSheetId="4" hidden="1">'Estimate Ranges'!$D$20</definedName>
    <definedName name="CBCR_ef6e287934564b3e85fac9f08d3d538f" localSheetId="4" hidden="1">'Estimate Ranges'!$I$157</definedName>
    <definedName name="CBCR_ef7e0fa144e04a08a5023e57e546fe8a" localSheetId="4" hidden="1">'Estimate Ranges'!$I$83</definedName>
    <definedName name="CBCR_ef871383d7f941f0bc057929526d2872" localSheetId="4" hidden="1">'Estimate Ranges'!$H$135</definedName>
    <definedName name="CBCR_efddb886a389469b9a34c7bb1eabc744" localSheetId="7" hidden="1">'Risk Register'!$H$7</definedName>
    <definedName name="CBCR_efe850752c0945e8b98d1d63f2366fd0" localSheetId="4" hidden="1">'Estimate Ranges'!$B$19</definedName>
    <definedName name="CBCR_f02ab084fbfd4128882614e7275efb10" localSheetId="7" hidden="1">'Risk Register'!$H$14</definedName>
    <definedName name="CBCR_f1712cb728cc4850ba98c756e8f81023" localSheetId="7" hidden="1">'Risk Register'!$A$16</definedName>
    <definedName name="CBCR_f1cb3e68c6f846658c580d193e4a5f57" localSheetId="7" hidden="1">'Risk Register'!$I$24</definedName>
    <definedName name="CBCR_f23833640d10462f8da327f77c33be52" localSheetId="4" hidden="1">'Estimate Ranges'!$I$130</definedName>
    <definedName name="CBCR_f28b98d0c4834f9980f457c478aa9d04" localSheetId="4" hidden="1">'Estimate Ranges'!$Q$111</definedName>
    <definedName name="CBCR_f2971276d79b44c9b76a1bd8333ec47c" localSheetId="4" hidden="1">'Estimate Ranges'!$D$154</definedName>
    <definedName name="CBCR_f2e2217e7ca743c4a28bab450ca22143" localSheetId="4" hidden="1">'Estimate Ranges'!$I$57</definedName>
    <definedName name="CBCR_f300f508d9c1420f90ba00bab1e1c29b" localSheetId="4" hidden="1">'Estimate Ranges'!$H$51</definedName>
    <definedName name="CBCR_f31aff4343e74dfcb8921078869dca0a" localSheetId="6" hidden="1">'Schedule Ranges'!$E$15</definedName>
    <definedName name="CBCR_f34dbb44d61a45bd8e9096bc1d826074" localSheetId="4" hidden="1">'Estimate Ranges'!$B$85</definedName>
    <definedName name="CBCR_f35d7f14b0da45438eaf18832f5fcfd2" localSheetId="4" hidden="1">'Estimate Ranges'!$D$65</definedName>
    <definedName name="CBCR_f3b4f508885d45f3b069a5599003db73" localSheetId="4" hidden="1">'Estimate Ranges'!$Q$106</definedName>
    <definedName name="CBCR_f40b0d4c30f54cd19e68243e055a75f4" localSheetId="7" hidden="1">'Risk Register'!$J$12</definedName>
    <definedName name="CBCR_f410c99c466c4b8f8c429f373afc3e54" localSheetId="7" hidden="1">'Risk Register'!$M$21</definedName>
    <definedName name="CBCR_f45e9d633c534575979fbc2cd13533c2" localSheetId="7" hidden="1">'Risk Register'!$N$7</definedName>
    <definedName name="CBCR_f4b432374f554ba0987ef2ae3439e3ed" localSheetId="4" hidden="1">'Estimate Ranges'!$C$165</definedName>
    <definedName name="CBCR_f4e4f0cf53164321a3b99a256494b39c" localSheetId="4" hidden="1">'Estimate Ranges'!$B$38</definedName>
    <definedName name="CBCR_f5172418c7f54d969c721b408889b4d0" localSheetId="4" hidden="1">'Estimate Ranges'!$H$156</definedName>
    <definedName name="CBCR_f600fdb4c3d04ffb9a7b207db70e403f" localSheetId="4" hidden="1">'Estimate Ranges'!$P$140</definedName>
    <definedName name="CBCR_f62420fa04a24ee5abf529fa2f0e3085" localSheetId="4" hidden="1">'Estimate Ranges'!$P$163</definedName>
    <definedName name="CBCR_f6cc0aa1368c419b8658c47ccde7acd9" localSheetId="4" hidden="1">'Estimate Ranges'!$H$64</definedName>
    <definedName name="CBCR_f7ce9e81581045a4bae0bed1bbe54a85" localSheetId="4" hidden="1">'Estimate Ranges'!$I$99</definedName>
    <definedName name="CBCR_f86e2aee4f5f4c10aea9dc2ed03a42b0" localSheetId="4" hidden="1">'Estimate Ranges'!$D$46</definedName>
    <definedName name="CBCR_f8f2f7537cfc42f58581fb063b5edc80" localSheetId="4" hidden="1">'Estimate Ranges'!$D$160</definedName>
    <definedName name="CBCR_f90dc558cc904433a55aee2201aa37c2" localSheetId="7" hidden="1">'Risk Register'!$H$25</definedName>
    <definedName name="CBCR_fa18bd1b01a54552bf617b3ae22e068d" localSheetId="4" hidden="1">'Estimate Ranges'!$B$12</definedName>
    <definedName name="CBCR_faac2b4893484173a468381d4305b4ac" localSheetId="4" hidden="1">'Estimate Ranges'!$D$38</definedName>
    <definedName name="CBCR_fab822a4d8814c658d642862575cc1cd" localSheetId="4" hidden="1">'Estimate Ranges'!$P$62</definedName>
    <definedName name="CBCR_fac12707a25947a1a0f89fe57cc1df23" localSheetId="4" hidden="1">'Estimate Ranges'!$Q$155</definedName>
    <definedName name="CBCR_fac758ef798740c88d265509becf2806" localSheetId="4" hidden="1">'Estimate Ranges'!$B$46</definedName>
    <definedName name="CBCR_fac9389bb61445f498facfb2ece67049" localSheetId="4" hidden="1">'Estimate Ranges'!$D$30</definedName>
    <definedName name="CBCR_fb1c350ec418498598e06f407e4cac04" localSheetId="7" hidden="1">'Risk Register'!$H$13</definedName>
    <definedName name="CBCR_fb202509c64e440a9105364c7615ffa8" localSheetId="4" hidden="1">'Estimate Ranges'!$I$149</definedName>
    <definedName name="CBCR_fb51bb42a8fb420f922f0e77b82290ee" localSheetId="7" hidden="1">'Risk Register'!$K$15</definedName>
    <definedName name="CBCR_fb535cd3070c4b4fae12e7cce679ac69" localSheetId="4" hidden="1">'Estimate Ranges'!$I$49</definedName>
    <definedName name="CBCR_fb8a4c938c8e4ef0b3d0c8c2e960d3fc" localSheetId="4" hidden="1">'Estimate Ranges'!$I$91</definedName>
    <definedName name="CBCR_fbcba0d12a064df592e112bc1e84ebb2" localSheetId="4" hidden="1">'Estimate Ranges'!$B$83</definedName>
    <definedName name="CBCR_fc1751bf36304d459bf1ef94ab20c279" localSheetId="4" hidden="1">'Estimate Ranges'!$H$149</definedName>
    <definedName name="CBCR_fc2a9b5aa49f4cddba2b121289890e8a" localSheetId="4" hidden="1">'Estimate Ranges'!$D$19</definedName>
    <definedName name="CBCR_fc63b100871f440dad5ca789db4b546b" localSheetId="7" hidden="1">'Risk Register'!$I$4</definedName>
    <definedName name="CBCR_fe16fc5b99944748a5aa2cbf8b8d85e6" localSheetId="7" hidden="1">'Risk Register'!$M$16</definedName>
    <definedName name="CBCR_fe5c6eaedcbc459d9e7b8a95fb3d9357" localSheetId="7" hidden="1">'Risk Register'!$I$11</definedName>
    <definedName name="CBCR_ff08b7f53b4e418db236e1cfc73356ab" localSheetId="4" hidden="1">'Estimate Ranges'!$D$36</definedName>
    <definedName name="CBCR_ff406f8d7491479fb13d7ddf3246b264" localSheetId="4" hidden="1">'Estimate Ranges'!$C$158</definedName>
    <definedName name="CBCR_ff4cf7b580f04957afe3bb22f4e3a56d" localSheetId="4" hidden="1">'Estimate Ranges'!$Q$48</definedName>
    <definedName name="CBCR_ff54f22dbe9f4511aefe7791f50ba667" localSheetId="7" hidden="1">'Risk Register'!$H$21</definedName>
    <definedName name="CBCR_ff954cbc6d354ae79cf6ca0c0c2fce3c" localSheetId="7" hidden="1">'Risk Register'!$M$25</definedName>
    <definedName name="CBCR_ffb0dd8dc72e448fbf5ae7275c57f953" localSheetId="4" hidden="1">'Estimate Ranges'!$B$106</definedName>
    <definedName name="CBCR_ffccb6ccde744bf8bc6e4351eba433d5" localSheetId="4" hidden="1">'Estimate Ranges'!$D$85</definedName>
    <definedName name="CBWorkbookPriority" localSheetId="6" hidden="1">-1978197476</definedName>
    <definedName name="CBWorkbookPriority" hidden="1">-2048814648</definedName>
    <definedName name="CBx_2f67bddf0410445ba0baa8487bf98b0a" localSheetId="3" hidden="1">"'Estimate Ranges'!$A$1"</definedName>
    <definedName name="CBx_31bcb805e7e84f90bc17e98efe0de2ae" localSheetId="3" hidden="1">"'Risk Register'!$A$1"</definedName>
    <definedName name="CBx_6c908b2fa67148e0b84bd76abec378a5" localSheetId="3" hidden="1">"'Risk Register'!$A$1"</definedName>
    <definedName name="CBx_a4c567bcad5940ada2d309bbe7ba2c2d" localSheetId="3" hidden="1">"'CB_DATA_'!$A$1"</definedName>
    <definedName name="CBx_b8a174c33cf8400b89d1298e64899f83" localSheetId="3" hidden="1">"'Schedule Ranges'!$A$1"</definedName>
    <definedName name="CBx_c9a1298fed48449ab1ee6b4797595a0e" localSheetId="3" hidden="1">"'Model'!$A$1"</definedName>
    <definedName name="CBx_Sheet_Guid" localSheetId="3" hidden="1">"'a4c567bc-ad59-40ad-a2d3-09bbe7ba2c2d"</definedName>
    <definedName name="CBx_Sheet_Guid" localSheetId="4" hidden="1">"'2f67bddf-0410-445b-a0ba-a8487bf98b0a"</definedName>
    <definedName name="CBx_Sheet_Guid" localSheetId="1" hidden="1">"'c9a1298f-ed48-449a-b1ee-6b4797595a0e"</definedName>
    <definedName name="CBx_Sheet_Guid" localSheetId="7" hidden="1">"'31bcb805-e7e8-4f90-bc17-e98efe0de2ae"</definedName>
    <definedName name="CBx_Sheet_Guid" localSheetId="6" hidden="1">"'b8a174c3-3cf8-400b-89d1-298e64899f83"</definedName>
    <definedName name="CBx_StorageType" localSheetId="3" hidden="1">1</definedName>
    <definedName name="CBx_StorageType" localSheetId="4" hidden="1">1</definedName>
    <definedName name="CBx_StorageType" localSheetId="1" hidden="1">1</definedName>
    <definedName name="CBx_StorageType" localSheetId="7" hidden="1">1</definedName>
    <definedName name="CBx_StorageType" localSheetId="6" hidden="1">1</definedName>
    <definedName name="_xlnm.Print_Area" localSheetId="4">'Estimate Ranges'!$A$1:$Q$176</definedName>
    <definedName name="_xlnm.Print_Area" localSheetId="7">'Risk Register'!$A$1:$L$26</definedName>
    <definedName name="_xlnm.Print_Area" localSheetId="6">'Schedule Ranges'!$A$1:$G$20</definedName>
    <definedName name="_xlnm.Print_Titles" localSheetId="4">'Estimate Ranges'!$1:$3</definedName>
    <definedName name="_xlnm.Print_Titles" localSheetId="7">'Risk Register'!$A:$B,'Risk Register'!$1:$3</definedName>
  </definedNames>
  <calcPr fullCalcOnLoad="1"/>
</workbook>
</file>

<file path=xl/comments5.xml><?xml version="1.0" encoding="utf-8"?>
<comments xmlns="http://schemas.openxmlformats.org/spreadsheetml/2006/main">
  <authors>
    <author>Christopher O. Gruber</author>
  </authors>
  <commentList>
    <comment ref="E3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L, M or H
</t>
        </r>
      </text>
    </comment>
    <comment ref="F3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L, M or H</t>
        </r>
      </text>
    </comment>
    <comment ref="D3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Total Estimated Cost in thousands</t>
        </r>
      </text>
    </comment>
  </commentList>
</comments>
</file>

<file path=xl/comments7.xml><?xml version="1.0" encoding="utf-8"?>
<comments xmlns="http://schemas.openxmlformats.org/spreadsheetml/2006/main">
  <authors>
    <author>Chris Gruber</author>
  </authors>
  <commentList>
    <comment ref="C10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C11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C12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C14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adjusted for schedule stretch due to accommodating contingency funds within constraint</t>
        </r>
      </text>
    </comment>
    <comment ref="G9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all increase accommodated by 2nd shift with added cost</t>
        </r>
      </text>
    </comment>
    <comment ref="G10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all increase accommodated by 2nd shift with added cost</t>
        </r>
      </text>
    </comment>
    <comment ref="G11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all increase accommodated by 2nd shift with added cost</t>
        </r>
      </text>
    </comment>
    <comment ref="G12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assumes 20% reduction of high end by 2nd shift with added cost</t>
        </r>
      </text>
    </comment>
    <comment ref="H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7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Independent of Estimate Uncertainty</t>
        </r>
      </text>
    </comment>
    <comment ref="H9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0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1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2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4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5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90% Correlation with Estimate Probability Profile</t>
        </r>
      </text>
    </comment>
    <comment ref="H1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Independent of Estimate Uncertainty</t>
        </r>
      </text>
    </comment>
  </commentList>
</comments>
</file>

<file path=xl/comments8.xml><?xml version="1.0" encoding="utf-8"?>
<comments xmlns="http://schemas.openxmlformats.org/spreadsheetml/2006/main">
  <authors>
    <author>Chris Gruber</author>
  </authors>
  <commentList>
    <comment ref="N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Probability of occurrence modeled as Yes-No distribution</t>
        </r>
      </text>
    </comment>
    <comment ref="P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Cost impact probability distribution</t>
        </r>
      </text>
    </comment>
    <comment ref="Q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Schedule Impact Probability Distribution</t>
        </r>
      </text>
    </comment>
    <comment ref="R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Product of Probability of Occurrence (yes or no) and cost impact probability profile</t>
        </r>
      </text>
    </comment>
    <comment ref="S3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Product of Probability of Occurrence (yes or no) and schedule impact probability profile</t>
        </r>
      </text>
    </comment>
  </commentList>
</comments>
</file>

<file path=xl/sharedStrings.xml><?xml version="1.0" encoding="utf-8"?>
<sst xmlns="http://schemas.openxmlformats.org/spreadsheetml/2006/main" count="1056" uniqueCount="559">
  <si>
    <t>Design Maturity</t>
  </si>
  <si>
    <t>Design Complexity</t>
  </si>
  <si>
    <t>Low</t>
  </si>
  <si>
    <t>Medium</t>
  </si>
  <si>
    <t>High</t>
  </si>
  <si>
    <t>Estimate Uncertainty Matrix</t>
  </si>
  <si>
    <t>Job</t>
  </si>
  <si>
    <t>Estimate</t>
  </si>
  <si>
    <t>Maturity</t>
  </si>
  <si>
    <t>Complexity</t>
  </si>
  <si>
    <t>LH</t>
  </si>
  <si>
    <t>LL</t>
  </si>
  <si>
    <t>LM</t>
  </si>
  <si>
    <t>ML</t>
  </si>
  <si>
    <t>MM</t>
  </si>
  <si>
    <t>MH</t>
  </si>
  <si>
    <t>HL</t>
  </si>
  <si>
    <t>HM</t>
  </si>
  <si>
    <t>HH</t>
  </si>
  <si>
    <t>NCSX Cost Estimate Ranges</t>
  </si>
  <si>
    <t>H</t>
  </si>
  <si>
    <t>M</t>
  </si>
  <si>
    <t>Definitions</t>
  </si>
  <si>
    <t xml:space="preserve">Final design available.  All design features/requirements well known. </t>
  </si>
  <si>
    <t>No further design development or evolution expected that will impact estimate</t>
  </si>
  <si>
    <t xml:space="preserve"> Further developments can be somewhat expected/anticipated and reflected in estimate</t>
  </si>
  <si>
    <t>No better than conceptual design basis currently available.  Design details, procedures,</t>
  </si>
  <si>
    <t xml:space="preserve">  etc. still need much development and evolution of requirements beyond estimate basis is likely and expected</t>
  </si>
  <si>
    <t>Work is fairly well understood -- either standard construction or repetition of activities performed in past</t>
  </si>
  <si>
    <t>More complex work requirements that have potential to impact cost and schedule estimates</t>
  </si>
  <si>
    <t xml:space="preserve">   Limited experience performing similar tasks, so ability to estimate accurately is somewhat suspect</t>
  </si>
  <si>
    <t>Extremely challenging tasks and/or requirements.  Unique or first-of-a-kind assembly or work tasks</t>
  </si>
  <si>
    <t xml:space="preserve">  No good basis for estimating work exists so there is a high degree of estimate uncertainty</t>
  </si>
  <si>
    <t>Preliminary design available.  Some additional design evolution likely</t>
  </si>
  <si>
    <t>Risk Calc</t>
  </si>
  <si>
    <t>WBS</t>
  </si>
  <si>
    <t>Range Estimate Using Standard Matrix for Uncertainty</t>
  </si>
  <si>
    <t>Job Manager Uncertainty</t>
  </si>
  <si>
    <t>Range Estimate Using Job Manager Uncertainty</t>
  </si>
  <si>
    <t>L</t>
  </si>
  <si>
    <t>Job: 2101 - Fueling Systems-BLAMCHARD</t>
  </si>
  <si>
    <t>Job: 2201 - Vacuum Pumping Systems-BLANCHARD</t>
  </si>
  <si>
    <t>2 Total</t>
  </si>
  <si>
    <t>Job: 3101 - Magnetic Diagnostics-STRATTON</t>
  </si>
  <si>
    <t>Job: 3101 - Magnetic Diagnostics-STRATTON Total</t>
  </si>
  <si>
    <t>Job: 3601 - Edge Divertor Diagnostics-STRATTON</t>
  </si>
  <si>
    <t>Job: 3801 - Electron Beam Mapping-STRATTON</t>
  </si>
  <si>
    <t>Job: 3901 - Diagnostics sys Integration-STRATTON</t>
  </si>
  <si>
    <t>3 Total</t>
  </si>
  <si>
    <t>Job: 4101 - AC Power-RAMAKRISHNAN</t>
  </si>
  <si>
    <t xml:space="preserve">411 - Auxiliary AC Power Systems                </t>
  </si>
  <si>
    <t xml:space="preserve">412 - Experimental AC Power Systems             </t>
  </si>
  <si>
    <t>Job: 4101 - AC Power-RAMAKRISHNAN Total</t>
  </si>
  <si>
    <t>Job: 4301 - DC Systems-RAMAKRISHNAN</t>
  </si>
  <si>
    <t>431 - C-Site DC Systems</t>
  </si>
  <si>
    <t>Job: 4401 - Control &amp; Protection-RAMAKRISHNAN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</si>
  <si>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</si>
  <si>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</si>
  <si>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</si>
  <si>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</si>
  <si>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</si>
  <si>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Job: 4401 - Control &amp; Protection-RAMAKRISHNAN Total</t>
  </si>
  <si>
    <t>Job: 4501 - Power Sys Dsn &amp; Integr-RAMAKRISHNAN</t>
  </si>
  <si>
    <t xml:space="preserve">451 - System Design &amp; Interfaces                </t>
  </si>
  <si>
    <t xml:space="preserve">452 - Electrical Systems Support                </t>
  </si>
  <si>
    <t>453 - System Testing (PTP's)</t>
  </si>
  <si>
    <t>Job: 4501 - Power Sys Dsn &amp; Integr-RAMAKRISHNAN Total</t>
  </si>
  <si>
    <t>4 Total</t>
  </si>
  <si>
    <t>Job: 5101 - Network and Fiber Infrastruct-SICHTA</t>
  </si>
  <si>
    <t>Job: 5201 - I&amp;C Systems-SICHTA</t>
  </si>
  <si>
    <t>Job: 5301 - Data Acquisition-SICHTA</t>
  </si>
  <si>
    <t>Job: 5401 - Facility Timing &amp; Synchron.-SICHTA</t>
  </si>
  <si>
    <t>Job: 5501 - Real Time Control System-SICHTA</t>
  </si>
  <si>
    <t>Job: 5601 - Central Safety &amp;Interlock Sys-SICHTA</t>
  </si>
  <si>
    <t>Job: 5801 - Central I&amp;C Integr&amp; Oversight-SICHTA</t>
  </si>
  <si>
    <t>5 Total</t>
  </si>
  <si>
    <t>Job: 6101 - Water Systems-DUDEK</t>
  </si>
  <si>
    <t>613 - Vacuum Pumping System</t>
  </si>
  <si>
    <t>Job: 6201 - Cryogenic Systems-DUDEK</t>
  </si>
  <si>
    <t>621 - LN2-LHe Supply System</t>
  </si>
  <si>
    <t>622 - LN2 Coil Cooling Supply</t>
  </si>
  <si>
    <t xml:space="preserve">623 - GN2 Cryostat Cooling System               </t>
  </si>
  <si>
    <t>Job: 6201 - Cryogenic Systems-DUDEK Total</t>
  </si>
  <si>
    <t>Job: 6301 - Utility Systems-DUDEK</t>
  </si>
  <si>
    <t>Job: 6401 - PFC/VV Htng/Cooling(bakeout)- DUDEK</t>
  </si>
  <si>
    <t>6 Total</t>
  </si>
  <si>
    <t>Job: 7301 - Platform Design &amp; Fab-PERRY</t>
  </si>
  <si>
    <t>Job: 7401 - TC Prep &amp; Mach Assy Planning-PERRY</t>
  </si>
  <si>
    <t>Job: 7501 - Construction Support Crew-PERRY</t>
  </si>
  <si>
    <t>Job: 7503 - Machine Assembly (station 6)-PERRY</t>
  </si>
  <si>
    <t>Job: 7601 - Tooling Design &amp; Fabrication-PERRY</t>
  </si>
  <si>
    <t>7 Total</t>
  </si>
  <si>
    <t>Job: 8101 - Project Management &amp; Control-NEILSON</t>
  </si>
  <si>
    <t>FY07 Rebaseline Exercise</t>
  </si>
  <si>
    <t>Job: 8101 - Project Management &amp; Control-NEILSON Total</t>
  </si>
  <si>
    <t>Job: 8102 - NCSX MIE Management ORNL-LYON</t>
  </si>
  <si>
    <t>Job: 8202 - Engr Mgmt &amp; Sys Eng Support-REIERSEN</t>
  </si>
  <si>
    <t>Job: 8202 - Engr Mgmt &amp; Sys Eng Support-REIERSEN Total</t>
  </si>
  <si>
    <t>Job: 8203 - Design Integration-BROWN</t>
  </si>
  <si>
    <t>Job: 8204 - Systems Analysis-BROOKS</t>
  </si>
  <si>
    <t>Job: 8205 - Dimensional Control Coordin-REIERSEN</t>
  </si>
  <si>
    <t>Job: 8210 - FY07 Rebaseling tasks</t>
  </si>
  <si>
    <t>Job: 8215 Plant Design</t>
  </si>
  <si>
    <t>Job: 8501 - Integrated Systems Testing-GENTILE</t>
  </si>
  <si>
    <t>Startup Documentation</t>
  </si>
  <si>
    <t>Job: 8501 - Integrated Systems Testing-GENTILE Total</t>
  </si>
  <si>
    <t>Job: 8998 - Allocations-STRYKOWSKY</t>
  </si>
  <si>
    <t>8 Total</t>
  </si>
  <si>
    <t>Job: 1204 - VV Sys Procurements (nonVVSA)-DUDEK</t>
  </si>
  <si>
    <t>Job: 1204 - VV Sys Procurements (nonVVSA)-DUDEK Total</t>
  </si>
  <si>
    <t>12 Total</t>
  </si>
  <si>
    <t>Job: 1302 - PF  Design -KALISH</t>
  </si>
  <si>
    <t>Job: 1302 - PF  Design -KALISH Total</t>
  </si>
  <si>
    <t>Job: 1352 - PF Coil Procurement-KALISH</t>
  </si>
  <si>
    <t>PF Coil Fabrication</t>
  </si>
  <si>
    <t>Job: 1353 - CS Structure Procurement-DAHLGREN</t>
  </si>
  <si>
    <t>CS Support Structure</t>
  </si>
  <si>
    <t>Job: 1354 - Trim Coil Design &amp;Procurement-KALISH</t>
  </si>
  <si>
    <t>Trim Coils</t>
  </si>
  <si>
    <t>Job: 1355 - WBS 13 I&amp;C Proc and Coil Assy-KALISH</t>
  </si>
  <si>
    <t>TF/PF Loacl I&amp;C</t>
  </si>
  <si>
    <t>Job: 1361 - TF Fabrication-KALISH</t>
  </si>
  <si>
    <t>TF Fabrication Contract</t>
  </si>
  <si>
    <t xml:space="preserve">TF Title III and Fabrication Oversight          </t>
  </si>
  <si>
    <t>Job: 1361 - TF Fabrication-KALISH Total</t>
  </si>
  <si>
    <t>13 Total</t>
  </si>
  <si>
    <t>Job: 1408 - MC Winding Supplies-CHRZANOWSKI</t>
  </si>
  <si>
    <t>Job: 1411 - MCWF Fabr. S005242-HEITZENROEDER</t>
  </si>
  <si>
    <t>Job: 1416 - Mod Coil Type AB Fnl Dsn-WILLIAMSON</t>
  </si>
  <si>
    <t>Job: 1416 - Mod Coil Type AB Fnl Dsn-WILLIAMSON Total</t>
  </si>
  <si>
    <t>Job: 1421 - Mod Coil Interface Design-WILLIAMSON</t>
  </si>
  <si>
    <t>Job: 1421 - Mod Coil Interface Design-WILLIAMSON Total</t>
  </si>
  <si>
    <t>Job: 1429 - MC Interface R&amp;D-GETTELFINGER</t>
  </si>
  <si>
    <t>Coefficient of Friction (COF)</t>
  </si>
  <si>
    <t>Job: 1431 - Mod. Coil Interface Hardware-DUDEK</t>
  </si>
  <si>
    <t>Job: 1431 - Mod. Coil Interface Hardware-DUDEK Total</t>
  </si>
  <si>
    <t>Job: 1451 - Mod Coil Winding-CHRZANOWSKI</t>
  </si>
  <si>
    <t>Job: 1451 - Mod Coil Winding-CHRZANOWSKI Total</t>
  </si>
  <si>
    <t>Job: 1459 - Mod Coil Fabr.Punch List-CHRZANOWSKI</t>
  </si>
  <si>
    <t>Job: 1459 - Mod Coil Fabr.Punch List-CHRZANOWSKI Total</t>
  </si>
  <si>
    <t>14 Total</t>
  </si>
  <si>
    <t>Job: 1501 - Coil Structures  Design-DAHLGREN</t>
  </si>
  <si>
    <t>Job: 1550 - Coil Struct. Procurement -DAHLGREN</t>
  </si>
  <si>
    <t>15 Total</t>
  </si>
  <si>
    <t>Job: 1601 - Coil Services  Design-GORANSON</t>
  </si>
  <si>
    <t>Job: 1601 - Coil Services  Design-GORANSON Total</t>
  </si>
  <si>
    <t>16 Total</t>
  </si>
  <si>
    <t>Job: 1701 - Cryostat Design-GETTLEFINGER</t>
  </si>
  <si>
    <t>Job: 1702 - Base Support Struct Design-DAHLGREN</t>
  </si>
  <si>
    <t>Job: 1751 - Cryostat Procurement-GETTLEFINGER</t>
  </si>
  <si>
    <t>Job: 1752 - Base Support Proc-DAHLGREN</t>
  </si>
  <si>
    <t>17 Total</t>
  </si>
  <si>
    <t>Job: 1802 - FP Assy Oversight&amp;Support-VIOLA</t>
  </si>
  <si>
    <t>Oversight and Supervision</t>
  </si>
  <si>
    <t>Job: 1803 - FP Asy Tooling/Constrblty-BROWN</t>
  </si>
  <si>
    <t>Job: 1803 - FP Asy Tooling/Constrblty-BROWN Total</t>
  </si>
  <si>
    <t>Job: 1806 - FP Assembly specs and drawings-COLE</t>
  </si>
  <si>
    <t>Job: 1806 - FP Assembly specs and drawings-COLE Total</t>
  </si>
  <si>
    <t>Job: 1815 - Field Period Assy -Station  5-VIOLA</t>
  </si>
  <si>
    <t>Job: 1815 - Field Period Assy -Station  5-VIOLA Total</t>
  </si>
  <si>
    <t>Job:1810-Field Period Assy -Station 1 2 3  VIOLA</t>
  </si>
  <si>
    <t>Job:1810-Field Period Assy -Station 1 2 3  VIOLA Total</t>
  </si>
  <si>
    <t>18 Total</t>
  </si>
  <si>
    <t>Job: 1901 - Stellarator Core Mngtt&amp;Integr-COLE</t>
  </si>
  <si>
    <t>19 Total</t>
  </si>
  <si>
    <t>Grand Total</t>
  </si>
  <si>
    <t>Sub-Job</t>
  </si>
  <si>
    <t xml:space="preserve">  Little likelihood of estimate not being well understood and requirements not being well defined</t>
  </si>
  <si>
    <t>Variance</t>
  </si>
  <si>
    <t>Basis for Estimate Uncertainties</t>
  </si>
  <si>
    <t>Per AACEI Recommended Practice 18R-97, Cost Estimate Classification System</t>
  </si>
  <si>
    <t>As Applied in Engineering, Procurement and Construction for the Process Industry</t>
  </si>
  <si>
    <t>Estimate Class</t>
  </si>
  <si>
    <t>Level of Definition</t>
  </si>
  <si>
    <t>Accuracy Range</t>
  </si>
  <si>
    <t>NCSX Definition</t>
  </si>
  <si>
    <t>Range Used</t>
  </si>
  <si>
    <t>0 - 2%</t>
  </si>
  <si>
    <t>10 - 40%</t>
  </si>
  <si>
    <t>1 - 15%</t>
  </si>
  <si>
    <t>30 - 70%</t>
  </si>
  <si>
    <t>50 - 100%</t>
  </si>
  <si>
    <t>-20 to -50%  -  +30 to +100%</t>
  </si>
  <si>
    <t>-15 to -30%  -  +20 to +50%</t>
  </si>
  <si>
    <t>-10 to -20%  -  +10 to +30%</t>
  </si>
  <si>
    <t>-5 to -15%  -  +5 to +20%</t>
  </si>
  <si>
    <t>-3 to -10%  -  +3 to +15%</t>
  </si>
  <si>
    <t>L maturity; H complexity</t>
  </si>
  <si>
    <t>MH and LM</t>
  </si>
  <si>
    <t>MM and LL</t>
  </si>
  <si>
    <t>ML and HM</t>
  </si>
  <si>
    <t>H maturity; L complexity</t>
  </si>
  <si>
    <t>-20/+40%</t>
  </si>
  <si>
    <t>-15/+25%</t>
  </si>
  <si>
    <t>-10/+15%</t>
  </si>
  <si>
    <t>-5/+10%</t>
  </si>
  <si>
    <t>-30/+60%</t>
  </si>
  <si>
    <t>PM</t>
  </si>
  <si>
    <t>N/A</t>
  </si>
  <si>
    <t xml:space="preserve">per PM direction - high uncertainty </t>
  </si>
  <si>
    <t>assumed for 8101 and 8102</t>
  </si>
  <si>
    <t>May 30,2007</t>
  </si>
  <si>
    <t xml:space="preserve">Sum of    TOTAL    </t>
  </si>
  <si>
    <t>WBS4</t>
  </si>
  <si>
    <t>Total</t>
  </si>
  <si>
    <t xml:space="preserve">     -</t>
  </si>
  <si>
    <t>124U - T/C and Heater Tape Leads</t>
  </si>
  <si>
    <t>124V - Flux loop junction boxes and spacer templates</t>
  </si>
  <si>
    <t>MD2  - Modular Coil C-wound Loops</t>
  </si>
  <si>
    <t>MD3  - Rogowski Coils</t>
  </si>
  <si>
    <t>MD4  - TF and PF Co-wound Loops</t>
  </si>
  <si>
    <t>411  - 411 - Auxiliary AC Power Systems</t>
  </si>
  <si>
    <t>412  - 412 - Experimental AC Power Systems</t>
  </si>
  <si>
    <t>431  - 431 - C-Site DC Systems</t>
  </si>
  <si>
    <t>441  - 441 - Electrical Interlocks</t>
  </si>
  <si>
    <t>442  - 442 - Kirk Key Interlocks</t>
  </si>
  <si>
    <t>443  - 443 - Real Time Control Systems</t>
  </si>
  <si>
    <t>444  - 444 - Instrument Systems</t>
  </si>
  <si>
    <t>445  - 445 - Coil Protection Systems</t>
  </si>
  <si>
    <t>451  - 451 - System Design &amp; Interfaces</t>
  </si>
  <si>
    <t>452  - 452 - Electrical Systems Support</t>
  </si>
  <si>
    <t>453  - 453 - System Testing (PTP's)</t>
  </si>
  <si>
    <t>613  - 613 - Vacuum Pumping System</t>
  </si>
  <si>
    <t>621  - 621 - LN2-LHe Supply System</t>
  </si>
  <si>
    <t>622  - 622 - LN2 Coil Cooling Supply</t>
  </si>
  <si>
    <t>623  - 623 - GN2 Cryostat Cooling System</t>
  </si>
  <si>
    <t>RBLX - FY07 Rebaseline Exercise</t>
  </si>
  <si>
    <t>PROC - Startup Documentation</t>
  </si>
  <si>
    <t>122  - Thermal Insulation</t>
  </si>
  <si>
    <t>124P - VV Personnel Access Port &amp; Lateral sprts</t>
  </si>
  <si>
    <t>124T - Heater Tape for Port Stub</t>
  </si>
  <si>
    <t>125  - VV Local I&amp;C</t>
  </si>
  <si>
    <t>13P  - PF Coil Fabrication</t>
  </si>
  <si>
    <t>132A - CS Support Structure</t>
  </si>
  <si>
    <t>133  - Trim Coils</t>
  </si>
  <si>
    <t>134  - TF/PF Loacl I&amp;C</t>
  </si>
  <si>
    <t>130  - TF Title III and Fabrication Oversight</t>
  </si>
  <si>
    <t>13Y  - TF Fabrication Contract</t>
  </si>
  <si>
    <t>MCDB - Clamp hardware modifications</t>
  </si>
  <si>
    <t>MCDC - Blanket thermal insulation</t>
  </si>
  <si>
    <t>MCDE - Top level assy models/drawings</t>
  </si>
  <si>
    <t>MCDF - Analysis and closeout documentation</t>
  </si>
  <si>
    <t>TCCO - Type C Design Closeout</t>
  </si>
  <si>
    <t>IHF  - Complete Design of MC Interface</t>
  </si>
  <si>
    <t>IHG  - Tension Tests of Bolted Joint</t>
  </si>
  <si>
    <t>IHH  - Bolt Shear Test at 77k</t>
  </si>
  <si>
    <t>NEWP - Interface Design</t>
  </si>
  <si>
    <t>COF  - Coefficient of Friction (COF) Tests</t>
  </si>
  <si>
    <t>BLAD - Bladders</t>
  </si>
  <si>
    <t>BUSH - Bushings</t>
  </si>
  <si>
    <t>SHMS - Shims</t>
  </si>
  <si>
    <t>STUD - Studs Washers Nuts</t>
  </si>
  <si>
    <t>1    - Station 1 Post VPI</t>
  </si>
  <si>
    <t>1A   - Station 1a/4 Casting Prep</t>
  </si>
  <si>
    <t>2    - Station 2-Winding  Instl Chill Plates Tubing Bag</t>
  </si>
  <si>
    <t>3    - Station 4-Winding  Instl Chill Plates Tubing Bag</t>
  </si>
  <si>
    <t>5    - Station 5-VPI</t>
  </si>
  <si>
    <t>LABR - LOE Oversight &amp; Supervision</t>
  </si>
  <si>
    <t>PLCT - Punchlist- Coil Technicians</t>
  </si>
  <si>
    <t>PLTS - Punchlist Tech shop/RESA</t>
  </si>
  <si>
    <t>161  - 161 - LN2 Distribution</t>
  </si>
  <si>
    <t>162  - 162 - Electrical Leads</t>
  </si>
  <si>
    <t>163  - 163 - Coil Protection System</t>
  </si>
  <si>
    <t>172  - 172 - Base Support Structure</t>
  </si>
  <si>
    <t>A    - Oversight and Supervision</t>
  </si>
  <si>
    <t>2.00 - Station 2-Modular Coil  Sub- Assembly</t>
  </si>
  <si>
    <t>3.00 - Station 3-Modular Coil to VVSA Assembly</t>
  </si>
  <si>
    <t>5.00 - Station 5-Final Field Period Assembly</t>
  </si>
  <si>
    <t>6.00 - 6.00-Final Machine Assembly</t>
  </si>
  <si>
    <t>1.00 - 1.00-VV Prep Station</t>
  </si>
  <si>
    <t>S4P1 - Station 5- Final FP Assy -FP#1 (in NCSX TC)</t>
  </si>
  <si>
    <t>S4P2 - Station 5- Final FP Assy -FP#2 (in NCSX TC)</t>
  </si>
  <si>
    <t>S4P3 - Station 5- Final FP Assy -FP#3 (in NCSX TC)</t>
  </si>
  <si>
    <t>S0P0 - General F.P. Assy support</t>
  </si>
  <si>
    <t>S1P1 - Station 1-VV Prep (hard surface components) FP#1</t>
  </si>
  <si>
    <t>S1P2 - Station 1- VV Prep (hrd surf cmpntsFP#2</t>
  </si>
  <si>
    <t>S1P3 - Station 1- VV Prep (hrd surf cmpntsFP#3</t>
  </si>
  <si>
    <t>S1SP - Station 1-Spool pieces (3)  (spacers)</t>
  </si>
  <si>
    <t>S2P1 - Station 2-Modular Coil Subassembly-FP#1</t>
  </si>
  <si>
    <t>S2P2 - Station 2-Modular Coil Subassembly-FP#2</t>
  </si>
  <si>
    <t>S2P3 - Station 2-Modular Coil Subassembly-FP#3</t>
  </si>
  <si>
    <t>S2PR - Station 2 Trials &amp; Development</t>
  </si>
  <si>
    <t>S3P1 - Station 3-Assemble Mod Coils and VVSA-FP#1</t>
  </si>
  <si>
    <t>S3P2 - Station 3-Assemble Mod Coils and VVSA-FP#2</t>
  </si>
  <si>
    <t>S3P3 - Station 3-Assemble Mod Coils and VVSA-FP#3</t>
  </si>
  <si>
    <t>Grand Total ETC</t>
  </si>
  <si>
    <t>NCSX Schedule Uncertainty Model</t>
  </si>
  <si>
    <t>Duration Range</t>
  </si>
  <si>
    <t>Schedule Activity</t>
  </si>
  <si>
    <t>CP and Near CP Activities</t>
  </si>
  <si>
    <t>Job 1421 - Modular Coil Interface Design</t>
  </si>
  <si>
    <t>Job 1431 - Mod. Coil Interface Hardware</t>
  </si>
  <si>
    <t>Job 1810 - Field Period Asmbly - Station 1,2,3</t>
  </si>
  <si>
    <t>Station 2 - FP#1</t>
  </si>
  <si>
    <t>Station 2 - FP#2</t>
  </si>
  <si>
    <t>Station 2 - FP#3</t>
  </si>
  <si>
    <t>Station 3 - FP#3</t>
  </si>
  <si>
    <t>Job 1815 - Field Period Asmbly - Station 5</t>
  </si>
  <si>
    <t>Sta 5 - Final FP Asmbly - FP#3</t>
  </si>
  <si>
    <t>Job 7503 - Machine Assembly (Station 6)</t>
  </si>
  <si>
    <t>Job 8501 - Integrated System Testing</t>
  </si>
  <si>
    <t>manual</t>
  </si>
  <si>
    <t>Note: Changed uncertainty level for 8501  since stated it is LOE but dependent on schedule</t>
  </si>
  <si>
    <r>
      <t>Base Duration (mos)</t>
    </r>
    <r>
      <rPr>
        <b/>
        <u val="single"/>
        <sz val="10"/>
        <rFont val="Arial"/>
        <family val="2"/>
      </rPr>
      <t xml:space="preserve"> on Critical Path</t>
    </r>
  </si>
  <si>
    <r>
      <t xml:space="preserve">Estimate </t>
    </r>
    <r>
      <rPr>
        <b/>
        <u val="single"/>
        <sz val="10"/>
        <rFont val="Arial"/>
        <family val="2"/>
      </rPr>
      <t>Uncertainty</t>
    </r>
  </si>
  <si>
    <r>
      <t xml:space="preserve">Adjusted </t>
    </r>
    <r>
      <rPr>
        <b/>
        <u val="single"/>
        <sz val="10"/>
        <rFont val="Arial"/>
        <family val="2"/>
      </rPr>
      <t>High</t>
    </r>
  </si>
  <si>
    <r>
      <t xml:space="preserve">Schedule </t>
    </r>
    <r>
      <rPr>
        <b/>
        <u val="single"/>
        <sz val="10"/>
        <rFont val="Arial"/>
        <family val="2"/>
      </rPr>
      <t>Risk Calc</t>
    </r>
  </si>
  <si>
    <r>
      <t xml:space="preserve">Schedule </t>
    </r>
    <r>
      <rPr>
        <b/>
        <u val="single"/>
        <sz val="10"/>
        <rFont val="Arial"/>
        <family val="2"/>
      </rPr>
      <t>Duration</t>
    </r>
  </si>
  <si>
    <r>
      <t xml:space="preserve">Cost Risk </t>
    </r>
    <r>
      <rPr>
        <b/>
        <u val="single"/>
        <sz val="10"/>
        <rFont val="Arial"/>
        <family val="2"/>
      </rPr>
      <t>Adder</t>
    </r>
  </si>
  <si>
    <t>Total Project Cost Summary</t>
  </si>
  <si>
    <t>Actual Cost Incurred</t>
  </si>
  <si>
    <t>Base ETC without Contingency</t>
  </si>
  <si>
    <t>Total Project Cost w/o Conting.</t>
  </si>
  <si>
    <t>Cost Contingency Allowance</t>
  </si>
  <si>
    <t>Risk Contingency</t>
  </si>
  <si>
    <t>Schedule Contingency</t>
  </si>
  <si>
    <t>Total Cost Contingency</t>
  </si>
  <si>
    <t>Total Project Cost</t>
  </si>
  <si>
    <t>Schedule Uncertainty</t>
  </si>
  <si>
    <t>Total Schedule Contingency</t>
  </si>
  <si>
    <t>Cost/Schedule Unceratinty</t>
  </si>
  <si>
    <t>Risk Contingency (Cost &amp; Schedule)</t>
  </si>
  <si>
    <t>NCSX Risk Register</t>
  </si>
  <si>
    <t>No.</t>
  </si>
  <si>
    <t>Risk Description</t>
  </si>
  <si>
    <t>Contributing factors and mitigation plans</t>
  </si>
  <si>
    <t>Basis of estimate</t>
  </si>
  <si>
    <t>Cost Impact ($k)</t>
  </si>
  <si>
    <t>Schedule Impact (mos)</t>
  </si>
  <si>
    <t>Comments</t>
  </si>
  <si>
    <t>Consequences</t>
  </si>
  <si>
    <t>Risk Rank</t>
  </si>
  <si>
    <t>Name</t>
  </si>
  <si>
    <t>Risk Calculation</t>
  </si>
  <si>
    <t>Cost</t>
  </si>
  <si>
    <t>Schedule</t>
  </si>
  <si>
    <t>Cost Cont</t>
  </si>
  <si>
    <t>Sched Cont</t>
  </si>
  <si>
    <t>Inner leg assembly design and requirements are not finalized</t>
  </si>
  <si>
    <t>Critical</t>
  </si>
  <si>
    <t>sta 2=$925k plus 1,800k oversight,army=$2.7m  and 12 mo.</t>
  </si>
  <si>
    <t>1- Inner Leg Assy</t>
  </si>
  <si>
    <t>Additional trim coils may be required to suppress field errors from n&gt;1 modes</t>
  </si>
  <si>
    <t>Analysis being performed to firm up requirements</t>
  </si>
  <si>
    <t>U</t>
  </si>
  <si>
    <t>Marginal</t>
  </si>
  <si>
    <t>124 fab 19 install x 2</t>
  </si>
  <si>
    <t>2- Trim Coils</t>
  </si>
  <si>
    <t>Bushing number and design are not finalized</t>
  </si>
  <si>
    <t>+30kx 3 f/bushings $117k installation instl 4 days *18 joints/21d/m</t>
  </si>
  <si>
    <t>schedule slip mitigated by use of 2nd shift (cost impact included@$96k/mo.)</t>
  </si>
  <si>
    <t>3 - Bushings</t>
  </si>
  <si>
    <t>TF alignment may take substantially longer than expected once alignment procedure is finalized</t>
  </si>
  <si>
    <t>TF alignment features not finalized and alignment procedure not yet developed</t>
  </si>
  <si>
    <t>Significant</t>
  </si>
  <si>
    <t>$10k and 6 days per FP</t>
  </si>
  <si>
    <t>4 - TF Alignment</t>
  </si>
  <si>
    <t>Design of the inboard modular coil interfaces could take substantially longer than anticipated with attendant impact on the critical path</t>
  </si>
  <si>
    <t>Design of inboard modular coil interfaces within a field period (A-A, A-B, B-C) and between field periods (C-C) not finalized.  Design activity is on the critical path.</t>
  </si>
  <si>
    <t>dsn etc=349k</t>
  </si>
  <si>
    <t>5 - Inboard Coil Interface Design</t>
  </si>
  <si>
    <t>Field period assembly cost and schedule could be significantly impacted if design of the modular coil interfaces changes significantly from the baseline.</t>
  </si>
  <si>
    <t>Design of inboard modular coil interfaces within a field period (A-A, A-B, B-C) not finalized.  Assembly of modular coils is on the critical path.</t>
  </si>
  <si>
    <t>sta 2=$925k plus 1,800k oversight,army=$2.7m  and 12 mo. Sta 3 6 add'l mo. At 1.8m</t>
  </si>
  <si>
    <t>MC assembly activities on Stations 2 and 3. schedule slip mitigated by use of 2nd shift (cost impact included@$96k/mo.)</t>
  </si>
  <si>
    <t>6- Field Period Assy</t>
  </si>
  <si>
    <t>Final assembly cost and schedule could be significantly impacted if design of the modular coil interfaces changes significantly from the baseline.</t>
  </si>
  <si>
    <t xml:space="preserve">Design of inboard modular coil interfaces between field periods (C-C) not finalized.  Assembly of field periods is on the critical path. </t>
  </si>
  <si>
    <t>13 days and 62k</t>
  </si>
  <si>
    <t>MC assembly activities on Station 6 (Final Assembly) (already assumed 2 shift ops)</t>
  </si>
  <si>
    <t>7- Final Assy</t>
  </si>
  <si>
    <t>Support structure for final assembly may require modification to meet final assembly requirements</t>
  </si>
  <si>
    <t>No development trials performed prior to completion of the first field period.  Development trials could be performed on first field period without impacting the critical path.</t>
  </si>
  <si>
    <t>Negligible</t>
  </si>
  <si>
    <t>8 - Support Structure</t>
  </si>
  <si>
    <t>Coil alignment tolerances may be too tight to achieve in the assumed number of iterations</t>
  </si>
  <si>
    <t>Development trials on A-A suggest the requirements are achievable but this has not been demonstrated on the other flanges.  More recent analysis of alignment requirements suggest they might be relaxed.</t>
  </si>
  <si>
    <t>3.5 days x 18 joints @ $11k each</t>
  </si>
  <si>
    <t>9 - Coil Alignment Tolerances</t>
  </si>
  <si>
    <t>Weld distortion may be problematic requiring signficantly more time to accomplish welding than assumed</t>
  </si>
  <si>
    <t>Development trials for weld distortion and design of the welded shims are barely underway.  Substantial uncertainties exist.</t>
  </si>
  <si>
    <t>13 days x 15 joints @ $37k each</t>
  </si>
  <si>
    <t>10 - Weld Distortion</t>
  </si>
  <si>
    <t>VV distortion due to welding may be excessive</t>
  </si>
  <si>
    <t>No further development activities planned.  May require more elaborate welding procedure to minimize distortion.</t>
  </si>
  <si>
    <t>15 days @ $180k</t>
  </si>
  <si>
    <t>11 - VV Distortion</t>
  </si>
  <si>
    <t>Resource limitations for metrology, 3D modeling, and "back office" support may constrain progress and impact the schedule</t>
  </si>
  <si>
    <t>Estimate currently based on 1 iteration for aligning coils.  Only 2 laser trackers to monitor 3 field periods requiring leapfrogging which might compromise accuracy.  Delays already seen in assembly operations.</t>
  </si>
  <si>
    <t>54days @$172k</t>
  </si>
  <si>
    <t>12- Metrology, 3D and Back Office Support</t>
  </si>
  <si>
    <t>The weld technology required to minimize distortion, e.g. MIG welding, may require special accommodations because of lack of trained PPPL personnel and equipment</t>
  </si>
  <si>
    <t>MIG welding would require bringing in outside welders to assemble field periods with potentially signficant cost and schedule impacts</t>
  </si>
  <si>
    <t>assume 2 add'l welders trained by 1 PPPL over 4 months</t>
  </si>
  <si>
    <t>Not on critical path</t>
  </si>
  <si>
    <t>13- Weld Technology</t>
  </si>
  <si>
    <t>Ports may distort when welded requiring modifications to the planned weld procedure with consequent cost and schedule impacts</t>
  </si>
  <si>
    <t>Development trials could be performed in advance.  Welding of first ports not on critical path.</t>
  </si>
  <si>
    <t>10 man-days</t>
  </si>
  <si>
    <t>14 - Port Distortion</t>
  </si>
  <si>
    <t>Loss or unavailability of key personnel from the project could substantially impact the schedule.</t>
  </si>
  <si>
    <t>Baseline schedule predicated on continued availability of key personnel.  Mitigation plans should be considered.</t>
  </si>
  <si>
    <t>impacts sta 2 3,5 &amp;6  on oversight&amp;support crews &amp;$151 &amp; 79k/mo.</t>
  </si>
  <si>
    <t>schedule slip partially (50%)mitigated by use of 2nd shift (cost impact included@$96k/mo.)</t>
  </si>
  <si>
    <t>15 - Key Personnel Availability</t>
  </si>
  <si>
    <t>Procuring the aerogel insulation (if it is not commercially available) and developing a satisfactory fill technique could have cost and schedule impacts.</t>
  </si>
  <si>
    <t>Pourable aerogel insulation for service at 350C is not presently a commercially available product.  The NCSX project might have to contract an outfit to burn off the volatiles from a commercially available product if 350C aerogel cannot be bought directly</t>
  </si>
  <si>
    <t>VL</t>
  </si>
  <si>
    <t>16 - Aerogel Insulation</t>
  </si>
  <si>
    <t>Unanticipated problems with the cryostat and LN2 delivery system may require warming up the stellarator core to effect repair with consequent cost and schedule impacts</t>
  </si>
  <si>
    <t>cryostat fixes @ 229/mo. Plus 79k/mo oversight</t>
  </si>
  <si>
    <t>2 shift ops already assumed</t>
  </si>
  <si>
    <t>17 - Cryotat and LN2 System</t>
  </si>
  <si>
    <t>Pervasive vacuum leaks appear following welding of the ports</t>
  </si>
  <si>
    <t>Early detection and repair (which is not in the current baseline) would minimize critical path impacts</t>
  </si>
  <si>
    <t>160k/mo leakcheck plus 79k/mo oversight</t>
  </si>
  <si>
    <t>18 - Vacuum Leaks</t>
  </si>
  <si>
    <t>Funding profile may not match assumptions which in turn could impact cost and schedule</t>
  </si>
  <si>
    <t>cost factored into stretchout cost</t>
  </si>
  <si>
    <t>19-Funding Profile</t>
  </si>
  <si>
    <t>Overhead rates may vary which in turn could impact cost and schedule</t>
  </si>
  <si>
    <t>$42m etc</t>
  </si>
  <si>
    <t>20 - Pvehead Rates</t>
  </si>
  <si>
    <t>Escalation of Copper higher than base escalation rates</t>
  </si>
  <si>
    <t>Funding limits preclude early procurements to avoid escalation impacts</t>
  </si>
  <si>
    <t>see separate sheet - assume 5% to 20% higher per year escalation rate</t>
  </si>
  <si>
    <t>21- Copper Escalation</t>
  </si>
  <si>
    <t>Escalation of Stainless Sheet and Inconel higher than base escalation rates</t>
  </si>
  <si>
    <t>see separate sheet - assume 3% to 20% higher per year escalation rate</t>
  </si>
  <si>
    <t>22 - Stainless Escalation</t>
  </si>
  <si>
    <t>Probability of Occurrence</t>
  </si>
  <si>
    <t>Criteria</t>
  </si>
  <si>
    <t>Qualitative</t>
  </si>
  <si>
    <t>Quantitative</t>
  </si>
  <si>
    <t>Use Pr</t>
  </si>
  <si>
    <t>VU</t>
  </si>
  <si>
    <t>Very Unlikely</t>
  </si>
  <si>
    <t>&lt;0.1</t>
  </si>
  <si>
    <t>Will not likely occur anytime in the project life cycle, or  the probability of the occurrence is judged to be less than 10%.</t>
  </si>
  <si>
    <t>Unlikely</t>
  </si>
  <si>
    <t>&gt;0.1 but &lt;0.4</t>
  </si>
  <si>
    <t>Unlikely to occur in the project life cycle ,  or the probability of the occurrence is judged to be greater than 10% but less than 40%.</t>
  </si>
  <si>
    <t>Likely</t>
  </si>
  <si>
    <t>&gt;0.4 but &lt;0.8</t>
  </si>
  <si>
    <t>Will likely occur sometime during the project life cycle of the project or its facilities, or the probability of the occurrence is judged to be greater than 40% but less than 80%.</t>
  </si>
  <si>
    <t>Very Likely</t>
  </si>
  <si>
    <t>&gt;0.8</t>
  </si>
  <si>
    <t>Very likely to occur sometime during the project life cycle or the probability of occurrence is judged to be 80% or greater.</t>
  </si>
  <si>
    <t>* P = Probability of Occurrence</t>
  </si>
  <si>
    <t>Concept Explanation</t>
  </si>
  <si>
    <t>For each identified risk, a Probability of Occurrence is defined using the above criteria.</t>
  </si>
  <si>
    <t>Also for each risk, the consequential impacts are estimated -- as either an absolute value or a range with most likely, low and high values defined</t>
  </si>
  <si>
    <t>Both cost impacts and schedule impacts should be estimated.</t>
  </si>
  <si>
    <t>For schedule impact, the value (or range) should reflect impact to the project completion -- that is the impact to the project critical path</t>
  </si>
  <si>
    <t>Separate models will then be constructed to determine overall cost and schedule probability profiles (using Monte Carlo simulation)</t>
  </si>
  <si>
    <t xml:space="preserve">Each risk will represent a variable in the model.  The Pr of Occurrence will use the values shown on the right above and </t>
  </si>
  <si>
    <t xml:space="preserve">  the ranges for cost and schedule impacts.</t>
  </si>
  <si>
    <t>Special Materials</t>
  </si>
  <si>
    <t>Delivery cost estimate (includes raw material cost, and vendor fabrication)</t>
  </si>
  <si>
    <t>as spent $K</t>
  </si>
  <si>
    <t xml:space="preserve">  FY  2007</t>
  </si>
  <si>
    <t xml:space="preserve">  FY  2008</t>
  </si>
  <si>
    <t xml:space="preserve">  FY  2009</t>
  </si>
  <si>
    <t xml:space="preserve">  FY  2010</t>
  </si>
  <si>
    <t xml:space="preserve">  FY  2011</t>
  </si>
  <si>
    <t>TOTAL</t>
  </si>
  <si>
    <t>C - copper</t>
  </si>
  <si>
    <t>1352 - Job: 1352 - PF Coil Procurement-KALISH</t>
  </si>
  <si>
    <t>141-038.1</t>
  </si>
  <si>
    <t>PF Conductor  Delivery</t>
  </si>
  <si>
    <t>1354 - Job: 1354 - Trim Coil Design &amp;Procurement-KALISH</t>
  </si>
  <si>
    <t>184-037</t>
  </si>
  <si>
    <t xml:space="preserve">External Trim Coil  Procurement                 </t>
  </si>
  <si>
    <t>1601 - Job: 1601 - Coil Services  Design-GORANSON</t>
  </si>
  <si>
    <t>132-038</t>
  </si>
  <si>
    <t xml:space="preserve">Deliver  Lead hardware and cables               </t>
  </si>
  <si>
    <t>4101 - Job: 4101 - AC Power-RAMAKRISHNAN</t>
  </si>
  <si>
    <t>411-2-4</t>
  </si>
  <si>
    <t>Grounding-Procure</t>
  </si>
  <si>
    <t>4301 - Job: 4301 - DC Systems-RAMAKRISHNAN</t>
  </si>
  <si>
    <t>431-265</t>
  </si>
  <si>
    <t>Fabricate bus components</t>
  </si>
  <si>
    <t>431-275</t>
  </si>
  <si>
    <t>Power cabling &amp; Installation</t>
  </si>
  <si>
    <t>S - Stainless Steel/Inconnel</t>
  </si>
  <si>
    <t>1204 - Job: 1204 - VV Sys Procurements (nonVVSA)-DUDEK</t>
  </si>
  <si>
    <t>124-130</t>
  </si>
  <si>
    <t xml:space="preserve"> VV NB port cover Fabrication</t>
  </si>
  <si>
    <t>1421 - Job: 1421 - Mod Coil Interface Design-WILLIAMSON</t>
  </si>
  <si>
    <t>INTRF-001</t>
  </si>
  <si>
    <t xml:space="preserve">PPPL buy SS plate for weld trials               </t>
  </si>
  <si>
    <t>1431 - Job: 1431 - Mod. Coil Interface Hardware-DUDEK</t>
  </si>
  <si>
    <t>1421-3060</t>
  </si>
  <si>
    <t>Deliver Stud Kit (PE007330) (for 1st 3 pack only</t>
  </si>
  <si>
    <t>1429-3060</t>
  </si>
  <si>
    <t>Deliver Shim Stock</t>
  </si>
  <si>
    <t>1752 - Job: 1752 - Base Support Proc-DAHLGREN</t>
  </si>
  <si>
    <t>161-036.9</t>
  </si>
  <si>
    <t xml:space="preserve">Deliver base support materials                  </t>
  </si>
  <si>
    <t>1550 - Job: 1550 - Coil Struct. Procurement -DAHLGREN</t>
  </si>
  <si>
    <t>162-037</t>
  </si>
  <si>
    <t xml:space="preserve">Fabricate TF/MCWF mounting Components           </t>
  </si>
  <si>
    <t>162-038</t>
  </si>
  <si>
    <t xml:space="preserve">Fabricate PF Mounting components                </t>
  </si>
  <si>
    <t>162-039</t>
  </si>
  <si>
    <t xml:space="preserve">Fabricate Final TF Assy components Components   </t>
  </si>
  <si>
    <t>162-040</t>
  </si>
  <si>
    <t xml:space="preserve">Fabricate Machine/base support interface        </t>
  </si>
  <si>
    <t>162-053</t>
  </si>
  <si>
    <t>Deliver Inconnel hardware</t>
  </si>
  <si>
    <t>162-057</t>
  </si>
  <si>
    <t>Deliver Belleville Washers</t>
  </si>
  <si>
    <t>Estimate Raw material cost (delivery cost estimate  x 50%)</t>
  </si>
  <si>
    <t>C - copper - base estimate (assumes 2.5%/year escalation)</t>
  </si>
  <si>
    <t>Additional Copper Escalation - Low End of Range</t>
  </si>
  <si>
    <t xml:space="preserve">additional per year </t>
  </si>
  <si>
    <t>Additional Copper Escalation - High End of Range</t>
  </si>
  <si>
    <t>S - Stainless Steel/Inconnel (assumes 2.5%/year escalation)</t>
  </si>
  <si>
    <r>
      <t xml:space="preserve">Likelihood of Occurrence 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</si>
  <si>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 VL= Very Likely, (P&gt;90%) L=Likely (90%&gt;P&gt;40%), U=Unlikley (40%&gt;P&gt;10%), VU=Very Unlikely (P&lt;10%)</t>
    </r>
  </si>
  <si>
    <t>Estimated Cost per month for Schedule Stretch</t>
  </si>
  <si>
    <t>thousand</t>
  </si>
  <si>
    <t>Percentiles</t>
  </si>
  <si>
    <t>Cost/Schedule Unceratinty Contingency</t>
  </si>
  <si>
    <t>Schedule Contingency - Risks</t>
  </si>
  <si>
    <t>Schedule Uncertainty Contingency</t>
  </si>
  <si>
    <t>0%</t>
  </si>
  <si>
    <t>5%</t>
  </si>
  <si>
    <t>10%</t>
  </si>
  <si>
    <t>15%</t>
  </si>
  <si>
    <t>20%</t>
  </si>
  <si>
    <t>25%</t>
  </si>
  <si>
    <t>30%</t>
  </si>
  <si>
    <t>35%</t>
  </si>
  <si>
    <t>40%</t>
  </si>
  <si>
    <t>45%</t>
  </si>
  <si>
    <t>50%</t>
  </si>
  <si>
    <t>55%</t>
  </si>
  <si>
    <t>60%</t>
  </si>
  <si>
    <t>65%</t>
  </si>
  <si>
    <t>70%</t>
  </si>
  <si>
    <t>75%</t>
  </si>
  <si>
    <t>80%</t>
  </si>
  <si>
    <t>85%</t>
  </si>
  <si>
    <t>90%</t>
  </si>
  <si>
    <t>95%</t>
  </si>
  <si>
    <t>100%</t>
  </si>
  <si>
    <t>Total Project Cost at 80%</t>
  </si>
  <si>
    <t>Less Actual through April</t>
  </si>
  <si>
    <t>Less ETC w/o Contingency</t>
  </si>
  <si>
    <t>Contingency Allowace</t>
  </si>
  <si>
    <t>% of ETC</t>
  </si>
  <si>
    <t xml:space="preserve">If above analysis is used it is not possible to segregate risk and uncertainty contingency requirements. </t>
  </si>
  <si>
    <t>However, the cost contingency for schedule stretch can be calculated as</t>
  </si>
  <si>
    <t>This leaves a cost contingency of</t>
  </si>
  <si>
    <t>or as % of ETC</t>
  </si>
  <si>
    <t>for a contingency of</t>
  </si>
  <si>
    <t>months</t>
  </si>
  <si>
    <t>So for spreading contingency by year, assume that percentage of costs planned for each year and put the schedule amount in the last year.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</si>
</sst>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_);[Red]\(0.00\)"/>
    <numFmt numFmtId="178" formatCode="&quot;$&quot;#,##0.0_);[Red]\(&quot;$&quot;#,##0.0\)"/>
    <numFmt numFmtId="179" formatCode="[Blue]\+\ \$#,##0_);[Red]\(&quot;$&quot;#,##0\)"/>
    <numFmt numFmtId="180" formatCode="[Blue]\+\ 0.00_);[Red]\(0.00\)"/>
    <numFmt numFmtId="181" formatCode="#,##0.000"/>
    <numFmt numFmtId="182" formatCode="&quot;$&quot;#,##0.000"/>
    <numFmt numFmtId="183" formatCode="&quot;$&quot;#,##0\ ;\(&quot;$&quot;#,##0\)"/>
  </numFmts>
  <fonts count="2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u val="single"/>
      <sz val="12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5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168" fontId="0" fillId="0" borderId="9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168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right"/>
    </xf>
    <xf numFmtId="9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9" fontId="1" fillId="0" borderId="0" xfId="2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 quotePrefix="1">
      <alignment/>
    </xf>
    <xf numFmtId="168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15" xfId="0" applyFont="1" applyBorder="1" applyAlignment="1">
      <alignment/>
    </xf>
    <xf numFmtId="168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7" fillId="0" borderId="17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6" fontId="0" fillId="0" borderId="0" xfId="0" applyNumberFormat="1" applyAlignment="1">
      <alignment/>
    </xf>
    <xf numFmtId="6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7" fillId="0" borderId="0" xfId="0" applyFont="1" applyAlignment="1">
      <alignment wrapText="1"/>
    </xf>
    <xf numFmtId="0" fontId="7" fillId="0" borderId="1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179" fontId="17" fillId="0" borderId="5" xfId="0" applyNumberFormat="1" applyFont="1" applyBorder="1" applyAlignment="1" quotePrefix="1">
      <alignment wrapText="1"/>
    </xf>
    <xf numFmtId="179" fontId="17" fillId="0" borderId="5" xfId="0" applyNumberFormat="1" applyFont="1" applyBorder="1" applyAlignment="1">
      <alignment/>
    </xf>
    <xf numFmtId="180" fontId="17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 quotePrefix="1">
      <alignment wrapText="1"/>
    </xf>
    <xf numFmtId="179" fontId="0" fillId="0" borderId="5" xfId="0" applyNumberFormat="1" applyFont="1" applyBorder="1" applyAlignment="1">
      <alignment wrapText="1"/>
    </xf>
    <xf numFmtId="179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9" fontId="17" fillId="0" borderId="5" xfId="0" applyNumberFormat="1" applyFont="1" applyFill="1" applyBorder="1" applyAlignment="1">
      <alignment/>
    </xf>
    <xf numFmtId="180" fontId="17" fillId="0" borderId="5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179" fontId="0" fillId="0" borderId="5" xfId="0" applyNumberFormat="1" applyFont="1" applyBorder="1" applyAlignment="1" quotePrefix="1">
      <alignment wrapText="1"/>
    </xf>
    <xf numFmtId="179" fontId="0" fillId="0" borderId="5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0" fontId="17" fillId="0" borderId="5" xfId="0" applyFont="1" applyBorder="1" applyAlignment="1">
      <alignment wrapText="1"/>
    </xf>
    <xf numFmtId="179" fontId="17" fillId="0" borderId="5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179" fontId="0" fillId="0" borderId="5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5" borderId="19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68" fontId="0" fillId="0" borderId="6" xfId="0" applyNumberFormat="1" applyBorder="1" applyAlignment="1">
      <alignment/>
    </xf>
    <xf numFmtId="168" fontId="7" fillId="0" borderId="0" xfId="0" applyNumberFormat="1" applyFont="1" applyAlignment="1">
      <alignment/>
    </xf>
    <xf numFmtId="0" fontId="13" fillId="0" borderId="0" xfId="0" applyFont="1" applyAlignment="1">
      <alignment/>
    </xf>
    <xf numFmtId="9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68" fontId="7" fillId="3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183" fontId="0" fillId="3" borderId="0" xfId="0" applyNumberFormat="1" applyFill="1" applyAlignment="1">
      <alignment horizontal="right"/>
    </xf>
    <xf numFmtId="6" fontId="0" fillId="0" borderId="0" xfId="0" applyNumberForma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18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6" fontId="0" fillId="0" borderId="25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0" fillId="0" borderId="20" xfId="21" applyBorder="1" applyAlignment="1">
      <alignment/>
    </xf>
    <xf numFmtId="9" fontId="0" fillId="0" borderId="0" xfId="21" applyBorder="1" applyAlignment="1">
      <alignment/>
    </xf>
    <xf numFmtId="183" fontId="1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7" fillId="0" borderId="5" xfId="21" applyFont="1" applyBorder="1" applyAlignment="1">
      <alignment/>
    </xf>
    <xf numFmtId="183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33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7.0.0.0: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Block_7.0.0.0: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CB_Block_7.0.0.0: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workbookViewId="0" topLeftCell="A22">
      <selection activeCell="D38" sqref="D38"/>
    </sheetView>
  </sheetViews>
  <sheetFormatPr defaultColWidth="9.140625" defaultRowHeight="12.75"/>
  <cols>
    <col min="1" max="1" width="3.7109375" style="0" customWidth="1"/>
    <col min="2" max="2" width="11.140625" style="0" bestFit="1" customWidth="1"/>
    <col min="3" max="3" width="20.28125" style="0" customWidth="1"/>
    <col min="4" max="4" width="17.57421875" style="0" customWidth="1"/>
    <col min="5" max="5" width="13.421875" style="0" customWidth="1"/>
    <col min="6" max="6" width="15.57421875" style="0" customWidth="1"/>
    <col min="7" max="7" width="18.28125" style="0" customWidth="1"/>
    <col min="8" max="8" width="13.421875" style="0" customWidth="1"/>
    <col min="9" max="9" width="14.140625" style="0" customWidth="1"/>
  </cols>
  <sheetData>
    <row r="1" spans="2:9" ht="39">
      <c r="B1" s="129" t="s">
        <v>522</v>
      </c>
      <c r="C1" s="130" t="s">
        <v>523</v>
      </c>
      <c r="D1" s="130" t="s">
        <v>321</v>
      </c>
      <c r="E1" s="130" t="s">
        <v>524</v>
      </c>
      <c r="F1" s="130" t="s">
        <v>525</v>
      </c>
      <c r="G1" s="130" t="s">
        <v>316</v>
      </c>
      <c r="H1" s="130" t="s">
        <v>317</v>
      </c>
      <c r="I1" s="130" t="s">
        <v>319</v>
      </c>
    </row>
    <row r="2" spans="2:9" ht="12.75">
      <c r="B2" s="131" t="s">
        <v>526</v>
      </c>
      <c r="C2" s="132">
        <v>2007.997653258152</v>
      </c>
      <c r="D2" s="132">
        <v>-2609.341304993593</v>
      </c>
      <c r="E2" s="133">
        <v>-8.174902777011814</v>
      </c>
      <c r="F2" s="126">
        <v>-4.457915675792684</v>
      </c>
      <c r="G2" s="132">
        <v>2953.2196776793307</v>
      </c>
      <c r="H2" s="132">
        <v>115421.40267767932</v>
      </c>
      <c r="I2" s="126">
        <v>-8.56295691205066</v>
      </c>
    </row>
    <row r="3" spans="2:9" ht="12.75">
      <c r="B3" s="131" t="s">
        <v>527</v>
      </c>
      <c r="C3" s="132">
        <v>5096.081655239485</v>
      </c>
      <c r="D3" s="132">
        <v>167.47517677499954</v>
      </c>
      <c r="E3" s="133">
        <v>-2.3006906022244644</v>
      </c>
      <c r="F3" s="126">
        <v>-0.5869015205758288</v>
      </c>
      <c r="G3" s="132">
        <v>6780.831017548783</v>
      </c>
      <c r="H3" s="132">
        <v>119249.01401754879</v>
      </c>
      <c r="I3" s="126">
        <v>-0.545373462229302</v>
      </c>
    </row>
    <row r="4" spans="2:9" ht="12.75">
      <c r="B4" s="131" t="s">
        <v>528</v>
      </c>
      <c r="C4" s="132">
        <v>5733.5700316239245</v>
      </c>
      <c r="D4" s="132">
        <v>594.9170434499248</v>
      </c>
      <c r="E4" s="133">
        <v>-1.1750772643333804</v>
      </c>
      <c r="F4" s="126">
        <v>0.109107516915103</v>
      </c>
      <c r="G4" s="132">
        <v>7602.360469183128</v>
      </c>
      <c r="H4" s="132">
        <v>120070.54346918315</v>
      </c>
      <c r="I4" s="126">
        <v>0.854040692402526</v>
      </c>
    </row>
    <row r="5" spans="2:9" ht="12.75">
      <c r="B5" s="131" t="s">
        <v>529</v>
      </c>
      <c r="C5" s="132">
        <v>6182.6781792467655</v>
      </c>
      <c r="D5" s="132">
        <v>878.2255247278217</v>
      </c>
      <c r="E5" s="133">
        <v>-0.3696038742905162</v>
      </c>
      <c r="F5" s="126">
        <v>0.57485095913767</v>
      </c>
      <c r="G5" s="132">
        <v>8209.394062788804</v>
      </c>
      <c r="H5" s="132">
        <v>120677.57706278881</v>
      </c>
      <c r="I5" s="126">
        <v>1.791582974586845</v>
      </c>
    </row>
    <row r="6" spans="2:9" ht="12.75">
      <c r="B6" s="131" t="s">
        <v>530</v>
      </c>
      <c r="C6" s="132">
        <v>6553.2447851097195</v>
      </c>
      <c r="D6" s="132">
        <v>1168.1053846242048</v>
      </c>
      <c r="E6" s="133">
        <v>0.13130527469126</v>
      </c>
      <c r="F6" s="126">
        <v>0.966251019814166</v>
      </c>
      <c r="G6" s="132">
        <v>8659.135038029253</v>
      </c>
      <c r="H6" s="132">
        <v>121127.31803802926</v>
      </c>
      <c r="I6" s="126">
        <v>2.511501013287486</v>
      </c>
    </row>
    <row r="7" spans="2:9" ht="12.75">
      <c r="B7" s="131" t="s">
        <v>531</v>
      </c>
      <c r="C7" s="132">
        <v>6894.848566455577</v>
      </c>
      <c r="D7" s="132">
        <v>1424.828265281671</v>
      </c>
      <c r="E7" s="133">
        <v>0.644701515238793</v>
      </c>
      <c r="F7" s="126">
        <v>1.330100785792993</v>
      </c>
      <c r="G7" s="132">
        <v>9047.648493123765</v>
      </c>
      <c r="H7" s="132">
        <v>121515.83149312377</v>
      </c>
      <c r="I7" s="126">
        <v>3.135858276120904</v>
      </c>
    </row>
    <row r="8" spans="2:9" ht="12.75">
      <c r="B8" s="131" t="s">
        <v>532</v>
      </c>
      <c r="C8" s="132">
        <v>7170.143422610196</v>
      </c>
      <c r="D8" s="132">
        <v>1666.0089571157728</v>
      </c>
      <c r="E8" s="133">
        <v>1.097172858066831</v>
      </c>
      <c r="F8" s="126">
        <v>1.691353454487896</v>
      </c>
      <c r="G8" s="132">
        <v>9424.538184800836</v>
      </c>
      <c r="H8" s="132">
        <v>121892.72118480084</v>
      </c>
      <c r="I8" s="126">
        <v>3.664082031915399</v>
      </c>
    </row>
    <row r="9" spans="2:9" ht="12.75">
      <c r="B9" s="131" t="s">
        <v>533</v>
      </c>
      <c r="C9" s="132">
        <v>7449.71134067534</v>
      </c>
      <c r="D9" s="132">
        <v>1891.2891618514202</v>
      </c>
      <c r="E9" s="133">
        <v>1.494890586453397</v>
      </c>
      <c r="F9" s="126">
        <v>1.99113610292396</v>
      </c>
      <c r="G9" s="132">
        <v>9761.374737522345</v>
      </c>
      <c r="H9" s="132">
        <v>122229.55773752235</v>
      </c>
      <c r="I9" s="126">
        <v>4.16986580798935</v>
      </c>
    </row>
    <row r="10" spans="2:9" ht="12.75">
      <c r="B10" s="131" t="s">
        <v>534</v>
      </c>
      <c r="C10" s="132">
        <v>7709.020532209712</v>
      </c>
      <c r="D10" s="132">
        <v>2107.6454151162793</v>
      </c>
      <c r="E10" s="133">
        <v>1.845190523180862</v>
      </c>
      <c r="F10" s="126">
        <v>2.283479860593616</v>
      </c>
      <c r="G10" s="132">
        <v>10090.990018926132</v>
      </c>
      <c r="H10" s="132">
        <v>122559.17301892614</v>
      </c>
      <c r="I10" s="126">
        <v>4.687066705059232</v>
      </c>
    </row>
    <row r="11" spans="2:9" ht="12.75">
      <c r="B11" s="131" t="s">
        <v>535</v>
      </c>
      <c r="C11" s="132">
        <v>7964.978093529253</v>
      </c>
      <c r="D11" s="132">
        <v>2311.569591816537</v>
      </c>
      <c r="E11" s="133">
        <v>2.195120366361685</v>
      </c>
      <c r="F11" s="126">
        <v>2.614510573582294</v>
      </c>
      <c r="G11" s="132">
        <v>10408.25492443494</v>
      </c>
      <c r="H11" s="132">
        <v>122876.43792443494</v>
      </c>
      <c r="I11" s="126">
        <v>5.158047478331</v>
      </c>
    </row>
    <row r="12" spans="2:9" ht="12.75">
      <c r="B12" s="131" t="s">
        <v>536</v>
      </c>
      <c r="C12" s="132">
        <v>8245.305238808067</v>
      </c>
      <c r="D12" s="132">
        <v>2497.0309140266227</v>
      </c>
      <c r="E12" s="133">
        <v>2.545816322143053</v>
      </c>
      <c r="F12" s="126">
        <v>2.934810309223672</v>
      </c>
      <c r="G12" s="132">
        <v>10717.015936648564</v>
      </c>
      <c r="H12" s="132">
        <v>123185.19893664856</v>
      </c>
      <c r="I12" s="126">
        <v>5.623923968646138</v>
      </c>
    </row>
    <row r="13" spans="2:9" ht="12.75">
      <c r="B13" s="131" t="s">
        <v>537</v>
      </c>
      <c r="C13" s="132">
        <v>8493.957364283237</v>
      </c>
      <c r="D13" s="132">
        <v>2675.2280646784493</v>
      </c>
      <c r="E13" s="133">
        <v>2.913266530273456</v>
      </c>
      <c r="F13" s="126">
        <v>3.260890256168644</v>
      </c>
      <c r="G13" s="132">
        <v>11028.31443227973</v>
      </c>
      <c r="H13" s="132">
        <v>123496.49743227974</v>
      </c>
      <c r="I13" s="126">
        <v>6.137922427811541</v>
      </c>
    </row>
    <row r="14" spans="2:9" ht="12.75">
      <c r="B14" s="131" t="s">
        <v>538</v>
      </c>
      <c r="C14" s="132">
        <v>8759.353468206684</v>
      </c>
      <c r="D14" s="132">
        <v>2871.214486104268</v>
      </c>
      <c r="E14" s="133">
        <v>3.300879691942961</v>
      </c>
      <c r="F14" s="126">
        <v>3.595988677886296</v>
      </c>
      <c r="G14" s="132">
        <v>11357.568092907402</v>
      </c>
      <c r="H14" s="132">
        <v>123825.7510929074</v>
      </c>
      <c r="I14" s="126">
        <v>6.627913559558301</v>
      </c>
    </row>
    <row r="15" spans="2:9" ht="12.75">
      <c r="B15" s="131" t="s">
        <v>539</v>
      </c>
      <c r="C15" s="132">
        <v>9046.277929228681</v>
      </c>
      <c r="D15" s="132">
        <v>3066.460932202019</v>
      </c>
      <c r="E15" s="133">
        <v>3.69029218704466</v>
      </c>
      <c r="F15" s="126">
        <v>3.971978535381168</v>
      </c>
      <c r="G15" s="132">
        <v>11696.842159939284</v>
      </c>
      <c r="H15" s="132">
        <v>124165.0251599393</v>
      </c>
      <c r="I15" s="126">
        <v>7.132813891315367</v>
      </c>
    </row>
    <row r="16" spans="2:9" ht="12.75">
      <c r="B16" s="131" t="s">
        <v>540</v>
      </c>
      <c r="C16" s="132">
        <v>9327.473134681099</v>
      </c>
      <c r="D16" s="132">
        <v>3245.1648246085333</v>
      </c>
      <c r="E16" s="133">
        <v>4.079141202828866</v>
      </c>
      <c r="F16" s="126">
        <v>4.37105258712225</v>
      </c>
      <c r="G16" s="132">
        <v>12057.68360894627</v>
      </c>
      <c r="H16" s="132">
        <v>124525.86660894628</v>
      </c>
      <c r="I16" s="126">
        <v>7.646224134581468</v>
      </c>
    </row>
    <row r="17" spans="2:9" ht="12.75">
      <c r="B17" s="131" t="s">
        <v>541</v>
      </c>
      <c r="C17" s="132">
        <v>9646.393296476677</v>
      </c>
      <c r="D17" s="132">
        <v>3449.410857021318</v>
      </c>
      <c r="E17" s="133">
        <v>4.494320587698426</v>
      </c>
      <c r="F17" s="126">
        <v>4.783870686827008</v>
      </c>
      <c r="G17" s="132">
        <v>12418.729380887316</v>
      </c>
      <c r="H17" s="132">
        <v>124886.91238088731</v>
      </c>
      <c r="I17" s="126">
        <v>8.213733697119073</v>
      </c>
    </row>
    <row r="18" spans="2:9" ht="12.75">
      <c r="B18" s="134" t="s">
        <v>542</v>
      </c>
      <c r="C18" s="132">
        <v>10013.950113099232</v>
      </c>
      <c r="D18" s="132">
        <v>3667.4766839886424</v>
      </c>
      <c r="E18" s="133">
        <v>4.966900994475571</v>
      </c>
      <c r="F18" s="126">
        <v>5.267119677365898</v>
      </c>
      <c r="G18" s="132">
        <v>12853.321146329194</v>
      </c>
      <c r="H18" s="127">
        <v>125321.5041463292</v>
      </c>
      <c r="I18" s="135">
        <v>8.845841345864928</v>
      </c>
    </row>
    <row r="19" spans="2:9" ht="12.75">
      <c r="B19" s="131" t="s">
        <v>543</v>
      </c>
      <c r="C19" s="132">
        <v>10423.190915563495</v>
      </c>
      <c r="D19" s="132">
        <v>3963.037473524051</v>
      </c>
      <c r="E19" s="133">
        <v>5.526376061852265</v>
      </c>
      <c r="F19" s="126">
        <v>5.856971483320059</v>
      </c>
      <c r="G19" s="132">
        <v>13367.934660624273</v>
      </c>
      <c r="H19" s="132">
        <v>125836.11766062427</v>
      </c>
      <c r="I19" s="126">
        <v>9.584194783838322</v>
      </c>
    </row>
    <row r="20" spans="2:9" ht="12.75">
      <c r="B20" s="131" t="s">
        <v>544</v>
      </c>
      <c r="C20" s="132">
        <v>10909.137508322121</v>
      </c>
      <c r="D20" s="132">
        <v>4333.562145060298</v>
      </c>
      <c r="E20" s="133">
        <v>6.242658743193013</v>
      </c>
      <c r="F20" s="126">
        <v>6.540965207487048</v>
      </c>
      <c r="G20" s="132">
        <v>14003.656148264168</v>
      </c>
      <c r="H20" s="132">
        <v>126471.83914826417</v>
      </c>
      <c r="I20" s="126">
        <v>10.542945423687236</v>
      </c>
    </row>
    <row r="21" spans="2:9" ht="12.75">
      <c r="B21" s="131" t="s">
        <v>545</v>
      </c>
      <c r="C21" s="132">
        <v>11700.0843455857</v>
      </c>
      <c r="D21" s="132">
        <v>4897.652869146284</v>
      </c>
      <c r="E21" s="133">
        <v>7.182741082143389</v>
      </c>
      <c r="F21" s="126">
        <v>7.458089350138465</v>
      </c>
      <c r="G21" s="132">
        <v>14911.821146075126</v>
      </c>
      <c r="H21" s="132">
        <v>127380.00414607514</v>
      </c>
      <c r="I21" s="126">
        <v>11.846760711598382</v>
      </c>
    </row>
    <row r="22" spans="2:9" ht="12.75">
      <c r="B22" s="131" t="s">
        <v>546</v>
      </c>
      <c r="C22" s="132">
        <v>15181.765922015285</v>
      </c>
      <c r="D22" s="132">
        <v>7504.048243698568</v>
      </c>
      <c r="E22" s="133">
        <v>13.551284602062177</v>
      </c>
      <c r="F22" s="126">
        <v>11.028913553003584</v>
      </c>
      <c r="G22" s="132">
        <v>19557.724435215343</v>
      </c>
      <c r="H22" s="132">
        <v>132025.90743521534</v>
      </c>
      <c r="I22" s="126">
        <v>18.360180265006164</v>
      </c>
    </row>
    <row r="24" ht="13.5" thickBot="1"/>
    <row r="25" spans="2:4" ht="12.75">
      <c r="B25" s="136" t="s">
        <v>547</v>
      </c>
      <c r="C25" s="137"/>
      <c r="D25" s="138">
        <f>H18</f>
        <v>125321.5041463292</v>
      </c>
    </row>
    <row r="26" spans="2:4" ht="12.75">
      <c r="B26" s="139"/>
      <c r="C26" s="140"/>
      <c r="D26" s="141"/>
    </row>
    <row r="27" spans="2:4" ht="12.75">
      <c r="B27" s="139" t="s">
        <v>548</v>
      </c>
      <c r="C27" s="140"/>
      <c r="D27" s="142">
        <f>Model!B3</f>
        <v>67242</v>
      </c>
    </row>
    <row r="28" spans="2:4" ht="12.75">
      <c r="B28" s="139"/>
      <c r="C28" s="140"/>
      <c r="D28" s="141"/>
    </row>
    <row r="29" spans="2:4" ht="12.75">
      <c r="B29" s="139" t="s">
        <v>549</v>
      </c>
      <c r="C29" s="140"/>
      <c r="D29" s="142">
        <f>Model!B5</f>
        <v>45226.183000000005</v>
      </c>
    </row>
    <row r="30" spans="2:4" ht="12.75">
      <c r="B30" s="139"/>
      <c r="C30" s="140"/>
      <c r="D30" s="141"/>
    </row>
    <row r="31" spans="2:4" ht="12.75">
      <c r="B31" s="139"/>
      <c r="C31" s="140" t="s">
        <v>550</v>
      </c>
      <c r="D31" s="143">
        <f>D25-D27-D29</f>
        <v>12853.321146329195</v>
      </c>
    </row>
    <row r="32" spans="2:4" ht="12.75">
      <c r="B32" s="139"/>
      <c r="C32" s="140"/>
      <c r="D32" s="141"/>
    </row>
    <row r="33" spans="2:4" ht="13.5" thickBot="1">
      <c r="B33" s="144"/>
      <c r="C33" s="145" t="s">
        <v>551</v>
      </c>
      <c r="D33" s="146">
        <f>D31/D29</f>
        <v>0.2842008830665456</v>
      </c>
    </row>
    <row r="35" ht="12.75">
      <c r="B35" t="s">
        <v>552</v>
      </c>
    </row>
    <row r="36" spans="2:9" ht="12.75">
      <c r="B36" t="s">
        <v>553</v>
      </c>
      <c r="F36" s="148">
        <f>I18*260</f>
        <v>2299.9187499248815</v>
      </c>
      <c r="G36" t="s">
        <v>556</v>
      </c>
      <c r="H36" s="149">
        <f>I18</f>
        <v>8.845841345864928</v>
      </c>
      <c r="I36" s="150" t="s">
        <v>557</v>
      </c>
    </row>
    <row r="37" ht="12.75">
      <c r="F37" s="140"/>
    </row>
    <row r="38" spans="2:6" ht="12.75">
      <c r="B38" t="s">
        <v>554</v>
      </c>
      <c r="D38" s="152">
        <f>D31-F36</f>
        <v>10553.402396404314</v>
      </c>
      <c r="E38" t="s">
        <v>555</v>
      </c>
      <c r="F38" s="151">
        <f>D38/D29</f>
        <v>0.23334718290076154</v>
      </c>
    </row>
    <row r="39" ht="12.75">
      <c r="F39" s="147"/>
    </row>
    <row r="40" ht="12.75">
      <c r="B40" t="s">
        <v>558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C16">
      <selection activeCell="S26" sqref="S26"/>
    </sheetView>
  </sheetViews>
  <sheetFormatPr defaultColWidth="9.140625" defaultRowHeight="12.75"/>
  <cols>
    <col min="1" max="1" width="6.57421875" style="0" customWidth="1"/>
    <col min="2" max="2" width="53.28125" style="0" bestFit="1" customWidth="1"/>
    <col min="3" max="3" width="9.7109375" style="0" bestFit="1" customWidth="1"/>
    <col min="4" max="4" width="39.8515625" style="0" customWidth="1"/>
    <col min="5" max="9" width="9.8515625" style="0" bestFit="1" customWidth="1"/>
  </cols>
  <sheetData>
    <row r="1" ht="12.75">
      <c r="A1" s="60" t="s">
        <v>457</v>
      </c>
    </row>
    <row r="2" spans="1:5" ht="12.75">
      <c r="A2" t="s">
        <v>458</v>
      </c>
      <c r="E2" t="s">
        <v>459</v>
      </c>
    </row>
    <row r="3" spans="5:10" ht="12.75">
      <c r="E3" s="60" t="s">
        <v>460</v>
      </c>
      <c r="F3" s="60" t="s">
        <v>461</v>
      </c>
      <c r="G3" s="60" t="s">
        <v>462</v>
      </c>
      <c r="H3" s="60" t="s">
        <v>463</v>
      </c>
      <c r="I3" s="60" t="s">
        <v>464</v>
      </c>
      <c r="J3" s="60" t="s">
        <v>465</v>
      </c>
    </row>
    <row r="4" spans="1:10" ht="12.75">
      <c r="A4" t="s">
        <v>466</v>
      </c>
      <c r="E4" s="51"/>
      <c r="F4" s="51"/>
      <c r="G4" s="51"/>
      <c r="H4" s="51"/>
      <c r="I4" s="51"/>
      <c r="J4" s="51"/>
    </row>
    <row r="5" spans="2:10" ht="12.75">
      <c r="B5" t="s">
        <v>467</v>
      </c>
      <c r="C5" t="s">
        <v>468</v>
      </c>
      <c r="D5" t="s">
        <v>469</v>
      </c>
      <c r="E5" s="51"/>
      <c r="F5" s="51">
        <v>95.3</v>
      </c>
      <c r="G5" s="51"/>
      <c r="H5" s="51"/>
      <c r="I5" s="51"/>
      <c r="J5" s="51">
        <v>95.3</v>
      </c>
    </row>
    <row r="6" spans="2:10" ht="12.75">
      <c r="B6" t="s">
        <v>470</v>
      </c>
      <c r="C6" t="s">
        <v>471</v>
      </c>
      <c r="D6" t="s">
        <v>472</v>
      </c>
      <c r="E6" s="51"/>
      <c r="F6" s="51"/>
      <c r="G6" s="51">
        <v>33.7</v>
      </c>
      <c r="H6" s="51"/>
      <c r="I6" s="51"/>
      <c r="J6" s="51">
        <v>33.7</v>
      </c>
    </row>
    <row r="7" spans="2:10" ht="12.75">
      <c r="B7" t="s">
        <v>473</v>
      </c>
      <c r="C7" t="s">
        <v>474</v>
      </c>
      <c r="D7" t="s">
        <v>475</v>
      </c>
      <c r="E7" s="51"/>
      <c r="F7" s="51"/>
      <c r="G7" s="51">
        <v>64.7</v>
      </c>
      <c r="H7" s="51">
        <v>17.8</v>
      </c>
      <c r="I7" s="51"/>
      <c r="J7" s="51">
        <v>82.5</v>
      </c>
    </row>
    <row r="8" spans="2:10" ht="12.75">
      <c r="B8" t="s">
        <v>476</v>
      </c>
      <c r="C8" t="s">
        <v>477</v>
      </c>
      <c r="D8" t="s">
        <v>478</v>
      </c>
      <c r="E8" s="51"/>
      <c r="F8" s="51"/>
      <c r="G8" s="51">
        <v>10</v>
      </c>
      <c r="H8" s="51"/>
      <c r="I8" s="51"/>
      <c r="J8" s="51">
        <v>10</v>
      </c>
    </row>
    <row r="9" spans="2:10" ht="12.75">
      <c r="B9" t="s">
        <v>479</v>
      </c>
      <c r="C9" t="s">
        <v>480</v>
      </c>
      <c r="D9" t="s">
        <v>481</v>
      </c>
      <c r="E9" s="51"/>
      <c r="F9" s="51"/>
      <c r="G9" s="51">
        <v>45</v>
      </c>
      <c r="H9" s="51"/>
      <c r="I9" s="51"/>
      <c r="J9" s="51">
        <v>45</v>
      </c>
    </row>
    <row r="10" spans="2:10" ht="12.75">
      <c r="B10" t="s">
        <v>479</v>
      </c>
      <c r="C10" t="s">
        <v>482</v>
      </c>
      <c r="D10" t="s">
        <v>483</v>
      </c>
      <c r="E10" s="120"/>
      <c r="F10" s="120"/>
      <c r="G10" s="120">
        <v>140</v>
      </c>
      <c r="H10" s="120"/>
      <c r="I10" s="120"/>
      <c r="J10" s="120">
        <v>140</v>
      </c>
    </row>
    <row r="11" spans="5:10" ht="12.75">
      <c r="E11" s="121">
        <f aca="true" t="shared" si="0" ref="E11:J11">SUM(E4:E10)</f>
        <v>0</v>
      </c>
      <c r="F11" s="121">
        <f t="shared" si="0"/>
        <v>95.3</v>
      </c>
      <c r="G11" s="121">
        <f t="shared" si="0"/>
        <v>293.4</v>
      </c>
      <c r="H11" s="121">
        <f t="shared" si="0"/>
        <v>17.8</v>
      </c>
      <c r="I11" s="121">
        <f t="shared" si="0"/>
        <v>0</v>
      </c>
      <c r="J11" s="121">
        <f t="shared" si="0"/>
        <v>406.5</v>
      </c>
    </row>
    <row r="12" spans="1:10" ht="12.75">
      <c r="A12" t="s">
        <v>484</v>
      </c>
      <c r="E12" s="51"/>
      <c r="F12" s="51"/>
      <c r="G12" s="51"/>
      <c r="H12" s="51"/>
      <c r="I12" s="51"/>
      <c r="J12" s="51"/>
    </row>
    <row r="13" spans="2:10" ht="12.75">
      <c r="B13" t="s">
        <v>485</v>
      </c>
      <c r="C13" t="s">
        <v>486</v>
      </c>
      <c r="D13" t="s">
        <v>487</v>
      </c>
      <c r="E13" s="51"/>
      <c r="F13" s="51"/>
      <c r="G13" s="51">
        <v>58.5</v>
      </c>
      <c r="H13" s="51"/>
      <c r="I13" s="51"/>
      <c r="J13" s="51">
        <v>58.5</v>
      </c>
    </row>
    <row r="14" spans="2:10" ht="12.75">
      <c r="B14" t="s">
        <v>488</v>
      </c>
      <c r="C14" t="s">
        <v>489</v>
      </c>
      <c r="D14" t="s">
        <v>490</v>
      </c>
      <c r="E14" s="51">
        <v>30</v>
      </c>
      <c r="F14" s="51"/>
      <c r="G14" s="51"/>
      <c r="H14" s="51"/>
      <c r="I14" s="51"/>
      <c r="J14" s="51">
        <v>30</v>
      </c>
    </row>
    <row r="15" spans="2:10" ht="12.75">
      <c r="B15" t="s">
        <v>491</v>
      </c>
      <c r="C15" t="s">
        <v>492</v>
      </c>
      <c r="D15" t="s">
        <v>493</v>
      </c>
      <c r="E15" s="51">
        <v>77.6</v>
      </c>
      <c r="F15" s="51"/>
      <c r="G15" s="51"/>
      <c r="H15" s="51"/>
      <c r="I15" s="51"/>
      <c r="J15" s="51">
        <v>77.6</v>
      </c>
    </row>
    <row r="16" spans="2:10" ht="12.75">
      <c r="B16" t="s">
        <v>491</v>
      </c>
      <c r="C16" t="s">
        <v>494</v>
      </c>
      <c r="D16" t="s">
        <v>495</v>
      </c>
      <c r="E16" s="51">
        <v>57.1</v>
      </c>
      <c r="F16" s="51">
        <v>3.5</v>
      </c>
      <c r="G16" s="51"/>
      <c r="H16" s="51"/>
      <c r="I16" s="51"/>
      <c r="J16" s="51">
        <v>60.6</v>
      </c>
    </row>
    <row r="17" spans="2:10" ht="12.75">
      <c r="B17" t="s">
        <v>496</v>
      </c>
      <c r="C17" t="s">
        <v>497</v>
      </c>
      <c r="D17" t="s">
        <v>498</v>
      </c>
      <c r="E17" s="51"/>
      <c r="F17" s="51">
        <v>30</v>
      </c>
      <c r="G17" s="51"/>
      <c r="H17" s="51"/>
      <c r="I17" s="51"/>
      <c r="J17" s="51">
        <v>30</v>
      </c>
    </row>
    <row r="18" spans="2:10" ht="12.75">
      <c r="B18" t="s">
        <v>499</v>
      </c>
      <c r="C18" t="s">
        <v>500</v>
      </c>
      <c r="D18" t="s">
        <v>501</v>
      </c>
      <c r="E18" s="51"/>
      <c r="F18" s="51">
        <v>371.2</v>
      </c>
      <c r="G18" s="51">
        <v>88.4</v>
      </c>
      <c r="H18" s="51"/>
      <c r="I18" s="51"/>
      <c r="J18" s="51">
        <v>459.6</v>
      </c>
    </row>
    <row r="19" spans="2:10" ht="12.75">
      <c r="B19" t="s">
        <v>499</v>
      </c>
      <c r="C19" t="s">
        <v>502</v>
      </c>
      <c r="D19" t="s">
        <v>503</v>
      </c>
      <c r="E19" s="51"/>
      <c r="F19" s="51"/>
      <c r="G19" s="51">
        <v>480.1</v>
      </c>
      <c r="H19" s="51">
        <v>108.7</v>
      </c>
      <c r="I19" s="51"/>
      <c r="J19" s="51">
        <v>588.8</v>
      </c>
    </row>
    <row r="20" spans="2:10" ht="12.75">
      <c r="B20" t="s">
        <v>499</v>
      </c>
      <c r="C20" t="s">
        <v>504</v>
      </c>
      <c r="D20" t="s">
        <v>505</v>
      </c>
      <c r="E20" s="51"/>
      <c r="F20" s="51"/>
      <c r="G20" s="51">
        <v>83.6</v>
      </c>
      <c r="H20" s="51"/>
      <c r="I20" s="51"/>
      <c r="J20" s="51">
        <v>83.6</v>
      </c>
    </row>
    <row r="21" spans="2:10" ht="12.75">
      <c r="B21" t="s">
        <v>499</v>
      </c>
      <c r="C21" t="s">
        <v>506</v>
      </c>
      <c r="D21" t="s">
        <v>507</v>
      </c>
      <c r="E21" s="51"/>
      <c r="F21" s="51"/>
      <c r="G21" s="51">
        <v>84.8</v>
      </c>
      <c r="H21" s="51"/>
      <c r="I21" s="51"/>
      <c r="J21" s="51">
        <v>84.8</v>
      </c>
    </row>
    <row r="22" spans="2:10" ht="12.75">
      <c r="B22" t="s">
        <v>499</v>
      </c>
      <c r="C22" t="s">
        <v>508</v>
      </c>
      <c r="D22" t="s">
        <v>509</v>
      </c>
      <c r="E22" s="51"/>
      <c r="F22" s="51">
        <v>97.5</v>
      </c>
      <c r="G22" s="51"/>
      <c r="H22" s="51"/>
      <c r="I22" s="51"/>
      <c r="J22" s="51">
        <v>97.5</v>
      </c>
    </row>
    <row r="23" spans="2:10" ht="12.75">
      <c r="B23" t="s">
        <v>499</v>
      </c>
      <c r="C23" t="s">
        <v>510</v>
      </c>
      <c r="D23" t="s">
        <v>511</v>
      </c>
      <c r="E23" s="120"/>
      <c r="F23" s="120">
        <v>13.9</v>
      </c>
      <c r="G23" s="120"/>
      <c r="H23" s="120"/>
      <c r="I23" s="120"/>
      <c r="J23" s="120">
        <v>13.9</v>
      </c>
    </row>
    <row r="24" spans="5:10" ht="12.75">
      <c r="E24" s="121">
        <f aca="true" t="shared" si="1" ref="E24:J24">SUM(E13:E23)</f>
        <v>164.7</v>
      </c>
      <c r="F24" s="121">
        <f t="shared" si="1"/>
        <v>516.1</v>
      </c>
      <c r="G24" s="121">
        <f t="shared" si="1"/>
        <v>795.4</v>
      </c>
      <c r="H24" s="121">
        <f t="shared" si="1"/>
        <v>108.7</v>
      </c>
      <c r="I24" s="121">
        <f t="shared" si="1"/>
        <v>0</v>
      </c>
      <c r="J24" s="121">
        <f t="shared" si="1"/>
        <v>1584.8999999999999</v>
      </c>
    </row>
    <row r="25" spans="5:10" ht="12.75">
      <c r="E25" s="51"/>
      <c r="F25" s="51"/>
      <c r="G25" s="51"/>
      <c r="H25" s="51"/>
      <c r="I25" s="51"/>
      <c r="J25" s="51"/>
    </row>
    <row r="26" spans="5:10" ht="12.75">
      <c r="E26" s="51"/>
      <c r="F26" s="51"/>
      <c r="G26" s="51"/>
      <c r="H26" s="51"/>
      <c r="I26" s="51"/>
      <c r="J26" s="51"/>
    </row>
    <row r="27" spans="1:10" ht="12.75">
      <c r="A27" s="122" t="s">
        <v>512</v>
      </c>
      <c r="E27" s="51"/>
      <c r="F27" s="51"/>
      <c r="G27" s="51"/>
      <c r="H27" s="51"/>
      <c r="I27" s="51"/>
      <c r="J27" s="51"/>
    </row>
    <row r="28" spans="5:10" ht="12.75">
      <c r="E28" s="51"/>
      <c r="F28" s="51"/>
      <c r="G28" s="51"/>
      <c r="H28" s="51"/>
      <c r="I28" s="51"/>
      <c r="J28" s="51"/>
    </row>
    <row r="29" spans="2:10" ht="12.75">
      <c r="B29" t="s">
        <v>513</v>
      </c>
      <c r="E29" s="121">
        <f aca="true" t="shared" si="2" ref="E29:J29">+E11/2</f>
        <v>0</v>
      </c>
      <c r="F29" s="121">
        <f t="shared" si="2"/>
        <v>47.65</v>
      </c>
      <c r="G29" s="121">
        <f t="shared" si="2"/>
        <v>146.7</v>
      </c>
      <c r="H29" s="121">
        <f t="shared" si="2"/>
        <v>8.9</v>
      </c>
      <c r="I29" s="121">
        <f t="shared" si="2"/>
        <v>0</v>
      </c>
      <c r="J29" s="121">
        <f t="shared" si="2"/>
        <v>203.25</v>
      </c>
    </row>
    <row r="30" spans="2:10" ht="12.75">
      <c r="B30" t="s">
        <v>514</v>
      </c>
      <c r="C30" s="123">
        <v>0.03</v>
      </c>
      <c r="D30" t="s">
        <v>515</v>
      </c>
      <c r="E30" s="124">
        <v>0</v>
      </c>
      <c r="F30" s="124">
        <f>(1+$C$30)-1</f>
        <v>0.030000000000000027</v>
      </c>
      <c r="G30" s="124">
        <f>((1+C30)*(1+C30))-1</f>
        <v>0.060899999999999954</v>
      </c>
      <c r="H30" s="124">
        <f>((1+C30)*(1+C30)*(1+C30))-1</f>
        <v>0.092727</v>
      </c>
      <c r="I30" s="124">
        <f>((1+C30)*(1+C30)*(1+C30)*(1+C30))-1</f>
        <v>0.12550881000000014</v>
      </c>
      <c r="J30" s="124"/>
    </row>
    <row r="31" spans="3:10" ht="12.75">
      <c r="C31" s="123"/>
      <c r="E31" s="121">
        <f>E30*E$29</f>
        <v>0</v>
      </c>
      <c r="F31" s="121">
        <f>F30*F$29</f>
        <v>1.4295000000000013</v>
      </c>
      <c r="G31" s="121">
        <f>G30*G$29</f>
        <v>8.934029999999993</v>
      </c>
      <c r="H31" s="121">
        <f>H30*H$29</f>
        <v>0.8252703</v>
      </c>
      <c r="I31" s="121">
        <f>I30*I$29</f>
        <v>0</v>
      </c>
      <c r="J31" s="125">
        <f>SUM(E31:I31)</f>
        <v>11.188800299999993</v>
      </c>
    </row>
    <row r="32" spans="2:10" ht="12.75">
      <c r="B32" t="s">
        <v>516</v>
      </c>
      <c r="C32" s="123">
        <v>0.2</v>
      </c>
      <c r="D32" t="s">
        <v>515</v>
      </c>
      <c r="E32" s="124">
        <v>0</v>
      </c>
      <c r="F32" s="124">
        <f>(1+$C$32)-1</f>
        <v>0.19999999999999996</v>
      </c>
      <c r="G32" s="124">
        <f>((1+C32)*(1+C32))-1</f>
        <v>0.43999999999999995</v>
      </c>
      <c r="H32" s="124">
        <f>((1+C32)*(1+C32)*(1+C32))-1</f>
        <v>0.728</v>
      </c>
      <c r="I32" s="124">
        <f>((1+C32)*(1+C32)*(1+C32)*(1+C32))-1</f>
        <v>1.0735999999999999</v>
      </c>
      <c r="J32" s="124"/>
    </row>
    <row r="33" spans="5:10" ht="12.75">
      <c r="E33" s="121">
        <f>E32*E$29</f>
        <v>0</v>
      </c>
      <c r="F33" s="121">
        <f>F32*F$29</f>
        <v>9.529999999999998</v>
      </c>
      <c r="G33" s="121">
        <f>G32*G$29</f>
        <v>64.54799999999999</v>
      </c>
      <c r="H33" s="121">
        <f>H32*H$29</f>
        <v>6.4792000000000005</v>
      </c>
      <c r="I33" s="121">
        <f>I32*I$29</f>
        <v>0</v>
      </c>
      <c r="J33" s="125">
        <f>SUM(E33:I33)</f>
        <v>80.5572</v>
      </c>
    </row>
    <row r="34" spans="5:10" ht="12.75">
      <c r="E34" s="121"/>
      <c r="F34" s="121"/>
      <c r="G34" s="121"/>
      <c r="H34" s="121"/>
      <c r="I34" s="121"/>
      <c r="J34" s="121"/>
    </row>
    <row r="35" spans="2:10" ht="12.75">
      <c r="B35" t="s">
        <v>517</v>
      </c>
      <c r="E35" s="121">
        <f aca="true" t="shared" si="3" ref="E35:J35">+E24/2</f>
        <v>82.35</v>
      </c>
      <c r="F35" s="121">
        <f t="shared" si="3"/>
        <v>258.05</v>
      </c>
      <c r="G35" s="121">
        <f t="shared" si="3"/>
        <v>397.7</v>
      </c>
      <c r="H35" s="121">
        <f t="shared" si="3"/>
        <v>54.35</v>
      </c>
      <c r="I35" s="121">
        <f t="shared" si="3"/>
        <v>0</v>
      </c>
      <c r="J35" s="121">
        <f t="shared" si="3"/>
        <v>792.4499999999999</v>
      </c>
    </row>
    <row r="36" spans="2:10" ht="12.75">
      <c r="B36" t="s">
        <v>514</v>
      </c>
      <c r="C36" s="123">
        <v>0.03</v>
      </c>
      <c r="D36" t="s">
        <v>515</v>
      </c>
      <c r="E36" s="124">
        <v>0</v>
      </c>
      <c r="F36" s="124">
        <f>(1+$C$36)-1</f>
        <v>0.030000000000000027</v>
      </c>
      <c r="G36" s="124">
        <f>((1+C36)*(1+C36))-1</f>
        <v>0.060899999999999954</v>
      </c>
      <c r="H36" s="124">
        <f>((1+C36)*(1+C36)*(1+C36))-1</f>
        <v>0.092727</v>
      </c>
      <c r="I36" s="124">
        <f>((1+C36)*(1+C36)*(1+C36)*(1+C36))-1</f>
        <v>0.12550881000000014</v>
      </c>
      <c r="J36" s="124"/>
    </row>
    <row r="37" spans="3:10" ht="12.75">
      <c r="C37" s="123"/>
      <c r="E37" s="121">
        <f>E36*E$35</f>
        <v>0</v>
      </c>
      <c r="F37" s="121">
        <f>F36*F$35</f>
        <v>7.741500000000007</v>
      </c>
      <c r="G37" s="121">
        <f>G36*G$35</f>
        <v>24.21992999999998</v>
      </c>
      <c r="H37" s="121">
        <f>H36*H$35</f>
        <v>5.039712450000001</v>
      </c>
      <c r="I37" s="121">
        <f>I36*I$35</f>
        <v>0</v>
      </c>
      <c r="J37" s="125">
        <f>SUM(E37:I37)</f>
        <v>37.00114244999999</v>
      </c>
    </row>
    <row r="38" spans="2:10" ht="12.75">
      <c r="B38" t="s">
        <v>516</v>
      </c>
      <c r="C38" s="123">
        <v>0.2</v>
      </c>
      <c r="D38" t="s">
        <v>515</v>
      </c>
      <c r="E38" s="124">
        <v>0</v>
      </c>
      <c r="F38" s="124">
        <f>(1+$C$38)-1</f>
        <v>0.19999999999999996</v>
      </c>
      <c r="G38" s="124">
        <f>((1+C38)*(1+C38))-1</f>
        <v>0.43999999999999995</v>
      </c>
      <c r="H38" s="124">
        <f>((1+C38)*(1+C38)*(1+C38))-1</f>
        <v>0.728</v>
      </c>
      <c r="I38" s="124">
        <f>((1+C38)*(1+C38)*(1+C38)*(1+C38))-1</f>
        <v>1.0735999999999999</v>
      </c>
      <c r="J38" s="124"/>
    </row>
    <row r="39" spans="5:10" ht="12.75">
      <c r="E39" s="121">
        <f>E38*E$35</f>
        <v>0</v>
      </c>
      <c r="F39" s="121">
        <f>F38*F$35</f>
        <v>51.60999999999999</v>
      </c>
      <c r="G39" s="121">
        <f>G38*G$35</f>
        <v>174.98799999999997</v>
      </c>
      <c r="H39" s="121">
        <f>H38*H$35</f>
        <v>39.5668</v>
      </c>
      <c r="I39" s="121">
        <f>I38*I$35</f>
        <v>0</v>
      </c>
      <c r="J39" s="125">
        <f>SUM(E39:I39)</f>
        <v>266.16479999999996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140625" defaultRowHeight="12.75"/>
  <cols>
    <col min="1" max="1" width="32.28125" style="0" customWidth="1"/>
  </cols>
  <sheetData>
    <row r="1" ht="12.75">
      <c r="A1" s="60" t="s">
        <v>309</v>
      </c>
    </row>
    <row r="3" spans="1:2" ht="12.75">
      <c r="A3" t="s">
        <v>310</v>
      </c>
      <c r="B3" s="75">
        <v>67242</v>
      </c>
    </row>
    <row r="5" spans="1:2" ht="12.75">
      <c r="A5" t="s">
        <v>311</v>
      </c>
      <c r="B5" s="75">
        <f>'Estimate Ranges'!D174</f>
        <v>45226.183000000005</v>
      </c>
    </row>
    <row r="7" spans="1:2" ht="12.75">
      <c r="A7" t="s">
        <v>312</v>
      </c>
      <c r="B7" s="75">
        <f>SUM(B3:B5)</f>
        <v>112468.183</v>
      </c>
    </row>
    <row r="9" ht="12.75">
      <c r="A9" s="63" t="s">
        <v>313</v>
      </c>
    </row>
    <row r="10" spans="1:2" ht="12.75">
      <c r="A10" s="72" t="s">
        <v>320</v>
      </c>
      <c r="B10" s="76">
        <f>('Estimate Ranges'!K171-'Estimate Ranges'!D174)+(('Schedule Ranges'!I18-'Schedule Ranges'!C18)*'Schedule Ranges'!$C$22+'Schedule Ranges'!J18)</f>
        <v>-56926.183000000005</v>
      </c>
    </row>
    <row r="11" spans="1:2" ht="12.75">
      <c r="A11" s="72" t="s">
        <v>321</v>
      </c>
      <c r="B11" s="76">
        <f>'Risk Register'!R26+('Risk Register'!S26*'Schedule Ranges'!$C$22)</f>
        <v>0</v>
      </c>
    </row>
    <row r="13" spans="1:2" ht="12.75">
      <c r="A13" s="73" t="s">
        <v>316</v>
      </c>
      <c r="B13" s="76">
        <f>SUM(B10:B12)</f>
        <v>-56926.183000000005</v>
      </c>
    </row>
    <row r="14" ht="12.75">
      <c r="A14" s="73"/>
    </row>
    <row r="15" spans="1:2" ht="12.75">
      <c r="A15" s="73" t="s">
        <v>317</v>
      </c>
      <c r="B15" s="76">
        <f>B7+B13</f>
        <v>55542</v>
      </c>
    </row>
    <row r="17" ht="12.75">
      <c r="A17" s="74" t="s">
        <v>315</v>
      </c>
    </row>
    <row r="18" spans="1:2" ht="12.75">
      <c r="A18" s="72" t="s">
        <v>318</v>
      </c>
      <c r="B18" s="77">
        <f>'Schedule Ranges'!I18-'Schedule Ranges'!C18</f>
        <v>-45</v>
      </c>
    </row>
    <row r="19" spans="1:2" ht="12.75">
      <c r="A19" s="72" t="s">
        <v>314</v>
      </c>
      <c r="B19" s="70">
        <f>'Risk Register'!S26</f>
        <v>0</v>
      </c>
    </row>
    <row r="21" spans="1:2" ht="12.75">
      <c r="A21" s="73" t="s">
        <v>319</v>
      </c>
      <c r="B21" s="77">
        <f>SUM(B18:B20)</f>
        <v>-45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D20" sqref="D20"/>
    </sheetView>
  </sheetViews>
  <sheetFormatPr defaultColWidth="9.140625" defaultRowHeight="12.75"/>
  <cols>
    <col min="1" max="1" width="7.00390625" style="1" customWidth="1"/>
    <col min="2" max="2" width="17.57421875" style="1" customWidth="1"/>
    <col min="3" max="16384" width="9.140625" style="1" customWidth="1"/>
  </cols>
  <sheetData>
    <row r="1" spans="2:8" ht="15">
      <c r="B1" s="156" t="s">
        <v>5</v>
      </c>
      <c r="C1" s="156"/>
      <c r="D1" s="156"/>
      <c r="E1" s="156"/>
      <c r="F1" s="156"/>
      <c r="G1" s="156"/>
      <c r="H1" s="156"/>
    </row>
    <row r="3" spans="2:8" ht="15">
      <c r="B3" s="10"/>
      <c r="C3" s="157" t="s">
        <v>1</v>
      </c>
      <c r="D3" s="157"/>
      <c r="E3" s="157"/>
      <c r="F3" s="157"/>
      <c r="G3" s="157"/>
      <c r="H3" s="158"/>
    </row>
    <row r="4" spans="2:8" ht="15">
      <c r="B4" s="7" t="s">
        <v>0</v>
      </c>
      <c r="C4" s="159" t="s">
        <v>2</v>
      </c>
      <c r="D4" s="160"/>
      <c r="E4" s="159" t="s">
        <v>3</v>
      </c>
      <c r="F4" s="160"/>
      <c r="G4" s="159" t="s">
        <v>4</v>
      </c>
      <c r="H4" s="160"/>
    </row>
    <row r="5" spans="2:8" ht="15">
      <c r="B5" s="8" t="s">
        <v>2</v>
      </c>
      <c r="C5" s="3">
        <v>-0.15</v>
      </c>
      <c r="D5" s="4">
        <v>0.25</v>
      </c>
      <c r="E5" s="3">
        <v>-0.2</v>
      </c>
      <c r="F5" s="4">
        <v>0.4</v>
      </c>
      <c r="G5" s="3">
        <v>-0.3</v>
      </c>
      <c r="H5" s="4">
        <v>0.6</v>
      </c>
    </row>
    <row r="6" spans="2:8" ht="15">
      <c r="B6" s="8" t="s">
        <v>3</v>
      </c>
      <c r="C6" s="3">
        <v>-0.1</v>
      </c>
      <c r="D6" s="4">
        <v>0.15</v>
      </c>
      <c r="E6" s="3">
        <v>-0.15</v>
      </c>
      <c r="F6" s="4">
        <v>0.25</v>
      </c>
      <c r="G6" s="3">
        <v>-0.2</v>
      </c>
      <c r="H6" s="4">
        <v>0.4</v>
      </c>
    </row>
    <row r="7" spans="2:8" ht="15">
      <c r="B7" s="9" t="s">
        <v>4</v>
      </c>
      <c r="C7" s="5">
        <v>-0.05</v>
      </c>
      <c r="D7" s="6">
        <v>0.1</v>
      </c>
      <c r="E7" s="5">
        <v>-0.1</v>
      </c>
      <c r="F7" s="6">
        <v>0.15</v>
      </c>
      <c r="G7" s="5">
        <v>-0.15</v>
      </c>
      <c r="H7" s="6">
        <v>0.25</v>
      </c>
    </row>
    <row r="9" spans="3:4" ht="15">
      <c r="C9" s="12" t="s">
        <v>2</v>
      </c>
      <c r="D9" s="12" t="s">
        <v>4</v>
      </c>
    </row>
    <row r="10" spans="2:4" ht="15">
      <c r="B10" s="1" t="s">
        <v>18</v>
      </c>
      <c r="C10" s="11">
        <f>$G$7</f>
        <v>-0.15</v>
      </c>
      <c r="D10" s="11">
        <f>$H$7</f>
        <v>0.25</v>
      </c>
    </row>
    <row r="11" spans="2:4" ht="15">
      <c r="B11" s="1" t="s">
        <v>16</v>
      </c>
      <c r="C11" s="11">
        <f>$C$7</f>
        <v>-0.05</v>
      </c>
      <c r="D11" s="11">
        <f>$D$7</f>
        <v>0.1</v>
      </c>
    </row>
    <row r="12" spans="2:4" ht="15">
      <c r="B12" s="1" t="s">
        <v>17</v>
      </c>
      <c r="C12" s="11">
        <f>$E$7</f>
        <v>-0.1</v>
      </c>
      <c r="D12" s="11">
        <f>$F$7</f>
        <v>0.15</v>
      </c>
    </row>
    <row r="13" spans="2:4" ht="15">
      <c r="B13" s="1" t="s">
        <v>10</v>
      </c>
      <c r="C13" s="11">
        <f>$G$5</f>
        <v>-0.3</v>
      </c>
      <c r="D13" s="11">
        <f>$H$5</f>
        <v>0.6</v>
      </c>
    </row>
    <row r="14" spans="2:4" ht="15">
      <c r="B14" s="1" t="s">
        <v>11</v>
      </c>
      <c r="C14" s="11">
        <f>$C$5</f>
        <v>-0.15</v>
      </c>
      <c r="D14" s="11">
        <f>$D$5</f>
        <v>0.25</v>
      </c>
    </row>
    <row r="15" spans="2:4" ht="15">
      <c r="B15" s="1" t="s">
        <v>12</v>
      </c>
      <c r="C15" s="11">
        <f>$E$5</f>
        <v>-0.2</v>
      </c>
      <c r="D15" s="11">
        <f>$F$5</f>
        <v>0.4</v>
      </c>
    </row>
    <row r="16" spans="2:4" ht="15">
      <c r="B16" s="1" t="s">
        <v>15</v>
      </c>
      <c r="C16" s="11">
        <f>$G$6</f>
        <v>-0.2</v>
      </c>
      <c r="D16" s="11">
        <f>$H$6</f>
        <v>0.4</v>
      </c>
    </row>
    <row r="17" spans="2:4" ht="15">
      <c r="B17" s="1" t="s">
        <v>13</v>
      </c>
      <c r="C17" s="11">
        <f>$C$6</f>
        <v>-0.1</v>
      </c>
      <c r="D17" s="11">
        <f>$D$6</f>
        <v>0.15</v>
      </c>
    </row>
    <row r="18" spans="2:4" ht="15">
      <c r="B18" s="1" t="s">
        <v>14</v>
      </c>
      <c r="C18" s="11">
        <f>$E$6</f>
        <v>-0.15</v>
      </c>
      <c r="D18" s="11">
        <f>$F$6</f>
        <v>0.25</v>
      </c>
    </row>
    <row r="19" spans="2:5" ht="15">
      <c r="B19" s="1" t="s">
        <v>197</v>
      </c>
      <c r="C19" s="11">
        <v>0.5</v>
      </c>
      <c r="D19" s="11">
        <v>1</v>
      </c>
      <c r="E19" s="1" t="s">
        <v>199</v>
      </c>
    </row>
    <row r="20" spans="3:5" ht="15">
      <c r="C20" s="11"/>
      <c r="D20" s="11"/>
      <c r="E20" s="1" t="s">
        <v>200</v>
      </c>
    </row>
    <row r="21" ht="15">
      <c r="A21" s="16" t="s">
        <v>22</v>
      </c>
    </row>
    <row r="23" ht="15">
      <c r="A23" s="19" t="s">
        <v>0</v>
      </c>
    </row>
    <row r="24" spans="2:3" ht="15">
      <c r="B24" s="1" t="s">
        <v>4</v>
      </c>
      <c r="C24" s="1" t="s">
        <v>23</v>
      </c>
    </row>
    <row r="25" spans="2:11" ht="15">
      <c r="B25" s="17"/>
      <c r="C25" s="17" t="s">
        <v>24</v>
      </c>
      <c r="D25" s="17"/>
      <c r="E25" s="17"/>
      <c r="F25" s="17"/>
      <c r="G25" s="17"/>
      <c r="H25" s="17"/>
      <c r="I25" s="17"/>
      <c r="J25" s="17"/>
      <c r="K25" s="17"/>
    </row>
    <row r="26" spans="2:11" ht="15">
      <c r="B26" s="18" t="s">
        <v>3</v>
      </c>
      <c r="C26" s="18" t="s">
        <v>33</v>
      </c>
      <c r="D26" s="18"/>
      <c r="E26" s="18"/>
      <c r="F26" s="18"/>
      <c r="G26" s="18"/>
      <c r="H26" s="18"/>
      <c r="I26" s="18"/>
      <c r="J26" s="18"/>
      <c r="K26" s="18"/>
    </row>
    <row r="27" spans="2:11" ht="15">
      <c r="B27" s="17"/>
      <c r="C27" s="17" t="s">
        <v>25</v>
      </c>
      <c r="D27" s="17"/>
      <c r="E27" s="17"/>
      <c r="F27" s="17"/>
      <c r="G27" s="17"/>
      <c r="H27" s="17"/>
      <c r="I27" s="17"/>
      <c r="J27" s="17"/>
      <c r="K27" s="17"/>
    </row>
    <row r="28" spans="2:3" ht="15">
      <c r="B28" s="1" t="s">
        <v>2</v>
      </c>
      <c r="C28" s="1" t="s">
        <v>26</v>
      </c>
    </row>
    <row r="29" spans="2:11" ht="15">
      <c r="B29" s="17"/>
      <c r="C29" s="17" t="s">
        <v>27</v>
      </c>
      <c r="D29" s="17"/>
      <c r="E29" s="17"/>
      <c r="F29" s="17"/>
      <c r="G29" s="17"/>
      <c r="H29" s="17"/>
      <c r="I29" s="17"/>
      <c r="J29" s="17"/>
      <c r="K29" s="17"/>
    </row>
    <row r="30" ht="15">
      <c r="A30" s="19" t="s">
        <v>1</v>
      </c>
    </row>
    <row r="31" spans="2:3" ht="15">
      <c r="B31" s="1" t="s">
        <v>2</v>
      </c>
      <c r="C31" s="1" t="s">
        <v>28</v>
      </c>
    </row>
    <row r="32" spans="2:11" ht="15">
      <c r="B32" s="17"/>
      <c r="C32" s="17" t="s">
        <v>167</v>
      </c>
      <c r="D32" s="17"/>
      <c r="E32" s="17"/>
      <c r="F32" s="17"/>
      <c r="G32" s="17"/>
      <c r="H32" s="17"/>
      <c r="I32" s="17"/>
      <c r="J32" s="17"/>
      <c r="K32" s="17"/>
    </row>
    <row r="33" spans="2:3" ht="15">
      <c r="B33" s="1" t="s">
        <v>3</v>
      </c>
      <c r="C33" s="1" t="s">
        <v>29</v>
      </c>
    </row>
    <row r="34" spans="2:11" ht="15">
      <c r="B34" s="17"/>
      <c r="C34" s="17" t="s">
        <v>30</v>
      </c>
      <c r="D34" s="17"/>
      <c r="E34" s="17"/>
      <c r="F34" s="17"/>
      <c r="G34" s="17"/>
      <c r="H34" s="17"/>
      <c r="I34" s="17"/>
      <c r="J34" s="17"/>
      <c r="K34" s="17"/>
    </row>
    <row r="35" spans="2:3" ht="15">
      <c r="B35" s="1" t="s">
        <v>4</v>
      </c>
      <c r="C35" s="1" t="s">
        <v>31</v>
      </c>
    </row>
    <row r="36" spans="2:11" ht="15">
      <c r="B36" s="17"/>
      <c r="C36" s="17" t="s">
        <v>32</v>
      </c>
      <c r="D36" s="17"/>
      <c r="E36" s="17"/>
      <c r="F36" s="17"/>
      <c r="G36" s="17"/>
      <c r="H36" s="17"/>
      <c r="I36" s="17"/>
      <c r="J36" s="17"/>
      <c r="K36" s="17"/>
    </row>
    <row r="39" ht="15">
      <c r="A39" s="16" t="s">
        <v>169</v>
      </c>
    </row>
    <row r="41" spans="1:2" ht="15">
      <c r="A41" s="49" t="s">
        <v>170</v>
      </c>
      <c r="B41" s="49"/>
    </row>
    <row r="42" ht="15">
      <c r="B42" s="49" t="s">
        <v>171</v>
      </c>
    </row>
    <row r="44" spans="2:13" ht="15">
      <c r="B44" s="19" t="s">
        <v>172</v>
      </c>
      <c r="C44" s="19" t="s">
        <v>173</v>
      </c>
      <c r="D44" s="19"/>
      <c r="E44" s="19" t="s">
        <v>174</v>
      </c>
      <c r="F44" s="19"/>
      <c r="G44" s="19"/>
      <c r="I44" s="19" t="s">
        <v>175</v>
      </c>
      <c r="J44" s="19"/>
      <c r="L44" s="154" t="s">
        <v>176</v>
      </c>
      <c r="M44" s="154"/>
    </row>
    <row r="45" spans="2:13" ht="15">
      <c r="B45" s="2">
        <v>5</v>
      </c>
      <c r="C45" s="153" t="s">
        <v>177</v>
      </c>
      <c r="D45" s="153"/>
      <c r="E45" s="50" t="s">
        <v>182</v>
      </c>
      <c r="I45" s="1" t="s">
        <v>187</v>
      </c>
      <c r="L45" s="155" t="s">
        <v>196</v>
      </c>
      <c r="M45" s="155"/>
    </row>
    <row r="46" spans="2:13" ht="15">
      <c r="B46" s="2">
        <v>4</v>
      </c>
      <c r="C46" s="153" t="s">
        <v>179</v>
      </c>
      <c r="D46" s="153"/>
      <c r="E46" s="50" t="s">
        <v>183</v>
      </c>
      <c r="I46" s="1" t="s">
        <v>188</v>
      </c>
      <c r="L46" s="155" t="s">
        <v>192</v>
      </c>
      <c r="M46" s="155"/>
    </row>
    <row r="47" spans="2:13" ht="15">
      <c r="B47" s="2">
        <v>3</v>
      </c>
      <c r="C47" s="153" t="s">
        <v>178</v>
      </c>
      <c r="D47" s="153"/>
      <c r="E47" s="50" t="s">
        <v>184</v>
      </c>
      <c r="I47" s="1" t="s">
        <v>189</v>
      </c>
      <c r="L47" s="155" t="s">
        <v>193</v>
      </c>
      <c r="M47" s="155"/>
    </row>
    <row r="48" spans="2:13" ht="15">
      <c r="B48" s="2">
        <v>2</v>
      </c>
      <c r="C48" s="153" t="s">
        <v>180</v>
      </c>
      <c r="D48" s="153"/>
      <c r="E48" s="50" t="s">
        <v>185</v>
      </c>
      <c r="I48" s="1" t="s">
        <v>190</v>
      </c>
      <c r="L48" s="155" t="s">
        <v>194</v>
      </c>
      <c r="M48" s="155"/>
    </row>
    <row r="49" spans="2:13" ht="15">
      <c r="B49" s="2">
        <v>1</v>
      </c>
      <c r="C49" s="153" t="s">
        <v>181</v>
      </c>
      <c r="D49" s="153"/>
      <c r="E49" s="50" t="s">
        <v>186</v>
      </c>
      <c r="I49" s="1" t="s">
        <v>191</v>
      </c>
      <c r="L49" s="155" t="s">
        <v>195</v>
      </c>
      <c r="M49" s="155"/>
    </row>
  </sheetData>
  <mergeCells count="16">
    <mergeCell ref="C48:D48"/>
    <mergeCell ref="B1:H1"/>
    <mergeCell ref="C3:H3"/>
    <mergeCell ref="C4:D4"/>
    <mergeCell ref="E4:F4"/>
    <mergeCell ref="G4:H4"/>
    <mergeCell ref="C49:D49"/>
    <mergeCell ref="L44:M44"/>
    <mergeCell ref="L45:M45"/>
    <mergeCell ref="L46:M46"/>
    <mergeCell ref="L47:M47"/>
    <mergeCell ref="L48:M48"/>
    <mergeCell ref="L49:M49"/>
    <mergeCell ref="C45:D45"/>
    <mergeCell ref="C46:D46"/>
    <mergeCell ref="C47:D4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tabSelected="1" zoomScale="75" zoomScaleNormal="75" workbookViewId="0" topLeftCell="A127">
      <selection activeCell="E149" sqref="E149:F149"/>
    </sheetView>
  </sheetViews>
  <sheetFormatPr defaultColWidth="9.140625" defaultRowHeight="12.75"/>
  <cols>
    <col min="1" max="1" width="9.140625" style="1" customWidth="1"/>
    <col min="2" max="2" width="48.28125" style="1" customWidth="1"/>
    <col min="3" max="3" width="45.421875" style="1" customWidth="1"/>
    <col min="4" max="4" width="13.421875" style="1" customWidth="1"/>
    <col min="5" max="5" width="11.28125" style="2" customWidth="1"/>
    <col min="6" max="6" width="16.140625" style="2" customWidth="1"/>
    <col min="7" max="7" width="12.28125" style="1" hidden="1" customWidth="1"/>
    <col min="8" max="9" width="17.140625" style="1" customWidth="1"/>
    <col min="10" max="10" width="9.140625" style="1" customWidth="1"/>
    <col min="11" max="11" width="16.8515625" style="1" customWidth="1"/>
    <col min="12" max="12" width="9.00390625" style="1" customWidth="1"/>
    <col min="13" max="14" width="15.140625" style="21" customWidth="1"/>
    <col min="15" max="15" width="5.28125" style="1" customWidth="1"/>
    <col min="16" max="17" width="15.421875" style="1" customWidth="1"/>
    <col min="18" max="18" width="9.140625" style="1" customWidth="1"/>
    <col min="19" max="19" width="14.00390625" style="1" customWidth="1"/>
    <col min="20" max="16384" width="9.140625" style="1" customWidth="1"/>
  </cols>
  <sheetData>
    <row r="1" spans="2:9" ht="15.75">
      <c r="B1" s="156" t="s">
        <v>19</v>
      </c>
      <c r="C1" s="156"/>
      <c r="D1" s="156"/>
      <c r="E1" s="156"/>
      <c r="F1" s="156"/>
      <c r="G1" s="156"/>
      <c r="H1" s="156"/>
      <c r="I1" s="156"/>
    </row>
    <row r="2" spans="8:22" ht="54.75" customHeight="1">
      <c r="H2" s="161" t="s">
        <v>36</v>
      </c>
      <c r="I2" s="161"/>
      <c r="J2" s="46"/>
      <c r="K2" s="46"/>
      <c r="M2" s="162" t="s">
        <v>37</v>
      </c>
      <c r="N2" s="162"/>
      <c r="P2" s="161" t="s">
        <v>38</v>
      </c>
      <c r="Q2" s="161"/>
      <c r="R2" s="47"/>
      <c r="S2" s="47"/>
      <c r="U2" s="156" t="s">
        <v>168</v>
      </c>
      <c r="V2" s="156"/>
    </row>
    <row r="3" spans="1:22" ht="15.75">
      <c r="A3" s="13" t="s">
        <v>35</v>
      </c>
      <c r="B3" s="13" t="s">
        <v>6</v>
      </c>
      <c r="C3" s="13" t="s">
        <v>166</v>
      </c>
      <c r="D3" s="13" t="s">
        <v>7</v>
      </c>
      <c r="E3" s="34" t="s">
        <v>8</v>
      </c>
      <c r="F3" s="34" t="s">
        <v>9</v>
      </c>
      <c r="G3" s="13"/>
      <c r="H3" s="14" t="s">
        <v>2</v>
      </c>
      <c r="I3" s="14" t="s">
        <v>4</v>
      </c>
      <c r="K3" s="16" t="s">
        <v>34</v>
      </c>
      <c r="M3" s="35" t="s">
        <v>2</v>
      </c>
      <c r="N3" s="35" t="s">
        <v>4</v>
      </c>
      <c r="P3" s="14" t="s">
        <v>2</v>
      </c>
      <c r="Q3" s="14" t="s">
        <v>4</v>
      </c>
      <c r="S3" s="16" t="s">
        <v>34</v>
      </c>
      <c r="U3" s="43" t="s">
        <v>2</v>
      </c>
      <c r="V3" s="43" t="s">
        <v>4</v>
      </c>
    </row>
    <row r="4" spans="1:22" ht="15">
      <c r="A4" s="22">
        <v>2</v>
      </c>
      <c r="B4" s="23" t="s">
        <v>40</v>
      </c>
      <c r="C4" s="23"/>
      <c r="D4" s="24">
        <f>'Updated ETC-5-30-07'!D5/1000</f>
        <v>63.168</v>
      </c>
      <c r="E4" s="44" t="s">
        <v>39</v>
      </c>
      <c r="F4" s="44" t="s">
        <v>39</v>
      </c>
      <c r="G4" s="44" t="str">
        <f>CONCATENATE(E4,F4)</f>
        <v>LL</v>
      </c>
      <c r="H4" s="41">
        <f>(VLOOKUP($G4,'Estimate Uncertainty Matrix'!$B$10:$D$18,2)*$D4)+$D4</f>
        <v>53.6928</v>
      </c>
      <c r="I4" s="41">
        <f>(VLOOKUP($G4,'Estimate Uncertainty Matrix'!$B$10:$D$18,3)*$D4)+$D4</f>
        <v>78.96</v>
      </c>
      <c r="J4" s="40"/>
      <c r="K4" s="20">
        <v>0</v>
      </c>
      <c r="L4" s="40"/>
      <c r="M4" s="45">
        <v>-0.05</v>
      </c>
      <c r="N4" s="45">
        <v>0.25</v>
      </c>
      <c r="P4" s="1">
        <f>D4+(D4*M4)</f>
        <v>60.0096</v>
      </c>
      <c r="Q4" s="1">
        <f>D4+(D4*N4)</f>
        <v>78.96</v>
      </c>
      <c r="S4" s="20">
        <v>0</v>
      </c>
      <c r="U4" s="1">
        <f>P4-H4</f>
        <v>6.316800000000001</v>
      </c>
      <c r="V4" s="1">
        <f>Q4-I4</f>
        <v>0</v>
      </c>
    </row>
    <row r="5" spans="1:22" ht="15">
      <c r="A5" s="25"/>
      <c r="B5" s="23" t="s">
        <v>41</v>
      </c>
      <c r="C5" s="23"/>
      <c r="D5" s="24">
        <f>'Updated ETC-5-30-07'!D6/1000</f>
        <v>174.41</v>
      </c>
      <c r="E5" s="44" t="s">
        <v>39</v>
      </c>
      <c r="F5" s="44" t="s">
        <v>39</v>
      </c>
      <c r="G5" s="44" t="str">
        <f>CONCATENATE(E5,F5)</f>
        <v>LL</v>
      </c>
      <c r="H5" s="41">
        <f>(VLOOKUP($G5,'Estimate Uncertainty Matrix'!$B$10:$D$18,2)*$D5)+$D5</f>
        <v>148.2485</v>
      </c>
      <c r="I5" s="41">
        <f>(VLOOKUP($G5,'Estimate Uncertainty Matrix'!$B$10:$D$18,3)*$D5)+$D5</f>
        <v>218.0125</v>
      </c>
      <c r="J5" s="40"/>
      <c r="K5" s="20">
        <v>0</v>
      </c>
      <c r="L5" s="40"/>
      <c r="M5" s="45">
        <v>-0.05</v>
      </c>
      <c r="N5" s="45">
        <v>0.25</v>
      </c>
      <c r="P5" s="1">
        <f aca="true" t="shared" si="0" ref="P5:P69">D5+(D5*M5)</f>
        <v>165.6895</v>
      </c>
      <c r="Q5" s="1">
        <f aca="true" t="shared" si="1" ref="Q5:Q69">D5+(D5*N5)</f>
        <v>218.0125</v>
      </c>
      <c r="S5" s="20">
        <v>0</v>
      </c>
      <c r="U5" s="1">
        <f>P5-H5</f>
        <v>17.441000000000003</v>
      </c>
      <c r="V5" s="1">
        <f>Q5-I5</f>
        <v>0</v>
      </c>
    </row>
    <row r="6" spans="1:9" ht="15">
      <c r="A6" s="22" t="s">
        <v>42</v>
      </c>
      <c r="B6" s="26"/>
      <c r="C6" s="26"/>
      <c r="D6" s="24">
        <f>SUM(D4:D5)</f>
        <v>237.578</v>
      </c>
      <c r="G6" s="2">
        <f>CONCATENATE(E6,F6)</f>
      </c>
      <c r="H6" s="15"/>
      <c r="I6" s="15"/>
    </row>
    <row r="7" spans="1:9" ht="15">
      <c r="A7" s="22">
        <v>3</v>
      </c>
      <c r="B7" s="23" t="s">
        <v>43</v>
      </c>
      <c r="C7" s="23" t="s">
        <v>206</v>
      </c>
      <c r="D7" s="24">
        <f>'Updated ETC-5-30-07'!D8/1000</f>
        <v>23.453</v>
      </c>
      <c r="G7" s="2">
        <f aca="true" t="shared" si="2" ref="G7:G70">CONCATENATE(E7,F7)</f>
      </c>
      <c r="H7" s="15"/>
      <c r="I7" s="15"/>
    </row>
    <row r="8" spans="1:9" ht="15">
      <c r="A8" s="56"/>
      <c r="B8" s="28"/>
      <c r="C8" s="28" t="s">
        <v>207</v>
      </c>
      <c r="D8" s="24">
        <f>'Updated ETC-5-30-07'!D9/1000</f>
        <v>58.268</v>
      </c>
      <c r="G8" s="2"/>
      <c r="H8" s="15"/>
      <c r="I8" s="15"/>
    </row>
    <row r="9" spans="1:9" ht="15">
      <c r="A9" s="25"/>
      <c r="B9" s="27"/>
      <c r="C9" s="28" t="s">
        <v>208</v>
      </c>
      <c r="D9" s="24">
        <f>'Updated ETC-5-30-07'!D10/1000</f>
        <v>18.626</v>
      </c>
      <c r="G9" s="2">
        <f t="shared" si="2"/>
      </c>
      <c r="H9" s="15"/>
      <c r="I9" s="15"/>
    </row>
    <row r="10" spans="1:9" ht="15">
      <c r="A10" s="25"/>
      <c r="B10" s="27"/>
      <c r="C10" s="28" t="s">
        <v>209</v>
      </c>
      <c r="D10" s="24">
        <f>'Updated ETC-5-30-07'!D11/1000</f>
        <v>158.313</v>
      </c>
      <c r="G10" s="2">
        <f t="shared" si="2"/>
      </c>
      <c r="H10" s="15"/>
      <c r="I10" s="15"/>
    </row>
    <row r="11" spans="1:9" ht="15">
      <c r="A11" s="25"/>
      <c r="B11" s="27"/>
      <c r="C11" s="28" t="s">
        <v>210</v>
      </c>
      <c r="D11" s="24">
        <f>'Updated ETC-5-30-07'!D12/1000</f>
        <v>23.994</v>
      </c>
      <c r="G11" s="2">
        <f t="shared" si="2"/>
      </c>
      <c r="H11" s="15"/>
      <c r="I11" s="15"/>
    </row>
    <row r="12" spans="1:22" ht="15">
      <c r="A12" s="25"/>
      <c r="B12" s="30" t="s">
        <v>44</v>
      </c>
      <c r="C12" s="26"/>
      <c r="D12" s="24">
        <f>SUM(D7:D11)</f>
        <v>282.654</v>
      </c>
      <c r="E12" s="2" t="s">
        <v>20</v>
      </c>
      <c r="F12" s="2" t="s">
        <v>39</v>
      </c>
      <c r="G12" s="2" t="str">
        <f t="shared" si="2"/>
        <v>HL</v>
      </c>
      <c r="H12" s="15">
        <f>(VLOOKUP($G12,'Estimate Uncertainty Matrix'!$B$10:$D$18,2)*$D12)+$D12</f>
        <v>268.5213</v>
      </c>
      <c r="I12" s="15">
        <f>(VLOOKUP($G12,'Estimate Uncertainty Matrix'!$B$10:$D$18,3)*$D12)+$D12</f>
        <v>310.9194</v>
      </c>
      <c r="K12" s="20">
        <v>0</v>
      </c>
      <c r="M12" s="21">
        <v>-0.05</v>
      </c>
      <c r="N12" s="21">
        <v>0.15</v>
      </c>
      <c r="P12" s="1">
        <f t="shared" si="0"/>
        <v>268.5213</v>
      </c>
      <c r="Q12" s="1">
        <f t="shared" si="1"/>
        <v>325.0521</v>
      </c>
      <c r="S12" s="20">
        <v>0</v>
      </c>
      <c r="U12" s="1">
        <f aca="true" t="shared" si="3" ref="U12:V15">P12-H12</f>
        <v>0</v>
      </c>
      <c r="V12" s="1">
        <f t="shared" si="3"/>
        <v>14.1327</v>
      </c>
    </row>
    <row r="13" spans="1:22" ht="15">
      <c r="A13" s="25"/>
      <c r="B13" s="23" t="s">
        <v>45</v>
      </c>
      <c r="C13" s="23"/>
      <c r="D13" s="24">
        <f>'Updated ETC-5-30-07'!D14/1000</f>
        <v>25.318</v>
      </c>
      <c r="E13" s="2" t="s">
        <v>20</v>
      </c>
      <c r="F13" s="2" t="s">
        <v>39</v>
      </c>
      <c r="G13" s="2" t="str">
        <f t="shared" si="2"/>
        <v>HL</v>
      </c>
      <c r="H13" s="15">
        <f>(VLOOKUP($G13,'Estimate Uncertainty Matrix'!$B$10:$D$18,2)*$D13)+$D13</f>
        <v>24.052100000000003</v>
      </c>
      <c r="I13" s="15">
        <f>(VLOOKUP($G13,'Estimate Uncertainty Matrix'!$B$10:$D$18,3)*$D13)+$D13</f>
        <v>27.849800000000002</v>
      </c>
      <c r="K13" s="20">
        <v>0</v>
      </c>
      <c r="M13" s="21">
        <v>-0.1</v>
      </c>
      <c r="N13" s="21">
        <v>0.1</v>
      </c>
      <c r="P13" s="1">
        <f t="shared" si="0"/>
        <v>22.7862</v>
      </c>
      <c r="Q13" s="1">
        <f t="shared" si="1"/>
        <v>27.849800000000002</v>
      </c>
      <c r="S13" s="20">
        <v>0</v>
      </c>
      <c r="U13" s="1">
        <f t="shared" si="3"/>
        <v>-1.265900000000002</v>
      </c>
      <c r="V13" s="1">
        <f t="shared" si="3"/>
        <v>0</v>
      </c>
    </row>
    <row r="14" spans="1:22" ht="15">
      <c r="A14" s="25"/>
      <c r="B14" s="23" t="s">
        <v>46</v>
      </c>
      <c r="C14" s="23"/>
      <c r="D14" s="24">
        <f>'Updated ETC-5-30-07'!D15/1000</f>
        <v>250.677</v>
      </c>
      <c r="E14" s="2" t="s">
        <v>21</v>
      </c>
      <c r="F14" s="2" t="s">
        <v>21</v>
      </c>
      <c r="G14" s="2" t="str">
        <f t="shared" si="2"/>
        <v>MM</v>
      </c>
      <c r="H14" s="15">
        <f>(VLOOKUP($G14,'Estimate Uncertainty Matrix'!$B$10:$D$18,2)*$D14)+$D14</f>
        <v>213.07545</v>
      </c>
      <c r="I14" s="15">
        <f>(VLOOKUP($G14,'Estimate Uncertainty Matrix'!$B$10:$D$18,3)*$D14)+$D14</f>
        <v>313.34625</v>
      </c>
      <c r="K14" s="20">
        <v>0</v>
      </c>
      <c r="M14" s="21">
        <v>-0.1</v>
      </c>
      <c r="N14" s="21">
        <v>0.25</v>
      </c>
      <c r="P14" s="1">
        <f t="shared" si="0"/>
        <v>225.6093</v>
      </c>
      <c r="Q14" s="1">
        <f t="shared" si="1"/>
        <v>313.34625</v>
      </c>
      <c r="S14" s="20">
        <v>0</v>
      </c>
      <c r="U14" s="1">
        <f t="shared" si="3"/>
        <v>12.533850000000001</v>
      </c>
      <c r="V14" s="1">
        <f t="shared" si="3"/>
        <v>0</v>
      </c>
    </row>
    <row r="15" spans="1:22" ht="15">
      <c r="A15" s="25"/>
      <c r="B15" s="23" t="s">
        <v>47</v>
      </c>
      <c r="C15" s="23"/>
      <c r="D15" s="24">
        <f>'Updated ETC-5-30-07'!D16/1000</f>
        <v>132.944</v>
      </c>
      <c r="E15" s="2" t="s">
        <v>20</v>
      </c>
      <c r="F15" s="2" t="s">
        <v>39</v>
      </c>
      <c r="G15" s="2" t="str">
        <f t="shared" si="2"/>
        <v>HL</v>
      </c>
      <c r="H15" s="15">
        <f>(VLOOKUP($G15,'Estimate Uncertainty Matrix'!$B$10:$D$18,2)*$D15)+$D15</f>
        <v>126.29679999999999</v>
      </c>
      <c r="I15" s="15">
        <f>(VLOOKUP($G15,'Estimate Uncertainty Matrix'!$B$10:$D$18,3)*$D15)+$D15</f>
        <v>146.23839999999998</v>
      </c>
      <c r="K15" s="20">
        <v>0</v>
      </c>
      <c r="M15" s="21">
        <v>-0.05</v>
      </c>
      <c r="N15" s="21">
        <v>0.1</v>
      </c>
      <c r="P15" s="1">
        <f t="shared" si="0"/>
        <v>126.29679999999999</v>
      </c>
      <c r="Q15" s="1">
        <f t="shared" si="1"/>
        <v>146.23839999999998</v>
      </c>
      <c r="S15" s="20">
        <v>0</v>
      </c>
      <c r="U15" s="1">
        <f t="shared" si="3"/>
        <v>0</v>
      </c>
      <c r="V15" s="1">
        <f t="shared" si="3"/>
        <v>0</v>
      </c>
    </row>
    <row r="16" spans="1:9" ht="15">
      <c r="A16" s="22" t="s">
        <v>48</v>
      </c>
      <c r="B16" s="26"/>
      <c r="C16" s="26"/>
      <c r="D16" s="24">
        <f>SUM(D12:D15)</f>
        <v>691.593</v>
      </c>
      <c r="G16" s="2">
        <f t="shared" si="2"/>
      </c>
      <c r="H16" s="15"/>
      <c r="I16" s="15"/>
    </row>
    <row r="17" spans="1:9" ht="15">
      <c r="A17" s="22">
        <v>4</v>
      </c>
      <c r="B17" s="23" t="s">
        <v>49</v>
      </c>
      <c r="C17" s="23" t="s">
        <v>50</v>
      </c>
      <c r="D17" s="24">
        <f>'Updated ETC-5-30-07'!D18/1000</f>
        <v>123.701</v>
      </c>
      <c r="G17" s="2">
        <f t="shared" si="2"/>
      </c>
      <c r="H17" s="15"/>
      <c r="I17" s="15"/>
    </row>
    <row r="18" spans="1:9" ht="15">
      <c r="A18" s="25"/>
      <c r="B18" s="27"/>
      <c r="C18" s="28" t="s">
        <v>51</v>
      </c>
      <c r="D18" s="24">
        <f>'Updated ETC-5-30-07'!D19/1000</f>
        <v>34.881</v>
      </c>
      <c r="G18" s="2">
        <f t="shared" si="2"/>
      </c>
      <c r="H18" s="15"/>
      <c r="I18" s="15"/>
    </row>
    <row r="19" spans="1:22" ht="15">
      <c r="A19" s="25"/>
      <c r="B19" s="30" t="s">
        <v>52</v>
      </c>
      <c r="C19" s="26"/>
      <c r="D19" s="24">
        <f>SUM(D17:D18)</f>
        <v>158.582</v>
      </c>
      <c r="E19" s="2" t="s">
        <v>20</v>
      </c>
      <c r="F19" s="2" t="s">
        <v>39</v>
      </c>
      <c r="G19" s="2" t="str">
        <f t="shared" si="2"/>
        <v>HL</v>
      </c>
      <c r="H19" s="15">
        <f>(VLOOKUP($G19,'Estimate Uncertainty Matrix'!$B$10:$D$18,2)*$D19)+$D19</f>
        <v>150.6529</v>
      </c>
      <c r="I19" s="15">
        <f>(VLOOKUP($G19,'Estimate Uncertainty Matrix'!$B$10:$D$18,3)*$D19)+$D19</f>
        <v>174.4402</v>
      </c>
      <c r="K19" s="20">
        <v>0</v>
      </c>
      <c r="M19" s="21">
        <v>-0.1</v>
      </c>
      <c r="N19" s="21">
        <v>0.15</v>
      </c>
      <c r="P19" s="1">
        <f t="shared" si="0"/>
        <v>142.72379999999998</v>
      </c>
      <c r="Q19" s="1">
        <f t="shared" si="1"/>
        <v>182.36929999999998</v>
      </c>
      <c r="S19" s="20">
        <v>0</v>
      </c>
      <c r="U19" s="1">
        <f>P19-H19</f>
        <v>-7.929100000000005</v>
      </c>
      <c r="V19" s="1">
        <f>Q19-I19</f>
        <v>7.929099999999977</v>
      </c>
    </row>
    <row r="20" spans="1:22" ht="15">
      <c r="A20" s="25"/>
      <c r="B20" s="23" t="s">
        <v>53</v>
      </c>
      <c r="C20" s="23" t="s">
        <v>54</v>
      </c>
      <c r="D20" s="24">
        <f>'Updated ETC-5-30-07'!D21/1000</f>
        <v>592.095</v>
      </c>
      <c r="E20" s="2" t="s">
        <v>20</v>
      </c>
      <c r="F20" s="2" t="s">
        <v>39</v>
      </c>
      <c r="G20" s="2" t="str">
        <f t="shared" si="2"/>
        <v>HL</v>
      </c>
      <c r="H20" s="15">
        <f>(VLOOKUP($G20,'Estimate Uncertainty Matrix'!$B$10:$D$18,2)*$D20)+$D20</f>
        <v>562.4902500000001</v>
      </c>
      <c r="I20" s="15">
        <f>(VLOOKUP($G20,'Estimate Uncertainty Matrix'!$B$10:$D$18,3)*$D20)+$D20</f>
        <v>651.3045000000001</v>
      </c>
      <c r="K20" s="20">
        <v>0</v>
      </c>
      <c r="M20" s="21">
        <v>-0.1</v>
      </c>
      <c r="N20" s="21">
        <v>0.15</v>
      </c>
      <c r="P20" s="1">
        <f t="shared" si="0"/>
        <v>532.8855</v>
      </c>
      <c r="Q20" s="1">
        <f t="shared" si="1"/>
        <v>680.90925</v>
      </c>
      <c r="S20" s="20">
        <v>0</v>
      </c>
      <c r="U20" s="1">
        <f>P20-H20</f>
        <v>-29.60475000000008</v>
      </c>
      <c r="V20" s="1">
        <f>Q20-I20</f>
        <v>29.604749999999967</v>
      </c>
    </row>
    <row r="21" spans="1:9" ht="15">
      <c r="A21" s="25"/>
      <c r="B21" s="23" t="s">
        <v>55</v>
      </c>
      <c r="C21" s="23" t="s">
        <v>56</v>
      </c>
      <c r="D21" s="24">
        <f>'Updated ETC-5-30-07'!D22/1000</f>
        <v>460.925</v>
      </c>
      <c r="G21" s="2">
        <f t="shared" si="2"/>
      </c>
      <c r="H21" s="15"/>
      <c r="I21" s="15"/>
    </row>
    <row r="22" spans="1:9" ht="15">
      <c r="A22" s="25"/>
      <c r="B22" s="27"/>
      <c r="C22" s="28" t="s">
        <v>57</v>
      </c>
      <c r="D22" s="24">
        <f>'Updated ETC-5-30-07'!D23/1000</f>
        <v>83.588</v>
      </c>
      <c r="G22" s="2">
        <f t="shared" si="2"/>
      </c>
      <c r="H22" s="15"/>
      <c r="I22" s="15"/>
    </row>
    <row r="23" spans="1:9" ht="15">
      <c r="A23" s="25"/>
      <c r="B23" s="27"/>
      <c r="C23" s="28" t="s">
        <v>58</v>
      </c>
      <c r="D23" s="24">
        <f>'Updated ETC-5-30-07'!D24/1000</f>
        <v>14.772</v>
      </c>
      <c r="G23" s="2">
        <f t="shared" si="2"/>
      </c>
      <c r="H23" s="15"/>
      <c r="I23" s="15"/>
    </row>
    <row r="24" spans="1:9" ht="15">
      <c r="A24" s="25"/>
      <c r="B24" s="27"/>
      <c r="C24" s="28" t="s">
        <v>59</v>
      </c>
      <c r="D24" s="24">
        <f>'Updated ETC-5-30-07'!D25/1000</f>
        <v>216.443</v>
      </c>
      <c r="G24" s="2">
        <f t="shared" si="2"/>
      </c>
      <c r="H24" s="15"/>
      <c r="I24" s="15"/>
    </row>
    <row r="25" spans="1:9" ht="15">
      <c r="A25" s="25"/>
      <c r="B25" s="27"/>
      <c r="C25" s="28" t="s">
        <v>60</v>
      </c>
      <c r="D25" s="24">
        <f>'Updated ETC-5-30-07'!D26/1000</f>
        <v>280.161</v>
      </c>
      <c r="G25" s="2">
        <f t="shared" si="2"/>
      </c>
      <c r="H25" s="15"/>
      <c r="I25" s="15"/>
    </row>
    <row r="26" spans="1:22" ht="15">
      <c r="A26" s="25"/>
      <c r="B26" s="30" t="s">
        <v>61</v>
      </c>
      <c r="C26" s="26"/>
      <c r="D26" s="24">
        <f>SUM(D21:D25)</f>
        <v>1055.8890000000001</v>
      </c>
      <c r="E26" s="2" t="s">
        <v>21</v>
      </c>
      <c r="F26" s="2" t="s">
        <v>39</v>
      </c>
      <c r="G26" s="2" t="str">
        <f t="shared" si="2"/>
        <v>ML</v>
      </c>
      <c r="H26" s="15">
        <f>(VLOOKUP($G26,'Estimate Uncertainty Matrix'!$B$10:$D$18,2)*$D26)+$D26</f>
        <v>950.3001000000002</v>
      </c>
      <c r="I26" s="15">
        <f>(VLOOKUP($G26,'Estimate Uncertainty Matrix'!$B$10:$D$18,3)*$D26)+$D26</f>
        <v>1214.2723500000002</v>
      </c>
      <c r="K26" s="20">
        <v>0</v>
      </c>
      <c r="M26" s="21">
        <v>-0.05</v>
      </c>
      <c r="N26" s="21">
        <v>0.15</v>
      </c>
      <c r="P26" s="1">
        <f t="shared" si="0"/>
        <v>1003.0945500000001</v>
      </c>
      <c r="Q26" s="1">
        <f t="shared" si="1"/>
        <v>1214.2723500000002</v>
      </c>
      <c r="S26" s="20">
        <v>0</v>
      </c>
      <c r="U26" s="1">
        <f>P26-H26</f>
        <v>52.79444999999998</v>
      </c>
      <c r="V26" s="1">
        <f>Q26-I26</f>
        <v>0</v>
      </c>
    </row>
    <row r="27" spans="1:9" ht="15">
      <c r="A27" s="25"/>
      <c r="B27" s="23" t="s">
        <v>62</v>
      </c>
      <c r="C27" s="23" t="s">
        <v>63</v>
      </c>
      <c r="D27" s="24">
        <f>'Updated ETC-5-30-07'!D28/1000</f>
        <v>211.618</v>
      </c>
      <c r="G27" s="2">
        <f t="shared" si="2"/>
      </c>
      <c r="H27" s="15"/>
      <c r="I27" s="15"/>
    </row>
    <row r="28" spans="1:9" ht="15">
      <c r="A28" s="25"/>
      <c r="B28" s="27"/>
      <c r="C28" s="28" t="s">
        <v>64</v>
      </c>
      <c r="D28" s="24">
        <f>'Updated ETC-5-30-07'!D29/1000</f>
        <v>199.076</v>
      </c>
      <c r="G28" s="2">
        <f t="shared" si="2"/>
      </c>
      <c r="H28" s="15"/>
      <c r="I28" s="15"/>
    </row>
    <row r="29" spans="1:9" ht="15">
      <c r="A29" s="25"/>
      <c r="B29" s="27"/>
      <c r="C29" s="28" t="s">
        <v>65</v>
      </c>
      <c r="D29" s="24">
        <f>'Updated ETC-5-30-07'!D30/1000</f>
        <v>267.153</v>
      </c>
      <c r="G29" s="2">
        <f t="shared" si="2"/>
      </c>
      <c r="H29" s="15"/>
      <c r="I29" s="15"/>
    </row>
    <row r="30" spans="1:22" ht="15">
      <c r="A30" s="25"/>
      <c r="B30" s="30" t="s">
        <v>66</v>
      </c>
      <c r="C30" s="26"/>
      <c r="D30" s="24">
        <f>SUM(D27:D29)</f>
        <v>677.847</v>
      </c>
      <c r="E30" s="2" t="s">
        <v>20</v>
      </c>
      <c r="F30" s="2" t="s">
        <v>39</v>
      </c>
      <c r="G30" s="2" t="str">
        <f t="shared" si="2"/>
        <v>HL</v>
      </c>
      <c r="H30" s="15">
        <f>(VLOOKUP($G30,'Estimate Uncertainty Matrix'!$B$10:$D$18,2)*$D30)+$D30</f>
        <v>643.95465</v>
      </c>
      <c r="I30" s="15">
        <f>(VLOOKUP($G30,'Estimate Uncertainty Matrix'!$B$10:$D$18,3)*$D30)+$D30</f>
        <v>745.6317</v>
      </c>
      <c r="K30" s="20">
        <v>0</v>
      </c>
      <c r="M30" s="21">
        <v>-0.1</v>
      </c>
      <c r="N30" s="21">
        <v>0.15</v>
      </c>
      <c r="P30" s="1">
        <f t="shared" si="0"/>
        <v>610.0622999999999</v>
      </c>
      <c r="Q30" s="1">
        <f t="shared" si="1"/>
        <v>779.52405</v>
      </c>
      <c r="S30" s="20">
        <v>0</v>
      </c>
      <c r="U30" s="1">
        <f>P30-H30</f>
        <v>-33.89235000000008</v>
      </c>
      <c r="V30" s="1">
        <f>Q30-I30</f>
        <v>33.892349999999965</v>
      </c>
    </row>
    <row r="31" spans="1:9" ht="15">
      <c r="A31" s="22" t="s">
        <v>67</v>
      </c>
      <c r="B31" s="26"/>
      <c r="C31" s="26"/>
      <c r="D31" s="24">
        <f>D19+D20+D26+D30</f>
        <v>2484.4130000000005</v>
      </c>
      <c r="G31" s="2">
        <f t="shared" si="2"/>
      </c>
      <c r="H31" s="15"/>
      <c r="I31" s="15"/>
    </row>
    <row r="32" spans="1:22" ht="15">
      <c r="A32" s="22">
        <v>5</v>
      </c>
      <c r="B32" s="23" t="s">
        <v>68</v>
      </c>
      <c r="C32" s="23"/>
      <c r="D32" s="24">
        <f>'Updated ETC-5-30-07'!D33/1000</f>
        <v>144.271</v>
      </c>
      <c r="E32" s="44" t="s">
        <v>21</v>
      </c>
      <c r="F32" s="44" t="s">
        <v>39</v>
      </c>
      <c r="G32" s="44" t="str">
        <f t="shared" si="2"/>
        <v>ML</v>
      </c>
      <c r="H32" s="41">
        <f>(VLOOKUP($G32,'Estimate Uncertainty Matrix'!$B$10:$D$18,2)*$D32)+$D32</f>
        <v>129.8439</v>
      </c>
      <c r="I32" s="41">
        <f>(VLOOKUP($G32,'Estimate Uncertainty Matrix'!$B$10:$D$18,3)*$D32)+$D32</f>
        <v>165.91164999999998</v>
      </c>
      <c r="J32" s="40"/>
      <c r="K32" s="40">
        <v>0</v>
      </c>
      <c r="L32" s="40"/>
      <c r="M32" s="45">
        <v>-0.2</v>
      </c>
      <c r="N32" s="45">
        <v>0.3</v>
      </c>
      <c r="P32" s="1">
        <f t="shared" si="0"/>
        <v>115.4168</v>
      </c>
      <c r="Q32" s="1">
        <f t="shared" si="1"/>
        <v>187.55229999999997</v>
      </c>
      <c r="S32" s="20">
        <v>0</v>
      </c>
      <c r="U32" s="1">
        <f aca="true" t="shared" si="4" ref="U32:U40">P32-H32</f>
        <v>-14.427099999999996</v>
      </c>
      <c r="V32" s="1">
        <f aca="true" t="shared" si="5" ref="V32:V40">Q32-I32</f>
        <v>21.640649999999994</v>
      </c>
    </row>
    <row r="33" spans="1:22" ht="15">
      <c r="A33" s="25"/>
      <c r="B33" s="23" t="s">
        <v>69</v>
      </c>
      <c r="C33" s="23"/>
      <c r="D33" s="24">
        <f>'Updated ETC-5-30-07'!D34/1000</f>
        <v>196.596</v>
      </c>
      <c r="E33" s="44" t="s">
        <v>21</v>
      </c>
      <c r="F33" s="44" t="s">
        <v>39</v>
      </c>
      <c r="G33" s="44" t="str">
        <f aca="true" t="shared" si="6" ref="G33:G38">CONCATENATE(E33,F33)</f>
        <v>ML</v>
      </c>
      <c r="H33" s="41">
        <f>(VLOOKUP($G33,'Estimate Uncertainty Matrix'!$B$10:$D$18,2)*$D33)+$D33</f>
        <v>176.9364</v>
      </c>
      <c r="I33" s="41">
        <f>(VLOOKUP($G33,'Estimate Uncertainty Matrix'!$B$10:$D$18,3)*$D33)+$D33</f>
        <v>226.0854</v>
      </c>
      <c r="J33" s="40"/>
      <c r="K33" s="40">
        <v>0</v>
      </c>
      <c r="L33" s="40"/>
      <c r="M33" s="45">
        <v>-0.2</v>
      </c>
      <c r="N33" s="45">
        <v>0.3</v>
      </c>
      <c r="P33" s="1">
        <f t="shared" si="0"/>
        <v>157.2768</v>
      </c>
      <c r="Q33" s="1">
        <f t="shared" si="1"/>
        <v>255.5748</v>
      </c>
      <c r="S33" s="20">
        <v>0</v>
      </c>
      <c r="U33" s="1">
        <f t="shared" si="4"/>
        <v>-19.659599999999983</v>
      </c>
      <c r="V33" s="1">
        <f t="shared" si="5"/>
        <v>29.489400000000018</v>
      </c>
    </row>
    <row r="34" spans="1:22" ht="15">
      <c r="A34" s="25"/>
      <c r="B34" s="23" t="s">
        <v>70</v>
      </c>
      <c r="C34" s="23"/>
      <c r="D34" s="24">
        <f>'Updated ETC-5-30-07'!D35/1000</f>
        <v>164.14</v>
      </c>
      <c r="E34" s="44" t="s">
        <v>21</v>
      </c>
      <c r="F34" s="44" t="s">
        <v>39</v>
      </c>
      <c r="G34" s="44" t="str">
        <f t="shared" si="6"/>
        <v>ML</v>
      </c>
      <c r="H34" s="41">
        <f>(VLOOKUP($G34,'Estimate Uncertainty Matrix'!$B$10:$D$18,2)*$D34)+$D34</f>
        <v>147.726</v>
      </c>
      <c r="I34" s="41">
        <f>(VLOOKUP($G34,'Estimate Uncertainty Matrix'!$B$10:$D$18,3)*$D34)+$D34</f>
        <v>188.761</v>
      </c>
      <c r="J34" s="40"/>
      <c r="K34" s="40">
        <v>0</v>
      </c>
      <c r="L34" s="40"/>
      <c r="M34" s="45">
        <v>-0.2</v>
      </c>
      <c r="N34" s="45">
        <v>0.3</v>
      </c>
      <c r="P34" s="1">
        <f t="shared" si="0"/>
        <v>131.31199999999998</v>
      </c>
      <c r="Q34" s="1">
        <f t="shared" si="1"/>
        <v>213.38199999999998</v>
      </c>
      <c r="S34" s="20">
        <v>0</v>
      </c>
      <c r="U34" s="1">
        <f t="shared" si="4"/>
        <v>-16.414000000000016</v>
      </c>
      <c r="V34" s="1">
        <f t="shared" si="5"/>
        <v>24.62099999999998</v>
      </c>
    </row>
    <row r="35" spans="1:22" ht="15">
      <c r="A35" s="25"/>
      <c r="B35" s="23" t="s">
        <v>71</v>
      </c>
      <c r="C35" s="23"/>
      <c r="D35" s="24">
        <f>'Updated ETC-5-30-07'!D36/1000</f>
        <v>203.111</v>
      </c>
      <c r="E35" s="44" t="s">
        <v>21</v>
      </c>
      <c r="F35" s="44" t="s">
        <v>21</v>
      </c>
      <c r="G35" s="44" t="str">
        <f t="shared" si="6"/>
        <v>MM</v>
      </c>
      <c r="H35" s="41">
        <f>(VLOOKUP($G35,'Estimate Uncertainty Matrix'!$B$10:$D$18,2)*$D35)+$D35</f>
        <v>172.64435</v>
      </c>
      <c r="I35" s="41">
        <f>(VLOOKUP($G35,'Estimate Uncertainty Matrix'!$B$10:$D$18,3)*$D35)+$D35</f>
        <v>253.88875</v>
      </c>
      <c r="J35" s="40"/>
      <c r="K35" s="40">
        <v>0</v>
      </c>
      <c r="L35" s="40"/>
      <c r="M35" s="45">
        <v>-0.2</v>
      </c>
      <c r="N35" s="45">
        <v>0.3</v>
      </c>
      <c r="P35" s="1">
        <f t="shared" si="0"/>
        <v>162.4888</v>
      </c>
      <c r="Q35" s="1">
        <f t="shared" si="1"/>
        <v>264.04429999999996</v>
      </c>
      <c r="S35" s="20">
        <v>0</v>
      </c>
      <c r="U35" s="1">
        <f t="shared" si="4"/>
        <v>-10.155550000000005</v>
      </c>
      <c r="V35" s="1">
        <f t="shared" si="5"/>
        <v>10.155549999999977</v>
      </c>
    </row>
    <row r="36" spans="1:22" ht="15">
      <c r="A36" s="25"/>
      <c r="B36" s="23" t="s">
        <v>72</v>
      </c>
      <c r="C36" s="23"/>
      <c r="D36" s="24">
        <f>'Updated ETC-5-30-07'!D37/1000</f>
        <v>129.109</v>
      </c>
      <c r="E36" s="44" t="s">
        <v>21</v>
      </c>
      <c r="F36" s="44" t="s">
        <v>39</v>
      </c>
      <c r="G36" s="44" t="str">
        <f t="shared" si="6"/>
        <v>ML</v>
      </c>
      <c r="H36" s="41">
        <f>(VLOOKUP($G36,'Estimate Uncertainty Matrix'!$B$10:$D$18,2)*$D36)+$D36</f>
        <v>116.19810000000001</v>
      </c>
      <c r="I36" s="41">
        <f>(VLOOKUP($G36,'Estimate Uncertainty Matrix'!$B$10:$D$18,3)*$D36)+$D36</f>
        <v>148.47535000000002</v>
      </c>
      <c r="J36" s="40"/>
      <c r="K36" s="40">
        <v>0</v>
      </c>
      <c r="L36" s="40"/>
      <c r="M36" s="45">
        <v>-0.2</v>
      </c>
      <c r="N36" s="45">
        <v>0.3</v>
      </c>
      <c r="P36" s="1">
        <f t="shared" si="0"/>
        <v>103.28720000000001</v>
      </c>
      <c r="Q36" s="1">
        <f t="shared" si="1"/>
        <v>167.8417</v>
      </c>
      <c r="S36" s="20">
        <v>0</v>
      </c>
      <c r="U36" s="1">
        <f t="shared" si="4"/>
        <v>-12.910899999999998</v>
      </c>
      <c r="V36" s="1">
        <f t="shared" si="5"/>
        <v>19.366349999999983</v>
      </c>
    </row>
    <row r="37" spans="1:22" ht="15">
      <c r="A37" s="25"/>
      <c r="B37" s="23" t="s">
        <v>73</v>
      </c>
      <c r="C37" s="23"/>
      <c r="D37" s="24">
        <f>'Updated ETC-5-30-07'!D38/1000</f>
        <v>221.284</v>
      </c>
      <c r="E37" s="44" t="s">
        <v>39</v>
      </c>
      <c r="F37" s="44" t="s">
        <v>21</v>
      </c>
      <c r="G37" s="44" t="str">
        <f t="shared" si="6"/>
        <v>LM</v>
      </c>
      <c r="H37" s="41">
        <f>(VLOOKUP($G37,'Estimate Uncertainty Matrix'!$B$10:$D$18,2)*$D37)+$D37</f>
        <v>177.0272</v>
      </c>
      <c r="I37" s="41">
        <f>(VLOOKUP($G37,'Estimate Uncertainty Matrix'!$B$10:$D$18,3)*$D37)+$D37</f>
        <v>309.7976</v>
      </c>
      <c r="J37" s="40"/>
      <c r="K37" s="40">
        <v>0</v>
      </c>
      <c r="L37" s="40"/>
      <c r="M37" s="45">
        <v>-0.2</v>
      </c>
      <c r="N37" s="45">
        <v>0.5</v>
      </c>
      <c r="P37" s="1">
        <f t="shared" si="0"/>
        <v>177.0272</v>
      </c>
      <c r="Q37" s="1">
        <f t="shared" si="1"/>
        <v>331.926</v>
      </c>
      <c r="S37" s="20">
        <v>0</v>
      </c>
      <c r="U37" s="1">
        <f t="shared" si="4"/>
        <v>0</v>
      </c>
      <c r="V37" s="1">
        <f t="shared" si="5"/>
        <v>22.1284</v>
      </c>
    </row>
    <row r="38" spans="1:22" ht="15">
      <c r="A38" s="25"/>
      <c r="B38" s="23" t="s">
        <v>74</v>
      </c>
      <c r="C38" s="23"/>
      <c r="D38" s="24">
        <f>'Updated ETC-5-30-07'!D39/1000</f>
        <v>63.117</v>
      </c>
      <c r="E38" s="44" t="s">
        <v>20</v>
      </c>
      <c r="F38" s="44" t="s">
        <v>39</v>
      </c>
      <c r="G38" s="44" t="str">
        <f t="shared" si="6"/>
        <v>HL</v>
      </c>
      <c r="H38" s="41">
        <f>(VLOOKUP($G38,'Estimate Uncertainty Matrix'!$B$10:$D$18,2)*$D38)+$D38</f>
        <v>59.961149999999996</v>
      </c>
      <c r="I38" s="41">
        <f>(VLOOKUP($G38,'Estimate Uncertainty Matrix'!$B$10:$D$18,3)*$D38)+$D38</f>
        <v>69.42869999999999</v>
      </c>
      <c r="J38" s="40"/>
      <c r="K38" s="40">
        <v>0</v>
      </c>
      <c r="L38" s="40"/>
      <c r="M38" s="45">
        <v>-0.05</v>
      </c>
      <c r="N38" s="45">
        <v>0.05</v>
      </c>
      <c r="P38" s="1">
        <f t="shared" si="0"/>
        <v>59.961149999999996</v>
      </c>
      <c r="Q38" s="1">
        <f t="shared" si="1"/>
        <v>66.27284999999999</v>
      </c>
      <c r="S38" s="20">
        <v>0</v>
      </c>
      <c r="U38" s="1">
        <f t="shared" si="4"/>
        <v>0</v>
      </c>
      <c r="V38" s="1">
        <f t="shared" si="5"/>
        <v>-3.155850000000001</v>
      </c>
    </row>
    <row r="39" spans="1:22" ht="15">
      <c r="A39" s="22" t="s">
        <v>75</v>
      </c>
      <c r="B39" s="26"/>
      <c r="C39" s="26"/>
      <c r="D39" s="24">
        <f>SUM(D32:D38)</f>
        <v>1121.628</v>
      </c>
      <c r="G39" s="2">
        <f t="shared" si="2"/>
      </c>
      <c r="H39" s="15"/>
      <c r="I39" s="15"/>
      <c r="U39" s="1">
        <f t="shared" si="4"/>
        <v>0</v>
      </c>
      <c r="V39" s="1">
        <f t="shared" si="5"/>
        <v>0</v>
      </c>
    </row>
    <row r="40" spans="1:22" ht="15">
      <c r="A40" s="22">
        <v>6</v>
      </c>
      <c r="B40" s="23" t="s">
        <v>76</v>
      </c>
      <c r="C40" s="23" t="s">
        <v>77</v>
      </c>
      <c r="D40" s="24">
        <f>'Updated ETC-5-30-07'!D41/1000</f>
        <v>49.628</v>
      </c>
      <c r="E40" s="37" t="s">
        <v>39</v>
      </c>
      <c r="F40" s="37" t="s">
        <v>39</v>
      </c>
      <c r="G40" s="37" t="str">
        <f t="shared" si="2"/>
        <v>LL</v>
      </c>
      <c r="H40" s="38">
        <f>(VLOOKUP($G40,'Estimate Uncertainty Matrix'!$B$10:$D$18,2)*$D40)+$D40</f>
        <v>42.1838</v>
      </c>
      <c r="I40" s="38">
        <f>(VLOOKUP($G40,'Estimate Uncertainty Matrix'!$B$10:$D$18,3)*$D40)+$D40</f>
        <v>62.035</v>
      </c>
      <c r="J40" s="39"/>
      <c r="K40" s="20">
        <v>0</v>
      </c>
      <c r="L40" s="39"/>
      <c r="M40" s="36">
        <v>-0.15</v>
      </c>
      <c r="N40" s="36">
        <v>0.25</v>
      </c>
      <c r="P40" s="1">
        <f t="shared" si="0"/>
        <v>42.1838</v>
      </c>
      <c r="Q40" s="1">
        <f t="shared" si="1"/>
        <v>62.035</v>
      </c>
      <c r="S40" s="20">
        <v>0</v>
      </c>
      <c r="U40" s="1">
        <f t="shared" si="4"/>
        <v>0</v>
      </c>
      <c r="V40" s="1">
        <f t="shared" si="5"/>
        <v>0</v>
      </c>
    </row>
    <row r="41" spans="1:9" ht="15">
      <c r="A41" s="25"/>
      <c r="B41" s="23" t="s">
        <v>78</v>
      </c>
      <c r="C41" s="23" t="s">
        <v>79</v>
      </c>
      <c r="D41" s="24">
        <f>'Updated ETC-5-30-07'!D42/1000</f>
        <v>106.847</v>
      </c>
      <c r="G41" s="2">
        <f t="shared" si="2"/>
      </c>
      <c r="H41" s="15"/>
      <c r="I41" s="15"/>
    </row>
    <row r="42" spans="1:9" ht="15">
      <c r="A42" s="25"/>
      <c r="B42" s="27"/>
      <c r="C42" s="28" t="s">
        <v>80</v>
      </c>
      <c r="D42" s="24">
        <f>'Updated ETC-5-30-07'!D43/1000</f>
        <v>85.764</v>
      </c>
      <c r="G42" s="2">
        <f t="shared" si="2"/>
      </c>
      <c r="H42" s="15"/>
      <c r="I42" s="15"/>
    </row>
    <row r="43" spans="1:9" ht="15">
      <c r="A43" s="25"/>
      <c r="B43" s="27"/>
      <c r="C43" s="28" t="s">
        <v>81</v>
      </c>
      <c r="D43" s="24">
        <f>'Updated ETC-5-30-07'!D44/1000</f>
        <v>422.121</v>
      </c>
      <c r="G43" s="2">
        <f t="shared" si="2"/>
      </c>
      <c r="H43" s="15"/>
      <c r="I43" s="15"/>
    </row>
    <row r="44" spans="1:22" ht="15">
      <c r="A44" s="25"/>
      <c r="B44" s="30" t="s">
        <v>82</v>
      </c>
      <c r="C44" s="26"/>
      <c r="D44" s="24">
        <f>SUM(D41:D43)</f>
        <v>614.732</v>
      </c>
      <c r="E44" s="44" t="s">
        <v>39</v>
      </c>
      <c r="F44" s="44" t="s">
        <v>21</v>
      </c>
      <c r="G44" s="44" t="str">
        <f t="shared" si="2"/>
        <v>LM</v>
      </c>
      <c r="H44" s="41">
        <f>(VLOOKUP($G44,'Estimate Uncertainty Matrix'!$B$10:$D$18,2)*$D44)+$D44</f>
        <v>491.7856</v>
      </c>
      <c r="I44" s="41">
        <f>(VLOOKUP($G44,'Estimate Uncertainty Matrix'!$B$10:$D$18,3)*$D44)+$D44</f>
        <v>860.6247999999999</v>
      </c>
      <c r="J44" s="40"/>
      <c r="K44" s="20">
        <v>0</v>
      </c>
      <c r="L44" s="40"/>
      <c r="M44" s="45">
        <v>-0.2</v>
      </c>
      <c r="N44" s="45">
        <v>0.3</v>
      </c>
      <c r="P44" s="1">
        <f t="shared" si="0"/>
        <v>491.7856</v>
      </c>
      <c r="Q44" s="1">
        <f t="shared" si="1"/>
        <v>799.1515999999999</v>
      </c>
      <c r="S44" s="20">
        <v>0</v>
      </c>
      <c r="U44" s="1">
        <f aca="true" t="shared" si="7" ref="U44:V46">P44-H44</f>
        <v>0</v>
      </c>
      <c r="V44" s="1">
        <f t="shared" si="7"/>
        <v>-61.47320000000002</v>
      </c>
    </row>
    <row r="45" spans="1:22" ht="15">
      <c r="A45" s="25"/>
      <c r="B45" s="23" t="s">
        <v>83</v>
      </c>
      <c r="C45" s="23"/>
      <c r="D45" s="24">
        <f>'Updated ETC-5-30-07'!D46/1000</f>
        <v>116.634</v>
      </c>
      <c r="E45" s="37" t="s">
        <v>39</v>
      </c>
      <c r="F45" s="37" t="s">
        <v>39</v>
      </c>
      <c r="G45" s="37" t="str">
        <f t="shared" si="2"/>
        <v>LL</v>
      </c>
      <c r="H45" s="38">
        <f>(VLOOKUP($G45,'Estimate Uncertainty Matrix'!$B$10:$D$18,2)*$D45)+$D45</f>
        <v>99.1389</v>
      </c>
      <c r="I45" s="38">
        <f>(VLOOKUP($G45,'Estimate Uncertainty Matrix'!$B$10:$D$18,3)*$D45)+$D45</f>
        <v>145.7925</v>
      </c>
      <c r="J45" s="39"/>
      <c r="K45" s="20">
        <v>0</v>
      </c>
      <c r="L45" s="39"/>
      <c r="M45" s="36">
        <v>-0.15</v>
      </c>
      <c r="N45" s="36">
        <v>0.25</v>
      </c>
      <c r="P45" s="1">
        <f t="shared" si="0"/>
        <v>99.1389</v>
      </c>
      <c r="Q45" s="1">
        <f t="shared" si="1"/>
        <v>145.7925</v>
      </c>
      <c r="S45" s="20">
        <v>0</v>
      </c>
      <c r="U45" s="1">
        <f t="shared" si="7"/>
        <v>0</v>
      </c>
      <c r="V45" s="1">
        <f t="shared" si="7"/>
        <v>0</v>
      </c>
    </row>
    <row r="46" spans="1:22" ht="15">
      <c r="A46" s="25"/>
      <c r="B46" s="23" t="s">
        <v>84</v>
      </c>
      <c r="C46" s="23"/>
      <c r="D46" s="24">
        <f>'Updated ETC-5-30-07'!D47/1000</f>
        <v>548.642</v>
      </c>
      <c r="E46" s="37" t="s">
        <v>39</v>
      </c>
      <c r="F46" s="37" t="s">
        <v>21</v>
      </c>
      <c r="G46" s="37" t="str">
        <f t="shared" si="2"/>
        <v>LM</v>
      </c>
      <c r="H46" s="38">
        <f>(VLOOKUP($G46,'Estimate Uncertainty Matrix'!$B$10:$D$18,2)*$D46)+$D46</f>
        <v>438.91360000000003</v>
      </c>
      <c r="I46" s="38">
        <f>(VLOOKUP($G46,'Estimate Uncertainty Matrix'!$B$10:$D$18,3)*$D46)+$D46</f>
        <v>768.0988000000001</v>
      </c>
      <c r="J46" s="39"/>
      <c r="K46" s="20">
        <v>0</v>
      </c>
      <c r="L46" s="39"/>
      <c r="M46" s="36">
        <v>-0.2</v>
      </c>
      <c r="N46" s="36">
        <v>0.4</v>
      </c>
      <c r="P46" s="1">
        <f t="shared" si="0"/>
        <v>438.91360000000003</v>
      </c>
      <c r="Q46" s="1">
        <f t="shared" si="1"/>
        <v>768.0988000000001</v>
      </c>
      <c r="S46" s="20">
        <v>0</v>
      </c>
      <c r="U46" s="1">
        <f t="shared" si="7"/>
        <v>0</v>
      </c>
      <c r="V46" s="1">
        <f t="shared" si="7"/>
        <v>0</v>
      </c>
    </row>
    <row r="47" spans="1:9" ht="15">
      <c r="A47" s="22" t="s">
        <v>85</v>
      </c>
      <c r="B47" s="26"/>
      <c r="C47" s="26"/>
      <c r="D47" s="24">
        <f>D40+D44+D45+D46</f>
        <v>1329.636</v>
      </c>
      <c r="G47" s="2">
        <f t="shared" si="2"/>
      </c>
      <c r="H47" s="15"/>
      <c r="I47" s="15"/>
    </row>
    <row r="48" spans="1:22" ht="15">
      <c r="A48" s="22">
        <v>7</v>
      </c>
      <c r="B48" s="23" t="s">
        <v>86</v>
      </c>
      <c r="C48" s="23"/>
      <c r="D48" s="24">
        <f>'Updated ETC-5-30-07'!D49/1000</f>
        <v>203.23</v>
      </c>
      <c r="E48" s="44" t="s">
        <v>39</v>
      </c>
      <c r="F48" s="44" t="s">
        <v>39</v>
      </c>
      <c r="G48" s="44" t="str">
        <f t="shared" si="2"/>
        <v>LL</v>
      </c>
      <c r="H48" s="41">
        <f>(VLOOKUP($G48,'Estimate Uncertainty Matrix'!$B$10:$D$18,2)*$D48)+$D48</f>
        <v>172.7455</v>
      </c>
      <c r="I48" s="41">
        <f>(VLOOKUP($G48,'Estimate Uncertainty Matrix'!$B$10:$D$18,3)*$D48)+$D48</f>
        <v>254.0375</v>
      </c>
      <c r="J48" s="40"/>
      <c r="K48" s="20">
        <v>0</v>
      </c>
      <c r="L48" s="40"/>
      <c r="M48" s="45">
        <v>-0.0001</v>
      </c>
      <c r="N48" s="45">
        <v>0.1</v>
      </c>
      <c r="P48" s="1">
        <f t="shared" si="0"/>
        <v>203.209677</v>
      </c>
      <c r="Q48" s="1">
        <f t="shared" si="1"/>
        <v>223.553</v>
      </c>
      <c r="S48" s="20">
        <v>0</v>
      </c>
      <c r="U48" s="1">
        <f aca="true" t="shared" si="8" ref="U48:V52">P48-H48</f>
        <v>30.464177000000007</v>
      </c>
      <c r="V48" s="1">
        <f t="shared" si="8"/>
        <v>-30.484499999999997</v>
      </c>
    </row>
    <row r="49" spans="1:22" ht="15">
      <c r="A49" s="25"/>
      <c r="B49" s="23" t="s">
        <v>87</v>
      </c>
      <c r="C49" s="23"/>
      <c r="D49" s="24">
        <f>'Updated ETC-5-30-07'!D50/1000</f>
        <v>1116.686</v>
      </c>
      <c r="E49" s="44" t="s">
        <v>39</v>
      </c>
      <c r="F49" s="44" t="s">
        <v>21</v>
      </c>
      <c r="G49" s="44" t="str">
        <f>CONCATENATE(E49,F49)</f>
        <v>LM</v>
      </c>
      <c r="H49" s="41">
        <f>(VLOOKUP($G49,'Estimate Uncertainty Matrix'!$B$10:$D$18,2)*$D49)+$D49</f>
        <v>893.3488</v>
      </c>
      <c r="I49" s="41">
        <f>(VLOOKUP($G49,'Estimate Uncertainty Matrix'!$B$10:$D$18,3)*$D49)+$D49</f>
        <v>1563.3604</v>
      </c>
      <c r="J49" s="40"/>
      <c r="K49" s="20">
        <v>0</v>
      </c>
      <c r="L49" s="40"/>
      <c r="M49" s="45">
        <v>-0.2</v>
      </c>
      <c r="N49" s="45">
        <v>0.4</v>
      </c>
      <c r="P49" s="1">
        <f t="shared" si="0"/>
        <v>893.3488</v>
      </c>
      <c r="Q49" s="1">
        <f t="shared" si="1"/>
        <v>1563.3604</v>
      </c>
      <c r="S49" s="20">
        <v>0</v>
      </c>
      <c r="U49" s="1">
        <f t="shared" si="8"/>
        <v>0</v>
      </c>
      <c r="V49" s="1">
        <f t="shared" si="8"/>
        <v>0</v>
      </c>
    </row>
    <row r="50" spans="1:22" ht="15">
      <c r="A50" s="25"/>
      <c r="B50" s="23" t="s">
        <v>88</v>
      </c>
      <c r="C50" s="23"/>
      <c r="D50" s="24">
        <f>'Updated ETC-5-30-07'!D51/1000</f>
        <v>1587.706</v>
      </c>
      <c r="E50" s="44" t="s">
        <v>21</v>
      </c>
      <c r="F50" s="44" t="s">
        <v>39</v>
      </c>
      <c r="G50" s="44" t="str">
        <f>CONCATENATE(E50,F50)</f>
        <v>ML</v>
      </c>
      <c r="H50" s="41">
        <f>(VLOOKUP($G50,'Estimate Uncertainty Matrix'!$B$10:$D$18,2)*$D50)+$D50</f>
        <v>1428.9353999999998</v>
      </c>
      <c r="I50" s="41">
        <f>(VLOOKUP($G50,'Estimate Uncertainty Matrix'!$B$10:$D$18,3)*$D50)+$D50</f>
        <v>1825.8618999999999</v>
      </c>
      <c r="J50" s="40"/>
      <c r="K50" s="20">
        <v>0</v>
      </c>
      <c r="L50" s="40"/>
      <c r="M50" s="45">
        <v>-0.0001</v>
      </c>
      <c r="N50" s="45">
        <v>0.15</v>
      </c>
      <c r="P50" s="1">
        <f t="shared" si="0"/>
        <v>1587.5472293999999</v>
      </c>
      <c r="Q50" s="1">
        <f t="shared" si="1"/>
        <v>1825.8618999999999</v>
      </c>
      <c r="S50" s="20">
        <v>0</v>
      </c>
      <c r="U50" s="1">
        <f t="shared" si="8"/>
        <v>158.61182940000003</v>
      </c>
      <c r="V50" s="1">
        <f t="shared" si="8"/>
        <v>0</v>
      </c>
    </row>
    <row r="51" spans="1:22" ht="15">
      <c r="A51" s="25"/>
      <c r="B51" s="23" t="s">
        <v>89</v>
      </c>
      <c r="C51" s="23"/>
      <c r="D51" s="24">
        <f>'Updated ETC-5-30-07'!D52/1000</f>
        <v>2777.799</v>
      </c>
      <c r="E51" s="44" t="s">
        <v>39</v>
      </c>
      <c r="F51" s="44" t="s">
        <v>21</v>
      </c>
      <c r="G51" s="44" t="str">
        <f>CONCATENATE(E51,F51)</f>
        <v>LM</v>
      </c>
      <c r="H51" s="41">
        <f>(VLOOKUP($G51,'Estimate Uncertainty Matrix'!$B$10:$D$18,2)*$D51)+$D51</f>
        <v>2222.2392</v>
      </c>
      <c r="I51" s="41">
        <f>(VLOOKUP($G51,'Estimate Uncertainty Matrix'!$B$10:$D$18,3)*$D51)+$D51</f>
        <v>3888.9186</v>
      </c>
      <c r="J51" s="40"/>
      <c r="K51" s="20">
        <v>0</v>
      </c>
      <c r="L51" s="40"/>
      <c r="M51" s="45">
        <v>-0.0001</v>
      </c>
      <c r="N51" s="45">
        <v>0.15</v>
      </c>
      <c r="P51" s="1">
        <f>D51+(D51*M51)</f>
        <v>2777.5212201</v>
      </c>
      <c r="Q51" s="1">
        <f>D51+(D51*N51)</f>
        <v>3194.46885</v>
      </c>
      <c r="S51" s="20">
        <v>0</v>
      </c>
      <c r="U51" s="1">
        <f t="shared" si="8"/>
        <v>555.2820201</v>
      </c>
      <c r="V51" s="1">
        <f t="shared" si="8"/>
        <v>-694.4497499999998</v>
      </c>
    </row>
    <row r="52" spans="1:22" ht="15">
      <c r="A52" s="25"/>
      <c r="B52" s="23" t="s">
        <v>90</v>
      </c>
      <c r="C52" s="23"/>
      <c r="D52" s="24">
        <f>'Updated ETC-5-30-07'!D53/1000</f>
        <v>415.69</v>
      </c>
      <c r="E52" s="44" t="s">
        <v>39</v>
      </c>
      <c r="F52" s="44" t="s">
        <v>39</v>
      </c>
      <c r="G52" s="44" t="str">
        <f>CONCATENATE(E52,F52)</f>
        <v>LL</v>
      </c>
      <c r="H52" s="41">
        <f>(VLOOKUP($G52,'Estimate Uncertainty Matrix'!$B$10:$D$18,2)*$D52)+$D52</f>
        <v>353.3365</v>
      </c>
      <c r="I52" s="41">
        <f>(VLOOKUP($G52,'Estimate Uncertainty Matrix'!$B$10:$D$18,3)*$D52)+$D52</f>
        <v>519.6125</v>
      </c>
      <c r="J52" s="40"/>
      <c r="K52" s="20">
        <v>0</v>
      </c>
      <c r="L52" s="40"/>
      <c r="M52" s="45">
        <v>-0.0001</v>
      </c>
      <c r="N52" s="45">
        <v>0.1</v>
      </c>
      <c r="P52" s="1">
        <f t="shared" si="0"/>
        <v>415.648431</v>
      </c>
      <c r="Q52" s="1">
        <f t="shared" si="1"/>
        <v>457.259</v>
      </c>
      <c r="S52" s="20">
        <v>0</v>
      </c>
      <c r="U52" s="1">
        <f t="shared" si="8"/>
        <v>62.311931000000016</v>
      </c>
      <c r="V52" s="1">
        <f t="shared" si="8"/>
        <v>-62.35349999999994</v>
      </c>
    </row>
    <row r="53" spans="1:9" ht="15">
      <c r="A53" s="22" t="s">
        <v>91</v>
      </c>
      <c r="B53" s="26"/>
      <c r="C53" s="26"/>
      <c r="D53" s="24">
        <f>SUM(D48:D52)</f>
        <v>6101.111</v>
      </c>
      <c r="G53" s="2">
        <f t="shared" si="2"/>
      </c>
      <c r="H53" s="15"/>
      <c r="I53" s="15"/>
    </row>
    <row r="54" spans="1:9" ht="15">
      <c r="A54" s="22">
        <v>8</v>
      </c>
      <c r="B54" s="23" t="s">
        <v>92</v>
      </c>
      <c r="C54" s="23" t="s">
        <v>93</v>
      </c>
      <c r="D54" s="24">
        <f>'Updated ETC-5-30-07'!D56/1000</f>
        <v>4.527</v>
      </c>
      <c r="G54" s="2">
        <f t="shared" si="2"/>
      </c>
      <c r="H54" s="15"/>
      <c r="I54" s="15"/>
    </row>
    <row r="55" spans="1:9" ht="15">
      <c r="A55" s="25"/>
      <c r="B55" s="27"/>
      <c r="C55" s="28"/>
      <c r="D55" s="29">
        <f>'Updated ETC-5-30-07'!D55/1000</f>
        <v>1938.873</v>
      </c>
      <c r="G55" s="2">
        <f t="shared" si="2"/>
      </c>
      <c r="H55" s="15"/>
      <c r="I55" s="15"/>
    </row>
    <row r="56" spans="1:22" ht="15">
      <c r="A56" s="25"/>
      <c r="B56" s="30" t="s">
        <v>94</v>
      </c>
      <c r="C56" s="26"/>
      <c r="D56" s="24">
        <f>SUM(D54:D55)</f>
        <v>1943.4</v>
      </c>
      <c r="E56" s="44" t="s">
        <v>198</v>
      </c>
      <c r="F56" s="44" t="s">
        <v>198</v>
      </c>
      <c r="G56" s="44" t="s">
        <v>197</v>
      </c>
      <c r="H56" s="41">
        <f>(VLOOKUP($G56,'Estimate Uncertainty Matrix'!$B$10:$D$19,2)*$D56)+$D56</f>
        <v>2915.1000000000004</v>
      </c>
      <c r="I56" s="41">
        <f>(VLOOKUP($G56,'Estimate Uncertainty Matrix'!$B$10:$D$19,3)*$D56)+$D56</f>
        <v>3886.8</v>
      </c>
      <c r="J56" s="40"/>
      <c r="K56" s="20">
        <v>0</v>
      </c>
      <c r="L56" s="40"/>
      <c r="M56" s="45">
        <v>0.5</v>
      </c>
      <c r="N56" s="45">
        <v>1</v>
      </c>
      <c r="P56" s="1">
        <f t="shared" si="0"/>
        <v>2915.1000000000004</v>
      </c>
      <c r="Q56" s="1">
        <f t="shared" si="1"/>
        <v>3886.8</v>
      </c>
      <c r="S56" s="20">
        <v>0</v>
      </c>
      <c r="U56" s="1">
        <f>P56-H56</f>
        <v>0</v>
      </c>
      <c r="V56" s="1">
        <f>Q56-I56</f>
        <v>0</v>
      </c>
    </row>
    <row r="57" spans="1:22" ht="15">
      <c r="A57" s="25"/>
      <c r="B57" s="23" t="s">
        <v>95</v>
      </c>
      <c r="C57" s="23"/>
      <c r="D57" s="24">
        <f>'Updated ETC-5-30-07'!D58/1000</f>
        <v>394.62</v>
      </c>
      <c r="E57" s="44" t="s">
        <v>198</v>
      </c>
      <c r="F57" s="44" t="s">
        <v>198</v>
      </c>
      <c r="G57" s="44" t="s">
        <v>197</v>
      </c>
      <c r="H57" s="41">
        <f>(VLOOKUP($G57,'Estimate Uncertainty Matrix'!$B$10:$D$19,2)*$D57)+$D57</f>
        <v>591.9300000000001</v>
      </c>
      <c r="I57" s="41">
        <f>(VLOOKUP($G57,'Estimate Uncertainty Matrix'!$B$10:$D$19,3)*$D57)+$D57</f>
        <v>789.24</v>
      </c>
      <c r="J57" s="40"/>
      <c r="K57" s="20">
        <v>0</v>
      </c>
      <c r="L57" s="40"/>
      <c r="M57" s="45">
        <v>0.5</v>
      </c>
      <c r="N57" s="45">
        <v>1</v>
      </c>
      <c r="P57" s="1">
        <f t="shared" si="0"/>
        <v>591.9300000000001</v>
      </c>
      <c r="Q57" s="1">
        <f t="shared" si="1"/>
        <v>789.24</v>
      </c>
      <c r="S57" s="20">
        <v>0</v>
      </c>
      <c r="U57" s="1">
        <f>P57-H57</f>
        <v>0</v>
      </c>
      <c r="V57" s="1">
        <f>Q57-I57</f>
        <v>0</v>
      </c>
    </row>
    <row r="58" spans="1:9" ht="15">
      <c r="A58" s="25"/>
      <c r="B58" s="23" t="s">
        <v>96</v>
      </c>
      <c r="C58" s="23" t="s">
        <v>93</v>
      </c>
      <c r="D58" s="24">
        <f>'Updated ETC-5-30-07'!D60/1000</f>
        <v>30.228</v>
      </c>
      <c r="G58" s="2">
        <f t="shared" si="2"/>
      </c>
      <c r="H58" s="15"/>
      <c r="I58" s="15"/>
    </row>
    <row r="59" spans="1:9" ht="15">
      <c r="A59" s="25"/>
      <c r="B59" s="27"/>
      <c r="C59" s="28"/>
      <c r="D59" s="29">
        <f>'Updated ETC-5-30-07'!D59/1000</f>
        <v>1810.263</v>
      </c>
      <c r="G59" s="2">
        <f t="shared" si="2"/>
      </c>
      <c r="H59" s="15"/>
      <c r="I59" s="15"/>
    </row>
    <row r="60" spans="1:22" ht="15">
      <c r="A60" s="25"/>
      <c r="B60" s="30" t="s">
        <v>97</v>
      </c>
      <c r="C60" s="26"/>
      <c r="D60" s="24">
        <f>SUM(D58:D59)</f>
        <v>1840.491</v>
      </c>
      <c r="E60" s="44" t="s">
        <v>20</v>
      </c>
      <c r="F60" s="44" t="s">
        <v>39</v>
      </c>
      <c r="G60" s="44" t="str">
        <f t="shared" si="2"/>
        <v>HL</v>
      </c>
      <c r="H60" s="41">
        <f>(VLOOKUP($G60,'Estimate Uncertainty Matrix'!$B$10:$D$18,2)*$D60)+$D60</f>
        <v>1748.46645</v>
      </c>
      <c r="I60" s="41">
        <f>(VLOOKUP($G60,'Estimate Uncertainty Matrix'!$B$10:$D$18,3)*$D60)+$D60</f>
        <v>2024.5401</v>
      </c>
      <c r="J60" s="40"/>
      <c r="K60" s="20">
        <v>0</v>
      </c>
      <c r="L60" s="40"/>
      <c r="M60" s="45">
        <v>-0.15</v>
      </c>
      <c r="N60" s="45">
        <v>0.2</v>
      </c>
      <c r="P60" s="1">
        <f t="shared" si="0"/>
        <v>1564.41735</v>
      </c>
      <c r="Q60" s="1">
        <f t="shared" si="1"/>
        <v>2208.5892</v>
      </c>
      <c r="S60" s="20">
        <v>0</v>
      </c>
      <c r="U60" s="1">
        <f aca="true" t="shared" si="9" ref="U60:U65">P60-H60</f>
        <v>-184.04909999999995</v>
      </c>
      <c r="V60" s="1">
        <f aca="true" t="shared" si="10" ref="V60:V65">Q60-I60</f>
        <v>184.04909999999995</v>
      </c>
    </row>
    <row r="61" spans="1:22" ht="15">
      <c r="A61" s="25"/>
      <c r="B61" s="23" t="s">
        <v>98</v>
      </c>
      <c r="C61" s="23"/>
      <c r="D61" s="24">
        <f>'Updated ETC-5-30-07'!D62/1000</f>
        <v>1404.328</v>
      </c>
      <c r="E61" s="44" t="s">
        <v>20</v>
      </c>
      <c r="F61" s="44" t="s">
        <v>39</v>
      </c>
      <c r="G61" s="44" t="str">
        <f>CONCATENATE(E61,F61)</f>
        <v>HL</v>
      </c>
      <c r="H61" s="41">
        <f>(VLOOKUP($G61,'Estimate Uncertainty Matrix'!$B$10:$D$18,2)*$D61)+$D61</f>
        <v>1334.1116</v>
      </c>
      <c r="I61" s="41">
        <f>(VLOOKUP($G61,'Estimate Uncertainty Matrix'!$B$10:$D$18,3)*$D61)+$D61</f>
        <v>1544.7608</v>
      </c>
      <c r="J61" s="40"/>
      <c r="K61" s="20">
        <v>0</v>
      </c>
      <c r="L61" s="40"/>
      <c r="M61" s="45">
        <v>-0.15</v>
      </c>
      <c r="N61" s="45">
        <v>0.2</v>
      </c>
      <c r="P61" s="1">
        <f t="shared" si="0"/>
        <v>1193.6788</v>
      </c>
      <c r="Q61" s="1">
        <f t="shared" si="1"/>
        <v>1685.1936</v>
      </c>
      <c r="S61" s="20">
        <v>0</v>
      </c>
      <c r="U61" s="1">
        <f t="shared" si="9"/>
        <v>-140.43280000000004</v>
      </c>
      <c r="V61" s="1">
        <f t="shared" si="10"/>
        <v>140.43280000000004</v>
      </c>
    </row>
    <row r="62" spans="1:22" ht="15">
      <c r="A62" s="25"/>
      <c r="B62" s="23" t="s">
        <v>99</v>
      </c>
      <c r="C62" s="23"/>
      <c r="D62" s="24">
        <f>'Updated ETC-5-30-07'!D63/1000</f>
        <v>1706.183</v>
      </c>
      <c r="E62" s="44" t="s">
        <v>20</v>
      </c>
      <c r="F62" s="44" t="s">
        <v>39</v>
      </c>
      <c r="G62" s="44" t="str">
        <f>CONCATENATE(E62,F62)</f>
        <v>HL</v>
      </c>
      <c r="H62" s="41">
        <f>(VLOOKUP($G62,'Estimate Uncertainty Matrix'!$B$10:$D$18,2)*$D62)+$D62</f>
        <v>1620.87385</v>
      </c>
      <c r="I62" s="41">
        <f>(VLOOKUP($G62,'Estimate Uncertainty Matrix'!$B$10:$D$18,3)*$D62)+$D62</f>
        <v>1876.8013</v>
      </c>
      <c r="J62" s="40"/>
      <c r="K62" s="20">
        <v>0</v>
      </c>
      <c r="L62" s="40"/>
      <c r="M62" s="45">
        <v>-0.15</v>
      </c>
      <c r="N62" s="45">
        <v>0.2</v>
      </c>
      <c r="P62" s="1">
        <f t="shared" si="0"/>
        <v>1450.25555</v>
      </c>
      <c r="Q62" s="1">
        <f t="shared" si="1"/>
        <v>2047.4196</v>
      </c>
      <c r="S62" s="20">
        <v>0</v>
      </c>
      <c r="U62" s="1">
        <f t="shared" si="9"/>
        <v>-170.61829999999986</v>
      </c>
      <c r="V62" s="1">
        <f t="shared" si="10"/>
        <v>170.61829999999986</v>
      </c>
    </row>
    <row r="63" spans="1:22" ht="15">
      <c r="A63" s="25"/>
      <c r="B63" s="23" t="s">
        <v>100</v>
      </c>
      <c r="C63" s="23"/>
      <c r="D63" s="24">
        <f>'Updated ETC-5-30-07'!D64/1000</f>
        <v>752.84</v>
      </c>
      <c r="E63" s="44" t="s">
        <v>20</v>
      </c>
      <c r="F63" s="44" t="s">
        <v>39</v>
      </c>
      <c r="G63" s="44" t="str">
        <f>CONCATENATE(E63,F63)</f>
        <v>HL</v>
      </c>
      <c r="H63" s="41">
        <f>(VLOOKUP($G63,'Estimate Uncertainty Matrix'!$B$10:$D$18,2)*$D63)+$D63</f>
        <v>715.198</v>
      </c>
      <c r="I63" s="41">
        <f>(VLOOKUP($G63,'Estimate Uncertainty Matrix'!$B$10:$D$18,3)*$D63)+$D63</f>
        <v>828.124</v>
      </c>
      <c r="J63" s="40"/>
      <c r="K63" s="20">
        <v>0</v>
      </c>
      <c r="L63" s="40"/>
      <c r="M63" s="45">
        <v>-0.15</v>
      </c>
      <c r="N63" s="45">
        <v>0.2</v>
      </c>
      <c r="P63" s="1">
        <f t="shared" si="0"/>
        <v>639.914</v>
      </c>
      <c r="Q63" s="1">
        <f t="shared" si="1"/>
        <v>903.408</v>
      </c>
      <c r="S63" s="20">
        <v>0</v>
      </c>
      <c r="U63" s="1">
        <f t="shared" si="9"/>
        <v>-75.28399999999999</v>
      </c>
      <c r="V63" s="1">
        <f t="shared" si="10"/>
        <v>75.28399999999999</v>
      </c>
    </row>
    <row r="64" spans="1:22" ht="15">
      <c r="A64" s="25"/>
      <c r="B64" s="23" t="s">
        <v>101</v>
      </c>
      <c r="C64" s="23" t="s">
        <v>93</v>
      </c>
      <c r="D64" s="24">
        <f>'Updated ETC-5-30-07'!D65/1000</f>
        <v>39.438</v>
      </c>
      <c r="E64" s="44" t="s">
        <v>20</v>
      </c>
      <c r="F64" s="44" t="s">
        <v>39</v>
      </c>
      <c r="G64" s="44" t="str">
        <f>CONCATENATE(E64,F64)</f>
        <v>HL</v>
      </c>
      <c r="H64" s="41">
        <f>(VLOOKUP($G64,'Estimate Uncertainty Matrix'!$B$10:$D$18,2)*$D64)+$D64</f>
        <v>37.466100000000004</v>
      </c>
      <c r="I64" s="41">
        <f>(VLOOKUP($G64,'Estimate Uncertainty Matrix'!$B$10:$D$18,3)*$D64)+$D64</f>
        <v>43.381800000000005</v>
      </c>
      <c r="J64" s="40"/>
      <c r="K64" s="20">
        <v>0</v>
      </c>
      <c r="L64" s="40"/>
      <c r="M64" s="45">
        <v>-0.15</v>
      </c>
      <c r="N64" s="45">
        <v>0.2</v>
      </c>
      <c r="P64" s="1">
        <f t="shared" si="0"/>
        <v>33.5223</v>
      </c>
      <c r="Q64" s="1">
        <f t="shared" si="1"/>
        <v>47.3256</v>
      </c>
      <c r="S64" s="20">
        <v>0</v>
      </c>
      <c r="U64" s="1">
        <f t="shared" si="9"/>
        <v>-3.943800000000003</v>
      </c>
      <c r="V64" s="1">
        <f t="shared" si="10"/>
        <v>3.943799999999996</v>
      </c>
    </row>
    <row r="65" spans="1:22" ht="15">
      <c r="A65" s="25"/>
      <c r="B65" s="23" t="s">
        <v>102</v>
      </c>
      <c r="C65" s="23" t="s">
        <v>93</v>
      </c>
      <c r="D65" s="24">
        <f>'Updated ETC-5-30-07'!D66/1000</f>
        <v>134.646</v>
      </c>
      <c r="E65" s="44" t="s">
        <v>20</v>
      </c>
      <c r="F65" s="44" t="s">
        <v>39</v>
      </c>
      <c r="G65" s="44" t="str">
        <f>CONCATENATE(E65,F65)</f>
        <v>HL</v>
      </c>
      <c r="H65" s="41">
        <f>(VLOOKUP($G65,'Estimate Uncertainty Matrix'!$B$10:$D$18,2)*$D65)+$D65</f>
        <v>127.91369999999999</v>
      </c>
      <c r="I65" s="41">
        <f>(VLOOKUP($G65,'Estimate Uncertainty Matrix'!$B$10:$D$18,3)*$D65)+$D65</f>
        <v>148.11059999999998</v>
      </c>
      <c r="J65" s="39"/>
      <c r="K65" s="20">
        <v>0</v>
      </c>
      <c r="L65" s="40"/>
      <c r="M65" s="45">
        <v>-0.15</v>
      </c>
      <c r="N65" s="45">
        <v>0.2</v>
      </c>
      <c r="P65" s="1">
        <f t="shared" si="0"/>
        <v>114.44909999999999</v>
      </c>
      <c r="Q65" s="1">
        <f t="shared" si="1"/>
        <v>161.5752</v>
      </c>
      <c r="S65" s="20">
        <v>0</v>
      </c>
      <c r="U65" s="1">
        <f t="shared" si="9"/>
        <v>-13.464600000000004</v>
      </c>
      <c r="V65" s="1">
        <f t="shared" si="10"/>
        <v>13.464600000000019</v>
      </c>
    </row>
    <row r="66" spans="1:9" ht="15">
      <c r="A66" s="25"/>
      <c r="B66" s="23" t="s">
        <v>103</v>
      </c>
      <c r="C66" s="23" t="s">
        <v>104</v>
      </c>
      <c r="D66" s="24">
        <f>'Updated ETC-5-30-07'!D68/1000</f>
        <v>346.004</v>
      </c>
      <c r="G66" s="2">
        <f t="shared" si="2"/>
      </c>
      <c r="H66" s="15"/>
      <c r="I66" s="15"/>
    </row>
    <row r="67" spans="1:9" ht="15">
      <c r="A67" s="25"/>
      <c r="B67" s="27"/>
      <c r="C67" s="28"/>
      <c r="D67" s="29">
        <f>'Updated ETC-5-30-07'!D67/1000</f>
        <v>411.63</v>
      </c>
      <c r="G67" s="2">
        <f t="shared" si="2"/>
      </c>
      <c r="H67" s="15"/>
      <c r="I67" s="15"/>
    </row>
    <row r="68" spans="1:22" ht="15">
      <c r="A68" s="25"/>
      <c r="B68" s="30" t="s">
        <v>105</v>
      </c>
      <c r="C68" s="26"/>
      <c r="D68" s="24">
        <f>SUM(D66:D67)</f>
        <v>757.634</v>
      </c>
      <c r="E68" s="44" t="s">
        <v>20</v>
      </c>
      <c r="F68" s="44" t="s">
        <v>39</v>
      </c>
      <c r="G68" s="44" t="str">
        <f t="shared" si="2"/>
        <v>HL</v>
      </c>
      <c r="H68" s="41">
        <f>(VLOOKUP($G68,'Estimate Uncertainty Matrix'!$B$10:$D$18,2)*$D68)+$D68</f>
        <v>719.7523</v>
      </c>
      <c r="I68" s="41">
        <f>(VLOOKUP($G68,'Estimate Uncertainty Matrix'!$B$10:$D$18,3)*$D68)+$D68</f>
        <v>833.3974000000001</v>
      </c>
      <c r="J68" s="40"/>
      <c r="K68" s="20">
        <v>0</v>
      </c>
      <c r="L68" s="40"/>
      <c r="M68" s="45">
        <v>-0.15</v>
      </c>
      <c r="N68" s="45">
        <v>0.2</v>
      </c>
      <c r="P68" s="1">
        <f t="shared" si="0"/>
        <v>643.9889000000001</v>
      </c>
      <c r="Q68" s="1">
        <f t="shared" si="1"/>
        <v>909.1608</v>
      </c>
      <c r="S68" s="20">
        <v>0</v>
      </c>
      <c r="U68" s="1">
        <f>P68-H68</f>
        <v>-75.76339999999993</v>
      </c>
      <c r="V68" s="1">
        <f>Q68-I68</f>
        <v>75.76339999999993</v>
      </c>
    </row>
    <row r="69" spans="1:22" ht="15">
      <c r="A69" s="25"/>
      <c r="B69" s="23" t="s">
        <v>106</v>
      </c>
      <c r="C69" s="23"/>
      <c r="D69" s="24">
        <f>'Updated ETC-5-30-07'!D70/1000</f>
        <v>1016.404</v>
      </c>
      <c r="E69" s="44" t="s">
        <v>20</v>
      </c>
      <c r="F69" s="44" t="s">
        <v>39</v>
      </c>
      <c r="G69" s="44" t="str">
        <f t="shared" si="2"/>
        <v>HL</v>
      </c>
      <c r="H69" s="41">
        <f>(VLOOKUP($G69,'Estimate Uncertainty Matrix'!$B$10:$D$18,2)*$D69)+$D69</f>
        <v>965.5838</v>
      </c>
      <c r="I69" s="41">
        <f>(VLOOKUP($G69,'Estimate Uncertainty Matrix'!$B$10:$D$18,3)*$D69)+$D69</f>
        <v>1118.0444</v>
      </c>
      <c r="J69" s="40"/>
      <c r="K69" s="20">
        <v>0</v>
      </c>
      <c r="L69" s="40"/>
      <c r="M69" s="45">
        <v>-0.05</v>
      </c>
      <c r="N69" s="45">
        <v>0.15</v>
      </c>
      <c r="P69" s="1">
        <f t="shared" si="0"/>
        <v>965.5838</v>
      </c>
      <c r="Q69" s="1">
        <f t="shared" si="1"/>
        <v>1168.8645999999999</v>
      </c>
      <c r="S69" s="20">
        <v>0</v>
      </c>
      <c r="U69" s="1">
        <f>P69-H69</f>
        <v>0</v>
      </c>
      <c r="V69" s="1">
        <f>Q69-I69</f>
        <v>50.820199999999886</v>
      </c>
    </row>
    <row r="70" spans="1:9" ht="15">
      <c r="A70" s="22" t="s">
        <v>107</v>
      </c>
      <c r="B70" s="26"/>
      <c r="C70" s="26"/>
      <c r="D70" s="24">
        <f>D56+D57+D60+D61+D62+D63+D64+D65+D68+D69</f>
        <v>9989.984</v>
      </c>
      <c r="G70" s="2">
        <f t="shared" si="2"/>
      </c>
      <c r="H70" s="15"/>
      <c r="I70" s="15"/>
    </row>
    <row r="71" spans="1:9" ht="15">
      <c r="A71" s="22">
        <v>12</v>
      </c>
      <c r="B71" s="23" t="s">
        <v>108</v>
      </c>
      <c r="C71" s="23" t="s">
        <v>228</v>
      </c>
      <c r="D71" s="24">
        <f>'Updated ETC-5-30-07'!D72/1000</f>
        <v>227.094</v>
      </c>
      <c r="G71" s="2">
        <f aca="true" t="shared" si="11" ref="G71:G133">CONCATENATE(E71,F71)</f>
      </c>
      <c r="H71" s="15"/>
      <c r="I71" s="15"/>
    </row>
    <row r="72" spans="1:9" ht="15">
      <c r="A72" s="25"/>
      <c r="B72" s="27"/>
      <c r="C72" s="28" t="s">
        <v>229</v>
      </c>
      <c r="D72" s="24">
        <f>'Updated ETC-5-30-07'!D73/1000</f>
        <v>83.786</v>
      </c>
      <c r="G72" s="2">
        <f t="shared" si="11"/>
      </c>
      <c r="H72" s="15"/>
      <c r="I72" s="15"/>
    </row>
    <row r="73" spans="1:9" ht="15">
      <c r="A73" s="25"/>
      <c r="B73" s="27"/>
      <c r="C73" s="28" t="s">
        <v>230</v>
      </c>
      <c r="D73" s="24">
        <f>'Updated ETC-5-30-07'!D74/1000</f>
        <v>19.65</v>
      </c>
      <c r="G73" s="2">
        <f t="shared" si="11"/>
      </c>
      <c r="H73" s="15"/>
      <c r="I73" s="15"/>
    </row>
    <row r="74" spans="1:9" ht="15">
      <c r="A74" s="25"/>
      <c r="B74" s="27"/>
      <c r="C74" s="28" t="s">
        <v>206</v>
      </c>
      <c r="D74" s="24">
        <f>'Updated ETC-5-30-07'!D75/1000</f>
        <v>36.047</v>
      </c>
      <c r="G74" s="2">
        <f t="shared" si="11"/>
      </c>
      <c r="H74" s="15"/>
      <c r="I74" s="15"/>
    </row>
    <row r="75" spans="1:9" ht="15">
      <c r="A75" s="25"/>
      <c r="B75" s="27"/>
      <c r="C75" s="28" t="s">
        <v>207</v>
      </c>
      <c r="D75" s="24">
        <f>'Updated ETC-5-30-07'!D76/1000</f>
        <v>12.275</v>
      </c>
      <c r="G75" s="2">
        <f t="shared" si="11"/>
      </c>
      <c r="H75" s="15"/>
      <c r="I75" s="15"/>
    </row>
    <row r="76" spans="1:9" ht="15">
      <c r="A76" s="25"/>
      <c r="B76" s="27"/>
      <c r="C76" s="28" t="s">
        <v>231</v>
      </c>
      <c r="D76" s="24">
        <f>'Updated ETC-5-30-07'!D77/1000</f>
        <v>34.401</v>
      </c>
      <c r="G76" s="2">
        <f t="shared" si="11"/>
      </c>
      <c r="H76" s="15"/>
      <c r="I76" s="15"/>
    </row>
    <row r="77" spans="1:22" ht="15">
      <c r="A77" s="25"/>
      <c r="B77" s="30" t="s">
        <v>109</v>
      </c>
      <c r="C77" s="26"/>
      <c r="D77" s="24">
        <f>SUM(D71:D76)</f>
        <v>413.253</v>
      </c>
      <c r="E77" s="2" t="s">
        <v>20</v>
      </c>
      <c r="F77" s="2" t="s">
        <v>39</v>
      </c>
      <c r="G77" s="2" t="str">
        <f t="shared" si="11"/>
        <v>HL</v>
      </c>
      <c r="H77" s="15">
        <f>(VLOOKUP($G77,'Estimate Uncertainty Matrix'!$B$10:$D$18,2)*$D77)+$D77</f>
        <v>392.59035</v>
      </c>
      <c r="I77" s="15">
        <f>(VLOOKUP($G77,'Estimate Uncertainty Matrix'!$B$10:$D$18,3)*$D77)+$D77</f>
        <v>454.5783</v>
      </c>
      <c r="K77" s="20">
        <v>0</v>
      </c>
      <c r="M77" s="21">
        <v>-0.0001</v>
      </c>
      <c r="N77" s="21">
        <v>0.05</v>
      </c>
      <c r="P77" s="1">
        <f>D77+(D77*M77)</f>
        <v>413.2116747</v>
      </c>
      <c r="Q77" s="1">
        <f>D77+(D77*N77)</f>
        <v>433.91564999999997</v>
      </c>
      <c r="S77" s="20">
        <v>0</v>
      </c>
      <c r="U77" s="1">
        <f>P77-H77</f>
        <v>20.621324700000002</v>
      </c>
      <c r="V77" s="1">
        <f>Q77-I77</f>
        <v>-20.662650000000042</v>
      </c>
    </row>
    <row r="78" spans="1:9" ht="15">
      <c r="A78" s="22" t="s">
        <v>110</v>
      </c>
      <c r="B78" s="26"/>
      <c r="C78" s="26"/>
      <c r="D78" s="24">
        <f>D77</f>
        <v>413.253</v>
      </c>
      <c r="G78" s="2">
        <f t="shared" si="11"/>
      </c>
      <c r="H78" s="15"/>
      <c r="I78" s="15"/>
    </row>
    <row r="79" spans="1:9" ht="15">
      <c r="A79" s="22">
        <v>13</v>
      </c>
      <c r="B79" s="23" t="s">
        <v>111</v>
      </c>
      <c r="C79" s="23" t="s">
        <v>93</v>
      </c>
      <c r="D79" s="24">
        <f>'Updated ETC-5-30-07'!D81/1000</f>
        <v>7.112</v>
      </c>
      <c r="G79" s="2">
        <f t="shared" si="11"/>
      </c>
      <c r="H79" s="15"/>
      <c r="I79" s="15"/>
    </row>
    <row r="80" spans="1:9" ht="15">
      <c r="A80" s="25"/>
      <c r="B80" s="27"/>
      <c r="C80" s="28"/>
      <c r="D80" s="29">
        <f>'Updated ETC-5-30-07'!D80/1000</f>
        <v>251.277</v>
      </c>
      <c r="G80" s="2">
        <f t="shared" si="11"/>
      </c>
      <c r="H80" s="15"/>
      <c r="I80" s="15"/>
    </row>
    <row r="81" spans="1:22" ht="15">
      <c r="A81" s="25"/>
      <c r="B81" s="30" t="s">
        <v>112</v>
      </c>
      <c r="C81" s="26"/>
      <c r="D81" s="24">
        <f>SUM(D79:D80)</f>
        <v>258.389</v>
      </c>
      <c r="E81" s="2" t="s">
        <v>39</v>
      </c>
      <c r="F81" s="2" t="s">
        <v>39</v>
      </c>
      <c r="G81" s="2" t="str">
        <f t="shared" si="11"/>
        <v>LL</v>
      </c>
      <c r="H81" s="15">
        <f>(VLOOKUP($G81,'Estimate Uncertainty Matrix'!$B$10:$D$18,2)*$D81)+$D81</f>
        <v>219.63065</v>
      </c>
      <c r="I81" s="15">
        <f>(VLOOKUP($G81,'Estimate Uncertainty Matrix'!$B$10:$D$18,3)*$D81)+$D81</f>
        <v>322.98625000000004</v>
      </c>
      <c r="K81" s="20">
        <v>0</v>
      </c>
      <c r="M81" s="21">
        <v>-0.1</v>
      </c>
      <c r="N81" s="21">
        <v>0.2</v>
      </c>
      <c r="P81" s="1">
        <f>D81+(D81*M81)</f>
        <v>232.55010000000001</v>
      </c>
      <c r="Q81" s="1">
        <f>D81+(D81*N81)</f>
        <v>310.0668</v>
      </c>
      <c r="S81" s="20">
        <v>0</v>
      </c>
      <c r="U81" s="1">
        <f aca="true" t="shared" si="12" ref="U81:V85">P81-H81</f>
        <v>12.919450000000012</v>
      </c>
      <c r="V81" s="1">
        <f t="shared" si="12"/>
        <v>-12.91945000000004</v>
      </c>
    </row>
    <row r="82" spans="1:22" ht="15">
      <c r="A82" s="25"/>
      <c r="B82" s="23" t="s">
        <v>113</v>
      </c>
      <c r="C82" s="23" t="s">
        <v>114</v>
      </c>
      <c r="D82" s="24">
        <f>'Updated ETC-5-30-07'!D83/1000</f>
        <v>1606.752</v>
      </c>
      <c r="E82" s="2" t="s">
        <v>39</v>
      </c>
      <c r="F82" s="2" t="s">
        <v>39</v>
      </c>
      <c r="G82" s="2" t="str">
        <f t="shared" si="11"/>
        <v>LL</v>
      </c>
      <c r="H82" s="15">
        <f>(VLOOKUP($G82,'Estimate Uncertainty Matrix'!$B$10:$D$18,2)*$D82)+$D82</f>
        <v>1365.7392</v>
      </c>
      <c r="I82" s="15">
        <f>(VLOOKUP($G82,'Estimate Uncertainty Matrix'!$B$10:$D$18,3)*$D82)+$D82</f>
        <v>2008.44</v>
      </c>
      <c r="K82" s="20">
        <v>0</v>
      </c>
      <c r="M82" s="21">
        <v>-0.1</v>
      </c>
      <c r="N82" s="21">
        <v>0.2</v>
      </c>
      <c r="P82" s="1">
        <f>D82+(D82*M82)</f>
        <v>1446.0767999999998</v>
      </c>
      <c r="Q82" s="1">
        <f>D82+(D82*N82)</f>
        <v>1928.1024</v>
      </c>
      <c r="S82" s="20">
        <v>0</v>
      </c>
      <c r="U82" s="1">
        <f t="shared" si="12"/>
        <v>80.33759999999984</v>
      </c>
      <c r="V82" s="1">
        <f t="shared" si="12"/>
        <v>-80.33760000000007</v>
      </c>
    </row>
    <row r="83" spans="1:22" ht="15">
      <c r="A83" s="25"/>
      <c r="B83" s="23" t="s">
        <v>115</v>
      </c>
      <c r="C83" s="23" t="s">
        <v>116</v>
      </c>
      <c r="D83" s="24">
        <f>'Updated ETC-5-30-07'!D84/1000</f>
        <v>337.329</v>
      </c>
      <c r="E83" s="2" t="s">
        <v>20</v>
      </c>
      <c r="F83" s="2" t="s">
        <v>39</v>
      </c>
      <c r="G83" s="2" t="str">
        <f t="shared" si="11"/>
        <v>HL</v>
      </c>
      <c r="H83" s="15">
        <f>(VLOOKUP($G83,'Estimate Uncertainty Matrix'!$B$10:$D$18,2)*$D83)+$D83</f>
        <v>320.46255</v>
      </c>
      <c r="I83" s="15">
        <f>(VLOOKUP($G83,'Estimate Uncertainty Matrix'!$B$10:$D$18,3)*$D83)+$D83</f>
        <v>371.06190000000004</v>
      </c>
      <c r="K83" s="20">
        <v>0</v>
      </c>
      <c r="M83" s="21">
        <v>-0.0001</v>
      </c>
      <c r="N83" s="21">
        <v>0.1</v>
      </c>
      <c r="P83" s="1">
        <f>D83+(D83*M83)</f>
        <v>337.2952671</v>
      </c>
      <c r="Q83" s="1">
        <f>D83+(D83*N83)</f>
        <v>371.06190000000004</v>
      </c>
      <c r="S83" s="20">
        <v>0</v>
      </c>
      <c r="U83" s="1">
        <f t="shared" si="12"/>
        <v>16.832717099999968</v>
      </c>
      <c r="V83" s="1">
        <f t="shared" si="12"/>
        <v>0</v>
      </c>
    </row>
    <row r="84" spans="1:22" ht="15">
      <c r="A84" s="25"/>
      <c r="B84" s="23" t="s">
        <v>117</v>
      </c>
      <c r="C84" s="23" t="s">
        <v>118</v>
      </c>
      <c r="D84" s="24">
        <f>'Updated ETC-5-30-07'!D85/1000</f>
        <v>122.664</v>
      </c>
      <c r="E84" s="2" t="s">
        <v>39</v>
      </c>
      <c r="F84" s="2" t="s">
        <v>39</v>
      </c>
      <c r="G84" s="2" t="str">
        <f t="shared" si="11"/>
        <v>LL</v>
      </c>
      <c r="H84" s="15">
        <f>(VLOOKUP($G84,'Estimate Uncertainty Matrix'!$B$10:$D$18,2)*$D84)+$D84</f>
        <v>104.2644</v>
      </c>
      <c r="I84" s="15">
        <f>(VLOOKUP($G84,'Estimate Uncertainty Matrix'!$B$10:$D$18,3)*$D84)+$D84</f>
        <v>153.33</v>
      </c>
      <c r="K84" s="20">
        <v>0</v>
      </c>
      <c r="M84" s="21">
        <v>-0.1</v>
      </c>
      <c r="N84" s="21">
        <v>0.2</v>
      </c>
      <c r="P84" s="1">
        <f>D84+(D84*M84)</f>
        <v>110.3976</v>
      </c>
      <c r="Q84" s="1">
        <f>D84+(D84*N84)</f>
        <v>147.1968</v>
      </c>
      <c r="S84" s="20">
        <v>0</v>
      </c>
      <c r="U84" s="1">
        <f t="shared" si="12"/>
        <v>6.133200000000002</v>
      </c>
      <c r="V84" s="1">
        <f t="shared" si="12"/>
        <v>-6.133200000000016</v>
      </c>
    </row>
    <row r="85" spans="1:22" ht="15">
      <c r="A85" s="25"/>
      <c r="B85" s="23" t="s">
        <v>119</v>
      </c>
      <c r="C85" s="23" t="s">
        <v>120</v>
      </c>
      <c r="D85" s="24">
        <f>'Updated ETC-5-30-07'!D86/1000</f>
        <v>71.991</v>
      </c>
      <c r="E85" s="2" t="s">
        <v>21</v>
      </c>
      <c r="F85" s="2" t="s">
        <v>39</v>
      </c>
      <c r="G85" s="2" t="str">
        <f t="shared" si="11"/>
        <v>ML</v>
      </c>
      <c r="H85" s="15">
        <f>(VLOOKUP($G85,'Estimate Uncertainty Matrix'!$B$10:$D$18,2)*$D85)+$D85</f>
        <v>64.7919</v>
      </c>
      <c r="I85" s="15">
        <f>(VLOOKUP($G85,'Estimate Uncertainty Matrix'!$B$10:$D$18,3)*$D85)+$D85</f>
        <v>82.78965</v>
      </c>
      <c r="K85" s="20">
        <v>0</v>
      </c>
      <c r="M85" s="21">
        <v>-0.2</v>
      </c>
      <c r="N85" s="21">
        <v>0.2</v>
      </c>
      <c r="P85" s="1">
        <f>D85+(D85*M85)</f>
        <v>57.5928</v>
      </c>
      <c r="Q85" s="1">
        <f>D85+(D85*N85)</f>
        <v>86.3892</v>
      </c>
      <c r="S85" s="20">
        <v>0</v>
      </c>
      <c r="U85" s="1">
        <f t="shared" si="12"/>
        <v>-7.199100000000001</v>
      </c>
      <c r="V85" s="1">
        <f t="shared" si="12"/>
        <v>3.599550000000008</v>
      </c>
    </row>
    <row r="86" spans="1:9" ht="15">
      <c r="A86" s="25"/>
      <c r="B86" s="23" t="s">
        <v>121</v>
      </c>
      <c r="C86" s="23" t="s">
        <v>93</v>
      </c>
      <c r="D86" s="24">
        <f>'Updated ETC-5-30-07'!D89/1000</f>
        <v>1.422</v>
      </c>
      <c r="G86" s="2">
        <f t="shared" si="11"/>
      </c>
      <c r="H86" s="15"/>
      <c r="I86" s="15"/>
    </row>
    <row r="87" spans="1:9" ht="15">
      <c r="A87" s="25"/>
      <c r="B87" s="27"/>
      <c r="C87" s="28" t="s">
        <v>122</v>
      </c>
      <c r="D87" s="29">
        <f>'Updated ETC-5-30-07'!D88/1000</f>
        <v>834.463</v>
      </c>
      <c r="G87" s="2">
        <f t="shared" si="11"/>
      </c>
      <c r="H87" s="15"/>
      <c r="I87" s="15"/>
    </row>
    <row r="88" spans="1:9" ht="15">
      <c r="A88" s="25"/>
      <c r="B88" s="27"/>
      <c r="C88" s="28" t="s">
        <v>123</v>
      </c>
      <c r="D88" s="29">
        <f>'Updated ETC-5-30-07'!D87/1000</f>
        <v>163.919</v>
      </c>
      <c r="G88" s="2">
        <f t="shared" si="11"/>
      </c>
      <c r="H88" s="15"/>
      <c r="I88" s="15"/>
    </row>
    <row r="89" spans="1:22" ht="15">
      <c r="A89" s="25"/>
      <c r="B89" s="30" t="s">
        <v>124</v>
      </c>
      <c r="C89" s="26"/>
      <c r="D89" s="24">
        <f>SUM(D86:D88)</f>
        <v>999.804</v>
      </c>
      <c r="E89" s="2" t="s">
        <v>20</v>
      </c>
      <c r="F89" s="2" t="s">
        <v>21</v>
      </c>
      <c r="G89" s="2" t="str">
        <f t="shared" si="11"/>
        <v>HM</v>
      </c>
      <c r="H89" s="15">
        <f>(VLOOKUP($G89,'Estimate Uncertainty Matrix'!$B$10:$D$18,2)*$D89)+$D89</f>
        <v>899.8235999999999</v>
      </c>
      <c r="I89" s="15">
        <f>(VLOOKUP($G89,'Estimate Uncertainty Matrix'!$B$10:$D$18,3)*$D89)+$D89</f>
        <v>1149.7746</v>
      </c>
      <c r="K89" s="20">
        <v>0</v>
      </c>
      <c r="M89" s="21">
        <v>-0.25</v>
      </c>
      <c r="N89" s="21">
        <v>0.25</v>
      </c>
      <c r="P89" s="1">
        <f>D89+(D89*M89)</f>
        <v>749.853</v>
      </c>
      <c r="Q89" s="1">
        <f>D89+(D89*N89)</f>
        <v>1249.7549999999999</v>
      </c>
      <c r="S89" s="20">
        <v>0</v>
      </c>
      <c r="U89" s="1">
        <f>P89-H89</f>
        <v>-149.9706</v>
      </c>
      <c r="V89" s="1">
        <f>Q89-I89</f>
        <v>99.98039999999992</v>
      </c>
    </row>
    <row r="90" spans="1:9" ht="15">
      <c r="A90" s="22" t="s">
        <v>125</v>
      </c>
      <c r="B90" s="26"/>
      <c r="C90" s="26"/>
      <c r="D90" s="24">
        <f>D81+D82+D83+D84+D85+D89</f>
        <v>3396.9290000000005</v>
      </c>
      <c r="G90" s="2">
        <f t="shared" si="11"/>
      </c>
      <c r="H90" s="15"/>
      <c r="I90" s="15"/>
    </row>
    <row r="91" spans="1:22" ht="15">
      <c r="A91" s="22">
        <v>14</v>
      </c>
      <c r="B91" s="23" t="s">
        <v>126</v>
      </c>
      <c r="C91" s="23"/>
      <c r="D91" s="24">
        <f>'Updated ETC-5-30-07'!D92/1000</f>
        <v>329.745</v>
      </c>
      <c r="E91" s="2" t="s">
        <v>39</v>
      </c>
      <c r="F91" s="2" t="s">
        <v>21</v>
      </c>
      <c r="G91" s="2" t="str">
        <f t="shared" si="11"/>
        <v>LM</v>
      </c>
      <c r="H91" s="15">
        <f>(VLOOKUP($G91,'Estimate Uncertainty Matrix'!$B$10:$D$18,2)*$D91)+$D91</f>
        <v>263.796</v>
      </c>
      <c r="I91" s="15">
        <f>(VLOOKUP($G91,'Estimate Uncertainty Matrix'!$B$10:$D$18,3)*$D91)+$D91</f>
        <v>461.64300000000003</v>
      </c>
      <c r="K91" s="20">
        <v>0</v>
      </c>
      <c r="M91" s="21">
        <v>-0.05</v>
      </c>
      <c r="N91" s="21">
        <v>0</v>
      </c>
      <c r="P91" s="1">
        <f>D91+(D91*M91)</f>
        <v>313.25775</v>
      </c>
      <c r="Q91" s="1">
        <f>D91+(D91*N91)</f>
        <v>329.745</v>
      </c>
      <c r="S91" s="20">
        <v>0</v>
      </c>
      <c r="U91" s="1">
        <f>P91-H91</f>
        <v>49.461749999999995</v>
      </c>
      <c r="V91" s="1">
        <f>Q91-I91</f>
        <v>-131.89800000000002</v>
      </c>
    </row>
    <row r="92" spans="1:22" ht="15">
      <c r="A92" s="25"/>
      <c r="B92" s="23" t="s">
        <v>127</v>
      </c>
      <c r="C92" s="23"/>
      <c r="D92" s="24">
        <f>'Updated ETC-5-30-07'!D93/1000</f>
        <v>8.912</v>
      </c>
      <c r="E92" s="37" t="s">
        <v>20</v>
      </c>
      <c r="F92" s="37" t="s">
        <v>39</v>
      </c>
      <c r="G92" s="37" t="str">
        <f t="shared" si="11"/>
        <v>HL</v>
      </c>
      <c r="H92" s="38">
        <f>(VLOOKUP($G92,'Estimate Uncertainty Matrix'!$B$10:$D$18,2)*$D92)+$D92</f>
        <v>8.4664</v>
      </c>
      <c r="I92" s="38">
        <f>(VLOOKUP($G92,'Estimate Uncertainty Matrix'!$B$10:$D$18,3)*$D92)+$D92</f>
        <v>9.8032</v>
      </c>
      <c r="J92" s="39"/>
      <c r="K92" s="20">
        <v>0</v>
      </c>
      <c r="L92" s="39"/>
      <c r="M92" s="36">
        <v>-0.05</v>
      </c>
      <c r="N92" s="36">
        <v>0.1</v>
      </c>
      <c r="P92" s="1">
        <f>D92+(D92*M92)</f>
        <v>8.4664</v>
      </c>
      <c r="Q92" s="1">
        <f>D92+(D92*N92)</f>
        <v>9.8032</v>
      </c>
      <c r="S92" s="20">
        <v>0</v>
      </c>
      <c r="U92" s="1">
        <f>P92-H92</f>
        <v>0</v>
      </c>
      <c r="V92" s="1">
        <f>Q92-I92</f>
        <v>0</v>
      </c>
    </row>
    <row r="93" spans="1:9" ht="15">
      <c r="A93" s="25"/>
      <c r="B93" s="23" t="s">
        <v>128</v>
      </c>
      <c r="C93" s="23" t="s">
        <v>238</v>
      </c>
      <c r="D93" s="24">
        <f>'Updated ETC-5-30-07'!D94/1000</f>
        <v>1.557</v>
      </c>
      <c r="G93" s="2">
        <f t="shared" si="11"/>
      </c>
      <c r="H93" s="15"/>
      <c r="I93" s="15"/>
    </row>
    <row r="94" spans="1:9" ht="15">
      <c r="A94" s="25"/>
      <c r="B94" s="27"/>
      <c r="C94" s="28" t="s">
        <v>239</v>
      </c>
      <c r="D94" s="24">
        <f>'Updated ETC-5-30-07'!D95/1000</f>
        <v>7.681</v>
      </c>
      <c r="G94" s="2">
        <f t="shared" si="11"/>
      </c>
      <c r="H94" s="15"/>
      <c r="I94" s="15"/>
    </row>
    <row r="95" spans="1:9" ht="15">
      <c r="A95" s="25"/>
      <c r="B95" s="27"/>
      <c r="C95" s="28" t="s">
        <v>240</v>
      </c>
      <c r="D95" s="24">
        <f>'Updated ETC-5-30-07'!D96/1000</f>
        <v>5.995</v>
      </c>
      <c r="G95" s="2">
        <f t="shared" si="11"/>
      </c>
      <c r="H95" s="15"/>
      <c r="I95" s="15"/>
    </row>
    <row r="96" spans="1:9" ht="15">
      <c r="A96" s="25"/>
      <c r="B96" s="27"/>
      <c r="C96" s="28" t="s">
        <v>241</v>
      </c>
      <c r="D96" s="24">
        <f>'Updated ETC-5-30-07'!D97/1000</f>
        <v>54.097</v>
      </c>
      <c r="G96" s="2">
        <f t="shared" si="11"/>
      </c>
      <c r="H96" s="15"/>
      <c r="I96" s="15"/>
    </row>
    <row r="97" spans="1:9" ht="15">
      <c r="A97" s="25"/>
      <c r="B97" s="27"/>
      <c r="C97" s="28" t="s">
        <v>226</v>
      </c>
      <c r="D97" s="24">
        <f>'Updated ETC-5-30-07'!D98/1000</f>
        <v>1.246</v>
      </c>
      <c r="G97" s="2">
        <f t="shared" si="11"/>
      </c>
      <c r="H97" s="15"/>
      <c r="I97" s="15"/>
    </row>
    <row r="98" spans="1:9" ht="15">
      <c r="A98" s="25"/>
      <c r="B98" s="27"/>
      <c r="C98" s="28" t="s">
        <v>242</v>
      </c>
      <c r="D98" s="24">
        <f>'Updated ETC-5-30-07'!D99/1000</f>
        <v>7.186</v>
      </c>
      <c r="G98" s="2">
        <f t="shared" si="11"/>
      </c>
      <c r="H98" s="15"/>
      <c r="I98" s="15"/>
    </row>
    <row r="99" spans="1:22" ht="15">
      <c r="A99" s="25"/>
      <c r="B99" s="30" t="s">
        <v>129</v>
      </c>
      <c r="C99" s="26"/>
      <c r="D99" s="24">
        <f>SUM(D93:D98)</f>
        <v>77.762</v>
      </c>
      <c r="E99" s="37" t="s">
        <v>21</v>
      </c>
      <c r="F99" s="37" t="s">
        <v>20</v>
      </c>
      <c r="G99" s="37" t="str">
        <f t="shared" si="11"/>
        <v>MH</v>
      </c>
      <c r="H99" s="38">
        <f>(VLOOKUP($G99,'Estimate Uncertainty Matrix'!$B$10:$D$18,2)*$D99)+$D99</f>
        <v>62.2096</v>
      </c>
      <c r="I99" s="38">
        <f>(VLOOKUP($G99,'Estimate Uncertainty Matrix'!$B$10:$D$18,3)*$D99)+$D99</f>
        <v>108.8668</v>
      </c>
      <c r="J99" s="39"/>
      <c r="K99" s="20">
        <v>0</v>
      </c>
      <c r="L99" s="39"/>
      <c r="M99" s="36">
        <v>-0.2</v>
      </c>
      <c r="N99" s="36">
        <v>0.4</v>
      </c>
      <c r="P99" s="1">
        <f>D99+(D99*M99)</f>
        <v>62.2096</v>
      </c>
      <c r="Q99" s="1">
        <f>D99+(D99*N99)</f>
        <v>108.8668</v>
      </c>
      <c r="S99" s="20">
        <v>0</v>
      </c>
      <c r="U99" s="1">
        <f>P99-H99</f>
        <v>0</v>
      </c>
      <c r="V99" s="1">
        <f>Q99-I99</f>
        <v>0</v>
      </c>
    </row>
    <row r="100" spans="1:9" ht="15">
      <c r="A100" s="25"/>
      <c r="B100" s="23" t="s">
        <v>130</v>
      </c>
      <c r="C100" s="23" t="s">
        <v>243</v>
      </c>
      <c r="D100" s="24">
        <f>'Updated ETC-5-30-07'!D101/1000</f>
        <v>38.349</v>
      </c>
      <c r="G100" s="2">
        <f t="shared" si="11"/>
      </c>
      <c r="H100" s="15"/>
      <c r="I100" s="15"/>
    </row>
    <row r="101" spans="1:9" ht="15">
      <c r="A101" s="25"/>
      <c r="B101" s="27"/>
      <c r="C101" s="28" t="s">
        <v>244</v>
      </c>
      <c r="D101" s="24">
        <f>'Updated ETC-5-30-07'!D102/1000</f>
        <v>72.837</v>
      </c>
      <c r="G101" s="2">
        <f t="shared" si="11"/>
      </c>
      <c r="H101" s="15"/>
      <c r="I101" s="15"/>
    </row>
    <row r="102" spans="1:9" ht="15">
      <c r="A102" s="25"/>
      <c r="B102" s="27"/>
      <c r="C102" s="28" t="s">
        <v>245</v>
      </c>
      <c r="D102" s="24">
        <f>'Updated ETC-5-30-07'!D103/1000</f>
        <v>34.561</v>
      </c>
      <c r="G102" s="2">
        <f t="shared" si="11"/>
      </c>
      <c r="H102" s="15"/>
      <c r="I102" s="15"/>
    </row>
    <row r="103" spans="1:9" ht="15">
      <c r="A103" s="25"/>
      <c r="B103" s="27"/>
      <c r="C103" s="28" t="s">
        <v>246</v>
      </c>
      <c r="D103" s="24">
        <f>'Updated ETC-5-30-07'!D104/1000</f>
        <v>257.823</v>
      </c>
      <c r="G103" s="2">
        <f t="shared" si="11"/>
      </c>
      <c r="H103" s="15"/>
      <c r="I103" s="15"/>
    </row>
    <row r="104" spans="1:9" ht="15">
      <c r="A104" s="25"/>
      <c r="B104" s="27"/>
      <c r="C104" s="28" t="s">
        <v>226</v>
      </c>
      <c r="D104" s="24">
        <f>'Updated ETC-5-30-07'!D105/1000</f>
        <v>4.983</v>
      </c>
      <c r="G104" s="2">
        <f t="shared" si="11"/>
      </c>
      <c r="H104" s="15"/>
      <c r="I104" s="15"/>
    </row>
    <row r="105" spans="1:22" ht="15">
      <c r="A105" s="25"/>
      <c r="B105" s="30" t="s">
        <v>131</v>
      </c>
      <c r="C105" s="26"/>
      <c r="D105" s="24">
        <f>SUM(D100:D104)</f>
        <v>408.553</v>
      </c>
      <c r="E105" s="37" t="s">
        <v>21</v>
      </c>
      <c r="F105" s="37" t="s">
        <v>20</v>
      </c>
      <c r="G105" s="37" t="str">
        <f>CONCATENATE(E105,F105)</f>
        <v>MH</v>
      </c>
      <c r="H105" s="38">
        <f>(VLOOKUP($G105,'Estimate Uncertainty Matrix'!$B$10:$D$18,2)*$D105)+$D105</f>
        <v>326.8424</v>
      </c>
      <c r="I105" s="38">
        <f>(VLOOKUP($G105,'Estimate Uncertainty Matrix'!$B$10:$D$18,3)*$D105)+$D105</f>
        <v>571.9742</v>
      </c>
      <c r="J105" s="39"/>
      <c r="K105" s="20">
        <v>0</v>
      </c>
      <c r="L105" s="39"/>
      <c r="M105" s="36">
        <v>-0.2</v>
      </c>
      <c r="N105" s="36">
        <v>0.4</v>
      </c>
      <c r="P105" s="1">
        <f>D105+(D105*M105)</f>
        <v>326.8424</v>
      </c>
      <c r="Q105" s="1">
        <f>D105+(D105*N105)</f>
        <v>571.9742</v>
      </c>
      <c r="S105" s="20">
        <v>0</v>
      </c>
      <c r="U105" s="1">
        <f>P105-H105</f>
        <v>0</v>
      </c>
      <c r="V105" s="1">
        <f>Q105-I105</f>
        <v>0</v>
      </c>
    </row>
    <row r="106" spans="1:22" ht="15">
      <c r="A106" s="25"/>
      <c r="B106" s="23" t="s">
        <v>132</v>
      </c>
      <c r="C106" s="23" t="s">
        <v>133</v>
      </c>
      <c r="D106" s="24">
        <f>'Updated ETC-5-30-07'!D107/1000</f>
        <v>37.711</v>
      </c>
      <c r="E106" s="37" t="s">
        <v>21</v>
      </c>
      <c r="F106" s="37" t="s">
        <v>20</v>
      </c>
      <c r="G106" s="37" t="str">
        <f>CONCATENATE(E106,F106)</f>
        <v>MH</v>
      </c>
      <c r="H106" s="38">
        <f>(VLOOKUP($G106,'Estimate Uncertainty Matrix'!$B$10:$D$18,2)*$D106)+$D106</f>
        <v>30.168799999999997</v>
      </c>
      <c r="I106" s="38">
        <f>(VLOOKUP($G106,'Estimate Uncertainty Matrix'!$B$10:$D$18,3)*$D106)+$D106</f>
        <v>52.7954</v>
      </c>
      <c r="J106" s="39"/>
      <c r="K106" s="20">
        <v>0</v>
      </c>
      <c r="L106" s="39"/>
      <c r="M106" s="36">
        <v>-0.2</v>
      </c>
      <c r="N106" s="36">
        <v>0.4</v>
      </c>
      <c r="P106" s="1">
        <f>D106+(D106*M106)</f>
        <v>30.168799999999997</v>
      </c>
      <c r="Q106" s="1">
        <f>D106+(D106*N106)</f>
        <v>52.7954</v>
      </c>
      <c r="S106" s="20">
        <v>0</v>
      </c>
      <c r="U106" s="1">
        <f>P106-H106</f>
        <v>0</v>
      </c>
      <c r="V106" s="1">
        <f>Q106-I106</f>
        <v>0</v>
      </c>
    </row>
    <row r="107" spans="1:9" ht="15">
      <c r="A107" s="25"/>
      <c r="B107" s="23" t="s">
        <v>134</v>
      </c>
      <c r="C107" s="23" t="s">
        <v>248</v>
      </c>
      <c r="D107" s="24">
        <f>'Updated ETC-5-30-07'!D108/1000</f>
        <v>16.397</v>
      </c>
      <c r="G107" s="2">
        <f t="shared" si="11"/>
      </c>
      <c r="H107" s="15"/>
      <c r="I107" s="15"/>
    </row>
    <row r="108" spans="1:9" ht="15">
      <c r="A108" s="25"/>
      <c r="B108" s="27"/>
      <c r="C108" s="28" t="s">
        <v>249</v>
      </c>
      <c r="D108" s="24">
        <f>'Updated ETC-5-30-07'!D109/1000</f>
        <v>42.143</v>
      </c>
      <c r="G108" s="2">
        <f t="shared" si="11"/>
      </c>
      <c r="H108" s="15"/>
      <c r="I108" s="15"/>
    </row>
    <row r="109" spans="1:9" ht="15">
      <c r="A109" s="25"/>
      <c r="B109" s="27"/>
      <c r="C109" s="28" t="s">
        <v>250</v>
      </c>
      <c r="D109" s="24">
        <f>'Updated ETC-5-30-07'!D110/1000</f>
        <v>170.155</v>
      </c>
      <c r="G109" s="2">
        <f t="shared" si="11"/>
      </c>
      <c r="H109" s="15"/>
      <c r="I109" s="15"/>
    </row>
    <row r="110" spans="1:9" ht="15">
      <c r="A110" s="25"/>
      <c r="B110" s="27"/>
      <c r="C110" s="28" t="s">
        <v>251</v>
      </c>
      <c r="D110" s="24">
        <f>'Updated ETC-5-30-07'!D111/1000</f>
        <v>641.024</v>
      </c>
      <c r="G110" s="2">
        <f t="shared" si="11"/>
      </c>
      <c r="H110" s="15"/>
      <c r="I110" s="15"/>
    </row>
    <row r="111" spans="1:22" ht="15">
      <c r="A111" s="25"/>
      <c r="B111" s="30" t="s">
        <v>135</v>
      </c>
      <c r="C111" s="26"/>
      <c r="D111" s="24">
        <f>SUM(D107:D110)</f>
        <v>869.719</v>
      </c>
      <c r="E111" s="2" t="s">
        <v>21</v>
      </c>
      <c r="F111" s="2" t="s">
        <v>21</v>
      </c>
      <c r="G111" s="2" t="str">
        <f t="shared" si="11"/>
        <v>MM</v>
      </c>
      <c r="H111" s="15">
        <f>(VLOOKUP($G111,'Estimate Uncertainty Matrix'!$B$10:$D$18,2)*$D111)+$D111</f>
        <v>739.26115</v>
      </c>
      <c r="I111" s="15">
        <f>(VLOOKUP($G111,'Estimate Uncertainty Matrix'!$B$10:$D$18,3)*$D111)+$D111</f>
        <v>1087.14875</v>
      </c>
      <c r="K111" s="20">
        <v>0</v>
      </c>
      <c r="M111" s="21">
        <v>-0.0001</v>
      </c>
      <c r="N111" s="21">
        <v>0.2</v>
      </c>
      <c r="P111" s="1">
        <f>D111+(D111*M111)</f>
        <v>869.6320281000001</v>
      </c>
      <c r="Q111" s="1">
        <f>D111+(D111*N111)</f>
        <v>1043.6628</v>
      </c>
      <c r="S111" s="20">
        <v>0</v>
      </c>
      <c r="U111" s="1">
        <f>P111-H111</f>
        <v>130.37087810000003</v>
      </c>
      <c r="V111" s="1">
        <f>Q111-I111</f>
        <v>-43.48595</v>
      </c>
    </row>
    <row r="112" spans="1:9" ht="15">
      <c r="A112" s="25"/>
      <c r="B112" s="23" t="s">
        <v>136</v>
      </c>
      <c r="C112" s="23" t="s">
        <v>252</v>
      </c>
      <c r="D112" s="24">
        <f>'Updated ETC-5-30-07'!D113/1000</f>
        <v>203.766</v>
      </c>
      <c r="G112" s="2">
        <f t="shared" si="11"/>
      </c>
      <c r="H112" s="15"/>
      <c r="I112" s="15"/>
    </row>
    <row r="113" spans="1:9" ht="15">
      <c r="A113" s="25"/>
      <c r="B113" s="27"/>
      <c r="C113" s="28" t="s">
        <v>253</v>
      </c>
      <c r="D113" s="24">
        <f>'Updated ETC-5-30-07'!D114/1000</f>
        <v>244.471</v>
      </c>
      <c r="G113" s="2">
        <f t="shared" si="11"/>
      </c>
      <c r="H113" s="15"/>
      <c r="I113" s="15"/>
    </row>
    <row r="114" spans="1:9" ht="15">
      <c r="A114" s="25"/>
      <c r="B114" s="27"/>
      <c r="C114" s="28" t="s">
        <v>254</v>
      </c>
      <c r="D114" s="24">
        <f>'Updated ETC-5-30-07'!D115/1000</f>
        <v>579.958</v>
      </c>
      <c r="G114" s="2">
        <f t="shared" si="11"/>
      </c>
      <c r="H114" s="15"/>
      <c r="I114" s="15"/>
    </row>
    <row r="115" spans="1:9" ht="15">
      <c r="A115" s="25"/>
      <c r="B115" s="27"/>
      <c r="C115" s="28" t="s">
        <v>255</v>
      </c>
      <c r="D115" s="24">
        <f>'Updated ETC-5-30-07'!D116/1000</f>
        <v>646.331</v>
      </c>
      <c r="G115" s="2">
        <f t="shared" si="11"/>
      </c>
      <c r="H115" s="15"/>
      <c r="I115" s="15"/>
    </row>
    <row r="116" spans="1:9" ht="15">
      <c r="A116" s="25"/>
      <c r="B116" s="27"/>
      <c r="C116" s="28" t="s">
        <v>256</v>
      </c>
      <c r="D116" s="24">
        <f>'Updated ETC-5-30-07'!D117/1000</f>
        <v>328.485</v>
      </c>
      <c r="G116" s="2">
        <f t="shared" si="11"/>
      </c>
      <c r="H116" s="15"/>
      <c r="I116" s="15"/>
    </row>
    <row r="117" spans="1:9" ht="15">
      <c r="A117" s="25"/>
      <c r="B117" s="27"/>
      <c r="C117" s="28" t="s">
        <v>257</v>
      </c>
      <c r="D117" s="24">
        <f>'Updated ETC-5-30-07'!D118/1000</f>
        <v>709.164</v>
      </c>
      <c r="G117" s="2">
        <f t="shared" si="11"/>
      </c>
      <c r="H117" s="15"/>
      <c r="I117" s="15"/>
    </row>
    <row r="118" spans="1:22" ht="15">
      <c r="A118" s="25"/>
      <c r="B118" s="30" t="s">
        <v>137</v>
      </c>
      <c r="C118" s="26"/>
      <c r="D118" s="24">
        <f>SUM(D112:D117)</f>
        <v>2712.175</v>
      </c>
      <c r="E118" s="2" t="s">
        <v>39</v>
      </c>
      <c r="F118" s="2" t="s">
        <v>20</v>
      </c>
      <c r="G118" s="2" t="str">
        <f t="shared" si="11"/>
        <v>LH</v>
      </c>
      <c r="H118" s="15">
        <f>(VLOOKUP($G118,'Estimate Uncertainty Matrix'!$B$10:$D$18,2)*$D118)+$D118</f>
        <v>1898.5225</v>
      </c>
      <c r="I118" s="15">
        <f>(VLOOKUP($G118,'Estimate Uncertainty Matrix'!$B$10:$D$18,3)*$D118)+$D118</f>
        <v>4339.4800000000005</v>
      </c>
      <c r="K118" s="20">
        <v>0</v>
      </c>
      <c r="M118" s="21">
        <v>-0.0001</v>
      </c>
      <c r="N118" s="21">
        <v>0.1</v>
      </c>
      <c r="P118" s="1">
        <f>D118+(D118*M118)</f>
        <v>2711.9037825</v>
      </c>
      <c r="Q118" s="1">
        <f>D118+(D118*N118)</f>
        <v>2983.3925000000004</v>
      </c>
      <c r="S118" s="20">
        <v>0</v>
      </c>
      <c r="U118" s="1">
        <f>P118-H118</f>
        <v>813.3812825</v>
      </c>
      <c r="V118" s="1">
        <f>Q118-I118</f>
        <v>-1356.0875</v>
      </c>
    </row>
    <row r="119" spans="1:9" ht="15">
      <c r="A119" s="25"/>
      <c r="B119" s="23" t="s">
        <v>138</v>
      </c>
      <c r="C119" s="23" t="s">
        <v>258</v>
      </c>
      <c r="D119" s="24">
        <f>'Updated ETC-5-30-07'!D120/1000</f>
        <v>324.583</v>
      </c>
      <c r="G119" s="2">
        <f t="shared" si="11"/>
      </c>
      <c r="H119" s="15"/>
      <c r="I119" s="15"/>
    </row>
    <row r="120" spans="1:9" ht="15">
      <c r="A120" s="25"/>
      <c r="B120" s="27"/>
      <c r="C120" s="28" t="s">
        <v>259</v>
      </c>
      <c r="D120" s="24">
        <f>'Updated ETC-5-30-07'!D121/1000</f>
        <v>147.452</v>
      </c>
      <c r="G120" s="2">
        <f t="shared" si="11"/>
      </c>
      <c r="H120" s="15"/>
      <c r="I120" s="15"/>
    </row>
    <row r="121" spans="1:22" ht="15">
      <c r="A121" s="25"/>
      <c r="B121" s="30" t="s">
        <v>139</v>
      </c>
      <c r="C121" s="26"/>
      <c r="D121" s="24">
        <f>SUM(D119:D120)</f>
        <v>472.035</v>
      </c>
      <c r="E121" s="2" t="s">
        <v>21</v>
      </c>
      <c r="F121" s="2" t="s">
        <v>39</v>
      </c>
      <c r="G121" s="2" t="str">
        <f t="shared" si="11"/>
        <v>ML</v>
      </c>
      <c r="H121" s="15">
        <f>(VLOOKUP($G121,'Estimate Uncertainty Matrix'!$B$10:$D$18,2)*$D121)+$D121</f>
        <v>424.8315</v>
      </c>
      <c r="I121" s="15">
        <f>(VLOOKUP($G121,'Estimate Uncertainty Matrix'!$B$10:$D$18,3)*$D121)+$D121</f>
        <v>542.84025</v>
      </c>
      <c r="K121" s="20">
        <v>0</v>
      </c>
      <c r="M121" s="21">
        <v>-0.0001</v>
      </c>
      <c r="N121" s="21">
        <v>0.1</v>
      </c>
      <c r="P121" s="1">
        <f>D121+(D121*M121)</f>
        <v>471.9877965</v>
      </c>
      <c r="Q121" s="1">
        <f>D121+(D121*N121)</f>
        <v>519.2385</v>
      </c>
      <c r="S121" s="20">
        <v>0</v>
      </c>
      <c r="U121" s="1">
        <f>P121-H121</f>
        <v>47.156296499999996</v>
      </c>
      <c r="V121" s="1">
        <f>Q121-I121</f>
        <v>-23.601749999999925</v>
      </c>
    </row>
    <row r="122" spans="1:19" ht="15">
      <c r="A122" s="22" t="s">
        <v>140</v>
      </c>
      <c r="B122" s="26"/>
      <c r="C122" s="26"/>
      <c r="D122" s="24">
        <f>D91+D92+D99+D105+D106+D111+D118+D121</f>
        <v>4916.612</v>
      </c>
      <c r="G122" s="2">
        <f t="shared" si="11"/>
      </c>
      <c r="H122" s="15"/>
      <c r="I122" s="15"/>
      <c r="S122" s="40"/>
    </row>
    <row r="123" spans="1:22" ht="15">
      <c r="A123" s="22">
        <v>15</v>
      </c>
      <c r="B123" s="23" t="s">
        <v>141</v>
      </c>
      <c r="C123" s="23"/>
      <c r="D123" s="24">
        <f>'Updated ETC-5-30-07'!D123/1000</f>
        <v>177.639</v>
      </c>
      <c r="E123" s="2" t="s">
        <v>21</v>
      </c>
      <c r="F123" s="2" t="s">
        <v>39</v>
      </c>
      <c r="G123" s="2" t="str">
        <f t="shared" si="11"/>
        <v>ML</v>
      </c>
      <c r="H123" s="15">
        <f>(VLOOKUP($G123,'Estimate Uncertainty Matrix'!$B$10:$D$18,2)*$D123)+$D123</f>
        <v>159.8751</v>
      </c>
      <c r="I123" s="15">
        <f>(VLOOKUP($G123,'Estimate Uncertainty Matrix'!$B$10:$D$18,3)*$D123)+$D123</f>
        <v>204.28485</v>
      </c>
      <c r="K123" s="20">
        <v>0</v>
      </c>
      <c r="M123" s="21">
        <v>-0.0001</v>
      </c>
      <c r="N123" s="21">
        <v>0.0001</v>
      </c>
      <c r="P123" s="1">
        <f>D123+(D123*M123)</f>
        <v>177.6212361</v>
      </c>
      <c r="Q123" s="1">
        <f>D123+(D123*N123)</f>
        <v>177.65676390000002</v>
      </c>
      <c r="S123" s="20">
        <v>0</v>
      </c>
      <c r="U123" s="1">
        <f>P123-H123</f>
        <v>17.7461361</v>
      </c>
      <c r="V123" s="1">
        <f>Q123-I123</f>
        <v>-26.62808609999999</v>
      </c>
    </row>
    <row r="124" spans="1:22" ht="15">
      <c r="A124" s="25"/>
      <c r="B124" s="23" t="s">
        <v>142</v>
      </c>
      <c r="C124" s="23"/>
      <c r="D124" s="24">
        <f>'Updated ETC-5-30-07'!D124/1000</f>
        <v>1953.295</v>
      </c>
      <c r="E124" s="2" t="s">
        <v>21</v>
      </c>
      <c r="F124" s="2" t="s">
        <v>39</v>
      </c>
      <c r="G124" s="2" t="str">
        <f t="shared" si="11"/>
        <v>ML</v>
      </c>
      <c r="H124" s="15">
        <f>(VLOOKUP($G124,'Estimate Uncertainty Matrix'!$B$10:$D$18,2)*$D124)+$D124</f>
        <v>1757.9655</v>
      </c>
      <c r="I124" s="15">
        <f>(VLOOKUP($G124,'Estimate Uncertainty Matrix'!$B$10:$D$18,3)*$D124)+$D124</f>
        <v>2246.2892500000003</v>
      </c>
      <c r="K124" s="20">
        <v>0</v>
      </c>
      <c r="M124" s="21">
        <v>-0.1</v>
      </c>
      <c r="N124" s="21">
        <v>0.3</v>
      </c>
      <c r="P124" s="1">
        <f>D124+(D124*M124)</f>
        <v>1757.9655</v>
      </c>
      <c r="Q124" s="1">
        <f>D124+(D124*N124)</f>
        <v>2539.2835</v>
      </c>
      <c r="S124" s="20">
        <v>0</v>
      </c>
      <c r="U124" s="1">
        <f>P124-H124</f>
        <v>0</v>
      </c>
      <c r="V124" s="1">
        <f>Q124-I124</f>
        <v>292.99424999999974</v>
      </c>
    </row>
    <row r="125" spans="1:9" ht="15">
      <c r="A125" s="22" t="s">
        <v>143</v>
      </c>
      <c r="B125" s="26"/>
      <c r="C125" s="26"/>
      <c r="D125" s="24">
        <f>SUM(D123:D124)</f>
        <v>2130.934</v>
      </c>
      <c r="G125" s="2">
        <f t="shared" si="11"/>
      </c>
      <c r="H125" s="15"/>
      <c r="I125" s="15"/>
    </row>
    <row r="126" spans="1:9" ht="15">
      <c r="A126" s="22">
        <v>16</v>
      </c>
      <c r="B126" s="23" t="s">
        <v>144</v>
      </c>
      <c r="C126" s="23" t="s">
        <v>260</v>
      </c>
      <c r="D126" s="24">
        <f>'Updated ETC-5-30-07'!D126/1000</f>
        <v>346.184</v>
      </c>
      <c r="G126" s="2">
        <f t="shared" si="11"/>
      </c>
      <c r="H126" s="15"/>
      <c r="I126" s="15"/>
    </row>
    <row r="127" spans="1:9" ht="15">
      <c r="A127" s="25"/>
      <c r="B127" s="27"/>
      <c r="C127" s="28" t="s">
        <v>261</v>
      </c>
      <c r="D127" s="24">
        <f>'Updated ETC-5-30-07'!D127/1000</f>
        <v>471.374</v>
      </c>
      <c r="G127" s="2">
        <f t="shared" si="11"/>
      </c>
      <c r="H127" s="15"/>
      <c r="I127" s="15"/>
    </row>
    <row r="128" spans="1:9" ht="15">
      <c r="A128" s="25"/>
      <c r="B128" s="27"/>
      <c r="C128" s="28" t="s">
        <v>262</v>
      </c>
      <c r="D128" s="24">
        <f>'Updated ETC-5-30-07'!D128/1000</f>
        <v>35.587</v>
      </c>
      <c r="G128" s="2">
        <f t="shared" si="11"/>
      </c>
      <c r="H128" s="15"/>
      <c r="I128" s="15"/>
    </row>
    <row r="129" spans="1:22" ht="15">
      <c r="A129" s="25"/>
      <c r="B129" s="27"/>
      <c r="C129" s="28" t="s">
        <v>226</v>
      </c>
      <c r="D129" s="24">
        <f>'Updated ETC-5-30-07'!D129/1000</f>
        <v>6.229</v>
      </c>
      <c r="G129" s="2">
        <f t="shared" si="11"/>
      </c>
      <c r="H129" s="15"/>
      <c r="I129" s="15"/>
      <c r="L129" s="40"/>
      <c r="M129" s="45"/>
      <c r="N129" s="45"/>
      <c r="U129" s="1">
        <f>P129-H129</f>
        <v>0</v>
      </c>
      <c r="V129" s="1">
        <f>Q129-I129</f>
        <v>0</v>
      </c>
    </row>
    <row r="130" spans="1:22" ht="15">
      <c r="A130" s="25"/>
      <c r="B130" s="23" t="s">
        <v>145</v>
      </c>
      <c r="C130" s="26"/>
      <c r="D130" s="24">
        <f>SUM(D126:D129)</f>
        <v>859.374</v>
      </c>
      <c r="E130" s="44" t="s">
        <v>20</v>
      </c>
      <c r="F130" s="44" t="s">
        <v>39</v>
      </c>
      <c r="G130" s="44" t="str">
        <f t="shared" si="11"/>
        <v>HL</v>
      </c>
      <c r="H130" s="41">
        <f>(VLOOKUP($G130,'Estimate Uncertainty Matrix'!$B$10:$D$18,2)*$D130)+$D130</f>
        <v>816.4053</v>
      </c>
      <c r="I130" s="41">
        <f>(VLOOKUP($G130,'Estimate Uncertainty Matrix'!$B$10:$D$18,3)*$D130)+$D130</f>
        <v>945.3114</v>
      </c>
      <c r="J130" s="40"/>
      <c r="K130" s="20">
        <v>0</v>
      </c>
      <c r="L130" s="40"/>
      <c r="M130" s="45">
        <v>-0.05</v>
      </c>
      <c r="N130" s="45">
        <v>0.1</v>
      </c>
      <c r="P130" s="1">
        <f>D130+(D130*M130)</f>
        <v>816.4053</v>
      </c>
      <c r="Q130" s="1">
        <f>D130+(D130*N130)</f>
        <v>945.3114</v>
      </c>
      <c r="S130" s="20">
        <v>0</v>
      </c>
      <c r="U130" s="1">
        <f>P130-H130</f>
        <v>0</v>
      </c>
      <c r="V130" s="1">
        <f>Q130-I130</f>
        <v>0</v>
      </c>
    </row>
    <row r="131" spans="1:9" ht="15">
      <c r="A131" s="22" t="s">
        <v>146</v>
      </c>
      <c r="B131" s="26"/>
      <c r="C131" s="26"/>
      <c r="D131" s="24">
        <f>D130</f>
        <v>859.374</v>
      </c>
      <c r="G131" s="2">
        <f t="shared" si="11"/>
      </c>
      <c r="H131" s="15"/>
      <c r="I131" s="15"/>
    </row>
    <row r="132" spans="1:22" ht="15">
      <c r="A132" s="22">
        <v>17</v>
      </c>
      <c r="B132" s="23" t="s">
        <v>147</v>
      </c>
      <c r="C132" s="23"/>
      <c r="D132" s="24">
        <f>'Updated ETC-5-30-07'!D132/1000</f>
        <v>203.577</v>
      </c>
      <c r="E132" s="2" t="s">
        <v>39</v>
      </c>
      <c r="F132" s="2" t="s">
        <v>21</v>
      </c>
      <c r="G132" s="2" t="str">
        <f t="shared" si="11"/>
        <v>LM</v>
      </c>
      <c r="H132" s="15">
        <f>(VLOOKUP($G132,'Estimate Uncertainty Matrix'!$B$10:$D$18,2)*$D132)+$D132</f>
        <v>162.8616</v>
      </c>
      <c r="I132" s="15">
        <f>(VLOOKUP($G132,'Estimate Uncertainty Matrix'!$B$10:$D$18,3)*$D132)+$D132</f>
        <v>285.0078</v>
      </c>
      <c r="K132" s="20">
        <v>0</v>
      </c>
      <c r="M132" s="21">
        <v>-0.1</v>
      </c>
      <c r="N132" s="21">
        <v>0.2</v>
      </c>
      <c r="P132" s="1">
        <f>D132+(D132*M132)</f>
        <v>183.2193</v>
      </c>
      <c r="Q132" s="1">
        <f>D132+(D132*N132)</f>
        <v>244.2924</v>
      </c>
      <c r="S132" s="20">
        <v>0</v>
      </c>
      <c r="U132" s="1">
        <f aca="true" t="shared" si="13" ref="U132:V135">P132-H132</f>
        <v>20.357699999999994</v>
      </c>
      <c r="V132" s="1">
        <f t="shared" si="13"/>
        <v>-40.71539999999999</v>
      </c>
    </row>
    <row r="133" spans="1:22" ht="15">
      <c r="A133" s="25"/>
      <c r="B133" s="23" t="s">
        <v>148</v>
      </c>
      <c r="C133" s="23"/>
      <c r="D133" s="24">
        <f>'Updated ETC-5-30-07'!D133/1000</f>
        <v>163.469</v>
      </c>
      <c r="E133" s="2" t="s">
        <v>21</v>
      </c>
      <c r="F133" s="2" t="s">
        <v>39</v>
      </c>
      <c r="G133" s="2" t="str">
        <f t="shared" si="11"/>
        <v>ML</v>
      </c>
      <c r="H133" s="15">
        <f>(VLOOKUP($G133,'Estimate Uncertainty Matrix'!$B$10:$D$18,2)*$D133)+$D133</f>
        <v>147.1221</v>
      </c>
      <c r="I133" s="15">
        <f>(VLOOKUP($G133,'Estimate Uncertainty Matrix'!$B$10:$D$18,3)*$D133)+$D133</f>
        <v>187.98935</v>
      </c>
      <c r="K133" s="20">
        <v>0</v>
      </c>
      <c r="M133" s="21">
        <v>-0.0001</v>
      </c>
      <c r="N133" s="21">
        <v>0.2</v>
      </c>
      <c r="P133" s="1">
        <f aca="true" t="shared" si="14" ref="P133:P168">D133+(D133*M133)</f>
        <v>163.4526531</v>
      </c>
      <c r="Q133" s="1">
        <f aca="true" t="shared" si="15" ref="Q133:Q168">D133+(D133*N133)</f>
        <v>196.1628</v>
      </c>
      <c r="S133" s="20">
        <v>0</v>
      </c>
      <c r="U133" s="1">
        <f t="shared" si="13"/>
        <v>16.330553100000003</v>
      </c>
      <c r="V133" s="1">
        <f t="shared" si="13"/>
        <v>8.173450000000003</v>
      </c>
    </row>
    <row r="134" spans="1:22" ht="15">
      <c r="A134" s="25"/>
      <c r="B134" s="23" t="s">
        <v>149</v>
      </c>
      <c r="C134" s="23"/>
      <c r="D134" s="24">
        <f>'Updated ETC-5-30-07'!D134/1000</f>
        <v>316.272</v>
      </c>
      <c r="E134" s="2" t="s">
        <v>20</v>
      </c>
      <c r="F134" s="2" t="s">
        <v>39</v>
      </c>
      <c r="G134" s="2" t="str">
        <f aca="true" t="shared" si="16" ref="G134:G171">CONCATENATE(E134,F134)</f>
        <v>HL</v>
      </c>
      <c r="H134" s="15">
        <f>(VLOOKUP($G134,'Estimate Uncertainty Matrix'!$B$10:$D$18,2)*$D134)+$D134</f>
        <v>300.4584</v>
      </c>
      <c r="I134" s="15">
        <f>(VLOOKUP($G134,'Estimate Uncertainty Matrix'!$B$10:$D$18,3)*$D134)+$D134</f>
        <v>347.8992</v>
      </c>
      <c r="K134" s="20">
        <v>0</v>
      </c>
      <c r="M134" s="21">
        <v>-0.0001</v>
      </c>
      <c r="N134" s="21">
        <v>0.15</v>
      </c>
      <c r="P134" s="1">
        <f t="shared" si="14"/>
        <v>316.2403728</v>
      </c>
      <c r="Q134" s="1">
        <f t="shared" si="15"/>
        <v>363.7128</v>
      </c>
      <c r="S134" s="20">
        <v>0</v>
      </c>
      <c r="U134" s="1">
        <f t="shared" si="13"/>
        <v>15.781972800000005</v>
      </c>
      <c r="V134" s="1">
        <f t="shared" si="13"/>
        <v>15.813600000000008</v>
      </c>
    </row>
    <row r="135" spans="1:22" ht="15">
      <c r="A135" s="25"/>
      <c r="B135" s="23" t="s">
        <v>150</v>
      </c>
      <c r="C135" s="23"/>
      <c r="D135" s="24">
        <f>'Updated ETC-5-30-07'!D135/1000</f>
        <v>68.082</v>
      </c>
      <c r="E135" s="2" t="s">
        <v>21</v>
      </c>
      <c r="F135" s="2" t="s">
        <v>39</v>
      </c>
      <c r="G135" s="2" t="str">
        <f t="shared" si="16"/>
        <v>ML</v>
      </c>
      <c r="H135" s="15">
        <f>(VLOOKUP($G135,'Estimate Uncertainty Matrix'!$B$10:$D$18,2)*$D135)+$D135</f>
        <v>61.273799999999994</v>
      </c>
      <c r="I135" s="15">
        <f>(VLOOKUP($G135,'Estimate Uncertainty Matrix'!$B$10:$D$18,3)*$D135)+$D135</f>
        <v>78.29429999999999</v>
      </c>
      <c r="K135" s="20">
        <v>0</v>
      </c>
      <c r="M135" s="21">
        <v>-0.0001</v>
      </c>
      <c r="N135" s="21">
        <v>0.05</v>
      </c>
      <c r="P135" s="1">
        <f t="shared" si="14"/>
        <v>68.0751918</v>
      </c>
      <c r="Q135" s="1">
        <f t="shared" si="15"/>
        <v>71.4861</v>
      </c>
      <c r="S135" s="20">
        <v>0</v>
      </c>
      <c r="U135" s="1">
        <f t="shared" si="13"/>
        <v>6.801391800000005</v>
      </c>
      <c r="V135" s="1">
        <f t="shared" si="13"/>
        <v>-6.808199999999999</v>
      </c>
    </row>
    <row r="136" spans="1:9" ht="15">
      <c r="A136" s="22" t="s">
        <v>151</v>
      </c>
      <c r="B136" s="26"/>
      <c r="C136" s="26"/>
      <c r="D136" s="24">
        <f>SUM(D132:D135)</f>
        <v>751.4</v>
      </c>
      <c r="G136" s="2">
        <f t="shared" si="16"/>
      </c>
      <c r="H136" s="15"/>
      <c r="I136" s="15"/>
    </row>
    <row r="137" spans="1:22" ht="15">
      <c r="A137" s="22">
        <v>18</v>
      </c>
      <c r="B137" s="23" t="s">
        <v>152</v>
      </c>
      <c r="C137" s="23" t="s">
        <v>153</v>
      </c>
      <c r="D137" s="24">
        <f>'Updated ETC-5-30-07'!D137/1000</f>
        <v>1660.338</v>
      </c>
      <c r="E137" s="2" t="s">
        <v>20</v>
      </c>
      <c r="F137" s="2" t="s">
        <v>39</v>
      </c>
      <c r="G137" s="2" t="str">
        <f t="shared" si="16"/>
        <v>HL</v>
      </c>
      <c r="H137" s="15">
        <f>(VLOOKUP($G137,'Estimate Uncertainty Matrix'!$B$10:$D$18,2)*$D137)+$D137</f>
        <v>1577.3211</v>
      </c>
      <c r="I137" s="15">
        <f>(VLOOKUP($G137,'Estimate Uncertainty Matrix'!$B$10:$D$18,3)*$D137)+$D137</f>
        <v>1826.3718</v>
      </c>
      <c r="K137" s="20">
        <v>0</v>
      </c>
      <c r="M137" s="21">
        <v>-0.1</v>
      </c>
      <c r="N137" s="21">
        <v>0.3</v>
      </c>
      <c r="P137" s="1">
        <f t="shared" si="14"/>
        <v>1494.3042</v>
      </c>
      <c r="Q137" s="1">
        <f t="shared" si="15"/>
        <v>2158.4393999999998</v>
      </c>
      <c r="S137" s="20">
        <v>0</v>
      </c>
      <c r="U137" s="1">
        <f aca="true" t="shared" si="17" ref="U137:V141">P137-H137</f>
        <v>-83.01689999999985</v>
      </c>
      <c r="V137" s="1">
        <f t="shared" si="17"/>
        <v>332.06759999999986</v>
      </c>
    </row>
    <row r="138" spans="1:22" ht="15">
      <c r="A138" s="25"/>
      <c r="B138" s="23" t="s">
        <v>154</v>
      </c>
      <c r="C138" s="23" t="s">
        <v>265</v>
      </c>
      <c r="D138" s="24">
        <f>'Updated ETC-5-30-07'!D138/1000</f>
        <v>0</v>
      </c>
      <c r="E138" s="2" t="s">
        <v>39</v>
      </c>
      <c r="F138" s="2" t="s">
        <v>39</v>
      </c>
      <c r="G138" s="2" t="str">
        <f t="shared" si="16"/>
        <v>LL</v>
      </c>
      <c r="H138" s="15">
        <f>(VLOOKUP($G138,'Estimate Uncertainty Matrix'!$B$10:$D$18,2)*$D138)+$D138</f>
        <v>0</v>
      </c>
      <c r="I138" s="15">
        <f>(VLOOKUP($G138,'Estimate Uncertainty Matrix'!$B$10:$D$18,3)*$D138)+$D138</f>
        <v>0</v>
      </c>
      <c r="K138" s="40">
        <v>0</v>
      </c>
      <c r="M138" s="21">
        <v>-0.0001</v>
      </c>
      <c r="N138" s="21">
        <v>0.25</v>
      </c>
      <c r="P138" s="1">
        <f t="shared" si="14"/>
        <v>0</v>
      </c>
      <c r="Q138" s="1">
        <f t="shared" si="15"/>
        <v>0</v>
      </c>
      <c r="S138" s="40">
        <v>0</v>
      </c>
      <c r="U138" s="1">
        <f t="shared" si="17"/>
        <v>0</v>
      </c>
      <c r="V138" s="1">
        <f t="shared" si="17"/>
        <v>0</v>
      </c>
    </row>
    <row r="139" spans="1:22" ht="15">
      <c r="A139" s="25"/>
      <c r="B139" s="27"/>
      <c r="C139" s="28" t="s">
        <v>266</v>
      </c>
      <c r="D139" s="24">
        <f>'Updated ETC-5-30-07'!D139/1000</f>
        <v>103.182</v>
      </c>
      <c r="E139" s="2" t="s">
        <v>21</v>
      </c>
      <c r="F139" s="2" t="s">
        <v>39</v>
      </c>
      <c r="G139" s="2" t="str">
        <f t="shared" si="16"/>
        <v>ML</v>
      </c>
      <c r="H139" s="15">
        <f>(VLOOKUP($G139,'Estimate Uncertainty Matrix'!$B$10:$D$18,2)*$D139)+$D139</f>
        <v>92.8638</v>
      </c>
      <c r="I139" s="15">
        <f>(VLOOKUP($G139,'Estimate Uncertainty Matrix'!$B$10:$D$18,3)*$D139)+$D139</f>
        <v>118.6593</v>
      </c>
      <c r="K139" s="20">
        <v>0</v>
      </c>
      <c r="M139" s="21">
        <v>-0.0001</v>
      </c>
      <c r="N139" s="21">
        <v>0.25</v>
      </c>
      <c r="P139" s="1">
        <f>D139+(D139*M139)</f>
        <v>103.1716818</v>
      </c>
      <c r="Q139" s="1">
        <f>D139+(D139*N139)</f>
        <v>128.9775</v>
      </c>
      <c r="S139" s="20">
        <v>0</v>
      </c>
      <c r="U139" s="1">
        <f t="shared" si="17"/>
        <v>10.307881800000004</v>
      </c>
      <c r="V139" s="1">
        <f t="shared" si="17"/>
        <v>10.31819999999999</v>
      </c>
    </row>
    <row r="140" spans="1:22" ht="15">
      <c r="A140" s="25"/>
      <c r="B140" s="27"/>
      <c r="C140" s="28" t="s">
        <v>267</v>
      </c>
      <c r="D140" s="24">
        <f>'Updated ETC-5-30-07'!D140/1000</f>
        <v>82.467</v>
      </c>
      <c r="E140" s="2" t="s">
        <v>21</v>
      </c>
      <c r="F140" s="2" t="s">
        <v>39</v>
      </c>
      <c r="G140" s="2" t="str">
        <f t="shared" si="16"/>
        <v>ML</v>
      </c>
      <c r="H140" s="15">
        <f>(VLOOKUP($G140,'Estimate Uncertainty Matrix'!$B$10:$D$18,2)*$D140)+$D140</f>
        <v>74.2203</v>
      </c>
      <c r="I140" s="15">
        <f>(VLOOKUP($G140,'Estimate Uncertainty Matrix'!$B$10:$D$18,3)*$D140)+$D140</f>
        <v>94.83705</v>
      </c>
      <c r="K140" s="20">
        <v>0</v>
      </c>
      <c r="M140" s="21">
        <v>-0.0001</v>
      </c>
      <c r="N140" s="21">
        <v>0.25</v>
      </c>
      <c r="P140" s="1">
        <f>D140+(D140*M140)</f>
        <v>82.4587533</v>
      </c>
      <c r="Q140" s="1">
        <f>D140+(D140*N140)</f>
        <v>103.08375</v>
      </c>
      <c r="S140" s="20">
        <v>0</v>
      </c>
      <c r="U140" s="1">
        <f t="shared" si="17"/>
        <v>8.238453300000003</v>
      </c>
      <c r="V140" s="1">
        <f t="shared" si="17"/>
        <v>8.24669999999999</v>
      </c>
    </row>
    <row r="141" spans="1:22" ht="15">
      <c r="A141" s="25"/>
      <c r="B141" s="27"/>
      <c r="C141" s="28" t="s">
        <v>268</v>
      </c>
      <c r="D141" s="24">
        <f>'Updated ETC-5-30-07'!D141/1000</f>
        <v>199.901</v>
      </c>
      <c r="E141" s="2" t="s">
        <v>21</v>
      </c>
      <c r="F141" s="2" t="s">
        <v>39</v>
      </c>
      <c r="G141" s="2" t="str">
        <f t="shared" si="16"/>
        <v>ML</v>
      </c>
      <c r="H141" s="15">
        <f>(VLOOKUP($G141,'Estimate Uncertainty Matrix'!$B$10:$D$18,2)*$D141)+$D141</f>
        <v>179.9109</v>
      </c>
      <c r="I141" s="15">
        <f>(VLOOKUP($G141,'Estimate Uncertainty Matrix'!$B$10:$D$18,3)*$D141)+$D141</f>
        <v>229.88615000000001</v>
      </c>
      <c r="K141" s="20">
        <v>0</v>
      </c>
      <c r="M141" s="21">
        <v>-0.0001</v>
      </c>
      <c r="N141" s="21">
        <v>0.25</v>
      </c>
      <c r="P141" s="1">
        <f>D141+(D141*M141)</f>
        <v>199.8810099</v>
      </c>
      <c r="Q141" s="1">
        <f>D141+(D141*N141)</f>
        <v>249.87625000000003</v>
      </c>
      <c r="S141" s="20">
        <v>0</v>
      </c>
      <c r="U141" s="1">
        <f t="shared" si="17"/>
        <v>19.97010990000001</v>
      </c>
      <c r="V141" s="1">
        <f t="shared" si="17"/>
        <v>19.990100000000012</v>
      </c>
    </row>
    <row r="142" spans="1:19" ht="15">
      <c r="A142" s="25"/>
      <c r="B142" s="30" t="s">
        <v>155</v>
      </c>
      <c r="C142" s="26"/>
      <c r="D142" s="24">
        <f>SUM(D138:D141)</f>
        <v>385.55</v>
      </c>
      <c r="E142" s="44"/>
      <c r="F142" s="44"/>
      <c r="G142" s="44"/>
      <c r="H142" s="41"/>
      <c r="I142" s="41"/>
      <c r="J142" s="40"/>
      <c r="K142" s="40"/>
      <c r="L142" s="40"/>
      <c r="M142" s="45"/>
      <c r="N142" s="45"/>
      <c r="O142" s="40"/>
      <c r="P142" s="40"/>
      <c r="S142" s="40"/>
    </row>
    <row r="143" spans="1:9" ht="15">
      <c r="A143" s="25"/>
      <c r="B143" s="23" t="s">
        <v>156</v>
      </c>
      <c r="C143" s="23" t="s">
        <v>205</v>
      </c>
      <c r="D143" s="24">
        <f>'Updated ETC-5-30-07'!D143/1000</f>
        <v>84.702</v>
      </c>
      <c r="G143" s="2">
        <f t="shared" si="16"/>
      </c>
      <c r="H143" s="15"/>
      <c r="I143" s="15"/>
    </row>
    <row r="144" spans="1:9" ht="15">
      <c r="A144" s="25"/>
      <c r="B144" s="28"/>
      <c r="C144" s="28" t="s">
        <v>269</v>
      </c>
      <c r="D144" s="24">
        <f>'Updated ETC-5-30-07'!D144/1000</f>
        <v>10.034</v>
      </c>
      <c r="G144" s="2"/>
      <c r="H144" s="15"/>
      <c r="I144" s="15"/>
    </row>
    <row r="145" spans="1:9" ht="15">
      <c r="A145" s="25"/>
      <c r="B145" s="27"/>
      <c r="C145" s="28" t="s">
        <v>265</v>
      </c>
      <c r="D145" s="24">
        <f>'Updated ETC-5-30-07'!D145/1000</f>
        <v>25.658</v>
      </c>
      <c r="G145" s="2">
        <f t="shared" si="16"/>
      </c>
      <c r="H145" s="15"/>
      <c r="I145" s="15"/>
    </row>
    <row r="146" spans="1:9" ht="15">
      <c r="A146" s="25"/>
      <c r="B146" s="27"/>
      <c r="C146" s="28" t="s">
        <v>266</v>
      </c>
      <c r="D146" s="24">
        <f>'Updated ETC-5-30-07'!D146/1000</f>
        <v>38.739</v>
      </c>
      <c r="G146" s="2"/>
      <c r="H146" s="15"/>
      <c r="I146" s="15"/>
    </row>
    <row r="147" spans="1:9" ht="15">
      <c r="A147" s="25"/>
      <c r="B147" s="27"/>
      <c r="C147" s="28" t="s">
        <v>267</v>
      </c>
      <c r="D147" s="24">
        <f>'Updated ETC-5-30-07'!D147/1000</f>
        <v>59.768</v>
      </c>
      <c r="G147" s="2">
        <f t="shared" si="16"/>
      </c>
      <c r="H147" s="15"/>
      <c r="I147" s="15"/>
    </row>
    <row r="148" spans="1:9" ht="15">
      <c r="A148" s="25"/>
      <c r="B148" s="27"/>
      <c r="C148" s="28" t="s">
        <v>268</v>
      </c>
      <c r="D148" s="24">
        <f>'Updated ETC-5-30-07'!D148/1000</f>
        <v>92.055</v>
      </c>
      <c r="G148" s="2">
        <f t="shared" si="16"/>
      </c>
      <c r="H148" s="15"/>
      <c r="I148" s="15"/>
    </row>
    <row r="149" spans="1:22" ht="15">
      <c r="A149" s="25"/>
      <c r="B149" s="30" t="s">
        <v>157</v>
      </c>
      <c r="C149" s="26"/>
      <c r="D149" s="24">
        <f>SUM(D143:D148)</f>
        <v>310.956</v>
      </c>
      <c r="E149" s="2" t="s">
        <v>21</v>
      </c>
      <c r="F149" s="2" t="s">
        <v>21</v>
      </c>
      <c r="G149" s="2" t="str">
        <f t="shared" si="16"/>
        <v>MM</v>
      </c>
      <c r="H149" s="15">
        <f>(VLOOKUP($G149,'Estimate Uncertainty Matrix'!$B$10:$D$18,2)*$D148)+$D148</f>
        <v>78.24675</v>
      </c>
      <c r="I149" s="15">
        <f>(VLOOKUP($G149,'Estimate Uncertainty Matrix'!$B$10:$D$18,3)*$D148)+$D148</f>
        <v>115.06875000000001</v>
      </c>
      <c r="K149" s="20">
        <v>0</v>
      </c>
      <c r="M149" s="21">
        <v>-0.1</v>
      </c>
      <c r="N149" s="21">
        <v>0.5</v>
      </c>
      <c r="P149" s="1">
        <f>D148+(D148*M149)</f>
        <v>82.8495</v>
      </c>
      <c r="Q149" s="1">
        <f>D148+(D148*N149)</f>
        <v>138.0825</v>
      </c>
      <c r="S149" s="20">
        <v>0</v>
      </c>
      <c r="U149" s="1">
        <f>P149-H149</f>
        <v>4.60275</v>
      </c>
      <c r="V149" s="1">
        <f>Q149-I149</f>
        <v>23.01375</v>
      </c>
    </row>
    <row r="150" spans="1:9" ht="15">
      <c r="A150" s="25"/>
      <c r="B150" s="23" t="s">
        <v>158</v>
      </c>
      <c r="C150" s="23" t="s">
        <v>270</v>
      </c>
      <c r="D150" s="24">
        <f>'Updated ETC-5-30-07'!D150/1000</f>
        <v>451.439</v>
      </c>
      <c r="G150" s="2">
        <f t="shared" si="16"/>
      </c>
      <c r="H150" s="15"/>
      <c r="I150" s="15"/>
    </row>
    <row r="151" spans="1:9" ht="15">
      <c r="A151" s="25"/>
      <c r="B151" s="27"/>
      <c r="C151" s="28" t="s">
        <v>271</v>
      </c>
      <c r="D151" s="24">
        <f>'Updated ETC-5-30-07'!D151/1000</f>
        <v>215.386</v>
      </c>
      <c r="G151" s="2">
        <f t="shared" si="16"/>
      </c>
      <c r="H151" s="15"/>
      <c r="I151" s="15"/>
    </row>
    <row r="152" spans="1:9" ht="15">
      <c r="A152" s="25"/>
      <c r="B152" s="27"/>
      <c r="C152" s="28" t="s">
        <v>272</v>
      </c>
      <c r="D152" s="24">
        <f>'Updated ETC-5-30-07'!D152/1000</f>
        <v>215.386</v>
      </c>
      <c r="G152" s="2">
        <f t="shared" si="16"/>
      </c>
      <c r="H152" s="15"/>
      <c r="I152" s="15"/>
    </row>
    <row r="153" spans="1:22" ht="15">
      <c r="A153" s="25"/>
      <c r="B153" s="30" t="s">
        <v>159</v>
      </c>
      <c r="C153" s="26"/>
      <c r="D153" s="24">
        <f>SUM(D150:D152)</f>
        <v>882.211</v>
      </c>
      <c r="E153" s="2" t="s">
        <v>20</v>
      </c>
      <c r="F153" s="2" t="s">
        <v>21</v>
      </c>
      <c r="G153" s="2" t="str">
        <f t="shared" si="16"/>
        <v>HM</v>
      </c>
      <c r="H153" s="15">
        <f>(VLOOKUP($G153,'Estimate Uncertainty Matrix'!$B$10:$D$18,2)*$D153)+$D153</f>
        <v>793.9899</v>
      </c>
      <c r="I153" s="15">
        <f>(VLOOKUP($G153,'Estimate Uncertainty Matrix'!$B$10:$D$18,3)*$D153)+$D153</f>
        <v>1014.54265</v>
      </c>
      <c r="K153" s="20">
        <v>0</v>
      </c>
      <c r="M153" s="21">
        <v>-0.1</v>
      </c>
      <c r="N153" s="21">
        <v>0.5</v>
      </c>
      <c r="P153" s="1">
        <f t="shared" si="14"/>
        <v>793.9899</v>
      </c>
      <c r="Q153" s="1">
        <f t="shared" si="15"/>
        <v>1323.3165</v>
      </c>
      <c r="S153" s="20">
        <v>0</v>
      </c>
      <c r="U153" s="1">
        <f aca="true" t="shared" si="18" ref="U153:U165">P153-H153</f>
        <v>0</v>
      </c>
      <c r="V153" s="1">
        <f aca="true" t="shared" si="19" ref="V153:V165">Q153-I153</f>
        <v>308.7738499999999</v>
      </c>
    </row>
    <row r="154" spans="1:22" ht="15">
      <c r="A154" s="25"/>
      <c r="B154" s="23" t="s">
        <v>160</v>
      </c>
      <c r="C154" s="23" t="s">
        <v>273</v>
      </c>
      <c r="D154" s="24">
        <f>'Updated ETC-5-30-07'!D154/1000</f>
        <v>2681.473</v>
      </c>
      <c r="E154" s="2" t="s">
        <v>39</v>
      </c>
      <c r="F154" s="2" t="s">
        <v>20</v>
      </c>
      <c r="G154" s="2" t="str">
        <f t="shared" si="16"/>
        <v>LH</v>
      </c>
      <c r="H154" s="15">
        <f>(VLOOKUP($G154,'Estimate Uncertainty Matrix'!$B$10:$D$18,2)*$D154)+$D154</f>
        <v>1877.0311000000002</v>
      </c>
      <c r="I154" s="15">
        <f>(VLOOKUP($G154,'Estimate Uncertainty Matrix'!$B$10:$D$18,3)*$D154)+$D154</f>
        <v>4290.3568</v>
      </c>
      <c r="K154" s="20">
        <v>0</v>
      </c>
      <c r="M154" s="21">
        <v>-0.0001</v>
      </c>
      <c r="N154" s="21">
        <v>0.4</v>
      </c>
      <c r="P154" s="1">
        <f>D154+(D154*M154)</f>
        <v>2681.2048527</v>
      </c>
      <c r="Q154" s="1">
        <f>D154+(D154*N154)</f>
        <v>3754.0622000000003</v>
      </c>
      <c r="S154" s="20">
        <v>0</v>
      </c>
      <c r="U154" s="1">
        <f t="shared" si="18"/>
        <v>804.1737527</v>
      </c>
      <c r="V154" s="1">
        <f t="shared" si="19"/>
        <v>-536.2945999999993</v>
      </c>
    </row>
    <row r="155" spans="1:22" ht="15">
      <c r="A155" s="25"/>
      <c r="B155" s="27"/>
      <c r="C155" s="28" t="s">
        <v>274</v>
      </c>
      <c r="D155" s="24">
        <f>'Updated ETC-5-30-07'!D155/1000</f>
        <v>95.874</v>
      </c>
      <c r="E155" s="2" t="s">
        <v>20</v>
      </c>
      <c r="F155" s="2" t="s">
        <v>21</v>
      </c>
      <c r="G155" s="2" t="str">
        <f t="shared" si="16"/>
        <v>HM</v>
      </c>
      <c r="H155" s="15">
        <f>(VLOOKUP($G155,'Estimate Uncertainty Matrix'!$B$10:$D$18,2)*$D155)+$D155</f>
        <v>86.28659999999999</v>
      </c>
      <c r="I155" s="15">
        <f>(VLOOKUP($G155,'Estimate Uncertainty Matrix'!$B$10:$D$18,3)*$D155)+$D155</f>
        <v>110.2551</v>
      </c>
      <c r="K155" s="20">
        <v>0</v>
      </c>
      <c r="M155" s="21">
        <v>-0.3</v>
      </c>
      <c r="N155" s="21">
        <v>0.1</v>
      </c>
      <c r="P155" s="1">
        <f t="shared" si="14"/>
        <v>67.1118</v>
      </c>
      <c r="Q155" s="1">
        <f t="shared" si="15"/>
        <v>105.4614</v>
      </c>
      <c r="S155" s="20">
        <v>0</v>
      </c>
      <c r="U155" s="1">
        <f t="shared" si="18"/>
        <v>-19.17479999999999</v>
      </c>
      <c r="V155" s="1">
        <f t="shared" si="19"/>
        <v>-4.793700000000001</v>
      </c>
    </row>
    <row r="156" spans="1:22" ht="15">
      <c r="A156" s="25"/>
      <c r="B156" s="27"/>
      <c r="C156" s="28" t="s">
        <v>275</v>
      </c>
      <c r="D156" s="24">
        <f>'Updated ETC-5-30-07'!D156/1000</f>
        <v>133.119</v>
      </c>
      <c r="E156" s="2" t="s">
        <v>20</v>
      </c>
      <c r="F156" s="2" t="s">
        <v>21</v>
      </c>
      <c r="G156" s="2" t="str">
        <f t="shared" si="16"/>
        <v>HM</v>
      </c>
      <c r="H156" s="15">
        <f>(VLOOKUP($G156,'Estimate Uncertainty Matrix'!$B$10:$D$18,2)*$D156)+$D156</f>
        <v>119.80709999999999</v>
      </c>
      <c r="I156" s="15">
        <f>(VLOOKUP($G156,'Estimate Uncertainty Matrix'!$B$10:$D$18,3)*$D156)+$D156</f>
        <v>153.08685</v>
      </c>
      <c r="K156" s="20">
        <v>0</v>
      </c>
      <c r="M156" s="21">
        <v>-0.3</v>
      </c>
      <c r="N156" s="21">
        <v>0.1</v>
      </c>
      <c r="P156" s="1">
        <f t="shared" si="14"/>
        <v>93.1833</v>
      </c>
      <c r="Q156" s="1">
        <f t="shared" si="15"/>
        <v>146.4309</v>
      </c>
      <c r="S156" s="20">
        <v>0</v>
      </c>
      <c r="U156" s="1">
        <f t="shared" si="18"/>
        <v>-26.62379999999999</v>
      </c>
      <c r="V156" s="1">
        <f t="shared" si="19"/>
        <v>-6.65594999999999</v>
      </c>
    </row>
    <row r="157" spans="1:22" ht="15">
      <c r="A157" s="25"/>
      <c r="B157" s="27"/>
      <c r="C157" s="28" t="s">
        <v>276</v>
      </c>
      <c r="D157" s="24">
        <f>'Updated ETC-5-30-07'!D157/1000</f>
        <v>186.482</v>
      </c>
      <c r="E157" s="2" t="s">
        <v>20</v>
      </c>
      <c r="F157" s="2" t="s">
        <v>21</v>
      </c>
      <c r="G157" s="2" t="str">
        <f t="shared" si="16"/>
        <v>HM</v>
      </c>
      <c r="H157" s="15">
        <f>(VLOOKUP($G157,'Estimate Uncertainty Matrix'!$B$10:$D$18,2)*$D157)+$D157</f>
        <v>167.8338</v>
      </c>
      <c r="I157" s="15">
        <f>(VLOOKUP($G157,'Estimate Uncertainty Matrix'!$B$10:$D$18,3)*$D157)+$D157</f>
        <v>214.4543</v>
      </c>
      <c r="K157" s="20">
        <v>0</v>
      </c>
      <c r="M157" s="21">
        <v>-0.3</v>
      </c>
      <c r="N157" s="21">
        <v>0.1</v>
      </c>
      <c r="P157" s="1">
        <f t="shared" si="14"/>
        <v>130.5374</v>
      </c>
      <c r="Q157" s="1">
        <f t="shared" si="15"/>
        <v>205.1302</v>
      </c>
      <c r="S157" s="20">
        <v>0</v>
      </c>
      <c r="U157" s="1">
        <f t="shared" si="18"/>
        <v>-37.296400000000006</v>
      </c>
      <c r="V157" s="1">
        <f t="shared" si="19"/>
        <v>-9.324099999999987</v>
      </c>
    </row>
    <row r="158" spans="1:22" ht="15">
      <c r="A158" s="25"/>
      <c r="B158" s="27"/>
      <c r="C158" s="28" t="s">
        <v>277</v>
      </c>
      <c r="D158" s="24">
        <f>'Updated ETC-5-30-07'!D158/1000</f>
        <v>30.442</v>
      </c>
      <c r="E158" s="2" t="s">
        <v>20</v>
      </c>
      <c r="F158" s="2" t="s">
        <v>21</v>
      </c>
      <c r="G158" s="2" t="str">
        <f t="shared" si="16"/>
        <v>HM</v>
      </c>
      <c r="H158" s="15">
        <f>(VLOOKUP($G158,'Estimate Uncertainty Matrix'!$B$10:$D$18,2)*$D158)+$D158</f>
        <v>27.3978</v>
      </c>
      <c r="I158" s="15">
        <f>(VLOOKUP($G158,'Estimate Uncertainty Matrix'!$B$10:$D$18,3)*$D158)+$D158</f>
        <v>35.0083</v>
      </c>
      <c r="K158" s="20">
        <v>0</v>
      </c>
      <c r="M158" s="21">
        <v>-0.3</v>
      </c>
      <c r="N158" s="21">
        <v>0.1</v>
      </c>
      <c r="P158" s="1">
        <f t="shared" si="14"/>
        <v>21.3094</v>
      </c>
      <c r="Q158" s="1">
        <f t="shared" si="15"/>
        <v>33.4862</v>
      </c>
      <c r="S158" s="20">
        <v>0</v>
      </c>
      <c r="U158" s="1">
        <f t="shared" si="18"/>
        <v>-6.0884</v>
      </c>
      <c r="V158" s="1">
        <f t="shared" si="19"/>
        <v>-1.5221000000000018</v>
      </c>
    </row>
    <row r="159" spans="1:22" ht="15">
      <c r="A159" s="25"/>
      <c r="B159" s="27"/>
      <c r="C159" s="28" t="s">
        <v>278</v>
      </c>
      <c r="D159" s="24">
        <f>'Updated ETC-5-30-07'!D159/1000</f>
        <v>626.3</v>
      </c>
      <c r="E159" s="2" t="s">
        <v>39</v>
      </c>
      <c r="F159" s="2" t="s">
        <v>20</v>
      </c>
      <c r="G159" s="2" t="str">
        <f t="shared" si="16"/>
        <v>LH</v>
      </c>
      <c r="H159" s="15">
        <f>(VLOOKUP($G159,'Estimate Uncertainty Matrix'!$B$10:$D$18,2)*$D159)+$D159</f>
        <v>438.40999999999997</v>
      </c>
      <c r="I159" s="15">
        <f>(VLOOKUP($G159,'Estimate Uncertainty Matrix'!$B$10:$D$18,3)*$D159)+$D159</f>
        <v>1002.0799999999999</v>
      </c>
      <c r="K159" s="20">
        <v>0</v>
      </c>
      <c r="M159" s="21">
        <v>-0.0001</v>
      </c>
      <c r="N159" s="21">
        <v>0.4</v>
      </c>
      <c r="P159" s="1">
        <f t="shared" si="14"/>
        <v>626.2373699999999</v>
      </c>
      <c r="Q159" s="1">
        <f t="shared" si="15"/>
        <v>876.8199999999999</v>
      </c>
      <c r="S159" s="20">
        <v>0</v>
      </c>
      <c r="U159" s="1">
        <f t="shared" si="18"/>
        <v>187.82736999999997</v>
      </c>
      <c r="V159" s="1">
        <f t="shared" si="19"/>
        <v>-125.25999999999999</v>
      </c>
    </row>
    <row r="160" spans="1:22" ht="15">
      <c r="A160" s="25"/>
      <c r="B160" s="27"/>
      <c r="C160" s="28" t="s">
        <v>279</v>
      </c>
      <c r="D160" s="24">
        <f>'Updated ETC-5-30-07'!D160/1000</f>
        <v>573.107</v>
      </c>
      <c r="E160" s="2" t="s">
        <v>39</v>
      </c>
      <c r="F160" s="2" t="s">
        <v>20</v>
      </c>
      <c r="G160" s="2" t="str">
        <f t="shared" si="16"/>
        <v>LH</v>
      </c>
      <c r="H160" s="15">
        <f>(VLOOKUP($G160,'Estimate Uncertainty Matrix'!$B$10:$D$18,2)*$D160)+$D160</f>
        <v>401.1749</v>
      </c>
      <c r="I160" s="15">
        <f>(VLOOKUP($G160,'Estimate Uncertainty Matrix'!$B$10:$D$18,3)*$D160)+$D160</f>
        <v>916.9712</v>
      </c>
      <c r="K160" s="20">
        <v>0</v>
      </c>
      <c r="M160" s="21">
        <v>-0.0001</v>
      </c>
      <c r="N160" s="21">
        <v>0.4</v>
      </c>
      <c r="P160" s="1">
        <f t="shared" si="14"/>
        <v>573.0496893</v>
      </c>
      <c r="Q160" s="1">
        <f t="shared" si="15"/>
        <v>802.3498</v>
      </c>
      <c r="S160" s="20">
        <v>0</v>
      </c>
      <c r="U160" s="1">
        <f t="shared" si="18"/>
        <v>171.87478929999997</v>
      </c>
      <c r="V160" s="1">
        <f t="shared" si="19"/>
        <v>-114.6214</v>
      </c>
    </row>
    <row r="161" spans="1:22" ht="15">
      <c r="A161" s="25"/>
      <c r="B161" s="27"/>
      <c r="C161" s="28" t="s">
        <v>280</v>
      </c>
      <c r="D161" s="24">
        <f>'Updated ETC-5-30-07'!D161/1000</f>
        <v>558.901</v>
      </c>
      <c r="E161" s="2" t="s">
        <v>39</v>
      </c>
      <c r="F161" s="2" t="s">
        <v>20</v>
      </c>
      <c r="G161" s="2" t="str">
        <f t="shared" si="16"/>
        <v>LH</v>
      </c>
      <c r="H161" s="15">
        <f>(VLOOKUP($G161,'Estimate Uncertainty Matrix'!$B$10:$D$18,2)*$D161)+$D161</f>
        <v>391.23069999999996</v>
      </c>
      <c r="I161" s="15">
        <f>(VLOOKUP($G161,'Estimate Uncertainty Matrix'!$B$10:$D$18,3)*$D161)+$D161</f>
        <v>894.2415999999998</v>
      </c>
      <c r="K161" s="20">
        <v>0</v>
      </c>
      <c r="M161" s="21">
        <v>-0.0001</v>
      </c>
      <c r="N161" s="21">
        <v>0.4</v>
      </c>
      <c r="P161" s="1">
        <f t="shared" si="14"/>
        <v>558.8451098999999</v>
      </c>
      <c r="Q161" s="1">
        <f t="shared" si="15"/>
        <v>782.4613999999999</v>
      </c>
      <c r="S161" s="20">
        <v>0</v>
      </c>
      <c r="U161" s="1">
        <f t="shared" si="18"/>
        <v>167.61440989999994</v>
      </c>
      <c r="V161" s="1">
        <f t="shared" si="19"/>
        <v>-111.78019999999992</v>
      </c>
    </row>
    <row r="162" spans="1:22" ht="15">
      <c r="A162" s="25"/>
      <c r="B162" s="27"/>
      <c r="C162" s="28" t="s">
        <v>281</v>
      </c>
      <c r="D162" s="24">
        <f>'Updated ETC-5-30-07'!D162/1000</f>
        <v>396.154</v>
      </c>
      <c r="E162" s="2" t="s">
        <v>39</v>
      </c>
      <c r="F162" s="2" t="s">
        <v>20</v>
      </c>
      <c r="G162" s="2" t="str">
        <f t="shared" si="16"/>
        <v>LH</v>
      </c>
      <c r="H162" s="15">
        <f>(VLOOKUP($G162,'Estimate Uncertainty Matrix'!$B$10:$D$18,2)*$D162)+$D162</f>
        <v>277.3078</v>
      </c>
      <c r="I162" s="15">
        <f>(VLOOKUP($G162,'Estimate Uncertainty Matrix'!$B$10:$D$18,3)*$D162)+$D162</f>
        <v>633.8464</v>
      </c>
      <c r="K162" s="20">
        <v>0</v>
      </c>
      <c r="M162" s="21">
        <v>-0.0001</v>
      </c>
      <c r="N162" s="21">
        <v>0.4</v>
      </c>
      <c r="P162" s="1">
        <f t="shared" si="14"/>
        <v>396.1143846</v>
      </c>
      <c r="Q162" s="1">
        <f t="shared" si="15"/>
        <v>554.6156</v>
      </c>
      <c r="S162" s="20">
        <v>0</v>
      </c>
      <c r="U162" s="1">
        <f t="shared" si="18"/>
        <v>118.80658460000001</v>
      </c>
      <c r="V162" s="1">
        <f t="shared" si="19"/>
        <v>-79.23080000000004</v>
      </c>
    </row>
    <row r="163" spans="1:22" ht="15">
      <c r="A163" s="25"/>
      <c r="B163" s="27"/>
      <c r="C163" s="28" t="s">
        <v>282</v>
      </c>
      <c r="D163" s="24">
        <f>'Updated ETC-5-30-07'!D163/1000</f>
        <v>373.026</v>
      </c>
      <c r="E163" s="2" t="s">
        <v>39</v>
      </c>
      <c r="F163" s="2" t="s">
        <v>20</v>
      </c>
      <c r="G163" s="2" t="str">
        <f t="shared" si="16"/>
        <v>LH</v>
      </c>
      <c r="H163" s="15">
        <f>(VLOOKUP($G163,'Estimate Uncertainty Matrix'!$B$10:$D$18,2)*$D163)+$D163</f>
        <v>261.1182</v>
      </c>
      <c r="I163" s="15">
        <f>(VLOOKUP($G163,'Estimate Uncertainty Matrix'!$B$10:$D$18,3)*$D163)+$D163</f>
        <v>596.8416</v>
      </c>
      <c r="K163" s="20">
        <v>0</v>
      </c>
      <c r="M163" s="21">
        <v>-0.3</v>
      </c>
      <c r="N163" s="21">
        <v>0.5</v>
      </c>
      <c r="P163" s="1">
        <f t="shared" si="14"/>
        <v>261.1182</v>
      </c>
      <c r="Q163" s="1">
        <f t="shared" si="15"/>
        <v>559.539</v>
      </c>
      <c r="S163" s="20">
        <v>0</v>
      </c>
      <c r="U163" s="1">
        <f t="shared" si="18"/>
        <v>0</v>
      </c>
      <c r="V163" s="1">
        <f t="shared" si="19"/>
        <v>-37.302599999999984</v>
      </c>
    </row>
    <row r="164" spans="1:22" ht="15">
      <c r="A164" s="25"/>
      <c r="B164" s="27"/>
      <c r="C164" s="28" t="s">
        <v>283</v>
      </c>
      <c r="D164" s="24">
        <f>'Updated ETC-5-30-07'!D164/1000</f>
        <v>209.78</v>
      </c>
      <c r="E164" s="2" t="s">
        <v>39</v>
      </c>
      <c r="F164" s="2" t="s">
        <v>20</v>
      </c>
      <c r="G164" s="2" t="str">
        <f t="shared" si="16"/>
        <v>LH</v>
      </c>
      <c r="H164" s="15">
        <f>(VLOOKUP($G164,'Estimate Uncertainty Matrix'!$B$10:$D$18,2)*$D164)+$D164</f>
        <v>146.846</v>
      </c>
      <c r="I164" s="15">
        <f>(VLOOKUP($G164,'Estimate Uncertainty Matrix'!$B$10:$D$18,3)*$D164)+$D164</f>
        <v>335.648</v>
      </c>
      <c r="K164" s="20">
        <v>0</v>
      </c>
      <c r="M164" s="21">
        <v>-0.3</v>
      </c>
      <c r="N164" s="21">
        <v>0.5</v>
      </c>
      <c r="P164" s="1">
        <f t="shared" si="14"/>
        <v>146.846</v>
      </c>
      <c r="Q164" s="1">
        <f t="shared" si="15"/>
        <v>314.67</v>
      </c>
      <c r="S164" s="20">
        <v>0</v>
      </c>
      <c r="U164" s="1">
        <f t="shared" si="18"/>
        <v>0</v>
      </c>
      <c r="V164" s="1">
        <f t="shared" si="19"/>
        <v>-20.97800000000001</v>
      </c>
    </row>
    <row r="165" spans="1:22" ht="15">
      <c r="A165" s="25"/>
      <c r="B165" s="27"/>
      <c r="C165" s="28" t="s">
        <v>284</v>
      </c>
      <c r="D165" s="24">
        <f>'Updated ETC-5-30-07'!D165/1000</f>
        <v>210.109</v>
      </c>
      <c r="E165" s="2" t="s">
        <v>39</v>
      </c>
      <c r="F165" s="2" t="s">
        <v>20</v>
      </c>
      <c r="G165" s="2" t="str">
        <f t="shared" si="16"/>
        <v>LH</v>
      </c>
      <c r="H165" s="15">
        <f>(VLOOKUP($G165,'Estimate Uncertainty Matrix'!$B$10:$D$18,2)*$D165)+$D165</f>
        <v>147.0763</v>
      </c>
      <c r="I165" s="15">
        <f>(VLOOKUP($G165,'Estimate Uncertainty Matrix'!$B$10:$D$18,3)*$D165)+$D165</f>
        <v>336.1744</v>
      </c>
      <c r="K165" s="20">
        <v>0</v>
      </c>
      <c r="M165" s="21">
        <v>-0.3</v>
      </c>
      <c r="N165" s="21">
        <v>0.5</v>
      </c>
      <c r="P165" s="1">
        <f t="shared" si="14"/>
        <v>147.0763</v>
      </c>
      <c r="Q165" s="1">
        <f t="shared" si="15"/>
        <v>315.1635</v>
      </c>
      <c r="S165" s="20">
        <v>0</v>
      </c>
      <c r="U165" s="1">
        <f t="shared" si="18"/>
        <v>0</v>
      </c>
      <c r="V165" s="1">
        <f t="shared" si="19"/>
        <v>-21.010899999999992</v>
      </c>
    </row>
    <row r="166" spans="1:9" ht="15">
      <c r="A166" s="25"/>
      <c r="B166" s="30" t="s">
        <v>161</v>
      </c>
      <c r="C166" s="26"/>
      <c r="D166" s="24">
        <f>SUM(D154:D165)</f>
        <v>6074.766999999999</v>
      </c>
      <c r="G166" s="2">
        <f t="shared" si="16"/>
      </c>
      <c r="H166" s="15"/>
      <c r="I166" s="15"/>
    </row>
    <row r="167" spans="1:9" ht="15">
      <c r="A167" s="22" t="s">
        <v>162</v>
      </c>
      <c r="B167" s="26"/>
      <c r="C167" s="26"/>
      <c r="D167" s="24">
        <f>D137+D142+D149+D153+D166</f>
        <v>9313.822</v>
      </c>
      <c r="G167" s="2">
        <f t="shared" si="16"/>
      </c>
      <c r="H167" s="15"/>
      <c r="I167" s="15"/>
    </row>
    <row r="168" spans="1:22" ht="15">
      <c r="A168" s="22">
        <v>19</v>
      </c>
      <c r="B168" s="23" t="s">
        <v>163</v>
      </c>
      <c r="C168" s="23"/>
      <c r="D168" s="24">
        <f>'Updated ETC-5-30-07'!D168/1000</f>
        <v>1487.916</v>
      </c>
      <c r="E168" s="2" t="s">
        <v>20</v>
      </c>
      <c r="F168" s="2" t="s">
        <v>39</v>
      </c>
      <c r="G168" s="2" t="str">
        <f t="shared" si="16"/>
        <v>HL</v>
      </c>
      <c r="H168" s="15">
        <f>(VLOOKUP($G168,'Estimate Uncertainty Matrix'!$B$10:$D$18,2)*$D168)+$D168</f>
        <v>1413.5202</v>
      </c>
      <c r="I168" s="15">
        <f>(VLOOKUP($G168,'Estimate Uncertainty Matrix'!$B$10:$D$18,3)*$D168)+$D168</f>
        <v>1636.7076</v>
      </c>
      <c r="K168" s="20">
        <v>0</v>
      </c>
      <c r="M168" s="21">
        <v>-0.1</v>
      </c>
      <c r="N168" s="21">
        <v>0.2</v>
      </c>
      <c r="P168" s="1">
        <f t="shared" si="14"/>
        <v>1339.1244</v>
      </c>
      <c r="Q168" s="1">
        <f t="shared" si="15"/>
        <v>1785.4992</v>
      </c>
      <c r="S168" s="20">
        <v>0</v>
      </c>
      <c r="U168" s="1">
        <f>P168-H168</f>
        <v>-74.39580000000001</v>
      </c>
      <c r="V168" s="1">
        <f>Q168-I168</f>
        <v>148.79160000000002</v>
      </c>
    </row>
    <row r="169" spans="1:9" ht="15">
      <c r="A169" s="22" t="s">
        <v>164</v>
      </c>
      <c r="B169" s="26"/>
      <c r="C169" s="26"/>
      <c r="D169" s="24">
        <f>D168</f>
        <v>1487.916</v>
      </c>
      <c r="G169" s="2">
        <f t="shared" si="16"/>
      </c>
      <c r="H169" s="15"/>
      <c r="I169" s="15"/>
    </row>
    <row r="170" spans="1:9" ht="15">
      <c r="A170" s="22"/>
      <c r="B170" s="26"/>
      <c r="C170" s="26"/>
      <c r="D170" s="24"/>
      <c r="G170" s="2"/>
      <c r="H170" s="15"/>
      <c r="I170" s="15"/>
    </row>
    <row r="171" spans="1:22" ht="15">
      <c r="A171" s="31" t="s">
        <v>165</v>
      </c>
      <c r="B171" s="32"/>
      <c r="C171" s="32"/>
      <c r="D171" s="33">
        <f>D6+D16+D31+D39+D47+D53+D70+D78+D90+D122+D125+D131+D136+D167+D169</f>
        <v>45226.183000000005</v>
      </c>
      <c r="G171" s="2">
        <f t="shared" si="16"/>
      </c>
      <c r="H171" s="15">
        <f>SUM(H4:H170)</f>
        <v>40119.60109999999</v>
      </c>
      <c r="I171" s="15">
        <f>SUM(I4:I170)</f>
        <v>58792.492250000025</v>
      </c>
      <c r="K171" s="41">
        <f>SUM(K4:K170)</f>
        <v>0</v>
      </c>
      <c r="P171" s="15">
        <f>SUM(P4:P170)</f>
        <v>42549.42446169999</v>
      </c>
      <c r="Q171" s="15">
        <f>SUM(Q4:Q170)</f>
        <v>57321.6228139</v>
      </c>
      <c r="S171" s="41">
        <f>SUM(S4:S170)</f>
        <v>0</v>
      </c>
      <c r="U171" s="1">
        <f>P171-H171</f>
        <v>2429.8233617000005</v>
      </c>
      <c r="V171" s="1">
        <f>Q171-I171</f>
        <v>-1470.8694361000234</v>
      </c>
    </row>
    <row r="174" spans="4:17" ht="15">
      <c r="D174" s="42">
        <f>D171</f>
        <v>45226.183000000005</v>
      </c>
      <c r="H174" s="42">
        <f>H171</f>
        <v>40119.60109999999</v>
      </c>
      <c r="I174" s="42">
        <f>I171</f>
        <v>58792.492250000025</v>
      </c>
      <c r="P174" s="42">
        <f>P171</f>
        <v>42549.42446169999</v>
      </c>
      <c r="Q174" s="42">
        <f>Q171</f>
        <v>57321.6228139</v>
      </c>
    </row>
    <row r="176" spans="8:17" ht="15">
      <c r="H176" s="48">
        <f>H174/D174-1</f>
        <v>-0.11291206909944207</v>
      </c>
      <c r="I176" s="48">
        <f>I174/D174-1</f>
        <v>0.2999658240006684</v>
      </c>
      <c r="P176" s="48">
        <f>P174/D174-1</f>
        <v>-0.05918603695341729</v>
      </c>
      <c r="Q176" s="48">
        <f>Q174/D174-1</f>
        <v>0.26744330411213335</v>
      </c>
    </row>
  </sheetData>
  <mergeCells count="5">
    <mergeCell ref="U2:V2"/>
    <mergeCell ref="H2:I2"/>
    <mergeCell ref="P2:Q2"/>
    <mergeCell ref="B1:I1"/>
    <mergeCell ref="M2:N2"/>
  </mergeCells>
  <printOptions/>
  <pageMargins left="0.75" right="0.75" top="1" bottom="1" header="0.5" footer="0.5"/>
  <pageSetup fitToHeight="3" fitToWidth="1" horizontalDpi="600" verticalDpi="600" orientation="landscape" scale="4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42">
      <selection activeCell="D169" sqref="D169"/>
    </sheetView>
  </sheetViews>
  <sheetFormatPr defaultColWidth="9.140625" defaultRowHeight="12.75"/>
  <cols>
    <col min="2" max="2" width="54.00390625" style="0" customWidth="1"/>
    <col min="3" max="3" width="51.28125" style="0" bestFit="1" customWidth="1"/>
    <col min="4" max="4" width="13.8515625" style="51" bestFit="1" customWidth="1"/>
    <col min="5" max="5" width="10.140625" style="0" bestFit="1" customWidth="1"/>
  </cols>
  <sheetData>
    <row r="1" ht="12.75">
      <c r="A1" t="s">
        <v>201</v>
      </c>
    </row>
    <row r="3" spans="1:4" ht="12.75">
      <c r="A3" s="52" t="s">
        <v>202</v>
      </c>
      <c r="B3" s="26"/>
      <c r="C3" s="26"/>
      <c r="D3" s="24"/>
    </row>
    <row r="4" spans="1:4" ht="12.75">
      <c r="A4" s="52" t="s">
        <v>35</v>
      </c>
      <c r="B4" s="52" t="s">
        <v>6</v>
      </c>
      <c r="C4" s="52" t="s">
        <v>203</v>
      </c>
      <c r="D4" s="24" t="s">
        <v>204</v>
      </c>
    </row>
    <row r="5" spans="1:4" ht="12.75">
      <c r="A5" s="23">
        <v>2</v>
      </c>
      <c r="B5" s="23" t="s">
        <v>40</v>
      </c>
      <c r="C5" s="23" t="s">
        <v>205</v>
      </c>
      <c r="D5" s="24">
        <v>63168</v>
      </c>
    </row>
    <row r="6" spans="1:4" ht="12.75">
      <c r="A6" s="27"/>
      <c r="B6" s="23" t="s">
        <v>41</v>
      </c>
      <c r="C6" s="23" t="s">
        <v>205</v>
      </c>
      <c r="D6" s="24">
        <v>174410</v>
      </c>
    </row>
    <row r="7" spans="1:4" ht="12.75">
      <c r="A7" s="23" t="s">
        <v>42</v>
      </c>
      <c r="B7" s="26"/>
      <c r="C7" s="26"/>
      <c r="D7" s="24">
        <v>237578</v>
      </c>
    </row>
    <row r="8" spans="1:4" ht="12.75">
      <c r="A8" s="23">
        <v>3</v>
      </c>
      <c r="B8" s="23" t="s">
        <v>43</v>
      </c>
      <c r="C8" s="23" t="s">
        <v>206</v>
      </c>
      <c r="D8" s="24">
        <v>23453</v>
      </c>
    </row>
    <row r="9" spans="1:4" ht="12.75">
      <c r="A9" s="27"/>
      <c r="B9" s="27"/>
      <c r="C9" s="28" t="s">
        <v>207</v>
      </c>
      <c r="D9" s="29">
        <v>58268</v>
      </c>
    </row>
    <row r="10" spans="1:4" ht="12.75">
      <c r="A10" s="27"/>
      <c r="B10" s="27"/>
      <c r="C10" s="28" t="s">
        <v>208</v>
      </c>
      <c r="D10" s="29">
        <v>18626</v>
      </c>
    </row>
    <row r="11" spans="1:4" ht="12.75">
      <c r="A11" s="27"/>
      <c r="B11" s="27"/>
      <c r="C11" s="28" t="s">
        <v>209</v>
      </c>
      <c r="D11" s="29">
        <v>158313</v>
      </c>
    </row>
    <row r="12" spans="1:4" ht="12.75">
      <c r="A12" s="27"/>
      <c r="B12" s="27"/>
      <c r="C12" s="28" t="s">
        <v>210</v>
      </c>
      <c r="D12" s="29">
        <v>23994</v>
      </c>
    </row>
    <row r="13" spans="1:4" ht="12.75">
      <c r="A13" s="27"/>
      <c r="B13" s="23" t="s">
        <v>44</v>
      </c>
      <c r="C13" s="26"/>
      <c r="D13" s="24">
        <v>282654</v>
      </c>
    </row>
    <row r="14" spans="1:4" ht="12.75">
      <c r="A14" s="27"/>
      <c r="B14" s="23" t="s">
        <v>45</v>
      </c>
      <c r="C14" s="23" t="s">
        <v>205</v>
      </c>
      <c r="D14" s="24">
        <v>25318</v>
      </c>
    </row>
    <row r="15" spans="1:4" ht="12.75">
      <c r="A15" s="27"/>
      <c r="B15" s="23" t="s">
        <v>46</v>
      </c>
      <c r="C15" s="23" t="s">
        <v>205</v>
      </c>
      <c r="D15" s="24">
        <v>250677</v>
      </c>
    </row>
    <row r="16" spans="1:4" ht="12.75">
      <c r="A16" s="27"/>
      <c r="B16" s="23" t="s">
        <v>47</v>
      </c>
      <c r="C16" s="23" t="s">
        <v>205</v>
      </c>
      <c r="D16" s="24">
        <v>132944</v>
      </c>
    </row>
    <row r="17" spans="1:4" ht="12.75">
      <c r="A17" s="23" t="s">
        <v>48</v>
      </c>
      <c r="B17" s="26"/>
      <c r="C17" s="26"/>
      <c r="D17" s="24">
        <v>691593</v>
      </c>
    </row>
    <row r="18" spans="1:4" ht="12.75">
      <c r="A18" s="23">
        <v>4</v>
      </c>
      <c r="B18" s="23" t="s">
        <v>49</v>
      </c>
      <c r="C18" s="23" t="s">
        <v>211</v>
      </c>
      <c r="D18" s="24">
        <v>123701</v>
      </c>
    </row>
    <row r="19" spans="1:4" ht="12.75">
      <c r="A19" s="27"/>
      <c r="B19" s="27"/>
      <c r="C19" s="28" t="s">
        <v>212</v>
      </c>
      <c r="D19" s="29">
        <v>34881</v>
      </c>
    </row>
    <row r="20" spans="1:4" ht="12.75">
      <c r="A20" s="27"/>
      <c r="B20" s="23" t="s">
        <v>52</v>
      </c>
      <c r="C20" s="26"/>
      <c r="D20" s="24">
        <v>158582</v>
      </c>
    </row>
    <row r="21" spans="1:4" ht="12.75">
      <c r="A21" s="27"/>
      <c r="B21" s="23" t="s">
        <v>53</v>
      </c>
      <c r="C21" s="23" t="s">
        <v>213</v>
      </c>
      <c r="D21" s="24">
        <v>592095</v>
      </c>
    </row>
    <row r="22" spans="1:4" ht="12.75">
      <c r="A22" s="27"/>
      <c r="B22" s="23" t="s">
        <v>55</v>
      </c>
      <c r="C22" s="23" t="s">
        <v>214</v>
      </c>
      <c r="D22" s="24">
        <v>460925</v>
      </c>
    </row>
    <row r="23" spans="1:4" ht="12.75">
      <c r="A23" s="27"/>
      <c r="B23" s="27"/>
      <c r="C23" s="28" t="s">
        <v>215</v>
      </c>
      <c r="D23" s="29">
        <v>83588</v>
      </c>
    </row>
    <row r="24" spans="1:4" ht="12.75">
      <c r="A24" s="27"/>
      <c r="B24" s="27"/>
      <c r="C24" s="28" t="s">
        <v>216</v>
      </c>
      <c r="D24" s="29">
        <v>14772</v>
      </c>
    </row>
    <row r="25" spans="1:4" ht="12.75">
      <c r="A25" s="27"/>
      <c r="B25" s="27"/>
      <c r="C25" s="28" t="s">
        <v>217</v>
      </c>
      <c r="D25" s="29">
        <v>216443</v>
      </c>
    </row>
    <row r="26" spans="1:4" ht="12.75">
      <c r="A26" s="27"/>
      <c r="B26" s="27"/>
      <c r="C26" s="28" t="s">
        <v>218</v>
      </c>
      <c r="D26" s="29">
        <v>280161</v>
      </c>
    </row>
    <row r="27" spans="1:4" ht="12.75">
      <c r="A27" s="27"/>
      <c r="B27" s="23" t="s">
        <v>61</v>
      </c>
      <c r="C27" s="26"/>
      <c r="D27" s="24">
        <v>1055889</v>
      </c>
    </row>
    <row r="28" spans="1:4" ht="12.75">
      <c r="A28" s="27"/>
      <c r="B28" s="23" t="s">
        <v>62</v>
      </c>
      <c r="C28" s="23" t="s">
        <v>219</v>
      </c>
      <c r="D28" s="24">
        <v>211618</v>
      </c>
    </row>
    <row r="29" spans="1:4" ht="12.75">
      <c r="A29" s="27"/>
      <c r="B29" s="27"/>
      <c r="C29" s="28" t="s">
        <v>220</v>
      </c>
      <c r="D29" s="29">
        <v>199076</v>
      </c>
    </row>
    <row r="30" spans="1:4" ht="12.75">
      <c r="A30" s="27"/>
      <c r="B30" s="27"/>
      <c r="C30" s="28" t="s">
        <v>221</v>
      </c>
      <c r="D30" s="29">
        <v>267153</v>
      </c>
    </row>
    <row r="31" spans="1:4" ht="12.75">
      <c r="A31" s="27"/>
      <c r="B31" s="23" t="s">
        <v>66</v>
      </c>
      <c r="C31" s="26"/>
      <c r="D31" s="24">
        <v>677847</v>
      </c>
    </row>
    <row r="32" spans="1:4" ht="12.75">
      <c r="A32" s="23" t="s">
        <v>67</v>
      </c>
      <c r="B32" s="26"/>
      <c r="C32" s="26"/>
      <c r="D32" s="24">
        <v>2484413</v>
      </c>
    </row>
    <row r="33" spans="1:4" ht="12.75">
      <c r="A33" s="23">
        <v>5</v>
      </c>
      <c r="B33" s="23" t="s">
        <v>68</v>
      </c>
      <c r="C33" s="23" t="s">
        <v>205</v>
      </c>
      <c r="D33" s="24">
        <v>144271</v>
      </c>
    </row>
    <row r="34" spans="1:4" ht="12.75">
      <c r="A34" s="27"/>
      <c r="B34" s="23" t="s">
        <v>69</v>
      </c>
      <c r="C34" s="23" t="s">
        <v>205</v>
      </c>
      <c r="D34" s="24">
        <v>196596</v>
      </c>
    </row>
    <row r="35" spans="1:4" ht="12.75">
      <c r="A35" s="27"/>
      <c r="B35" s="23" t="s">
        <v>70</v>
      </c>
      <c r="C35" s="23" t="s">
        <v>205</v>
      </c>
      <c r="D35" s="24">
        <v>164140</v>
      </c>
    </row>
    <row r="36" spans="1:4" ht="12.75">
      <c r="A36" s="27"/>
      <c r="B36" s="23" t="s">
        <v>71</v>
      </c>
      <c r="C36" s="23" t="s">
        <v>205</v>
      </c>
      <c r="D36" s="24">
        <v>203111</v>
      </c>
    </row>
    <row r="37" spans="1:4" ht="12.75">
      <c r="A37" s="27"/>
      <c r="B37" s="23" t="s">
        <v>72</v>
      </c>
      <c r="C37" s="23" t="s">
        <v>205</v>
      </c>
      <c r="D37" s="24">
        <v>129109</v>
      </c>
    </row>
    <row r="38" spans="1:4" ht="12.75">
      <c r="A38" s="27"/>
      <c r="B38" s="23" t="s">
        <v>73</v>
      </c>
      <c r="C38" s="23" t="s">
        <v>205</v>
      </c>
      <c r="D38" s="24">
        <v>221284</v>
      </c>
    </row>
    <row r="39" spans="1:4" ht="12.75">
      <c r="A39" s="27"/>
      <c r="B39" s="23" t="s">
        <v>74</v>
      </c>
      <c r="C39" s="23" t="s">
        <v>205</v>
      </c>
      <c r="D39" s="24">
        <v>63117</v>
      </c>
    </row>
    <row r="40" spans="1:4" ht="12.75">
      <c r="A40" s="23" t="s">
        <v>75</v>
      </c>
      <c r="B40" s="26"/>
      <c r="C40" s="26"/>
      <c r="D40" s="24">
        <v>1121628</v>
      </c>
    </row>
    <row r="41" spans="1:4" ht="12.75">
      <c r="A41" s="23">
        <v>6</v>
      </c>
      <c r="B41" s="23" t="s">
        <v>76</v>
      </c>
      <c r="C41" s="23" t="s">
        <v>222</v>
      </c>
      <c r="D41" s="24">
        <v>49628</v>
      </c>
    </row>
    <row r="42" spans="1:4" ht="12.75">
      <c r="A42" s="27"/>
      <c r="B42" s="23" t="s">
        <v>78</v>
      </c>
      <c r="C42" s="23" t="s">
        <v>223</v>
      </c>
      <c r="D42" s="24">
        <v>106847</v>
      </c>
    </row>
    <row r="43" spans="1:4" ht="12.75">
      <c r="A43" s="27"/>
      <c r="B43" s="27"/>
      <c r="C43" s="28" t="s">
        <v>224</v>
      </c>
      <c r="D43" s="29">
        <v>85764</v>
      </c>
    </row>
    <row r="44" spans="1:4" ht="12.75">
      <c r="A44" s="27"/>
      <c r="B44" s="27"/>
      <c r="C44" s="28" t="s">
        <v>225</v>
      </c>
      <c r="D44" s="29">
        <v>422121</v>
      </c>
    </row>
    <row r="45" spans="1:4" ht="12.75">
      <c r="A45" s="27"/>
      <c r="B45" s="23" t="s">
        <v>82</v>
      </c>
      <c r="C45" s="26"/>
      <c r="D45" s="24">
        <v>614732</v>
      </c>
    </row>
    <row r="46" spans="1:4" ht="12.75">
      <c r="A46" s="27"/>
      <c r="B46" s="23" t="s">
        <v>83</v>
      </c>
      <c r="C46" s="23" t="s">
        <v>205</v>
      </c>
      <c r="D46" s="24">
        <v>116634</v>
      </c>
    </row>
    <row r="47" spans="1:4" ht="12.75">
      <c r="A47" s="27"/>
      <c r="B47" s="23" t="s">
        <v>84</v>
      </c>
      <c r="C47" s="23" t="s">
        <v>205</v>
      </c>
      <c r="D47" s="24">
        <v>548642</v>
      </c>
    </row>
    <row r="48" spans="1:4" ht="12.75">
      <c r="A48" s="23" t="s">
        <v>85</v>
      </c>
      <c r="B48" s="26"/>
      <c r="C48" s="26"/>
      <c r="D48" s="24">
        <v>1329636</v>
      </c>
    </row>
    <row r="49" spans="1:4" ht="12.75">
      <c r="A49" s="23">
        <v>7</v>
      </c>
      <c r="B49" s="23" t="s">
        <v>86</v>
      </c>
      <c r="C49" s="23" t="s">
        <v>205</v>
      </c>
      <c r="D49" s="24">
        <v>203230</v>
      </c>
    </row>
    <row r="50" spans="1:4" ht="12.75">
      <c r="A50" s="27"/>
      <c r="B50" s="23" t="s">
        <v>87</v>
      </c>
      <c r="C50" s="23" t="s">
        <v>205</v>
      </c>
      <c r="D50" s="24">
        <v>1116686</v>
      </c>
    </row>
    <row r="51" spans="1:4" ht="12.75">
      <c r="A51" s="27"/>
      <c r="B51" s="23" t="s">
        <v>88</v>
      </c>
      <c r="C51" s="23" t="s">
        <v>205</v>
      </c>
      <c r="D51" s="24">
        <v>1587706</v>
      </c>
    </row>
    <row r="52" spans="1:4" ht="12.75">
      <c r="A52" s="27"/>
      <c r="B52" s="23" t="s">
        <v>89</v>
      </c>
      <c r="C52" s="23" t="s">
        <v>205</v>
      </c>
      <c r="D52" s="24">
        <v>2777799</v>
      </c>
    </row>
    <row r="53" spans="1:4" ht="12.75">
      <c r="A53" s="27"/>
      <c r="B53" s="23" t="s">
        <v>90</v>
      </c>
      <c r="C53" s="23" t="s">
        <v>205</v>
      </c>
      <c r="D53" s="24">
        <v>415690</v>
      </c>
    </row>
    <row r="54" spans="1:4" ht="12.75">
      <c r="A54" s="23" t="s">
        <v>91</v>
      </c>
      <c r="B54" s="26"/>
      <c r="C54" s="26"/>
      <c r="D54" s="24">
        <v>6101111</v>
      </c>
    </row>
    <row r="55" spans="1:4" ht="12.75">
      <c r="A55" s="23">
        <v>8</v>
      </c>
      <c r="B55" s="23" t="s">
        <v>92</v>
      </c>
      <c r="C55" s="23" t="s">
        <v>205</v>
      </c>
      <c r="D55" s="24">
        <v>1938873</v>
      </c>
    </row>
    <row r="56" spans="1:4" ht="12.75">
      <c r="A56" s="27"/>
      <c r="B56" s="27"/>
      <c r="C56" s="28" t="s">
        <v>226</v>
      </c>
      <c r="D56" s="29">
        <v>4527</v>
      </c>
    </row>
    <row r="57" spans="1:5" ht="12.75">
      <c r="A57" s="27"/>
      <c r="B57" s="23" t="s">
        <v>94</v>
      </c>
      <c r="C57" s="26"/>
      <c r="D57" s="24">
        <v>1943400</v>
      </c>
      <c r="E57" s="51"/>
    </row>
    <row r="58" spans="1:5" ht="12.75">
      <c r="A58" s="27"/>
      <c r="B58" s="23" t="s">
        <v>95</v>
      </c>
      <c r="C58" s="23" t="s">
        <v>205</v>
      </c>
      <c r="D58" s="24">
        <v>394620</v>
      </c>
      <c r="E58" s="51"/>
    </row>
    <row r="59" spans="1:4" ht="12.75">
      <c r="A59" s="27"/>
      <c r="B59" s="23" t="s">
        <v>96</v>
      </c>
      <c r="C59" s="23" t="s">
        <v>205</v>
      </c>
      <c r="D59" s="24">
        <v>1810263</v>
      </c>
    </row>
    <row r="60" spans="1:4" ht="12.75">
      <c r="A60" s="27"/>
      <c r="B60" s="27"/>
      <c r="C60" s="28" t="s">
        <v>226</v>
      </c>
      <c r="D60" s="29">
        <v>30228</v>
      </c>
    </row>
    <row r="61" spans="1:5" ht="12.75">
      <c r="A61" s="27"/>
      <c r="B61" s="23" t="s">
        <v>97</v>
      </c>
      <c r="C61" s="26"/>
      <c r="D61" s="24">
        <v>1840491</v>
      </c>
      <c r="E61" s="51"/>
    </row>
    <row r="62" spans="1:5" ht="12.75">
      <c r="A62" s="27"/>
      <c r="B62" s="23" t="s">
        <v>98</v>
      </c>
      <c r="C62" s="23" t="s">
        <v>205</v>
      </c>
      <c r="D62" s="24">
        <v>1404328</v>
      </c>
      <c r="E62" s="51"/>
    </row>
    <row r="63" spans="1:5" ht="12.75">
      <c r="A63" s="27"/>
      <c r="B63" s="23" t="s">
        <v>99</v>
      </c>
      <c r="C63" s="23" t="s">
        <v>205</v>
      </c>
      <c r="D63" s="24">
        <v>1706183</v>
      </c>
      <c r="E63" s="51"/>
    </row>
    <row r="64" spans="1:5" ht="12.75">
      <c r="A64" s="27"/>
      <c r="B64" s="23" t="s">
        <v>100</v>
      </c>
      <c r="C64" s="23" t="s">
        <v>205</v>
      </c>
      <c r="D64" s="24">
        <v>752840</v>
      </c>
      <c r="E64" s="51"/>
    </row>
    <row r="65" spans="1:5" ht="12.75">
      <c r="A65" s="27"/>
      <c r="B65" s="23" t="s">
        <v>101</v>
      </c>
      <c r="C65" s="23" t="s">
        <v>226</v>
      </c>
      <c r="D65" s="24">
        <v>39438</v>
      </c>
      <c r="E65" s="51"/>
    </row>
    <row r="66" spans="1:5" ht="12.75">
      <c r="A66" s="27"/>
      <c r="B66" s="23" t="s">
        <v>102</v>
      </c>
      <c r="C66" s="23" t="s">
        <v>226</v>
      </c>
      <c r="D66" s="24">
        <v>134646</v>
      </c>
      <c r="E66" s="51"/>
    </row>
    <row r="67" spans="1:4" ht="12.75">
      <c r="A67" s="27"/>
      <c r="B67" s="23" t="s">
        <v>103</v>
      </c>
      <c r="C67" s="23" t="s">
        <v>205</v>
      </c>
      <c r="D67" s="24">
        <v>411630</v>
      </c>
    </row>
    <row r="68" spans="1:4" ht="12.75">
      <c r="A68" s="27"/>
      <c r="B68" s="27"/>
      <c r="C68" s="28" t="s">
        <v>227</v>
      </c>
      <c r="D68" s="29">
        <v>346004</v>
      </c>
    </row>
    <row r="69" spans="1:5" ht="12.75">
      <c r="A69" s="27"/>
      <c r="B69" s="23" t="s">
        <v>105</v>
      </c>
      <c r="C69" s="26"/>
      <c r="D69" s="24">
        <v>757634</v>
      </c>
      <c r="E69" s="51"/>
    </row>
    <row r="70" spans="1:5" ht="12.75">
      <c r="A70" s="27"/>
      <c r="B70" s="23" t="s">
        <v>106</v>
      </c>
      <c r="C70" s="23" t="s">
        <v>205</v>
      </c>
      <c r="D70" s="24">
        <v>1016404</v>
      </c>
      <c r="E70" s="51"/>
    </row>
    <row r="71" spans="1:5" ht="12.75">
      <c r="A71" s="23" t="s">
        <v>107</v>
      </c>
      <c r="B71" s="26"/>
      <c r="C71" s="26"/>
      <c r="D71" s="24">
        <v>9989984</v>
      </c>
      <c r="E71" s="51"/>
    </row>
    <row r="72" spans="1:4" ht="12.75">
      <c r="A72" s="23">
        <v>12</v>
      </c>
      <c r="B72" s="23" t="s">
        <v>108</v>
      </c>
      <c r="C72" s="23" t="s">
        <v>228</v>
      </c>
      <c r="D72" s="24">
        <v>227094</v>
      </c>
    </row>
    <row r="73" spans="1:4" ht="12.75">
      <c r="A73" s="27"/>
      <c r="B73" s="27"/>
      <c r="C73" s="28" t="s">
        <v>229</v>
      </c>
      <c r="D73" s="29">
        <v>83786</v>
      </c>
    </row>
    <row r="74" spans="1:4" ht="12.75">
      <c r="A74" s="27"/>
      <c r="B74" s="27"/>
      <c r="C74" s="28" t="s">
        <v>230</v>
      </c>
      <c r="D74" s="29">
        <v>19650</v>
      </c>
    </row>
    <row r="75" spans="1:4" ht="12.75">
      <c r="A75" s="27"/>
      <c r="B75" s="27"/>
      <c r="C75" s="28" t="s">
        <v>206</v>
      </c>
      <c r="D75" s="29">
        <v>36047</v>
      </c>
    </row>
    <row r="76" spans="1:4" ht="12.75">
      <c r="A76" s="27"/>
      <c r="B76" s="27"/>
      <c r="C76" s="28" t="s">
        <v>207</v>
      </c>
      <c r="D76" s="29">
        <v>12275</v>
      </c>
    </row>
    <row r="77" spans="1:4" ht="12.75">
      <c r="A77" s="27"/>
      <c r="B77" s="27"/>
      <c r="C77" s="28" t="s">
        <v>231</v>
      </c>
      <c r="D77" s="29">
        <v>34401</v>
      </c>
    </row>
    <row r="78" spans="1:4" ht="12.75">
      <c r="A78" s="27"/>
      <c r="B78" s="23" t="s">
        <v>109</v>
      </c>
      <c r="C78" s="26"/>
      <c r="D78" s="24">
        <v>413253</v>
      </c>
    </row>
    <row r="79" spans="1:4" ht="12.75">
      <c r="A79" s="23" t="s">
        <v>110</v>
      </c>
      <c r="B79" s="26"/>
      <c r="C79" s="26"/>
      <c r="D79" s="24">
        <v>413253</v>
      </c>
    </row>
    <row r="80" spans="1:4" ht="12.75">
      <c r="A80" s="23">
        <v>13</v>
      </c>
      <c r="B80" s="23" t="s">
        <v>111</v>
      </c>
      <c r="C80" s="23" t="s">
        <v>205</v>
      </c>
      <c r="D80" s="24">
        <v>251277</v>
      </c>
    </row>
    <row r="81" spans="1:4" ht="12.75">
      <c r="A81" s="27"/>
      <c r="B81" s="27"/>
      <c r="C81" s="28" t="s">
        <v>226</v>
      </c>
      <c r="D81" s="29">
        <v>7112</v>
      </c>
    </row>
    <row r="82" spans="1:4" ht="12.75">
      <c r="A82" s="27"/>
      <c r="B82" s="23" t="s">
        <v>112</v>
      </c>
      <c r="C82" s="26"/>
      <c r="D82" s="24">
        <v>258389</v>
      </c>
    </row>
    <row r="83" spans="1:4" ht="12.75">
      <c r="A83" s="27"/>
      <c r="B83" s="23" t="s">
        <v>113</v>
      </c>
      <c r="C83" s="23" t="s">
        <v>232</v>
      </c>
      <c r="D83" s="24">
        <v>1606752</v>
      </c>
    </row>
    <row r="84" spans="1:4" ht="12.75">
      <c r="A84" s="27"/>
      <c r="B84" s="23" t="s">
        <v>115</v>
      </c>
      <c r="C84" s="23" t="s">
        <v>233</v>
      </c>
      <c r="D84" s="24">
        <v>337329</v>
      </c>
    </row>
    <row r="85" spans="1:4" ht="12.75">
      <c r="A85" s="27"/>
      <c r="B85" s="23" t="s">
        <v>117</v>
      </c>
      <c r="C85" s="23" t="s">
        <v>234</v>
      </c>
      <c r="D85" s="24">
        <v>122664</v>
      </c>
    </row>
    <row r="86" spans="1:4" ht="12.75">
      <c r="A86" s="27"/>
      <c r="B86" s="23" t="s">
        <v>119</v>
      </c>
      <c r="C86" s="23" t="s">
        <v>235</v>
      </c>
      <c r="D86" s="24">
        <v>71991</v>
      </c>
    </row>
    <row r="87" spans="1:4" ht="12.75">
      <c r="A87" s="27"/>
      <c r="B87" s="23" t="s">
        <v>121</v>
      </c>
      <c r="C87" s="23" t="s">
        <v>236</v>
      </c>
      <c r="D87" s="24">
        <v>163919</v>
      </c>
    </row>
    <row r="88" spans="1:4" ht="12.75">
      <c r="A88" s="27"/>
      <c r="B88" s="27"/>
      <c r="C88" s="28" t="s">
        <v>237</v>
      </c>
      <c r="D88" s="29">
        <v>834463</v>
      </c>
    </row>
    <row r="89" spans="1:4" ht="12.75">
      <c r="A89" s="27"/>
      <c r="B89" s="27"/>
      <c r="C89" s="28" t="s">
        <v>226</v>
      </c>
      <c r="D89" s="29">
        <v>1422</v>
      </c>
    </row>
    <row r="90" spans="1:4" ht="12.75">
      <c r="A90" s="27"/>
      <c r="B90" s="23" t="s">
        <v>124</v>
      </c>
      <c r="C90" s="26"/>
      <c r="D90" s="24">
        <v>999804</v>
      </c>
    </row>
    <row r="91" spans="1:4" ht="12.75">
      <c r="A91" s="23" t="s">
        <v>125</v>
      </c>
      <c r="B91" s="26"/>
      <c r="C91" s="26"/>
      <c r="D91" s="24">
        <v>3396929</v>
      </c>
    </row>
    <row r="92" spans="1:4" ht="12.75">
      <c r="A92" s="23">
        <v>14</v>
      </c>
      <c r="B92" s="23" t="s">
        <v>126</v>
      </c>
      <c r="C92" s="23" t="s">
        <v>205</v>
      </c>
      <c r="D92" s="24">
        <v>329745</v>
      </c>
    </row>
    <row r="93" spans="1:4" ht="12.75">
      <c r="A93" s="27"/>
      <c r="B93" s="23" t="s">
        <v>127</v>
      </c>
      <c r="C93" s="23" t="s">
        <v>205</v>
      </c>
      <c r="D93" s="24">
        <v>8912</v>
      </c>
    </row>
    <row r="94" spans="1:4" ht="12.75">
      <c r="A94" s="27"/>
      <c r="B94" s="23" t="s">
        <v>128</v>
      </c>
      <c r="C94" s="23" t="s">
        <v>238</v>
      </c>
      <c r="D94" s="24">
        <v>1557</v>
      </c>
    </row>
    <row r="95" spans="1:4" ht="12.75">
      <c r="A95" s="27"/>
      <c r="B95" s="27"/>
      <c r="C95" s="28" t="s">
        <v>239</v>
      </c>
      <c r="D95" s="29">
        <v>7681</v>
      </c>
    </row>
    <row r="96" spans="1:4" ht="12.75">
      <c r="A96" s="27"/>
      <c r="B96" s="27"/>
      <c r="C96" s="28" t="s">
        <v>240</v>
      </c>
      <c r="D96" s="29">
        <v>5995</v>
      </c>
    </row>
    <row r="97" spans="1:4" ht="12.75">
      <c r="A97" s="27"/>
      <c r="B97" s="27"/>
      <c r="C97" s="28" t="s">
        <v>241</v>
      </c>
      <c r="D97" s="29">
        <v>54097</v>
      </c>
    </row>
    <row r="98" spans="1:4" ht="12.75">
      <c r="A98" s="27"/>
      <c r="B98" s="27"/>
      <c r="C98" s="28" t="s">
        <v>226</v>
      </c>
      <c r="D98" s="29">
        <v>1246</v>
      </c>
    </row>
    <row r="99" spans="1:4" ht="12.75">
      <c r="A99" s="27"/>
      <c r="B99" s="27"/>
      <c r="C99" s="28" t="s">
        <v>242</v>
      </c>
      <c r="D99" s="29">
        <v>7186</v>
      </c>
    </row>
    <row r="100" spans="1:4" ht="12.75">
      <c r="A100" s="27"/>
      <c r="B100" s="23" t="s">
        <v>129</v>
      </c>
      <c r="C100" s="26"/>
      <c r="D100" s="24">
        <v>77762</v>
      </c>
    </row>
    <row r="101" spans="1:4" ht="12.75">
      <c r="A101" s="27"/>
      <c r="B101" s="23" t="s">
        <v>130</v>
      </c>
      <c r="C101" s="23" t="s">
        <v>243</v>
      </c>
      <c r="D101" s="24">
        <v>38349</v>
      </c>
    </row>
    <row r="102" spans="1:4" ht="12.75">
      <c r="A102" s="27"/>
      <c r="B102" s="27"/>
      <c r="C102" s="28" t="s">
        <v>244</v>
      </c>
      <c r="D102" s="29">
        <v>72837</v>
      </c>
    </row>
    <row r="103" spans="1:4" ht="12.75">
      <c r="A103" s="27"/>
      <c r="B103" s="27"/>
      <c r="C103" s="28" t="s">
        <v>245</v>
      </c>
      <c r="D103" s="29">
        <v>34561</v>
      </c>
    </row>
    <row r="104" spans="1:4" ht="12.75">
      <c r="A104" s="27"/>
      <c r="B104" s="27"/>
      <c r="C104" s="28" t="s">
        <v>246</v>
      </c>
      <c r="D104" s="29">
        <v>257823</v>
      </c>
    </row>
    <row r="105" spans="1:4" ht="12.75">
      <c r="A105" s="27"/>
      <c r="B105" s="27"/>
      <c r="C105" s="28" t="s">
        <v>226</v>
      </c>
      <c r="D105" s="29">
        <v>4983</v>
      </c>
    </row>
    <row r="106" spans="1:4" ht="12.75">
      <c r="A106" s="27"/>
      <c r="B106" s="23" t="s">
        <v>131</v>
      </c>
      <c r="C106" s="26"/>
      <c r="D106" s="24">
        <v>408553</v>
      </c>
    </row>
    <row r="107" spans="1:4" ht="12.75">
      <c r="A107" s="27"/>
      <c r="B107" s="23" t="s">
        <v>132</v>
      </c>
      <c r="C107" s="23" t="s">
        <v>247</v>
      </c>
      <c r="D107" s="24">
        <v>37711</v>
      </c>
    </row>
    <row r="108" spans="1:4" ht="12.75">
      <c r="A108" s="27"/>
      <c r="B108" s="23" t="s">
        <v>134</v>
      </c>
      <c r="C108" s="23" t="s">
        <v>248</v>
      </c>
      <c r="D108" s="24">
        <v>16397</v>
      </c>
    </row>
    <row r="109" spans="1:4" ht="12.75">
      <c r="A109" s="27"/>
      <c r="B109" s="27"/>
      <c r="C109" s="28" t="s">
        <v>249</v>
      </c>
      <c r="D109" s="29">
        <v>42143</v>
      </c>
    </row>
    <row r="110" spans="1:4" ht="12.75">
      <c r="A110" s="27"/>
      <c r="B110" s="27"/>
      <c r="C110" s="28" t="s">
        <v>250</v>
      </c>
      <c r="D110" s="29">
        <v>170155</v>
      </c>
    </row>
    <row r="111" spans="1:4" ht="12.75">
      <c r="A111" s="27"/>
      <c r="B111" s="27"/>
      <c r="C111" s="28" t="s">
        <v>251</v>
      </c>
      <c r="D111" s="29">
        <v>641024</v>
      </c>
    </row>
    <row r="112" spans="1:4" ht="12.75">
      <c r="A112" s="27"/>
      <c r="B112" s="23" t="s">
        <v>135</v>
      </c>
      <c r="C112" s="26"/>
      <c r="D112" s="24">
        <v>869719</v>
      </c>
    </row>
    <row r="113" spans="1:4" ht="12.75">
      <c r="A113" s="27"/>
      <c r="B113" s="23" t="s">
        <v>136</v>
      </c>
      <c r="C113" s="23" t="s">
        <v>252</v>
      </c>
      <c r="D113" s="24">
        <v>203766</v>
      </c>
    </row>
    <row r="114" spans="1:4" ht="12.75">
      <c r="A114" s="27"/>
      <c r="B114" s="27"/>
      <c r="C114" s="28" t="s">
        <v>253</v>
      </c>
      <c r="D114" s="29">
        <v>244471</v>
      </c>
    </row>
    <row r="115" spans="1:4" ht="12.75">
      <c r="A115" s="27"/>
      <c r="B115" s="27"/>
      <c r="C115" s="28" t="s">
        <v>254</v>
      </c>
      <c r="D115" s="29">
        <v>579958</v>
      </c>
    </row>
    <row r="116" spans="1:4" ht="12.75">
      <c r="A116" s="27"/>
      <c r="B116" s="27"/>
      <c r="C116" s="28" t="s">
        <v>255</v>
      </c>
      <c r="D116" s="29">
        <v>646331</v>
      </c>
    </row>
    <row r="117" spans="1:4" ht="12.75">
      <c r="A117" s="27"/>
      <c r="B117" s="27"/>
      <c r="C117" s="28" t="s">
        <v>256</v>
      </c>
      <c r="D117" s="29">
        <v>328485</v>
      </c>
    </row>
    <row r="118" spans="1:4" ht="12.75">
      <c r="A118" s="27"/>
      <c r="B118" s="27"/>
      <c r="C118" s="28" t="s">
        <v>257</v>
      </c>
      <c r="D118" s="29">
        <v>709164</v>
      </c>
    </row>
    <row r="119" spans="1:4" ht="12.75">
      <c r="A119" s="27"/>
      <c r="B119" s="23" t="s">
        <v>137</v>
      </c>
      <c r="C119" s="26"/>
      <c r="D119" s="24">
        <v>2712175</v>
      </c>
    </row>
    <row r="120" spans="1:4" ht="12.75">
      <c r="A120" s="27"/>
      <c r="B120" s="23" t="s">
        <v>138</v>
      </c>
      <c r="C120" s="23" t="s">
        <v>258</v>
      </c>
      <c r="D120" s="24">
        <v>324583</v>
      </c>
    </row>
    <row r="121" spans="1:4" ht="12.75">
      <c r="A121" s="27"/>
      <c r="B121" s="27"/>
      <c r="C121" s="28" t="s">
        <v>259</v>
      </c>
      <c r="D121" s="29">
        <v>147452</v>
      </c>
    </row>
    <row r="122" spans="1:4" ht="12.75">
      <c r="A122" s="23" t="s">
        <v>140</v>
      </c>
      <c r="B122" s="26"/>
      <c r="C122" s="26"/>
      <c r="D122" s="24">
        <v>4916612</v>
      </c>
    </row>
    <row r="123" spans="1:4" ht="12.75">
      <c r="A123" s="23">
        <v>15</v>
      </c>
      <c r="B123" s="23" t="s">
        <v>141</v>
      </c>
      <c r="C123" s="23" t="s">
        <v>205</v>
      </c>
      <c r="D123" s="24">
        <v>177639</v>
      </c>
    </row>
    <row r="124" spans="1:4" ht="12.75">
      <c r="A124" s="27"/>
      <c r="B124" s="23" t="s">
        <v>142</v>
      </c>
      <c r="C124" s="23" t="s">
        <v>205</v>
      </c>
      <c r="D124" s="24">
        <v>1953295</v>
      </c>
    </row>
    <row r="125" spans="1:4" ht="12.75">
      <c r="A125" s="23" t="s">
        <v>143</v>
      </c>
      <c r="B125" s="26"/>
      <c r="C125" s="26"/>
      <c r="D125" s="24">
        <v>2130934</v>
      </c>
    </row>
    <row r="126" spans="1:4" ht="12.75">
      <c r="A126" s="23">
        <v>16</v>
      </c>
      <c r="B126" s="23" t="s">
        <v>144</v>
      </c>
      <c r="C126" s="23" t="s">
        <v>260</v>
      </c>
      <c r="D126" s="24">
        <v>346184</v>
      </c>
    </row>
    <row r="127" spans="1:4" ht="12.75">
      <c r="A127" s="27"/>
      <c r="B127" s="27"/>
      <c r="C127" s="28" t="s">
        <v>261</v>
      </c>
      <c r="D127" s="29">
        <v>471374</v>
      </c>
    </row>
    <row r="128" spans="1:4" ht="12.75">
      <c r="A128" s="27"/>
      <c r="B128" s="27"/>
      <c r="C128" s="28" t="s">
        <v>262</v>
      </c>
      <c r="D128" s="29">
        <v>35587</v>
      </c>
    </row>
    <row r="129" spans="1:4" ht="12.75">
      <c r="A129" s="27"/>
      <c r="B129" s="27"/>
      <c r="C129" s="28" t="s">
        <v>226</v>
      </c>
      <c r="D129" s="29">
        <v>6229</v>
      </c>
    </row>
    <row r="130" spans="1:4" ht="12.75">
      <c r="A130" s="27"/>
      <c r="B130" s="23" t="s">
        <v>145</v>
      </c>
      <c r="C130" s="26"/>
      <c r="D130" s="24">
        <v>859374</v>
      </c>
    </row>
    <row r="131" spans="1:4" ht="12.75">
      <c r="A131" s="23" t="s">
        <v>146</v>
      </c>
      <c r="B131" s="26"/>
      <c r="C131" s="26"/>
      <c r="D131" s="24">
        <v>859374</v>
      </c>
    </row>
    <row r="132" spans="1:4" ht="12.75">
      <c r="A132" s="23">
        <v>17</v>
      </c>
      <c r="B132" s="23" t="s">
        <v>147</v>
      </c>
      <c r="C132" s="23" t="s">
        <v>205</v>
      </c>
      <c r="D132" s="24">
        <v>203577</v>
      </c>
    </row>
    <row r="133" spans="1:4" ht="12.75">
      <c r="A133" s="27"/>
      <c r="B133" s="23" t="s">
        <v>148</v>
      </c>
      <c r="C133" s="23" t="s">
        <v>205</v>
      </c>
      <c r="D133" s="24">
        <v>163469</v>
      </c>
    </row>
    <row r="134" spans="1:4" ht="12.75">
      <c r="A134" s="27"/>
      <c r="B134" s="23" t="s">
        <v>149</v>
      </c>
      <c r="C134" s="23" t="s">
        <v>205</v>
      </c>
      <c r="D134" s="24">
        <v>316272</v>
      </c>
    </row>
    <row r="135" spans="1:4" ht="12.75">
      <c r="A135" s="27"/>
      <c r="B135" s="23" t="s">
        <v>150</v>
      </c>
      <c r="C135" s="23" t="s">
        <v>263</v>
      </c>
      <c r="D135" s="24">
        <v>68082</v>
      </c>
    </row>
    <row r="136" spans="1:4" ht="12.75">
      <c r="A136" s="23" t="s">
        <v>151</v>
      </c>
      <c r="B136" s="26"/>
      <c r="C136" s="26"/>
      <c r="D136" s="24">
        <v>751400</v>
      </c>
    </row>
    <row r="137" spans="1:4" ht="12.75">
      <c r="A137" s="23">
        <v>18</v>
      </c>
      <c r="B137" s="23" t="s">
        <v>152</v>
      </c>
      <c r="C137" s="23" t="s">
        <v>264</v>
      </c>
      <c r="D137" s="24">
        <v>1660338</v>
      </c>
    </row>
    <row r="138" spans="1:4" ht="12.75">
      <c r="A138" s="27"/>
      <c r="B138" s="23" t="s">
        <v>154</v>
      </c>
      <c r="C138" s="23" t="s">
        <v>265</v>
      </c>
      <c r="D138" s="24"/>
    </row>
    <row r="139" spans="1:4" ht="12.75">
      <c r="A139" s="27"/>
      <c r="B139" s="27"/>
      <c r="C139" s="28" t="s">
        <v>266</v>
      </c>
      <c r="D139" s="29">
        <v>103182</v>
      </c>
    </row>
    <row r="140" spans="1:4" ht="12.75">
      <c r="A140" s="27"/>
      <c r="B140" s="27"/>
      <c r="C140" s="28" t="s">
        <v>267</v>
      </c>
      <c r="D140" s="29">
        <v>82467</v>
      </c>
    </row>
    <row r="141" spans="1:4" ht="12.75">
      <c r="A141" s="27"/>
      <c r="B141" s="27"/>
      <c r="C141" s="28" t="s">
        <v>268</v>
      </c>
      <c r="D141" s="29">
        <v>199901</v>
      </c>
    </row>
    <row r="142" spans="1:4" ht="12.75">
      <c r="A142" s="27"/>
      <c r="B142" s="23" t="s">
        <v>155</v>
      </c>
      <c r="C142" s="26"/>
      <c r="D142" s="24">
        <v>385550</v>
      </c>
    </row>
    <row r="143" spans="1:4" ht="12.75">
      <c r="A143" s="27"/>
      <c r="B143" s="23" t="s">
        <v>156</v>
      </c>
      <c r="C143" s="23" t="s">
        <v>205</v>
      </c>
      <c r="D143" s="24">
        <v>84702</v>
      </c>
    </row>
    <row r="144" spans="1:4" ht="12.75">
      <c r="A144" s="27"/>
      <c r="B144" s="27"/>
      <c r="C144" s="28" t="s">
        <v>269</v>
      </c>
      <c r="D144" s="29">
        <v>10034</v>
      </c>
    </row>
    <row r="145" spans="1:4" ht="12.75">
      <c r="A145" s="27"/>
      <c r="B145" s="27"/>
      <c r="C145" s="28" t="s">
        <v>265</v>
      </c>
      <c r="D145" s="29">
        <v>25658</v>
      </c>
    </row>
    <row r="146" spans="1:4" ht="12.75">
      <c r="A146" s="27"/>
      <c r="B146" s="27"/>
      <c r="C146" s="28" t="s">
        <v>266</v>
      </c>
      <c r="D146" s="29">
        <v>38739</v>
      </c>
    </row>
    <row r="147" spans="1:4" ht="12.75">
      <c r="A147" s="27"/>
      <c r="B147" s="27"/>
      <c r="C147" s="28" t="s">
        <v>267</v>
      </c>
      <c r="D147" s="29">
        <v>59768</v>
      </c>
    </row>
    <row r="148" spans="1:4" ht="12.75">
      <c r="A148" s="27"/>
      <c r="B148" s="27"/>
      <c r="C148" s="28" t="s">
        <v>268</v>
      </c>
      <c r="D148" s="29">
        <v>92055</v>
      </c>
    </row>
    <row r="149" spans="1:4" ht="12.75">
      <c r="A149" s="27"/>
      <c r="B149" s="23" t="s">
        <v>157</v>
      </c>
      <c r="C149" s="26"/>
      <c r="D149" s="24">
        <v>310956</v>
      </c>
    </row>
    <row r="150" spans="1:4" ht="12.75">
      <c r="A150" s="27"/>
      <c r="B150" s="23" t="s">
        <v>158</v>
      </c>
      <c r="C150" s="23" t="s">
        <v>270</v>
      </c>
      <c r="D150" s="24">
        <v>451439</v>
      </c>
    </row>
    <row r="151" spans="1:4" ht="12.75">
      <c r="A151" s="27"/>
      <c r="B151" s="27"/>
      <c r="C151" s="28" t="s">
        <v>271</v>
      </c>
      <c r="D151" s="29">
        <v>215386</v>
      </c>
    </row>
    <row r="152" spans="1:4" ht="12.75">
      <c r="A152" s="27"/>
      <c r="B152" s="27"/>
      <c r="C152" s="28" t="s">
        <v>272</v>
      </c>
      <c r="D152" s="29">
        <v>215386</v>
      </c>
    </row>
    <row r="153" spans="1:4" ht="12.75">
      <c r="A153" s="27"/>
      <c r="B153" s="23" t="s">
        <v>159</v>
      </c>
      <c r="C153" s="26"/>
      <c r="D153" s="24">
        <v>882211</v>
      </c>
    </row>
    <row r="154" spans="1:4" ht="12.75">
      <c r="A154" s="27"/>
      <c r="B154" s="23" t="s">
        <v>160</v>
      </c>
      <c r="C154" s="23" t="s">
        <v>273</v>
      </c>
      <c r="D154" s="24">
        <v>2681473</v>
      </c>
    </row>
    <row r="155" spans="1:4" ht="12.75">
      <c r="A155" s="27"/>
      <c r="B155" s="27"/>
      <c r="C155" s="28" t="s">
        <v>274</v>
      </c>
      <c r="D155" s="29">
        <v>95874</v>
      </c>
    </row>
    <row r="156" spans="1:4" ht="12.75">
      <c r="A156" s="27"/>
      <c r="B156" s="27"/>
      <c r="C156" s="28" t="s">
        <v>275</v>
      </c>
      <c r="D156" s="29">
        <v>133119</v>
      </c>
    </row>
    <row r="157" spans="1:4" ht="12.75">
      <c r="A157" s="27"/>
      <c r="B157" s="27"/>
      <c r="C157" s="28" t="s">
        <v>276</v>
      </c>
      <c r="D157" s="29">
        <v>186482</v>
      </c>
    </row>
    <row r="158" spans="1:4" ht="12.75">
      <c r="A158" s="27"/>
      <c r="B158" s="27"/>
      <c r="C158" s="28" t="s">
        <v>277</v>
      </c>
      <c r="D158" s="29">
        <v>30442</v>
      </c>
    </row>
    <row r="159" spans="1:4" ht="12.75">
      <c r="A159" s="27"/>
      <c r="B159" s="27"/>
      <c r="C159" s="28" t="s">
        <v>278</v>
      </c>
      <c r="D159" s="29">
        <v>626300</v>
      </c>
    </row>
    <row r="160" spans="1:4" ht="12.75">
      <c r="A160" s="27"/>
      <c r="B160" s="27"/>
      <c r="C160" s="28" t="s">
        <v>279</v>
      </c>
      <c r="D160" s="29">
        <v>573107</v>
      </c>
    </row>
    <row r="161" spans="1:4" ht="12.75">
      <c r="A161" s="27"/>
      <c r="B161" s="27"/>
      <c r="C161" s="28" t="s">
        <v>280</v>
      </c>
      <c r="D161" s="29">
        <v>558901</v>
      </c>
    </row>
    <row r="162" spans="1:4" ht="12.75">
      <c r="A162" s="27"/>
      <c r="B162" s="27"/>
      <c r="C162" s="28" t="s">
        <v>281</v>
      </c>
      <c r="D162" s="29">
        <v>396154</v>
      </c>
    </row>
    <row r="163" spans="1:4" ht="12.75">
      <c r="A163" s="27"/>
      <c r="B163" s="27"/>
      <c r="C163" s="28" t="s">
        <v>282</v>
      </c>
      <c r="D163" s="29">
        <v>373026</v>
      </c>
    </row>
    <row r="164" spans="1:4" ht="12.75">
      <c r="A164" s="27"/>
      <c r="B164" s="27"/>
      <c r="C164" s="28" t="s">
        <v>283</v>
      </c>
      <c r="D164" s="29">
        <v>209780</v>
      </c>
    </row>
    <row r="165" spans="1:4" ht="12.75">
      <c r="A165" s="27"/>
      <c r="B165" s="27"/>
      <c r="C165" s="28" t="s">
        <v>284</v>
      </c>
      <c r="D165" s="29">
        <v>210109</v>
      </c>
    </row>
    <row r="166" spans="1:4" ht="12.75">
      <c r="A166" s="27"/>
      <c r="B166" s="23" t="s">
        <v>161</v>
      </c>
      <c r="C166" s="26"/>
      <c r="D166" s="24">
        <v>6074767</v>
      </c>
    </row>
    <row r="167" spans="1:4" ht="12.75">
      <c r="A167" s="23" t="s">
        <v>162</v>
      </c>
      <c r="B167" s="26"/>
      <c r="C167" s="26"/>
      <c r="D167" s="24">
        <v>9313822</v>
      </c>
    </row>
    <row r="168" spans="1:4" ht="12.75">
      <c r="A168" s="23">
        <v>19</v>
      </c>
      <c r="B168" s="23" t="s">
        <v>163</v>
      </c>
      <c r="C168" s="23" t="s">
        <v>205</v>
      </c>
      <c r="D168" s="24">
        <v>1487916</v>
      </c>
    </row>
    <row r="169" spans="1:4" s="55" customFormat="1" ht="12.75">
      <c r="A169" s="31" t="s">
        <v>285</v>
      </c>
      <c r="B169" s="53"/>
      <c r="C169" s="53"/>
      <c r="D169" s="54">
        <v>45226183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C1">
      <selection activeCell="J9" sqref="J9"/>
    </sheetView>
  </sheetViews>
  <sheetFormatPr defaultColWidth="9.140625" defaultRowHeight="12.75"/>
  <cols>
    <col min="1" max="1" width="4.28125" style="0" customWidth="1"/>
    <col min="2" max="2" width="42.00390625" style="0" customWidth="1"/>
    <col min="3" max="3" width="19.421875" style="58" customWidth="1"/>
    <col min="4" max="4" width="12.8515625" style="58" customWidth="1"/>
    <col min="5" max="5" width="10.8515625" style="58" customWidth="1"/>
    <col min="6" max="6" width="9.140625" style="58" customWidth="1"/>
    <col min="8" max="9" width="12.00390625" style="0" customWidth="1"/>
  </cols>
  <sheetData>
    <row r="1" ht="18">
      <c r="A1" s="57" t="s">
        <v>286</v>
      </c>
    </row>
    <row r="2" spans="1:6" ht="12.75">
      <c r="A2" s="55"/>
      <c r="C2" s="59"/>
      <c r="D2" s="59"/>
      <c r="E2" s="163" t="s">
        <v>287</v>
      </c>
      <c r="F2" s="163"/>
    </row>
    <row r="3" spans="1:10" ht="38.25">
      <c r="A3" s="60" t="s">
        <v>288</v>
      </c>
      <c r="C3" s="61" t="s">
        <v>303</v>
      </c>
      <c r="D3" s="61" t="s">
        <v>304</v>
      </c>
      <c r="E3" s="62" t="s">
        <v>2</v>
      </c>
      <c r="F3" s="62" t="s">
        <v>4</v>
      </c>
      <c r="G3" s="61" t="s">
        <v>305</v>
      </c>
      <c r="H3" s="61" t="s">
        <v>306</v>
      </c>
      <c r="I3" s="61" t="s">
        <v>307</v>
      </c>
      <c r="J3" s="61" t="s">
        <v>308</v>
      </c>
    </row>
    <row r="4" ht="12.75"/>
    <row r="5" ht="12.75">
      <c r="A5" s="63" t="s">
        <v>289</v>
      </c>
    </row>
    <row r="6" spans="1:9" ht="12.75">
      <c r="A6" t="s">
        <v>290</v>
      </c>
      <c r="C6" s="64">
        <v>3</v>
      </c>
      <c r="D6" s="58" t="s">
        <v>15</v>
      </c>
      <c r="E6" s="64">
        <f>(VLOOKUP($D6,'Estimate Uncertainty Matrix'!$B$10:$D$18,2)*$C6)+$C6</f>
        <v>2.4</v>
      </c>
      <c r="F6" s="64">
        <f>(VLOOKUP($D6,'Estimate Uncertainty Matrix'!$B$10:$D$18,3)*$C6)+$C6</f>
        <v>4.2</v>
      </c>
      <c r="G6" s="65">
        <f>F6</f>
        <v>4.2</v>
      </c>
      <c r="H6" s="67">
        <v>0</v>
      </c>
      <c r="I6" s="68">
        <f>H6</f>
        <v>0</v>
      </c>
    </row>
    <row r="7" spans="1:9" ht="12.75">
      <c r="A7" t="s">
        <v>291</v>
      </c>
      <c r="C7" s="64">
        <v>3</v>
      </c>
      <c r="D7" s="58" t="s">
        <v>14</v>
      </c>
      <c r="E7" s="64">
        <f>(VLOOKUP($D7,'Estimate Uncertainty Matrix'!$B$10:$D$18,2)*$C7)+$C7</f>
        <v>2.55</v>
      </c>
      <c r="F7" s="64">
        <f>(VLOOKUP($D7,'Estimate Uncertainty Matrix'!$B$10:$D$18,3)*$C7)+$C7</f>
        <v>3.75</v>
      </c>
      <c r="G7" s="65">
        <f>F7</f>
        <v>3.75</v>
      </c>
      <c r="H7" s="67">
        <v>0</v>
      </c>
      <c r="I7" s="68">
        <f>H7</f>
        <v>0</v>
      </c>
    </row>
    <row r="8" spans="1:9" ht="12.75">
      <c r="A8" t="s">
        <v>292</v>
      </c>
      <c r="C8" s="64"/>
      <c r="E8" s="64"/>
      <c r="F8" s="64"/>
      <c r="G8" s="65"/>
      <c r="I8" s="68"/>
    </row>
    <row r="9" spans="2:10" ht="12.75">
      <c r="B9" t="s">
        <v>293</v>
      </c>
      <c r="C9" s="64">
        <v>5.6</v>
      </c>
      <c r="D9" s="58" t="s">
        <v>10</v>
      </c>
      <c r="E9" s="64">
        <f>(VLOOKUP($D9,'Estimate Uncertainty Matrix'!$B$10:$D$18,2)*$C9)+$C9</f>
        <v>3.92</v>
      </c>
      <c r="F9" s="64">
        <f>(VLOOKUP($D9,'Estimate Uncertainty Matrix'!$B$10:$D$18,3)*$C9)+$C9</f>
        <v>8.959999999999999</v>
      </c>
      <c r="G9" s="65">
        <v>5.6</v>
      </c>
      <c r="H9" s="67">
        <v>0</v>
      </c>
      <c r="I9" s="68">
        <f>IF(H9&gt;G9,G9,H9)</f>
        <v>0</v>
      </c>
      <c r="J9">
        <f>IF(H9&gt;G9,(H9-G9)*96,0)</f>
        <v>0</v>
      </c>
    </row>
    <row r="10" spans="2:10" ht="12.75">
      <c r="B10" t="s">
        <v>294</v>
      </c>
      <c r="C10" s="64">
        <f>5.6+0.95</f>
        <v>6.55</v>
      </c>
      <c r="D10" s="58" t="s">
        <v>10</v>
      </c>
      <c r="E10" s="64">
        <f>(VLOOKUP($D10,'Estimate Uncertainty Matrix'!$B$10:$D$18,2)*$C10)+$C10</f>
        <v>4.585</v>
      </c>
      <c r="F10" s="64">
        <f>(VLOOKUP($D10,'Estimate Uncertainty Matrix'!$B$10:$D$18,3)*$C10)+$C10</f>
        <v>10.48</v>
      </c>
      <c r="G10" s="65">
        <v>6.55</v>
      </c>
      <c r="H10" s="67">
        <v>0</v>
      </c>
      <c r="I10" s="68">
        <f>IF(H10&gt;G10,G10,H10)</f>
        <v>0</v>
      </c>
      <c r="J10">
        <f>IF(H10&gt;G10,(H10-G10)*96,0)</f>
        <v>0</v>
      </c>
    </row>
    <row r="11" spans="2:10" ht="12.75">
      <c r="B11" t="s">
        <v>295</v>
      </c>
      <c r="C11" s="64">
        <f>5.6+0.95</f>
        <v>6.55</v>
      </c>
      <c r="D11" s="58" t="s">
        <v>10</v>
      </c>
      <c r="E11" s="64">
        <f>(VLOOKUP($D11,'Estimate Uncertainty Matrix'!$B$10:$D$18,2)*$C11)+$C11</f>
        <v>4.585</v>
      </c>
      <c r="F11" s="64">
        <f>(VLOOKUP($D11,'Estimate Uncertainty Matrix'!$B$10:$D$18,3)*$C11)+$C11</f>
        <v>10.48</v>
      </c>
      <c r="G11" s="65">
        <v>6.55</v>
      </c>
      <c r="H11" s="67">
        <v>0</v>
      </c>
      <c r="I11" s="68">
        <f>IF(H11&gt;G11,G11,H11)</f>
        <v>0</v>
      </c>
      <c r="J11">
        <f>IF(H11&gt;G11,(H11-G11)*96,0)</f>
        <v>0</v>
      </c>
    </row>
    <row r="12" spans="2:10" ht="12.75">
      <c r="B12" t="s">
        <v>296</v>
      </c>
      <c r="C12" s="64">
        <f>3.45+0.6</f>
        <v>4.05</v>
      </c>
      <c r="D12" s="58" t="s">
        <v>10</v>
      </c>
      <c r="E12" s="64">
        <f>(VLOOKUP($D12,'Estimate Uncertainty Matrix'!$B$10:$D$18,2)*$C12)+$C12</f>
        <v>2.835</v>
      </c>
      <c r="F12" s="64">
        <f>(VLOOKUP($D12,'Estimate Uncertainty Matrix'!$B$10:$D$18,3)*$C12)+$C12</f>
        <v>6.4799999999999995</v>
      </c>
      <c r="G12" s="65">
        <f>F12*0.8</f>
        <v>5.184</v>
      </c>
      <c r="H12" s="67">
        <v>0</v>
      </c>
      <c r="I12" s="68">
        <f>IF(H12&gt;G12,G12,H12)</f>
        <v>0</v>
      </c>
      <c r="J12">
        <f>IF(H12&gt;G12,(H12-G12)*96,0)</f>
        <v>0</v>
      </c>
    </row>
    <row r="13" spans="1:9" ht="12.75">
      <c r="A13" t="s">
        <v>297</v>
      </c>
      <c r="C13" s="64"/>
      <c r="E13" s="64"/>
      <c r="F13" s="64"/>
      <c r="G13" s="65"/>
      <c r="I13" s="68"/>
    </row>
    <row r="14" spans="2:9" ht="12.75">
      <c r="B14" t="s">
        <v>298</v>
      </c>
      <c r="C14" s="64">
        <v>3.05</v>
      </c>
      <c r="D14" s="58" t="s">
        <v>17</v>
      </c>
      <c r="E14" s="64">
        <f>(VLOOKUP($D14,'Estimate Uncertainty Matrix'!$B$10:$D$18,2)*$C14)+$C14</f>
        <v>2.7449999999999997</v>
      </c>
      <c r="F14" s="64">
        <f>(VLOOKUP($D14,'Estimate Uncertainty Matrix'!$B$10:$D$18,3)*$C14)+$C14</f>
        <v>3.5075</v>
      </c>
      <c r="G14" s="65">
        <f>F14</f>
        <v>3.5075</v>
      </c>
      <c r="H14" s="67">
        <v>0</v>
      </c>
      <c r="I14" s="68">
        <f>H14</f>
        <v>0</v>
      </c>
    </row>
    <row r="15" spans="1:9" ht="12.75">
      <c r="A15" t="s">
        <v>299</v>
      </c>
      <c r="C15" s="64">
        <v>12.2</v>
      </c>
      <c r="D15" s="58" t="s">
        <v>12</v>
      </c>
      <c r="E15" s="64">
        <f>(VLOOKUP($D15,'Estimate Uncertainty Matrix'!$B$10:$D$18,2)*$C15)+$C15</f>
        <v>9.76</v>
      </c>
      <c r="F15" s="64">
        <f>(VLOOKUP($D15,'Estimate Uncertainty Matrix'!$B$10:$D$18,3)*$C15)+$C15</f>
        <v>17.08</v>
      </c>
      <c r="G15" s="65">
        <f>F15</f>
        <v>17.08</v>
      </c>
      <c r="H15" s="67">
        <v>0</v>
      </c>
      <c r="I15" s="68">
        <f>H15</f>
        <v>0</v>
      </c>
    </row>
    <row r="16" spans="1:9" ht="12.75">
      <c r="A16" t="s">
        <v>300</v>
      </c>
      <c r="C16" s="64">
        <v>1</v>
      </c>
      <c r="D16" s="69" t="s">
        <v>301</v>
      </c>
      <c r="E16" s="64">
        <v>0.99</v>
      </c>
      <c r="F16" s="64">
        <v>2</v>
      </c>
      <c r="G16" s="65">
        <f>F16</f>
        <v>2</v>
      </c>
      <c r="H16" s="67">
        <v>0</v>
      </c>
      <c r="I16" s="68">
        <f>H16</f>
        <v>0</v>
      </c>
    </row>
    <row r="17" spans="3:7" ht="12.75">
      <c r="C17" s="64"/>
      <c r="D17" s="69"/>
      <c r="E17" s="64"/>
      <c r="F17" s="64"/>
      <c r="G17" s="65"/>
    </row>
    <row r="18" spans="3:10" ht="12.75">
      <c r="C18" s="64">
        <f>SUM(C6:C16)</f>
        <v>45</v>
      </c>
      <c r="D18" s="69"/>
      <c r="E18" s="64"/>
      <c r="F18" s="64"/>
      <c r="G18" s="65">
        <f>SUM(G6:G16)</f>
        <v>54.4215</v>
      </c>
      <c r="H18" s="68"/>
      <c r="I18" s="68">
        <f>SUM(I6:I16)</f>
        <v>0</v>
      </c>
      <c r="J18" s="68">
        <f>SUM(J9:J12)</f>
        <v>0</v>
      </c>
    </row>
    <row r="19" spans="3:6" ht="12.75">
      <c r="C19" s="64"/>
      <c r="D19" s="69"/>
      <c r="E19" s="64"/>
      <c r="F19" s="64"/>
    </row>
    <row r="20" spans="2:6" ht="12.75">
      <c r="B20" s="71" t="s">
        <v>302</v>
      </c>
      <c r="C20" s="64"/>
      <c r="D20" s="69"/>
      <c r="E20" s="64"/>
      <c r="F20" s="64"/>
    </row>
    <row r="21" spans="2:6" ht="12.75">
      <c r="B21" s="71"/>
      <c r="C21" s="64"/>
      <c r="D21" s="69"/>
      <c r="E21" s="64"/>
      <c r="F21" s="64"/>
    </row>
    <row r="22" spans="2:4" ht="12.75">
      <c r="B22" t="s">
        <v>520</v>
      </c>
      <c r="C22" s="128">
        <v>260</v>
      </c>
      <c r="D22" s="58" t="s">
        <v>521</v>
      </c>
    </row>
  </sheetData>
  <mergeCells count="1">
    <mergeCell ref="E2:F2"/>
  </mergeCells>
  <printOptions/>
  <pageMargins left="0.75" right="0.75" top="1" bottom="1" header="0.5" footer="0.5"/>
  <pageSetup fitToHeight="1" fitToWidth="1" horizontalDpi="1200" verticalDpi="12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pane xSplit="2" ySplit="3" topLeftCell="L21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S26" sqref="S26"/>
    </sheetView>
  </sheetViews>
  <sheetFormatPr defaultColWidth="9.140625" defaultRowHeight="12.75"/>
  <cols>
    <col min="1" max="1" width="6.00390625" style="115" customWidth="1"/>
    <col min="2" max="2" width="30.7109375" style="96" customWidth="1"/>
    <col min="3" max="3" width="27.421875" style="96" customWidth="1"/>
    <col min="4" max="4" width="12.8515625" style="99" customWidth="1"/>
    <col min="5" max="5" width="14.140625" style="99" customWidth="1"/>
    <col min="6" max="6" width="12.8515625" style="99" customWidth="1"/>
    <col min="7" max="7" width="23.140625" style="99" customWidth="1"/>
    <col min="8" max="8" width="9.28125" style="99" customWidth="1"/>
    <col min="9" max="9" width="10.140625" style="99" customWidth="1"/>
    <col min="10" max="11" width="9.140625" style="99" customWidth="1"/>
    <col min="12" max="12" width="25.57421875" style="96" customWidth="1"/>
    <col min="13" max="13" width="9.140625" style="96" customWidth="1"/>
    <col min="14" max="16384" width="9.140625" style="99" customWidth="1"/>
  </cols>
  <sheetData>
    <row r="1" spans="1:13" s="55" customFormat="1" ht="12.75">
      <c r="A1" s="165" t="s">
        <v>322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78"/>
    </row>
    <row r="2" spans="1:12" s="78" customFormat="1" ht="25.5" customHeight="1">
      <c r="A2" s="166" t="s">
        <v>323</v>
      </c>
      <c r="B2" s="168" t="s">
        <v>324</v>
      </c>
      <c r="C2" s="168" t="s">
        <v>325</v>
      </c>
      <c r="D2" s="164" t="s">
        <v>518</v>
      </c>
      <c r="E2" s="79"/>
      <c r="F2" s="79"/>
      <c r="G2" s="168" t="s">
        <v>326</v>
      </c>
      <c r="H2" s="164" t="s">
        <v>327</v>
      </c>
      <c r="I2" s="164"/>
      <c r="J2" s="164" t="s">
        <v>328</v>
      </c>
      <c r="K2" s="164"/>
      <c r="L2" s="168" t="s">
        <v>329</v>
      </c>
    </row>
    <row r="3" spans="1:19" s="55" customFormat="1" ht="25.5" customHeight="1">
      <c r="A3" s="167"/>
      <c r="B3" s="169"/>
      <c r="C3" s="169"/>
      <c r="D3" s="164"/>
      <c r="E3" s="66" t="s">
        <v>330</v>
      </c>
      <c r="F3" s="66" t="s">
        <v>331</v>
      </c>
      <c r="G3" s="169"/>
      <c r="H3" s="80" t="s">
        <v>2</v>
      </c>
      <c r="I3" s="80" t="s">
        <v>4</v>
      </c>
      <c r="J3" s="80" t="s">
        <v>2</v>
      </c>
      <c r="K3" s="80" t="s">
        <v>4</v>
      </c>
      <c r="L3" s="169"/>
      <c r="M3" s="78" t="s">
        <v>332</v>
      </c>
      <c r="N3" s="163" t="s">
        <v>333</v>
      </c>
      <c r="O3" s="163"/>
      <c r="P3" s="55" t="s">
        <v>334</v>
      </c>
      <c r="Q3" s="55" t="s">
        <v>335</v>
      </c>
      <c r="R3" s="73" t="s">
        <v>336</v>
      </c>
      <c r="S3" s="73" t="s">
        <v>337</v>
      </c>
    </row>
    <row r="4" spans="1:19" s="90" customFormat="1" ht="51">
      <c r="A4" s="81">
        <v>1</v>
      </c>
      <c r="B4" s="82" t="s">
        <v>338</v>
      </c>
      <c r="C4" s="83"/>
      <c r="D4" s="84" t="s">
        <v>39</v>
      </c>
      <c r="E4" s="85" t="s">
        <v>339</v>
      </c>
      <c r="F4" s="85" t="s">
        <v>20</v>
      </c>
      <c r="G4" s="86" t="s">
        <v>340</v>
      </c>
      <c r="H4" s="87">
        <v>-818</v>
      </c>
      <c r="I4" s="88">
        <v>818</v>
      </c>
      <c r="J4" s="89">
        <v>-3.6</v>
      </c>
      <c r="K4" s="89">
        <v>3.6</v>
      </c>
      <c r="L4" s="83"/>
      <c r="M4" s="82" t="s">
        <v>341</v>
      </c>
      <c r="N4" s="58">
        <f>VLOOKUP(D4,'Risk Probability Tables'!$A$24:B27,2)</f>
        <v>0.6</v>
      </c>
      <c r="O4" s="67">
        <v>0</v>
      </c>
      <c r="P4" s="67">
        <v>0</v>
      </c>
      <c r="Q4" s="67">
        <v>0</v>
      </c>
      <c r="R4">
        <f aca="true" t="shared" si="0" ref="R4:R25">O4*P4</f>
        <v>0</v>
      </c>
      <c r="S4">
        <f aca="true" t="shared" si="1" ref="S4:S23">O4*Q4</f>
        <v>0</v>
      </c>
    </row>
    <row r="5" spans="1:19" ht="39">
      <c r="A5" s="81">
        <v>2</v>
      </c>
      <c r="B5" s="91" t="s">
        <v>342</v>
      </c>
      <c r="C5" s="91" t="s">
        <v>343</v>
      </c>
      <c r="D5" s="85" t="s">
        <v>344</v>
      </c>
      <c r="E5" s="85" t="s">
        <v>345</v>
      </c>
      <c r="F5" s="85" t="s">
        <v>39</v>
      </c>
      <c r="G5" s="92" t="s">
        <v>346</v>
      </c>
      <c r="H5" s="93">
        <f>143*1.5</f>
        <v>214.5</v>
      </c>
      <c r="I5" s="94">
        <f>143*2</f>
        <v>286</v>
      </c>
      <c r="J5" s="95">
        <v>0</v>
      </c>
      <c r="K5" s="95">
        <v>0</v>
      </c>
      <c r="L5" s="91"/>
      <c r="M5" s="96" t="s">
        <v>347</v>
      </c>
      <c r="N5" s="58">
        <f>VLOOKUP(D5,'Risk Probability Tables'!$A$24:B28,2)</f>
        <v>0.25</v>
      </c>
      <c r="O5" s="97">
        <v>0</v>
      </c>
      <c r="P5" s="97">
        <v>0</v>
      </c>
      <c r="Q5" s="98">
        <v>0</v>
      </c>
      <c r="R5">
        <f t="shared" si="0"/>
        <v>0</v>
      </c>
      <c r="S5">
        <f t="shared" si="1"/>
        <v>0</v>
      </c>
    </row>
    <row r="6" spans="1:19" s="90" customFormat="1" ht="39">
      <c r="A6" s="81">
        <v>3</v>
      </c>
      <c r="B6" s="83" t="s">
        <v>348</v>
      </c>
      <c r="C6" s="83"/>
      <c r="D6" s="84" t="s">
        <v>39</v>
      </c>
      <c r="E6" s="85" t="s">
        <v>345</v>
      </c>
      <c r="F6" s="85" t="s">
        <v>21</v>
      </c>
      <c r="G6" s="92" t="s">
        <v>349</v>
      </c>
      <c r="H6" s="87">
        <v>-52</v>
      </c>
      <c r="I6" s="100">
        <f>117+(3.43*96)</f>
        <v>446.28000000000003</v>
      </c>
      <c r="J6" s="101">
        <f>4*18/218-0.7</f>
        <v>-0.36972477064220177</v>
      </c>
      <c r="K6" s="101">
        <f>3.43-3.43</f>
        <v>0</v>
      </c>
      <c r="L6" s="83" t="s">
        <v>350</v>
      </c>
      <c r="M6" s="82" t="s">
        <v>351</v>
      </c>
      <c r="N6" s="58">
        <f>VLOOKUP(D6,'Risk Probability Tables'!$A$24:B29,2)</f>
        <v>0.6</v>
      </c>
      <c r="O6" s="102">
        <v>0</v>
      </c>
      <c r="P6" s="102">
        <v>0</v>
      </c>
      <c r="Q6" s="102">
        <v>0</v>
      </c>
      <c r="R6">
        <f t="shared" si="0"/>
        <v>0</v>
      </c>
      <c r="S6">
        <f t="shared" si="1"/>
        <v>0</v>
      </c>
    </row>
    <row r="7" spans="1:19" ht="39">
      <c r="A7" s="81">
        <v>4</v>
      </c>
      <c r="B7" s="91" t="s">
        <v>352</v>
      </c>
      <c r="C7" s="91" t="s">
        <v>353</v>
      </c>
      <c r="D7" s="85" t="s">
        <v>344</v>
      </c>
      <c r="E7" s="85" t="s">
        <v>354</v>
      </c>
      <c r="F7" s="85" t="s">
        <v>21</v>
      </c>
      <c r="G7" s="92" t="s">
        <v>355</v>
      </c>
      <c r="H7" s="93">
        <f>0.5*10*3</f>
        <v>15</v>
      </c>
      <c r="I7" s="94">
        <f>10*2*3</f>
        <v>60</v>
      </c>
      <c r="J7" s="95">
        <f>6*3*0.5/21</f>
        <v>0.42857142857142855</v>
      </c>
      <c r="K7" s="95">
        <f>6*3*2/21</f>
        <v>1.7142857142857142</v>
      </c>
      <c r="L7" s="91"/>
      <c r="M7" s="96" t="s">
        <v>356</v>
      </c>
      <c r="N7" s="58">
        <f>VLOOKUP(D7,'Risk Probability Tables'!$A$24:B30,2)</f>
        <v>0.25</v>
      </c>
      <c r="O7" s="97">
        <v>0</v>
      </c>
      <c r="P7" s="97">
        <v>0</v>
      </c>
      <c r="Q7" s="97">
        <v>0</v>
      </c>
      <c r="R7">
        <f t="shared" si="0"/>
        <v>0</v>
      </c>
      <c r="S7">
        <f t="shared" si="1"/>
        <v>0</v>
      </c>
    </row>
    <row r="8" spans="1:19" ht="78.75">
      <c r="A8" s="81">
        <v>5</v>
      </c>
      <c r="B8" s="91" t="s">
        <v>357</v>
      </c>
      <c r="C8" s="91" t="s">
        <v>358</v>
      </c>
      <c r="D8" s="85" t="s">
        <v>39</v>
      </c>
      <c r="E8" s="85" t="s">
        <v>354</v>
      </c>
      <c r="F8" s="85" t="s">
        <v>21</v>
      </c>
      <c r="G8" s="86" t="s">
        <v>359</v>
      </c>
      <c r="H8" s="93">
        <v>0</v>
      </c>
      <c r="I8" s="94">
        <v>349</v>
      </c>
      <c r="J8" s="95">
        <v>0</v>
      </c>
      <c r="K8" s="95">
        <v>3</v>
      </c>
      <c r="L8" s="91"/>
      <c r="M8" s="96" t="s">
        <v>360</v>
      </c>
      <c r="N8" s="58">
        <f>VLOOKUP(D8,'Risk Probability Tables'!$A$24:B31,2)</f>
        <v>0.6</v>
      </c>
      <c r="O8" s="97">
        <v>0</v>
      </c>
      <c r="P8" s="97">
        <v>0</v>
      </c>
      <c r="Q8" s="97">
        <v>0</v>
      </c>
      <c r="R8">
        <f t="shared" si="0"/>
        <v>0</v>
      </c>
      <c r="S8">
        <f t="shared" si="1"/>
        <v>0</v>
      </c>
    </row>
    <row r="9" spans="1:19" ht="66">
      <c r="A9" s="81">
        <v>6</v>
      </c>
      <c r="B9" s="91" t="s">
        <v>361</v>
      </c>
      <c r="C9" s="91" t="s">
        <v>362</v>
      </c>
      <c r="D9" s="85" t="s">
        <v>344</v>
      </c>
      <c r="E9" s="85" t="s">
        <v>339</v>
      </c>
      <c r="F9" s="85" t="s">
        <v>21</v>
      </c>
      <c r="G9" s="86" t="s">
        <v>363</v>
      </c>
      <c r="H9" s="103">
        <v>0</v>
      </c>
      <c r="I9" s="104">
        <f>(+I4+(1800*0.5))+(96*6.6)</f>
        <v>2351.6</v>
      </c>
      <c r="J9" s="105">
        <v>0</v>
      </c>
      <c r="K9" s="105">
        <f>+K4+(6*0.5)-6.6</f>
        <v>0</v>
      </c>
      <c r="L9" s="91" t="s">
        <v>364</v>
      </c>
      <c r="M9" s="96" t="s">
        <v>365</v>
      </c>
      <c r="N9" s="58">
        <f>VLOOKUP(D9,'Risk Probability Tables'!$A$24:B32,2)</f>
        <v>0.25</v>
      </c>
      <c r="O9" s="97">
        <v>0</v>
      </c>
      <c r="P9" s="97">
        <v>0</v>
      </c>
      <c r="Q9" s="98">
        <v>0</v>
      </c>
      <c r="R9">
        <f t="shared" si="0"/>
        <v>0</v>
      </c>
      <c r="S9">
        <f t="shared" si="1"/>
        <v>0</v>
      </c>
    </row>
    <row r="10" spans="1:19" ht="66">
      <c r="A10" s="81">
        <v>7</v>
      </c>
      <c r="B10" s="91" t="s">
        <v>366</v>
      </c>
      <c r="C10" s="91" t="s">
        <v>367</v>
      </c>
      <c r="D10" s="85" t="s">
        <v>344</v>
      </c>
      <c r="E10" s="85" t="s">
        <v>345</v>
      </c>
      <c r="F10" s="85" t="s">
        <v>39</v>
      </c>
      <c r="G10" s="86" t="s">
        <v>368</v>
      </c>
      <c r="H10" s="93">
        <v>0</v>
      </c>
      <c r="I10" s="94">
        <v>62</v>
      </c>
      <c r="J10" s="95">
        <v>0</v>
      </c>
      <c r="K10" s="95">
        <f>13/21</f>
        <v>0.6190476190476191</v>
      </c>
      <c r="L10" s="91" t="s">
        <v>369</v>
      </c>
      <c r="M10" s="96" t="s">
        <v>370</v>
      </c>
      <c r="N10" s="58">
        <f>VLOOKUP(D10,'Risk Probability Tables'!$A$24:B33,2)</f>
        <v>0.25</v>
      </c>
      <c r="O10" s="97">
        <v>0</v>
      </c>
      <c r="P10" s="97">
        <v>0</v>
      </c>
      <c r="Q10" s="97">
        <v>0</v>
      </c>
      <c r="R10">
        <f t="shared" si="0"/>
        <v>0</v>
      </c>
      <c r="S10">
        <f t="shared" si="1"/>
        <v>0</v>
      </c>
    </row>
    <row r="11" spans="1:19" ht="78.75">
      <c r="A11" s="81">
        <v>8</v>
      </c>
      <c r="B11" s="91" t="s">
        <v>371</v>
      </c>
      <c r="C11" s="91" t="s">
        <v>372</v>
      </c>
      <c r="D11" s="85" t="s">
        <v>39</v>
      </c>
      <c r="E11" s="85" t="s">
        <v>373</v>
      </c>
      <c r="F11" s="85" t="s">
        <v>39</v>
      </c>
      <c r="G11" s="86"/>
      <c r="H11" s="93">
        <v>40</v>
      </c>
      <c r="I11" s="94">
        <v>50</v>
      </c>
      <c r="J11" s="95">
        <v>0</v>
      </c>
      <c r="K11" s="95">
        <v>0</v>
      </c>
      <c r="L11" s="91"/>
      <c r="M11" s="96" t="s">
        <v>374</v>
      </c>
      <c r="N11" s="58">
        <f>VLOOKUP(D11,'Risk Probability Tables'!$A$24:B34,2)</f>
        <v>0.6</v>
      </c>
      <c r="O11" s="97">
        <v>0</v>
      </c>
      <c r="P11" s="97">
        <v>0</v>
      </c>
      <c r="Q11" s="98">
        <v>0</v>
      </c>
      <c r="R11">
        <f t="shared" si="0"/>
        <v>0</v>
      </c>
      <c r="S11">
        <f t="shared" si="1"/>
        <v>0</v>
      </c>
    </row>
    <row r="12" spans="1:19" s="90" customFormat="1" ht="105">
      <c r="A12" s="81">
        <v>9</v>
      </c>
      <c r="B12" s="83" t="s">
        <v>375</v>
      </c>
      <c r="C12" s="83" t="s">
        <v>376</v>
      </c>
      <c r="D12" s="84" t="s">
        <v>344</v>
      </c>
      <c r="E12" s="85" t="s">
        <v>345</v>
      </c>
      <c r="F12" s="85" t="s">
        <v>39</v>
      </c>
      <c r="G12" s="106" t="s">
        <v>377</v>
      </c>
      <c r="H12" s="107">
        <f>-11*18*0.5</f>
        <v>-99</v>
      </c>
      <c r="I12" s="100">
        <f>(11*18*1)+(96*3)</f>
        <v>486</v>
      </c>
      <c r="J12" s="101">
        <f>3.5*18*0.5/-21</f>
        <v>-1.5</v>
      </c>
      <c r="K12" s="101">
        <f>3.5*18/21-3</f>
        <v>0</v>
      </c>
      <c r="L12" s="83" t="s">
        <v>350</v>
      </c>
      <c r="M12" s="82" t="s">
        <v>378</v>
      </c>
      <c r="N12" s="58">
        <f>VLOOKUP(D12,'Risk Probability Tables'!$A$24:B35,2)</f>
        <v>0.25</v>
      </c>
      <c r="O12" s="102">
        <v>0</v>
      </c>
      <c r="P12" s="102">
        <v>0</v>
      </c>
      <c r="Q12" s="102">
        <v>0</v>
      </c>
      <c r="R12">
        <f t="shared" si="0"/>
        <v>0</v>
      </c>
      <c r="S12">
        <f t="shared" si="1"/>
        <v>0</v>
      </c>
    </row>
    <row r="13" spans="1:19" s="90" customFormat="1" ht="66">
      <c r="A13" s="81">
        <v>10</v>
      </c>
      <c r="B13" s="83" t="s">
        <v>379</v>
      </c>
      <c r="C13" s="83" t="s">
        <v>380</v>
      </c>
      <c r="D13" s="84" t="s">
        <v>344</v>
      </c>
      <c r="E13" s="85" t="s">
        <v>345</v>
      </c>
      <c r="F13" s="85" t="s">
        <v>39</v>
      </c>
      <c r="G13" s="106" t="s">
        <v>381</v>
      </c>
      <c r="H13" s="107">
        <f>-37*15*0.5</f>
        <v>-277.5</v>
      </c>
      <c r="I13" s="100">
        <f>(15*37*0.3)+(96*2.79)</f>
        <v>434.34000000000003</v>
      </c>
      <c r="J13" s="101">
        <f>13*15*-0.5/21</f>
        <v>-4.642857142857143</v>
      </c>
      <c r="K13" s="101">
        <f>(13*15*0.3/21)-2.79</f>
        <v>-0.004285714285714448</v>
      </c>
      <c r="L13" s="83" t="s">
        <v>350</v>
      </c>
      <c r="M13" s="82" t="s">
        <v>382</v>
      </c>
      <c r="N13" s="58">
        <f>VLOOKUP(D13,'Risk Probability Tables'!$A$24:B36,2)</f>
        <v>0.25</v>
      </c>
      <c r="O13" s="102">
        <v>0</v>
      </c>
      <c r="P13" s="102">
        <v>0</v>
      </c>
      <c r="Q13" s="102">
        <v>0</v>
      </c>
      <c r="R13">
        <f t="shared" si="0"/>
        <v>0</v>
      </c>
      <c r="S13">
        <f t="shared" si="1"/>
        <v>0</v>
      </c>
    </row>
    <row r="14" spans="1:19" s="90" customFormat="1" ht="66">
      <c r="A14" s="81">
        <v>11</v>
      </c>
      <c r="B14" s="83" t="s">
        <v>383</v>
      </c>
      <c r="C14" s="83" t="s">
        <v>384</v>
      </c>
      <c r="D14" s="84" t="s">
        <v>344</v>
      </c>
      <c r="E14" s="85" t="s">
        <v>345</v>
      </c>
      <c r="F14" s="85" t="s">
        <v>39</v>
      </c>
      <c r="G14" s="106" t="s">
        <v>385</v>
      </c>
      <c r="H14" s="107">
        <v>0</v>
      </c>
      <c r="I14" s="100">
        <f>(180*0.5)+(96*0.36)</f>
        <v>124.56</v>
      </c>
      <c r="J14" s="101">
        <v>0</v>
      </c>
      <c r="K14" s="101">
        <f>(15*0.5/21)-0.36</f>
        <v>-0.002857142857142836</v>
      </c>
      <c r="L14" s="83" t="s">
        <v>350</v>
      </c>
      <c r="M14" s="82" t="s">
        <v>386</v>
      </c>
      <c r="N14" s="58">
        <f>VLOOKUP(D14,'Risk Probability Tables'!$A$24:B37,2)</f>
        <v>0.25</v>
      </c>
      <c r="O14" s="102">
        <v>0</v>
      </c>
      <c r="P14" s="102">
        <v>0</v>
      </c>
      <c r="Q14" s="108">
        <v>0</v>
      </c>
      <c r="R14">
        <f t="shared" si="0"/>
        <v>0</v>
      </c>
      <c r="S14">
        <f t="shared" si="1"/>
        <v>0</v>
      </c>
    </row>
    <row r="15" spans="1:19" ht="105">
      <c r="A15" s="81">
        <v>12</v>
      </c>
      <c r="B15" s="91" t="s">
        <v>387</v>
      </c>
      <c r="C15" s="91" t="s">
        <v>388</v>
      </c>
      <c r="D15" s="85" t="s">
        <v>344</v>
      </c>
      <c r="E15" s="85" t="s">
        <v>354</v>
      </c>
      <c r="F15" s="85" t="s">
        <v>21</v>
      </c>
      <c r="G15" s="92" t="s">
        <v>389</v>
      </c>
      <c r="H15" s="93">
        <v>0</v>
      </c>
      <c r="I15" s="94">
        <f>172</f>
        <v>172</v>
      </c>
      <c r="J15" s="95">
        <v>0</v>
      </c>
      <c r="K15" s="95">
        <v>2.5714285714285716</v>
      </c>
      <c r="L15" s="91"/>
      <c r="M15" s="96" t="s">
        <v>390</v>
      </c>
      <c r="N15" s="58">
        <f>VLOOKUP(D15,'Risk Probability Tables'!$A$24:B38,2)</f>
        <v>0.25</v>
      </c>
      <c r="O15" s="97">
        <v>0</v>
      </c>
      <c r="P15" s="97">
        <v>0</v>
      </c>
      <c r="Q15" s="97">
        <v>0</v>
      </c>
      <c r="R15">
        <f t="shared" si="0"/>
        <v>0</v>
      </c>
      <c r="S15">
        <f t="shared" si="1"/>
        <v>0</v>
      </c>
    </row>
    <row r="16" spans="1:19" ht="78.75">
      <c r="A16" s="81">
        <v>13</v>
      </c>
      <c r="B16" s="91" t="s">
        <v>391</v>
      </c>
      <c r="C16" s="91" t="s">
        <v>392</v>
      </c>
      <c r="D16" s="85" t="s">
        <v>344</v>
      </c>
      <c r="E16" s="85" t="s">
        <v>373</v>
      </c>
      <c r="F16" s="85" t="s">
        <v>39</v>
      </c>
      <c r="G16" s="86" t="s">
        <v>393</v>
      </c>
      <c r="H16" s="93">
        <v>0</v>
      </c>
      <c r="I16" s="94">
        <f>160*4*81/1000</f>
        <v>51.84</v>
      </c>
      <c r="J16" s="95">
        <v>0</v>
      </c>
      <c r="K16" s="95">
        <v>0</v>
      </c>
      <c r="L16" s="91" t="s">
        <v>394</v>
      </c>
      <c r="M16" s="96" t="s">
        <v>395</v>
      </c>
      <c r="N16" s="58">
        <f>VLOOKUP(D16,'Risk Probability Tables'!$A$24:B39,2)</f>
        <v>0.25</v>
      </c>
      <c r="O16" s="97">
        <v>0</v>
      </c>
      <c r="P16" s="97">
        <v>0</v>
      </c>
      <c r="Q16" s="98">
        <v>0</v>
      </c>
      <c r="R16">
        <f t="shared" si="0"/>
        <v>0</v>
      </c>
      <c r="S16">
        <f t="shared" si="1"/>
        <v>0</v>
      </c>
    </row>
    <row r="17" spans="1:19" ht="66">
      <c r="A17" s="81">
        <v>14</v>
      </c>
      <c r="B17" s="91" t="s">
        <v>396</v>
      </c>
      <c r="C17" s="91" t="s">
        <v>397</v>
      </c>
      <c r="D17" s="85" t="s">
        <v>344</v>
      </c>
      <c r="E17" s="85" t="s">
        <v>373</v>
      </c>
      <c r="F17" s="85" t="s">
        <v>39</v>
      </c>
      <c r="G17" s="86" t="s">
        <v>398</v>
      </c>
      <c r="H17" s="93">
        <v>0</v>
      </c>
      <c r="I17" s="94">
        <f>10*8*81/1000</f>
        <v>6.48</v>
      </c>
      <c r="J17" s="95">
        <v>0</v>
      </c>
      <c r="K17" s="95">
        <v>0</v>
      </c>
      <c r="L17" s="91" t="s">
        <v>394</v>
      </c>
      <c r="M17" s="96" t="s">
        <v>399</v>
      </c>
      <c r="N17" s="58">
        <f>VLOOKUP(D17,'Risk Probability Tables'!$A$24:B40,2)</f>
        <v>0.25</v>
      </c>
      <c r="O17" s="97">
        <v>0</v>
      </c>
      <c r="P17" s="97">
        <v>0</v>
      </c>
      <c r="Q17" s="98">
        <v>0</v>
      </c>
      <c r="R17">
        <f t="shared" si="0"/>
        <v>0</v>
      </c>
      <c r="S17">
        <f t="shared" si="1"/>
        <v>0</v>
      </c>
    </row>
    <row r="18" spans="1:19" ht="52.5">
      <c r="A18" s="81">
        <v>15</v>
      </c>
      <c r="B18" s="91" t="s">
        <v>400</v>
      </c>
      <c r="C18" s="91" t="s">
        <v>401</v>
      </c>
      <c r="D18" s="85" t="s">
        <v>39</v>
      </c>
      <c r="E18" s="85" t="s">
        <v>339</v>
      </c>
      <c r="F18" s="85" t="s">
        <v>20</v>
      </c>
      <c r="G18" s="86" t="s">
        <v>402</v>
      </c>
      <c r="H18" s="109">
        <f>(230*3)+(96*1.5)</f>
        <v>834</v>
      </c>
      <c r="I18" s="104">
        <f>(230*6)+(96*3)</f>
        <v>1668</v>
      </c>
      <c r="J18" s="105">
        <f>3-(3/2)</f>
        <v>1.5</v>
      </c>
      <c r="K18" s="105">
        <f>6-(6/2)</f>
        <v>3</v>
      </c>
      <c r="L18" s="83" t="s">
        <v>403</v>
      </c>
      <c r="M18" s="96" t="s">
        <v>404</v>
      </c>
      <c r="N18" s="58">
        <f>VLOOKUP(D18,'Risk Probability Tables'!$A$24:B41,2)</f>
        <v>0.6</v>
      </c>
      <c r="O18" s="97">
        <v>0</v>
      </c>
      <c r="P18" s="97">
        <v>0</v>
      </c>
      <c r="Q18" s="97">
        <v>0</v>
      </c>
      <c r="R18">
        <f t="shared" si="0"/>
        <v>0</v>
      </c>
      <c r="S18">
        <f t="shared" si="1"/>
        <v>0</v>
      </c>
    </row>
    <row r="19" spans="1:19" ht="118.5">
      <c r="A19" s="81">
        <v>16</v>
      </c>
      <c r="B19" s="91" t="s">
        <v>405</v>
      </c>
      <c r="C19" s="91" t="s">
        <v>406</v>
      </c>
      <c r="D19" s="85" t="s">
        <v>407</v>
      </c>
      <c r="E19" s="85" t="s">
        <v>373</v>
      </c>
      <c r="F19" s="85" t="s">
        <v>39</v>
      </c>
      <c r="G19" s="86"/>
      <c r="H19" s="93">
        <v>0</v>
      </c>
      <c r="I19" s="93">
        <f>160*4*81/1000</f>
        <v>51.84</v>
      </c>
      <c r="J19" s="95">
        <v>0</v>
      </c>
      <c r="K19" s="95">
        <v>0</v>
      </c>
      <c r="L19" s="91"/>
      <c r="M19" s="96" t="s">
        <v>408</v>
      </c>
      <c r="N19" s="58">
        <f>VLOOKUP(D19,'Risk Probability Tables'!$A$24:B42,2)</f>
        <v>0.9</v>
      </c>
      <c r="O19" s="97">
        <v>0</v>
      </c>
      <c r="P19" s="97">
        <v>0</v>
      </c>
      <c r="Q19" s="98">
        <v>0</v>
      </c>
      <c r="R19">
        <f t="shared" si="0"/>
        <v>0</v>
      </c>
      <c r="S19">
        <f t="shared" si="1"/>
        <v>0</v>
      </c>
    </row>
    <row r="20" spans="1:19" ht="78.75">
      <c r="A20" s="81">
        <v>17</v>
      </c>
      <c r="B20" s="91" t="s">
        <v>409</v>
      </c>
      <c r="C20" s="91"/>
      <c r="D20" s="85" t="s">
        <v>344</v>
      </c>
      <c r="E20" s="85" t="s">
        <v>345</v>
      </c>
      <c r="F20" s="85" t="s">
        <v>39</v>
      </c>
      <c r="G20" s="86" t="s">
        <v>410</v>
      </c>
      <c r="H20" s="93">
        <v>0</v>
      </c>
      <c r="I20" s="94">
        <f>79+229</f>
        <v>308</v>
      </c>
      <c r="J20" s="95">
        <v>0</v>
      </c>
      <c r="K20" s="95">
        <v>1</v>
      </c>
      <c r="L20" s="91" t="s">
        <v>411</v>
      </c>
      <c r="M20" s="96" t="s">
        <v>412</v>
      </c>
      <c r="N20" s="58">
        <f>VLOOKUP(D20,'Risk Probability Tables'!$A$24:B43,2)</f>
        <v>0.25</v>
      </c>
      <c r="O20" s="97">
        <v>0</v>
      </c>
      <c r="P20" s="97">
        <v>0</v>
      </c>
      <c r="Q20" s="97">
        <v>0</v>
      </c>
      <c r="R20">
        <f t="shared" si="0"/>
        <v>0</v>
      </c>
      <c r="S20">
        <f t="shared" si="1"/>
        <v>0</v>
      </c>
    </row>
    <row r="21" spans="1:19" ht="52.5">
      <c r="A21" s="81">
        <v>18</v>
      </c>
      <c r="B21" s="91" t="s">
        <v>413</v>
      </c>
      <c r="C21" s="91" t="s">
        <v>414</v>
      </c>
      <c r="D21" s="85" t="s">
        <v>344</v>
      </c>
      <c r="E21" s="85" t="s">
        <v>354</v>
      </c>
      <c r="F21" s="85" t="s">
        <v>21</v>
      </c>
      <c r="G21" s="92" t="s">
        <v>415</v>
      </c>
      <c r="H21" s="93">
        <f>160+79</f>
        <v>239</v>
      </c>
      <c r="I21" s="94">
        <f>+H21*2</f>
        <v>478</v>
      </c>
      <c r="J21" s="95">
        <v>1</v>
      </c>
      <c r="K21" s="95">
        <v>2</v>
      </c>
      <c r="L21" s="91" t="s">
        <v>411</v>
      </c>
      <c r="M21" s="96" t="s">
        <v>416</v>
      </c>
      <c r="N21" s="58">
        <f>VLOOKUP(D21,'Risk Probability Tables'!$A$24:B44,2)</f>
        <v>0.25</v>
      </c>
      <c r="O21" s="97">
        <v>0</v>
      </c>
      <c r="P21" s="97">
        <v>0</v>
      </c>
      <c r="Q21" s="97">
        <v>0</v>
      </c>
      <c r="R21">
        <f t="shared" si="0"/>
        <v>0</v>
      </c>
      <c r="S21">
        <f t="shared" si="1"/>
        <v>0</v>
      </c>
    </row>
    <row r="22" spans="1:19" ht="39">
      <c r="A22" s="81">
        <v>19</v>
      </c>
      <c r="B22" s="91" t="s">
        <v>417</v>
      </c>
      <c r="C22" s="91"/>
      <c r="D22" s="85" t="s">
        <v>344</v>
      </c>
      <c r="E22" s="85" t="s">
        <v>354</v>
      </c>
      <c r="F22" s="85" t="s">
        <v>21</v>
      </c>
      <c r="G22" s="91" t="s">
        <v>418</v>
      </c>
      <c r="H22" s="109">
        <v>0</v>
      </c>
      <c r="I22" s="104">
        <v>0</v>
      </c>
      <c r="J22" s="105">
        <v>-2</v>
      </c>
      <c r="K22" s="105">
        <v>2</v>
      </c>
      <c r="L22" s="91"/>
      <c r="M22" s="96" t="s">
        <v>419</v>
      </c>
      <c r="N22" s="58">
        <f>VLOOKUP(D22,'Risk Probability Tables'!$A$24:B45,2)</f>
        <v>0.25</v>
      </c>
      <c r="O22" s="97">
        <v>0</v>
      </c>
      <c r="P22" s="98">
        <v>0</v>
      </c>
      <c r="Q22" s="97">
        <v>0</v>
      </c>
      <c r="R22">
        <f t="shared" si="0"/>
        <v>0</v>
      </c>
      <c r="S22">
        <f t="shared" si="1"/>
        <v>0</v>
      </c>
    </row>
    <row r="23" spans="1:19" ht="39">
      <c r="A23" s="81">
        <v>20</v>
      </c>
      <c r="B23" s="91" t="s">
        <v>420</v>
      </c>
      <c r="C23" s="91"/>
      <c r="D23" s="85" t="s">
        <v>344</v>
      </c>
      <c r="E23" s="85" t="s">
        <v>354</v>
      </c>
      <c r="F23" s="85" t="s">
        <v>21</v>
      </c>
      <c r="G23" s="86" t="s">
        <v>421</v>
      </c>
      <c r="H23" s="93">
        <f>-42000*0.02</f>
        <v>-840</v>
      </c>
      <c r="I23" s="94">
        <f>42000*0.02</f>
        <v>840</v>
      </c>
      <c r="J23" s="95">
        <v>0</v>
      </c>
      <c r="K23" s="95">
        <v>0</v>
      </c>
      <c r="L23" s="91"/>
      <c r="M23" s="96" t="s">
        <v>422</v>
      </c>
      <c r="N23" s="58">
        <f>VLOOKUP(D23,'Risk Probability Tables'!$A$24:B46,2)</f>
        <v>0.25</v>
      </c>
      <c r="O23" s="97">
        <v>0</v>
      </c>
      <c r="P23" s="97">
        <v>0</v>
      </c>
      <c r="Q23" s="98">
        <v>0</v>
      </c>
      <c r="R23">
        <f t="shared" si="0"/>
        <v>0</v>
      </c>
      <c r="S23">
        <f t="shared" si="1"/>
        <v>0</v>
      </c>
    </row>
    <row r="24" spans="1:19" ht="52.5">
      <c r="A24" s="81">
        <v>21</v>
      </c>
      <c r="B24" s="91" t="s">
        <v>423</v>
      </c>
      <c r="C24" s="91" t="s">
        <v>424</v>
      </c>
      <c r="D24" s="85" t="s">
        <v>407</v>
      </c>
      <c r="E24" s="85" t="s">
        <v>373</v>
      </c>
      <c r="F24" s="85" t="s">
        <v>39</v>
      </c>
      <c r="G24" s="86" t="s">
        <v>425</v>
      </c>
      <c r="H24" s="93">
        <f>'Escalation Risk'!J31</f>
        <v>11.188800299999993</v>
      </c>
      <c r="I24" s="94">
        <f>'Escalation Risk'!J33</f>
        <v>80.5572</v>
      </c>
      <c r="J24" s="95">
        <v>0</v>
      </c>
      <c r="K24" s="95">
        <v>0</v>
      </c>
      <c r="L24" s="91"/>
      <c r="M24" s="96" t="s">
        <v>426</v>
      </c>
      <c r="N24" s="58">
        <f>VLOOKUP(D24,'Risk Probability Tables'!$A$24:B47,2)</f>
        <v>0.9</v>
      </c>
      <c r="O24" s="97">
        <v>0</v>
      </c>
      <c r="P24" s="97">
        <v>0</v>
      </c>
      <c r="Q24" s="98"/>
      <c r="R24">
        <f t="shared" si="0"/>
        <v>0</v>
      </c>
      <c r="S24"/>
    </row>
    <row r="25" spans="1:19" ht="52.5">
      <c r="A25" s="81">
        <v>22</v>
      </c>
      <c r="B25" s="91" t="s">
        <v>427</v>
      </c>
      <c r="C25" s="91" t="s">
        <v>424</v>
      </c>
      <c r="D25" s="85" t="s">
        <v>407</v>
      </c>
      <c r="E25" s="85" t="s">
        <v>345</v>
      </c>
      <c r="F25" s="85" t="s">
        <v>21</v>
      </c>
      <c r="G25" s="86" t="s">
        <v>428</v>
      </c>
      <c r="H25" s="93">
        <f>'Escalation Risk'!J37</f>
        <v>37.00114244999999</v>
      </c>
      <c r="I25" s="94">
        <f>'Escalation Risk'!J39</f>
        <v>266.16479999999996</v>
      </c>
      <c r="J25" s="95">
        <v>0</v>
      </c>
      <c r="K25" s="95">
        <v>0</v>
      </c>
      <c r="L25" s="91"/>
      <c r="M25" s="96" t="s">
        <v>429</v>
      </c>
      <c r="N25" s="58">
        <f>VLOOKUP(D25,'Risk Probability Tables'!$A$24:B48,2)</f>
        <v>0.9</v>
      </c>
      <c r="O25" s="97">
        <v>0</v>
      </c>
      <c r="P25" s="97">
        <v>0</v>
      </c>
      <c r="Q25" s="98"/>
      <c r="R25">
        <f t="shared" si="0"/>
        <v>0</v>
      </c>
      <c r="S25"/>
    </row>
    <row r="26" spans="1:19" s="113" customFormat="1" ht="15">
      <c r="A26" s="110" t="s">
        <v>519</v>
      </c>
      <c r="B26" s="111"/>
      <c r="C26" s="111"/>
      <c r="D26" s="112"/>
      <c r="E26" s="112"/>
      <c r="F26" s="112"/>
      <c r="G26" s="112"/>
      <c r="H26" s="112"/>
      <c r="I26" s="112"/>
      <c r="J26" s="112"/>
      <c r="K26" s="112"/>
      <c r="L26" s="111"/>
      <c r="M26" s="111"/>
      <c r="R26" s="114">
        <f>SUM(R4:R25)</f>
        <v>0</v>
      </c>
      <c r="S26" s="114">
        <f>SUM(S4:S25)</f>
        <v>0</v>
      </c>
    </row>
    <row r="27" spans="1:13" s="113" customFormat="1" ht="12.75">
      <c r="A27" s="112"/>
      <c r="B27" s="111"/>
      <c r="C27" s="111"/>
      <c r="D27" s="112"/>
      <c r="E27" s="112"/>
      <c r="F27" s="112"/>
      <c r="G27" s="112"/>
      <c r="H27" s="112"/>
      <c r="I27" s="112"/>
      <c r="J27" s="112"/>
      <c r="K27" s="112"/>
      <c r="L27" s="111"/>
      <c r="M27" s="111"/>
    </row>
    <row r="28" spans="1:13" s="113" customFormat="1" ht="12.75">
      <c r="A28" s="112"/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1"/>
      <c r="M28" s="111"/>
    </row>
    <row r="29" spans="1:13" s="113" customFormat="1" ht="12.75">
      <c r="A29" s="112"/>
      <c r="B29" s="111"/>
      <c r="C29" s="111"/>
      <c r="D29" s="112"/>
      <c r="E29" s="112"/>
      <c r="F29" s="112"/>
      <c r="G29" s="112"/>
      <c r="H29" s="112"/>
      <c r="I29" s="112"/>
      <c r="J29" s="112"/>
      <c r="K29" s="112"/>
      <c r="L29" s="111"/>
      <c r="M29" s="111"/>
    </row>
    <row r="30" spans="1:13" s="113" customFormat="1" ht="12.75">
      <c r="A30" s="112"/>
      <c r="B30" s="111"/>
      <c r="C30" s="111"/>
      <c r="D30" s="112"/>
      <c r="E30" s="112"/>
      <c r="F30" s="112"/>
      <c r="G30" s="112"/>
      <c r="H30" s="112"/>
      <c r="I30" s="112"/>
      <c r="J30" s="112"/>
      <c r="K30" s="112"/>
      <c r="L30" s="111"/>
      <c r="M30" s="111"/>
    </row>
    <row r="31" spans="1:13" s="113" customFormat="1" ht="12.75">
      <c r="A31" s="112"/>
      <c r="B31" s="111"/>
      <c r="C31" s="111"/>
      <c r="D31" s="112"/>
      <c r="E31" s="112"/>
      <c r="F31" s="112"/>
      <c r="G31" s="112"/>
      <c r="H31" s="112"/>
      <c r="I31" s="112"/>
      <c r="J31" s="112"/>
      <c r="K31" s="112"/>
      <c r="L31" s="111"/>
      <c r="M31" s="111"/>
    </row>
    <row r="32" spans="1:13" s="113" customFormat="1" ht="12.75">
      <c r="A32" s="112"/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1"/>
    </row>
    <row r="33" spans="1:13" s="113" customFormat="1" ht="12.75">
      <c r="A33" s="112"/>
      <c r="B33" s="111"/>
      <c r="C33" s="111"/>
      <c r="D33" s="112"/>
      <c r="E33" s="112"/>
      <c r="F33" s="112"/>
      <c r="G33" s="112"/>
      <c r="H33" s="112"/>
      <c r="I33" s="112"/>
      <c r="J33" s="112"/>
      <c r="K33" s="112"/>
      <c r="L33" s="111"/>
      <c r="M33" s="111"/>
    </row>
    <row r="34" spans="1:13" s="113" customFormat="1" ht="12.75">
      <c r="A34" s="112"/>
      <c r="B34" s="111"/>
      <c r="C34" s="111"/>
      <c r="D34" s="112"/>
      <c r="E34" s="112"/>
      <c r="F34" s="112"/>
      <c r="G34" s="112"/>
      <c r="H34" s="112"/>
      <c r="I34" s="112"/>
      <c r="J34" s="112"/>
      <c r="K34" s="112"/>
      <c r="L34" s="111"/>
      <c r="M34" s="111"/>
    </row>
    <row r="35" spans="1:13" s="113" customFormat="1" ht="12.75">
      <c r="A35" s="112"/>
      <c r="B35" s="111"/>
      <c r="C35" s="111"/>
      <c r="D35" s="112"/>
      <c r="E35" s="112"/>
      <c r="F35" s="112"/>
      <c r="G35" s="112"/>
      <c r="H35" s="112"/>
      <c r="I35" s="112"/>
      <c r="J35" s="112"/>
      <c r="K35" s="112"/>
      <c r="L35" s="111"/>
      <c r="M35" s="111"/>
    </row>
    <row r="36" spans="1:13" s="113" customFormat="1" ht="12.75">
      <c r="A36" s="112"/>
      <c r="B36" s="111"/>
      <c r="C36" s="111"/>
      <c r="D36" s="112"/>
      <c r="E36" s="112"/>
      <c r="F36" s="112"/>
      <c r="G36" s="112"/>
      <c r="H36" s="112"/>
      <c r="I36" s="112"/>
      <c r="J36" s="112"/>
      <c r="K36" s="112"/>
      <c r="L36" s="111"/>
      <c r="M36" s="111"/>
    </row>
    <row r="37" spans="1:13" s="113" customFormat="1" ht="12.75">
      <c r="A37" s="112"/>
      <c r="B37" s="111"/>
      <c r="C37" s="111"/>
      <c r="D37" s="112"/>
      <c r="E37" s="112"/>
      <c r="F37" s="112"/>
      <c r="G37" s="112"/>
      <c r="H37" s="112"/>
      <c r="I37" s="112"/>
      <c r="J37" s="112"/>
      <c r="K37" s="112"/>
      <c r="L37" s="111"/>
      <c r="M37" s="111"/>
    </row>
    <row r="38" spans="1:13" s="113" customFormat="1" ht="12.75">
      <c r="A38" s="112"/>
      <c r="B38" s="111"/>
      <c r="C38" s="111"/>
      <c r="D38" s="112"/>
      <c r="E38" s="112"/>
      <c r="F38" s="112"/>
      <c r="G38" s="112"/>
      <c r="H38" s="112"/>
      <c r="I38" s="112"/>
      <c r="J38" s="112"/>
      <c r="K38" s="112"/>
      <c r="L38" s="111"/>
      <c r="M38" s="111"/>
    </row>
    <row r="39" spans="1:13" s="113" customFormat="1" ht="12.75">
      <c r="A39" s="112"/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1"/>
      <c r="M39" s="111"/>
    </row>
    <row r="40" spans="1:13" s="113" customFormat="1" ht="12.75">
      <c r="A40" s="112"/>
      <c r="B40" s="111"/>
      <c r="C40" s="111"/>
      <c r="D40" s="112"/>
      <c r="E40" s="112"/>
      <c r="F40" s="112"/>
      <c r="G40" s="112"/>
      <c r="H40" s="112"/>
      <c r="I40" s="112"/>
      <c r="J40" s="112"/>
      <c r="K40" s="112"/>
      <c r="L40" s="111"/>
      <c r="M40" s="111"/>
    </row>
    <row r="41" spans="1:13" s="113" customFormat="1" ht="12.75">
      <c r="A41" s="112"/>
      <c r="B41" s="111"/>
      <c r="C41" s="111"/>
      <c r="D41" s="112"/>
      <c r="E41" s="112"/>
      <c r="F41" s="112"/>
      <c r="G41" s="112"/>
      <c r="H41" s="112"/>
      <c r="I41" s="112"/>
      <c r="J41" s="112"/>
      <c r="K41" s="112"/>
      <c r="L41" s="111"/>
      <c r="M41" s="111"/>
    </row>
    <row r="42" spans="1:13" s="113" customFormat="1" ht="12.75">
      <c r="A42" s="112"/>
      <c r="B42" s="111"/>
      <c r="C42" s="111"/>
      <c r="D42" s="112"/>
      <c r="E42" s="112"/>
      <c r="F42" s="112"/>
      <c r="G42" s="112"/>
      <c r="H42" s="112"/>
      <c r="I42" s="112"/>
      <c r="J42" s="112"/>
      <c r="K42" s="112"/>
      <c r="L42" s="111"/>
      <c r="M42" s="111"/>
    </row>
    <row r="43" spans="1:13" s="113" customFormat="1" ht="12.75">
      <c r="A43" s="112"/>
      <c r="B43" s="111"/>
      <c r="C43" s="111"/>
      <c r="D43" s="112"/>
      <c r="E43" s="112"/>
      <c r="F43" s="112"/>
      <c r="G43" s="112"/>
      <c r="H43" s="112"/>
      <c r="I43" s="112"/>
      <c r="J43" s="112"/>
      <c r="K43" s="112"/>
      <c r="L43" s="111"/>
      <c r="M43" s="111"/>
    </row>
    <row r="44" spans="1:13" s="113" customFormat="1" ht="12.75">
      <c r="A44" s="112"/>
      <c r="B44" s="111"/>
      <c r="C44" s="111"/>
      <c r="L44" s="111"/>
      <c r="M44" s="111"/>
    </row>
  </sheetData>
  <mergeCells count="10">
    <mergeCell ref="A1:L1"/>
    <mergeCell ref="A2:A3"/>
    <mergeCell ref="B2:B3"/>
    <mergeCell ref="C2:C3"/>
    <mergeCell ref="G2:G3"/>
    <mergeCell ref="L2:L3"/>
    <mergeCell ref="N3:O3"/>
    <mergeCell ref="H2:I2"/>
    <mergeCell ref="J2:K2"/>
    <mergeCell ref="D2:D3"/>
  </mergeCells>
  <printOptions/>
  <pageMargins left="0.75" right="0.75" top="1" bottom="1" header="0.5" footer="0.5"/>
  <pageSetup fitToHeight="0" fitToWidth="2" horizontalDpi="600" verticalDpi="600" orientation="landscape" scale="87" r:id="rId4"/>
  <headerFooter alignWithMargins="0">
    <oddFooter>&amp;L&amp;F&amp;R&amp;P</oddFooter>
  </headerFooter>
  <colBreaks count="1" manualBreakCount="1">
    <brk id="6" max="2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1">
      <selection activeCell="S26" sqref="S26"/>
    </sheetView>
  </sheetViews>
  <sheetFormatPr defaultColWidth="9.140625" defaultRowHeight="12.75"/>
  <cols>
    <col min="2" max="2" width="17.28125" style="0" customWidth="1"/>
    <col min="3" max="3" width="14.421875" style="0" customWidth="1"/>
    <col min="4" max="4" width="45.7109375" style="0" customWidth="1"/>
    <col min="5" max="5" width="25.8515625" style="0" customWidth="1"/>
  </cols>
  <sheetData>
    <row r="2" ht="13.5" thickBot="1"/>
    <row r="3" spans="2:4" ht="13.5" thickBot="1">
      <c r="B3" s="170" t="s">
        <v>430</v>
      </c>
      <c r="C3" s="171"/>
      <c r="D3" s="172" t="s">
        <v>431</v>
      </c>
    </row>
    <row r="4" spans="2:6" ht="13.5" thickBot="1">
      <c r="B4" s="116" t="s">
        <v>432</v>
      </c>
      <c r="C4" s="117" t="s">
        <v>433</v>
      </c>
      <c r="D4" s="173"/>
      <c r="F4" s="62" t="s">
        <v>434</v>
      </c>
    </row>
    <row r="5" spans="1:6" ht="39.75" thickBot="1">
      <c r="A5" t="s">
        <v>435</v>
      </c>
      <c r="B5" s="118" t="s">
        <v>436</v>
      </c>
      <c r="C5" s="119" t="s">
        <v>437</v>
      </c>
      <c r="D5" s="119" t="s">
        <v>438</v>
      </c>
      <c r="F5" s="58">
        <v>0.05</v>
      </c>
    </row>
    <row r="6" spans="1:6" ht="39.75" thickBot="1">
      <c r="A6" t="s">
        <v>344</v>
      </c>
      <c r="B6" s="118" t="s">
        <v>439</v>
      </c>
      <c r="C6" s="119" t="s">
        <v>440</v>
      </c>
      <c r="D6" s="119" t="s">
        <v>441</v>
      </c>
      <c r="F6" s="58">
        <v>0.25</v>
      </c>
    </row>
    <row r="7" spans="1:6" ht="53.25" thickBot="1">
      <c r="A7" t="s">
        <v>39</v>
      </c>
      <c r="B7" s="118" t="s">
        <v>442</v>
      </c>
      <c r="C7" s="119" t="s">
        <v>443</v>
      </c>
      <c r="D7" s="119" t="s">
        <v>444</v>
      </c>
      <c r="F7" s="58">
        <v>0.6</v>
      </c>
    </row>
    <row r="8" spans="1:6" ht="39.75" thickBot="1">
      <c r="A8" t="s">
        <v>407</v>
      </c>
      <c r="B8" s="118" t="s">
        <v>445</v>
      </c>
      <c r="C8" s="119" t="s">
        <v>446</v>
      </c>
      <c r="D8" s="119" t="s">
        <v>447</v>
      </c>
      <c r="F8" s="58">
        <v>0.9</v>
      </c>
    </row>
    <row r="9" ht="12.75">
      <c r="B9" s="99" t="s">
        <v>448</v>
      </c>
    </row>
    <row r="13" ht="12.75">
      <c r="A13" s="60" t="s">
        <v>449</v>
      </c>
    </row>
    <row r="14" ht="12.75">
      <c r="A14" t="s">
        <v>450</v>
      </c>
    </row>
    <row r="15" ht="12.75">
      <c r="A15" t="s">
        <v>451</v>
      </c>
    </row>
    <row r="16" ht="12.75">
      <c r="A16" t="s">
        <v>452</v>
      </c>
    </row>
    <row r="17" ht="12.75">
      <c r="A17" t="s">
        <v>453</v>
      </c>
    </row>
    <row r="19" ht="12.75">
      <c r="A19" t="s">
        <v>454</v>
      </c>
    </row>
    <row r="20" ht="12.75">
      <c r="A20" t="s">
        <v>455</v>
      </c>
    </row>
    <row r="21" ht="12.75">
      <c r="A21" t="s">
        <v>456</v>
      </c>
    </row>
    <row r="24" spans="1:2" ht="12.75">
      <c r="A24" t="s">
        <v>39</v>
      </c>
      <c r="B24" s="58">
        <v>0.6</v>
      </c>
    </row>
    <row r="25" spans="1:2" ht="12.75">
      <c r="A25" t="s">
        <v>344</v>
      </c>
      <c r="B25" s="58">
        <v>0.25</v>
      </c>
    </row>
    <row r="26" spans="1:2" ht="12.75">
      <c r="A26" t="s">
        <v>407</v>
      </c>
      <c r="B26" s="58">
        <v>0.9</v>
      </c>
    </row>
    <row r="27" spans="1:2" ht="12.75">
      <c r="A27" t="s">
        <v>435</v>
      </c>
      <c r="B27" s="58">
        <v>0.05</v>
      </c>
    </row>
  </sheetData>
  <mergeCells count="2">
    <mergeCell ref="B3:C3"/>
    <mergeCell ref="D3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O. Gruber</dc:creator>
  <cp:keywords/>
  <dc:description/>
  <cp:lastModifiedBy>bsimmons</cp:lastModifiedBy>
  <cp:lastPrinted>2007-05-29T16:13:55Z</cp:lastPrinted>
  <dcterms:created xsi:type="dcterms:W3CDTF">2007-05-16T14:21:14Z</dcterms:created>
  <dcterms:modified xsi:type="dcterms:W3CDTF">2007-06-05T14:24:43Z</dcterms:modified>
  <cp:category/>
  <cp:version/>
  <cp:contentType/>
  <cp:contentStatus/>
</cp:coreProperties>
</file>