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65506" windowWidth="17355" windowHeight="11070" tabRatio="476" activeTab="0"/>
  </bookViews>
  <sheets>
    <sheet name="Main" sheetId="1" r:id="rId1"/>
    <sheet name="CDR - PDR COMPARISON" sheetId="2" r:id="rId2"/>
    <sheet name="." sheetId="3" r:id="rId3"/>
  </sheets>
  <externalReferences>
    <externalReference r:id="rId6"/>
  </externalReferences>
  <definedNames>
    <definedName name="des">'Main'!$F$74</definedName>
    <definedName name="DM">'Main'!$B$143</definedName>
    <definedName name="EEEM">'Main'!$B$139</definedName>
    <definedName name="EEEMH">'Main'!$D$139</definedName>
    <definedName name="EESM">'Main'!$B$140</definedName>
    <definedName name="EETB">'Main'!$B$141</definedName>
    <definedName name="emraki">'Main'!$B$139</definedName>
    <definedName name="eng">'Main'!#REF!</definedName>
    <definedName name="GA">'Main'!$B$142</definedName>
    <definedName name="hga">'Main'!#REF!</definedName>
    <definedName name="mtech">'Main'!#REF!</definedName>
    <definedName name="NCSX_Total">'.'!$C$23</definedName>
    <definedName name="NSTX_Total">'.'!$I$23</definedName>
    <definedName name="_xlnm.Print_Area" localSheetId="2">'.'!$A$1:$K$50</definedName>
    <definedName name="_xlnm.Print_Area" localSheetId="1">'CDR - PDR COMPARISON'!$A$5:$O$34</definedName>
    <definedName name="_xlnm.Print_Area" localSheetId="0">'Main'!$A$1:$AH$149</definedName>
    <definedName name="_xlnm.Print_Titles" localSheetId="0">'Main'!$1:$3</definedName>
    <definedName name="tech">'Main'!#REF!</definedName>
  </definedNames>
  <calcPr fullCalcOnLoad="1"/>
</workbook>
</file>

<file path=xl/comments1.xml><?xml version="1.0" encoding="utf-8"?>
<comments xmlns="http://schemas.openxmlformats.org/spreadsheetml/2006/main">
  <authors>
    <author>Charles Neumeyer</author>
  </authors>
  <commentList>
    <comment ref="D14" authorId="0">
      <text>
        <r>
          <rPr>
            <b/>
            <sz val="9"/>
            <rFont val="Geneva"/>
            <family val="0"/>
          </rPr>
          <t>This covers uninteruptible power for critical control and interlock systems and cryo system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<sst xmlns="http://schemas.openxmlformats.org/spreadsheetml/2006/main" count="579" uniqueCount="269">
  <si>
    <t>NSTX TF Power Supply changes</t>
  </si>
  <si>
    <t>NSTX OH PS changes</t>
  </si>
  <si>
    <t>Task of  NSTX TF PS changes</t>
  </si>
  <si>
    <t>Task of NSTX OH PS changes</t>
  </si>
  <si>
    <t>Standby Power for Cryo systems</t>
  </si>
  <si>
    <t>DC Cabling</t>
  </si>
  <si>
    <t>DC Current Limiting Reactors (CLRs)</t>
  </si>
  <si>
    <t>441 - Electrical Interlocks</t>
  </si>
  <si>
    <t>442 - Kirk Key Interlocks</t>
  </si>
  <si>
    <t>1000MCM 5kV Cable For Circuit</t>
  </si>
  <si>
    <t xml:space="preserve">Cable Tray </t>
  </si>
  <si>
    <t>PSS</t>
  </si>
  <si>
    <t>ft/PSS</t>
  </si>
  <si>
    <t>ft/ckt</t>
  </si>
  <si>
    <t>Ckt</t>
  </si>
  <si>
    <t>Qnty</t>
  </si>
  <si>
    <t>Kirk Keys</t>
  </si>
  <si>
    <t>Ground Fault Monitor</t>
  </si>
  <si>
    <t>Install Cable</t>
  </si>
  <si>
    <t>Install Tray</t>
  </si>
  <si>
    <t xml:space="preserve"> Materials &amp; Installation</t>
  </si>
  <si>
    <t>Design &amp; Supervision</t>
  </si>
  <si>
    <t>Reroute &amp; Reconnect</t>
  </si>
  <si>
    <t>Hrs</t>
  </si>
  <si>
    <t>DC Cabling to Trim Coils</t>
  </si>
  <si>
    <t>250MCM 5kV Cable For Circuit</t>
  </si>
  <si>
    <t>Hrs/     Cable</t>
  </si>
  <si>
    <t>443 - Real Time Control</t>
  </si>
  <si>
    <t>444 - Instrumentation</t>
  </si>
  <si>
    <t>445 - Coil Protection</t>
  </si>
  <si>
    <t>446 - Ground Fault Monitor</t>
  </si>
  <si>
    <t>DC Circuit Hipots and Impedance Measurements</t>
  </si>
  <si>
    <t>UPS Systems</t>
  </si>
  <si>
    <t>∑MD</t>
  </si>
  <si>
    <t>Rate</t>
  </si>
  <si>
    <t>$K</t>
  </si>
  <si>
    <t>∑FTE</t>
  </si>
  <si>
    <t>Years</t>
  </si>
  <si>
    <t>FTE/yr</t>
  </si>
  <si>
    <t>M&amp;S --&gt;</t>
  </si>
  <si>
    <t>Spares--&gt;</t>
  </si>
  <si>
    <t>SC --&gt;</t>
  </si>
  <si>
    <t>2001 rates</t>
  </si>
  <si>
    <t>Total MDs</t>
  </si>
  <si>
    <t>Total k$</t>
  </si>
  <si>
    <t>C. Neumeyer</t>
  </si>
  <si>
    <t>Raki</t>
  </si>
  <si>
    <t>R. Hatcher</t>
  </si>
  <si>
    <t>R. Marsala</t>
  </si>
  <si>
    <t>Mounir Awad</t>
  </si>
  <si>
    <t>E.Baker</t>
  </si>
  <si>
    <t>A. Ilic</t>
  </si>
  <si>
    <t>P. Sichta</t>
  </si>
  <si>
    <t>R. Parsells</t>
  </si>
  <si>
    <t>Ray Gernhardt</t>
  </si>
  <si>
    <t>D.McBride</t>
  </si>
  <si>
    <t>Art Wise</t>
  </si>
  <si>
    <t>Debonis</t>
  </si>
  <si>
    <t>Freddie</t>
  </si>
  <si>
    <t>J. Corl</t>
  </si>
  <si>
    <t>Wes Reese</t>
  </si>
  <si>
    <t>Marty</t>
  </si>
  <si>
    <t>Collin</t>
  </si>
  <si>
    <t>Techshop  tech</t>
  </si>
  <si>
    <t>van Kirk</t>
  </si>
  <si>
    <t>Frank Jones</t>
  </si>
  <si>
    <t>Nemi</t>
  </si>
  <si>
    <t>Coil Power Supply Dummy Load Testing</t>
  </si>
  <si>
    <t>Trim Coil Power Supply Dummy Load Testing</t>
  </si>
  <si>
    <t>Electrical Interlock Testing</t>
  </si>
  <si>
    <t>Kirk Key Interlock Testing</t>
  </si>
  <si>
    <t>Real Time Control System Testing</t>
  </si>
  <si>
    <t>Instrumentation Test &amp; Calibration</t>
  </si>
  <si>
    <t>Coil Protection System Testing</t>
  </si>
  <si>
    <t>Ground Fault Monitor Testing</t>
  </si>
  <si>
    <t>Cont</t>
  </si>
  <si>
    <t>Cont %</t>
  </si>
  <si>
    <t>Total w/ Contingency</t>
  </si>
  <si>
    <t>Isolating Switch</t>
  </si>
  <si>
    <t>(k$/unit)</t>
  </si>
  <si>
    <t>Tech</t>
  </si>
  <si>
    <t>EEDM</t>
  </si>
  <si>
    <t>Transformers</t>
  </si>
  <si>
    <t>Panels</t>
  </si>
  <si>
    <t>Cable</t>
  </si>
  <si>
    <t>Tray</t>
  </si>
  <si>
    <t>Conduit</t>
  </si>
  <si>
    <t>Iso Transformers</t>
  </si>
  <si>
    <t>unit</t>
  </si>
  <si>
    <t>racks</t>
  </si>
  <si>
    <t>Reactivate/new installation</t>
  </si>
  <si>
    <t>lot</t>
  </si>
  <si>
    <t>Grounding</t>
  </si>
  <si>
    <t>Misc. grounding</t>
  </si>
  <si>
    <t>Crate &amp; PS</t>
  </si>
  <si>
    <t xml:space="preserve">Procure PLC </t>
  </si>
  <si>
    <t>Procure I/O</t>
  </si>
  <si>
    <t>channels</t>
  </si>
  <si>
    <t xml:space="preserve">Design Drawings  &amp; Drawings changes , as-builts </t>
  </si>
  <si>
    <t>New drawings &amp; Misc. updates</t>
  </si>
  <si>
    <t xml:space="preserve">CDR  Power system </t>
  </si>
  <si>
    <t>All power systems</t>
  </si>
  <si>
    <t xml:space="preserve">PDR  Power system </t>
  </si>
  <si>
    <t xml:space="preserve">FDR D-Site </t>
  </si>
  <si>
    <t xml:space="preserve">Transrex D-Site </t>
  </si>
  <si>
    <t xml:space="preserve">C-Site </t>
  </si>
  <si>
    <t>452 - Electrical Systems Support</t>
  </si>
  <si>
    <t>453 - System Testing</t>
  </si>
  <si>
    <t>Transrex PS Maintenance</t>
  </si>
  <si>
    <t>AC Auxiliaries power panels etc., grounding etc.</t>
  </si>
  <si>
    <t>Procedures PTPs, ISTPs</t>
  </si>
  <si>
    <t>New Procedures</t>
  </si>
  <si>
    <t>Calculations</t>
  </si>
  <si>
    <t>Calculations - documentation</t>
  </si>
  <si>
    <t>Line Total</t>
  </si>
  <si>
    <t>Diagnostics sensor cabling</t>
  </si>
  <si>
    <t>cables</t>
  </si>
  <si>
    <t>feet</t>
  </si>
  <si>
    <t xml:space="preserve">FDR C-Site </t>
  </si>
  <si>
    <t>FDR Cabling</t>
  </si>
  <si>
    <t>FDR AC auxiliaries &amp; grounding</t>
  </si>
  <si>
    <t>Test Equipment</t>
  </si>
  <si>
    <t>1 + 1 spare</t>
  </si>
  <si>
    <t>Spare Units</t>
  </si>
  <si>
    <t>Spare Cost</t>
  </si>
  <si>
    <t>Total</t>
  </si>
  <si>
    <t>Total Cost</t>
  </si>
  <si>
    <t>Schedule</t>
  </si>
  <si>
    <t>Contingency</t>
  </si>
  <si>
    <t>Design/     Procurement</t>
  </si>
  <si>
    <t>xfmr/ panel</t>
  </si>
  <si>
    <t>DC Current Transducers (DCCTs)</t>
  </si>
  <si>
    <t>Signal Conditioning &amp; Associated Cabling</t>
  </si>
  <si>
    <t>Overload Protection &amp; Associated Cabling</t>
  </si>
  <si>
    <t>Design Interlock System</t>
  </si>
  <si>
    <t>Program PLC</t>
  </si>
  <si>
    <t>Design Interconnection</t>
  </si>
  <si>
    <t>Test Modified NSTX HCS</t>
  </si>
  <si>
    <t>Install I/O &amp; Cabling</t>
  </si>
  <si>
    <t>Develop Control Algorithms</t>
  </si>
  <si>
    <t>DC Potential Transducers (DCPTs)</t>
  </si>
  <si>
    <t>Ground Fault Protection</t>
  </si>
  <si>
    <t>1000MCM 5kV Cable For PSS</t>
  </si>
  <si>
    <t>Cost</t>
  </si>
  <si>
    <t>units</t>
  </si>
  <si>
    <t>ft</t>
  </si>
  <si>
    <t>Write CLR Installation Procedure</t>
  </si>
  <si>
    <t>Install CLRs</t>
  </si>
  <si>
    <t>RATES</t>
  </si>
  <si>
    <t>G&amp;A</t>
  </si>
  <si>
    <t>($K)</t>
  </si>
  <si>
    <t>(md)</t>
  </si>
  <si>
    <t>TOTALS</t>
  </si>
  <si>
    <t>Procure CLRs</t>
  </si>
  <si>
    <t>(%)</t>
  </si>
  <si>
    <t>D-site</t>
  </si>
  <si>
    <t>ft/poles</t>
  </si>
  <si>
    <t>Pole</t>
  </si>
  <si>
    <t>C-site</t>
  </si>
  <si>
    <t xml:space="preserve"> </t>
  </si>
  <si>
    <t>Test Cell AC Power Distribution</t>
  </si>
  <si>
    <t xml:space="preserve">D-site Pulsed AC Power Distribution </t>
  </si>
  <si>
    <t>Trim Coil Power Supplies</t>
  </si>
  <si>
    <t>Coil Power Supplies</t>
  </si>
  <si>
    <t>Multiplier</t>
  </si>
  <si>
    <t>Lockouts/protection/reactivate</t>
  </si>
  <si>
    <t>Reactivation</t>
  </si>
  <si>
    <t>1000MCM 5kV Cable</t>
  </si>
  <si>
    <t>Structural Supports</t>
  </si>
  <si>
    <t>DC Cabling to  Coils in Test Cell</t>
  </si>
  <si>
    <t>Design &amp; Specification</t>
  </si>
  <si>
    <t>Procurement</t>
  </si>
  <si>
    <t>switch</t>
  </si>
  <si>
    <t>PS</t>
  </si>
  <si>
    <t>Ex-Test Cell AC Power Distribution</t>
  </si>
  <si>
    <t>Installation</t>
  </si>
  <si>
    <t>Commissioning</t>
  </si>
  <si>
    <t>M&amp;S</t>
  </si>
  <si>
    <t>Preop Testing</t>
  </si>
  <si>
    <t>Diagnostics AC Power Distribution</t>
  </si>
  <si>
    <t>D-to-C-site</t>
  </si>
  <si>
    <t>Unit Cost</t>
  </si>
  <si>
    <t>Units</t>
  </si>
  <si>
    <t>EEEM</t>
  </si>
  <si>
    <t>EESM</t>
  </si>
  <si>
    <t>EETB</t>
  </si>
  <si>
    <t>SC</t>
  </si>
  <si>
    <t>41- AC Power</t>
  </si>
  <si>
    <t>42 - AC/DC Converters</t>
  </si>
  <si>
    <t>43 - DC Systems</t>
  </si>
  <si>
    <t xml:space="preserve">Based on Input from Diagnostics WBS </t>
  </si>
  <si>
    <t>Comments</t>
  </si>
  <si>
    <t>More work to ready C-site test cell and bring C-site infrastructure into operation, compared to D-site</t>
  </si>
  <si>
    <t>Approx equal</t>
  </si>
  <si>
    <t>Not req'd for NSTX</t>
  </si>
  <si>
    <t>NCSX system new, NSTX was modification of existing</t>
  </si>
  <si>
    <t>NCSX is covered in different WBS</t>
  </si>
  <si>
    <t>Not costed in NSTX baseline</t>
  </si>
  <si>
    <t>NCSX design plus test approx equal to NSTX</t>
  </si>
  <si>
    <t>NSTX was covered in different WBS</t>
  </si>
  <si>
    <t>In system design on NSTX</t>
  </si>
  <si>
    <t>NSTX was underestimated</t>
  </si>
  <si>
    <t>NCSX has more work per circuit but fewer circuits</t>
  </si>
  <si>
    <t>NCSX requires interface between C-and D-sites</t>
  </si>
  <si>
    <t>44 - Control &amp; Protection Systems</t>
  </si>
  <si>
    <t>45 - System Design and Integration</t>
  </si>
  <si>
    <t>411 - Auxiliary AC Power</t>
  </si>
  <si>
    <t>412 - Experimental AC Power</t>
  </si>
  <si>
    <t>421 - C-site AC/DC Converters</t>
  </si>
  <si>
    <t>422 - D-site AC/DC Converters</t>
  </si>
  <si>
    <t>431 - C-site DC Systems</t>
  </si>
  <si>
    <t>432 - D-to-C-Site DC Systems</t>
  </si>
  <si>
    <t>433 - D-site DC Systems</t>
  </si>
  <si>
    <t>451 - System Design</t>
  </si>
  <si>
    <t>NCSX w/o Cntg</t>
  </si>
  <si>
    <t>NCSX w/Cntg</t>
  </si>
  <si>
    <t>NSTX w/Cntg</t>
  </si>
  <si>
    <t>Robicon PS Maintenance</t>
  </si>
  <si>
    <t>DC Shunts</t>
  </si>
  <si>
    <t>%</t>
  </si>
  <si>
    <t>Start date</t>
  </si>
  <si>
    <t>Finish date</t>
  </si>
  <si>
    <t xml:space="preserve">D site </t>
  </si>
  <si>
    <t>C site</t>
  </si>
  <si>
    <t>FDR DC transmission</t>
  </si>
  <si>
    <t>D-site to C-site</t>
  </si>
  <si>
    <t>IN MAN HOURS</t>
  </si>
  <si>
    <t>Raki, FYI your current estimate of $6.2m that I just calculated ,</t>
  </si>
  <si>
    <t>de-escalates roughly to $5.27 in FY01$..Ron</t>
  </si>
  <si>
    <t>46- FCPCBuilding Modifications</t>
  </si>
  <si>
    <t>Based on Input from Mech./construction</t>
  </si>
  <si>
    <t>Mechanical Clearing</t>
  </si>
  <si>
    <t>Clear area in West wing from SPS cabinets to HVAC equipment (Elect)</t>
  </si>
  <si>
    <t>460-02</t>
  </si>
  <si>
    <t>460-01</t>
  </si>
  <si>
    <t>Floor &amp; Wall Penetrations</t>
  </si>
  <si>
    <t>Based on Input from Mech. (WBS-610)</t>
  </si>
  <si>
    <t>1 Wall penetration &amp; 20 floor penetrations</t>
  </si>
  <si>
    <t>460-03</t>
  </si>
  <si>
    <t>460-04</t>
  </si>
  <si>
    <t xml:space="preserve">Clear the small Vacuum prep lab </t>
  </si>
  <si>
    <t>raki rates</t>
  </si>
  <si>
    <t>Dm</t>
  </si>
  <si>
    <t>EADM</t>
  </si>
  <si>
    <t>cross check</t>
  </si>
  <si>
    <t>Estimate</t>
  </si>
  <si>
    <t>Cont $</t>
  </si>
  <si>
    <t>Estimate $</t>
  </si>
  <si>
    <t>TOTAL $</t>
  </si>
  <si>
    <t>NCSX CD-2 Cost Baseline Update Reconciliation</t>
  </si>
  <si>
    <t>Manager:</t>
  </si>
  <si>
    <t>WBS: 4</t>
  </si>
  <si>
    <t>Electrical Power Systems</t>
  </si>
  <si>
    <t>Raki Ramakrishnan</t>
  </si>
  <si>
    <t>CDR Base</t>
  </si>
  <si>
    <t>Revised Estimate</t>
  </si>
  <si>
    <t>Delta's</t>
  </si>
  <si>
    <t>46 - FCPC Building Modifications</t>
  </si>
  <si>
    <t>6/104</t>
  </si>
  <si>
    <t>Coil DC Cabling to Disconnect/Link Box (PCTB)</t>
  </si>
  <si>
    <t>G&amp;A (MHX)</t>
  </si>
  <si>
    <t>ron</t>
  </si>
  <si>
    <t>raki</t>
  </si>
  <si>
    <t>Design System</t>
  </si>
  <si>
    <t>Install Equipment &amp; Cabling</t>
  </si>
  <si>
    <t>Assemble in Rack</t>
  </si>
  <si>
    <t>Bench Test</t>
  </si>
  <si>
    <t>Buy &amp; Fabricate cards</t>
  </si>
  <si>
    <t>NCSX WBS 4 REVISED BASELINE ESTIMATE 8/14/03 ; WITH GFM ESTIMATE 01/19/04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</si>
</sst>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%"/>
    <numFmt numFmtId="178" formatCode="_(* #,##0.0_);_(* \(#,##0.0\);_(* &quot;-&quot;??_);_(@_)"/>
    <numFmt numFmtId="179" formatCode="_(* #,##0_);_(* \(#,##0\);_(* &quot;-&quot;??_);_(@_)"/>
    <numFmt numFmtId="180" formatCode="&quot;$&quot;#,##0"/>
    <numFmt numFmtId="181" formatCode="&quot;$&quot;#,##0.00"/>
  </numFmts>
  <fonts count="7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.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i/>
      <sz val="10"/>
      <name val="Geneva"/>
      <family val="0"/>
    </font>
    <font>
      <b/>
      <sz val="10"/>
      <name val="Geneva"/>
      <family val="0"/>
    </font>
    <font>
      <strike/>
      <sz val="9"/>
      <name val="Geneva"/>
      <family val="0"/>
    </font>
    <font>
      <sz val="9"/>
      <color indexed="10"/>
      <name val="Geneva"/>
      <family val="0"/>
    </font>
    <font>
      <strike/>
      <sz val="9"/>
      <color indexed="10"/>
      <name val="Geneva"/>
      <family val="0"/>
    </font>
    <font>
      <sz val="9"/>
      <color indexed="8"/>
      <name val="Geneva"/>
      <family val="0"/>
    </font>
    <font>
      <strike/>
      <sz val="9"/>
      <color indexed="8"/>
      <name val="Geneva"/>
      <family val="0"/>
    </font>
    <font>
      <sz val="8"/>
      <name val="Geneva"/>
      <family val="0"/>
    </font>
    <font>
      <b/>
      <i/>
      <sz val="9"/>
      <color indexed="39"/>
      <name val="Geneva"/>
      <family val="0"/>
    </font>
    <font>
      <i/>
      <sz val="8"/>
      <color indexed="39"/>
      <name val="Geneva"/>
      <family val="0"/>
    </font>
    <font>
      <i/>
      <sz val="9"/>
      <color indexed="39"/>
      <name val="Geneva"/>
      <family val="0"/>
    </font>
    <font>
      <sz val="9"/>
      <color indexed="39"/>
      <name val="Geneva"/>
      <family val="0"/>
    </font>
    <font>
      <sz val="11"/>
      <color indexed="39"/>
      <name val="Geneva"/>
      <family val="0"/>
    </font>
    <font>
      <i/>
      <sz val="12"/>
      <name val="Geneva"/>
      <family val="0"/>
    </font>
    <font>
      <sz val="9"/>
      <name val="Symbol"/>
      <family val="1"/>
    </font>
    <font>
      <b/>
      <i/>
      <sz val="10"/>
      <name val="Geneva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6"/>
      <name val="Arial"/>
      <family val="2"/>
    </font>
    <font>
      <i/>
      <sz val="11"/>
      <name val="Geneva"/>
      <family val="0"/>
    </font>
    <font>
      <b/>
      <i/>
      <sz val="11"/>
      <name val="Geneva"/>
      <family val="0"/>
    </font>
    <font>
      <b/>
      <i/>
      <sz val="12"/>
      <name val="Geneva"/>
      <family val="0"/>
    </font>
    <font>
      <sz val="12"/>
      <name val="Arial"/>
      <family val="2"/>
    </font>
    <font>
      <b/>
      <i/>
      <sz val="12"/>
      <color indexed="39"/>
      <name val="Geneva"/>
      <family val="0"/>
    </font>
    <font>
      <sz val="12"/>
      <color indexed="39"/>
      <name val="Arial"/>
      <family val="2"/>
    </font>
    <font>
      <i/>
      <sz val="12"/>
      <color indexed="10"/>
      <name val="Geneva"/>
      <family val="0"/>
    </font>
    <font>
      <sz val="12"/>
      <color indexed="10"/>
      <name val="Arial"/>
      <family val="2"/>
    </font>
    <font>
      <i/>
      <strike/>
      <sz val="12"/>
      <name val="Geneva"/>
      <family val="0"/>
    </font>
    <font>
      <strike/>
      <sz val="12"/>
      <name val="Arial"/>
      <family val="2"/>
    </font>
    <font>
      <i/>
      <strike/>
      <sz val="12"/>
      <color indexed="10"/>
      <name val="Geneva"/>
      <family val="0"/>
    </font>
    <font>
      <strike/>
      <sz val="12"/>
      <color indexed="10"/>
      <name val="Arial"/>
      <family val="2"/>
    </font>
    <font>
      <i/>
      <sz val="12"/>
      <color indexed="39"/>
      <name val="Geneva"/>
      <family val="0"/>
    </font>
    <font>
      <strike/>
      <sz val="12"/>
      <color indexed="8"/>
      <name val="Geneva"/>
      <family val="0"/>
    </font>
    <font>
      <strike/>
      <sz val="12"/>
      <color indexed="8"/>
      <name val="Arial"/>
      <family val="2"/>
    </font>
    <font>
      <strike/>
      <sz val="12"/>
      <color indexed="10"/>
      <name val="Geneva"/>
      <family val="0"/>
    </font>
    <font>
      <sz val="12"/>
      <color indexed="10"/>
      <name val="Geneva"/>
      <family val="0"/>
    </font>
    <font>
      <sz val="12"/>
      <name val="Geneva"/>
      <family val="0"/>
    </font>
    <font>
      <sz val="14"/>
      <name val="Geneva"/>
      <family val="0"/>
    </font>
    <font>
      <i/>
      <sz val="12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Geneva"/>
      <family val="0"/>
    </font>
    <font>
      <b/>
      <sz val="11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b/>
      <i/>
      <sz val="14"/>
      <name val="Geneva"/>
      <family val="0"/>
    </font>
    <font>
      <b/>
      <i/>
      <sz val="10"/>
      <color indexed="9"/>
      <name val="Geneva"/>
      <family val="0"/>
    </font>
    <font>
      <b/>
      <sz val="10"/>
      <color indexed="9"/>
      <name val="Geneva"/>
      <family val="0"/>
    </font>
    <font>
      <b/>
      <sz val="18"/>
      <name val="Geneva"/>
      <family val="0"/>
    </font>
    <font>
      <sz val="11"/>
      <color indexed="9"/>
      <name val="Geneva"/>
      <family val="0"/>
    </font>
    <font>
      <b/>
      <sz val="16"/>
      <name val="Geneva"/>
      <family val="0"/>
    </font>
    <font>
      <sz val="10"/>
      <color indexed="9"/>
      <name val="Geneva"/>
      <family val="0"/>
    </font>
    <font>
      <i/>
      <strike/>
      <sz val="12"/>
      <color indexed="53"/>
      <name val="Geneva"/>
      <family val="0"/>
    </font>
    <font>
      <strike/>
      <sz val="12"/>
      <color indexed="53"/>
      <name val="Arial"/>
      <family val="2"/>
    </font>
    <font>
      <i/>
      <strike/>
      <sz val="9"/>
      <color indexed="53"/>
      <name val="Geneva"/>
      <family val="0"/>
    </font>
    <font>
      <strike/>
      <sz val="9"/>
      <color indexed="53"/>
      <name val="Geneva"/>
      <family val="0"/>
    </font>
    <font>
      <i/>
      <sz val="12"/>
      <color indexed="53"/>
      <name val="Geneva"/>
      <family val="0"/>
    </font>
    <font>
      <i/>
      <sz val="12"/>
      <color indexed="53"/>
      <name val="Arial"/>
      <family val="2"/>
    </font>
    <font>
      <i/>
      <sz val="10"/>
      <color indexed="53"/>
      <name val="Geneva"/>
      <family val="0"/>
    </font>
    <font>
      <i/>
      <sz val="10"/>
      <color indexed="53"/>
      <name val="Arial"/>
      <family val="2"/>
    </font>
    <font>
      <i/>
      <sz val="9"/>
      <color indexed="53"/>
      <name val="Geneva"/>
      <family val="0"/>
    </font>
    <font>
      <i/>
      <sz val="12"/>
      <color indexed="33"/>
      <name val="Geneva"/>
      <family val="0"/>
    </font>
    <font>
      <sz val="12"/>
      <color indexed="33"/>
      <name val="Arial"/>
      <family val="2"/>
    </font>
    <font>
      <sz val="9"/>
      <color indexed="33"/>
      <name val="Geneva"/>
      <family val="0"/>
    </font>
    <font>
      <b/>
      <u val="single"/>
      <sz val="18"/>
      <color indexed="33"/>
      <name val="Arial"/>
      <family val="2"/>
    </font>
    <font>
      <b/>
      <sz val="8"/>
      <name val="Genev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 wrapText="1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1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4" fillId="0" borderId="3" xfId="0" applyNumberFormat="1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left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9" fillId="0" borderId="6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1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Fill="1" applyBorder="1" applyAlignment="1">
      <alignment/>
    </xf>
    <xf numFmtId="165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Border="1" applyAlignment="1">
      <alignment wrapText="1"/>
    </xf>
    <xf numFmtId="1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5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4" fontId="0" fillId="0" borderId="0" xfId="0" applyNumberFormat="1" applyBorder="1" applyAlignment="1">
      <alignment/>
    </xf>
    <xf numFmtId="14" fontId="1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4" fontId="11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14" fontId="19" fillId="0" borderId="0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1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wrapText="1"/>
    </xf>
    <xf numFmtId="1" fontId="19" fillId="0" borderId="0" xfId="0" applyNumberFormat="1" applyFont="1" applyBorder="1" applyAlignment="1">
      <alignment/>
    </xf>
    <xf numFmtId="0" fontId="21" fillId="3" borderId="0" xfId="0" applyFont="1" applyFill="1" applyBorder="1" applyAlignment="1">
      <alignment wrapText="1"/>
    </xf>
    <xf numFmtId="4" fontId="3" fillId="4" borderId="0" xfId="0" applyNumberFormat="1" applyFont="1" applyFill="1" applyBorder="1" applyAlignment="1">
      <alignment wrapText="1"/>
    </xf>
    <xf numFmtId="4" fontId="0" fillId="4" borderId="0" xfId="0" applyNumberFormat="1" applyFont="1" applyFill="1" applyBorder="1" applyAlignment="1">
      <alignment wrapText="1"/>
    </xf>
    <xf numFmtId="4" fontId="0" fillId="4" borderId="0" xfId="0" applyNumberFormat="1" applyFont="1" applyFill="1" applyBorder="1" applyAlignment="1">
      <alignment/>
    </xf>
    <xf numFmtId="4" fontId="0" fillId="4" borderId="0" xfId="0" applyNumberFormat="1" applyFill="1" applyAlignment="1">
      <alignment/>
    </xf>
    <xf numFmtId="4" fontId="0" fillId="4" borderId="0" xfId="0" applyNumberFormat="1" applyFont="1" applyFill="1" applyBorder="1" applyAlignment="1">
      <alignment/>
    </xf>
    <xf numFmtId="1" fontId="3" fillId="5" borderId="0" xfId="0" applyNumberFormat="1" applyFont="1" applyFill="1" applyBorder="1" applyAlignment="1">
      <alignment wrapText="1"/>
    </xf>
    <xf numFmtId="1" fontId="0" fillId="5" borderId="0" xfId="0" applyNumberFormat="1" applyFont="1" applyFill="1" applyBorder="1" applyAlignment="1">
      <alignment wrapText="1"/>
    </xf>
    <xf numFmtId="165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1" fontId="11" fillId="5" borderId="0" xfId="0" applyNumberFormat="1" applyFont="1" applyFill="1" applyBorder="1" applyAlignment="1">
      <alignment/>
    </xf>
    <xf numFmtId="1" fontId="10" fillId="5" borderId="0" xfId="0" applyNumberFormat="1" applyFont="1" applyFill="1" applyBorder="1" applyAlignment="1">
      <alignment/>
    </xf>
    <xf numFmtId="1" fontId="12" fillId="5" borderId="0" xfId="0" applyNumberFormat="1" applyFont="1" applyFill="1" applyBorder="1" applyAlignment="1">
      <alignment/>
    </xf>
    <xf numFmtId="1" fontId="19" fillId="5" borderId="0" xfId="0" applyNumberFormat="1" applyFont="1" applyFill="1" applyBorder="1" applyAlignment="1">
      <alignment/>
    </xf>
    <xf numFmtId="0" fontId="0" fillId="5" borderId="0" xfId="0" applyFill="1" applyAlignment="1">
      <alignment/>
    </xf>
    <xf numFmtId="1" fontId="22" fillId="0" borderId="0" xfId="0" applyNumberFormat="1" applyFont="1" applyBorder="1" applyAlignment="1">
      <alignment/>
    </xf>
    <xf numFmtId="1" fontId="1" fillId="3" borderId="0" xfId="0" applyNumberFormat="1" applyFont="1" applyFill="1" applyAlignment="1">
      <alignment/>
    </xf>
    <xf numFmtId="0" fontId="0" fillId="6" borderId="7" xfId="0" applyFont="1" applyFill="1" applyBorder="1" applyAlignment="1">
      <alignment wrapText="1"/>
    </xf>
    <xf numFmtId="0" fontId="0" fillId="5" borderId="7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14" fontId="11" fillId="0" borderId="8" xfId="0" applyNumberFormat="1" applyFont="1" applyBorder="1" applyAlignment="1">
      <alignment wrapText="1"/>
    </xf>
    <xf numFmtId="1" fontId="11" fillId="0" borderId="8" xfId="0" applyNumberFormat="1" applyFont="1" applyBorder="1" applyAlignment="1">
      <alignment wrapText="1"/>
    </xf>
    <xf numFmtId="1" fontId="11" fillId="0" borderId="8" xfId="0" applyNumberFormat="1" applyFont="1" applyBorder="1" applyAlignment="1">
      <alignment/>
    </xf>
    <xf numFmtId="165" fontId="11" fillId="0" borderId="8" xfId="0" applyNumberFormat="1" applyFont="1" applyBorder="1" applyAlignment="1">
      <alignment/>
    </xf>
    <xf numFmtId="1" fontId="11" fillId="5" borderId="8" xfId="0" applyNumberFormat="1" applyFont="1" applyFill="1" applyBorder="1" applyAlignment="1">
      <alignment/>
    </xf>
    <xf numFmtId="164" fontId="11" fillId="0" borderId="8" xfId="0" applyNumberFormat="1" applyFont="1" applyBorder="1" applyAlignment="1">
      <alignment/>
    </xf>
    <xf numFmtId="164" fontId="11" fillId="0" borderId="8" xfId="0" applyNumberFormat="1" applyFont="1" applyFill="1" applyBorder="1" applyAlignment="1">
      <alignment/>
    </xf>
    <xf numFmtId="0" fontId="10" fillId="0" borderId="8" xfId="0" applyFont="1" applyBorder="1" applyAlignment="1">
      <alignment wrapText="1"/>
    </xf>
    <xf numFmtId="1" fontId="10" fillId="0" borderId="8" xfId="0" applyNumberFormat="1" applyFont="1" applyBorder="1" applyAlignment="1">
      <alignment wrapText="1"/>
    </xf>
    <xf numFmtId="1" fontId="10" fillId="0" borderId="8" xfId="0" applyNumberFormat="1" applyFont="1" applyBorder="1" applyAlignment="1">
      <alignment/>
    </xf>
    <xf numFmtId="165" fontId="10" fillId="0" borderId="8" xfId="0" applyNumberFormat="1" applyFont="1" applyBorder="1" applyAlignment="1">
      <alignment/>
    </xf>
    <xf numFmtId="1" fontId="10" fillId="5" borderId="8" xfId="0" applyNumberFormat="1" applyFont="1" applyFill="1" applyBorder="1" applyAlignment="1">
      <alignment/>
    </xf>
    <xf numFmtId="164" fontId="10" fillId="0" borderId="8" xfId="0" applyNumberFormat="1" applyFont="1" applyBorder="1" applyAlignment="1">
      <alignment/>
    </xf>
    <xf numFmtId="164" fontId="10" fillId="0" borderId="8" xfId="0" applyNumberFormat="1" applyFont="1" applyFill="1" applyBorder="1" applyAlignment="1">
      <alignment/>
    </xf>
    <xf numFmtId="1" fontId="0" fillId="6" borderId="7" xfId="0" applyNumberFormat="1" applyFont="1" applyFill="1" applyBorder="1" applyAlignment="1">
      <alignment wrapText="1"/>
    </xf>
    <xf numFmtId="1" fontId="0" fillId="6" borderId="7" xfId="0" applyNumberFormat="1" applyFont="1" applyFill="1" applyBorder="1" applyAlignment="1">
      <alignment/>
    </xf>
    <xf numFmtId="165" fontId="0" fillId="6" borderId="7" xfId="0" applyNumberFormat="1" applyFont="1" applyFill="1" applyBorder="1" applyAlignment="1">
      <alignment/>
    </xf>
    <xf numFmtId="1" fontId="0" fillId="5" borderId="7" xfId="0" applyNumberFormat="1" applyFont="1" applyFill="1" applyBorder="1" applyAlignment="1">
      <alignment/>
    </xf>
    <xf numFmtId="164" fontId="0" fillId="6" borderId="7" xfId="0" applyNumberFormat="1" applyFont="1" applyFill="1" applyBorder="1" applyAlignment="1">
      <alignment/>
    </xf>
    <xf numFmtId="0" fontId="12" fillId="0" borderId="8" xfId="0" applyFont="1" applyBorder="1" applyAlignment="1">
      <alignment wrapText="1"/>
    </xf>
    <xf numFmtId="1" fontId="12" fillId="0" borderId="8" xfId="0" applyNumberFormat="1" applyFont="1" applyBorder="1" applyAlignment="1">
      <alignment wrapText="1"/>
    </xf>
    <xf numFmtId="1" fontId="12" fillId="0" borderId="8" xfId="0" applyNumberFormat="1" applyFont="1" applyBorder="1" applyAlignment="1">
      <alignment/>
    </xf>
    <xf numFmtId="165" fontId="12" fillId="0" borderId="8" xfId="0" applyNumberFormat="1" applyFont="1" applyBorder="1" applyAlignment="1">
      <alignment/>
    </xf>
    <xf numFmtId="1" fontId="12" fillId="5" borderId="8" xfId="0" applyNumberFormat="1" applyFont="1" applyFill="1" applyBorder="1" applyAlignment="1">
      <alignment/>
    </xf>
    <xf numFmtId="164" fontId="12" fillId="0" borderId="8" xfId="0" applyNumberFormat="1" applyFont="1" applyBorder="1" applyAlignment="1">
      <alignment/>
    </xf>
    <xf numFmtId="164" fontId="12" fillId="0" borderId="8" xfId="0" applyNumberFormat="1" applyFont="1" applyFill="1" applyBorder="1" applyAlignment="1">
      <alignment/>
    </xf>
    <xf numFmtId="0" fontId="0" fillId="0" borderId="8" xfId="0" applyFont="1" applyBorder="1" applyAlignment="1">
      <alignment wrapText="1"/>
    </xf>
    <xf numFmtId="1" fontId="0" fillId="0" borderId="8" xfId="0" applyNumberFormat="1" applyFont="1" applyBorder="1" applyAlignment="1">
      <alignment wrapText="1"/>
    </xf>
    <xf numFmtId="1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" fontId="0" fillId="5" borderId="8" xfId="0" applyNumberFormat="1" applyFont="1" applyFill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wrapText="1"/>
    </xf>
    <xf numFmtId="14" fontId="0" fillId="0" borderId="8" xfId="0" applyNumberFormat="1" applyFont="1" applyFill="1" applyBorder="1" applyAlignment="1">
      <alignment wrapText="1"/>
    </xf>
    <xf numFmtId="1" fontId="0" fillId="0" borderId="8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 wrapText="1"/>
    </xf>
    <xf numFmtId="165" fontId="0" fillId="0" borderId="8" xfId="0" applyNumberFormat="1" applyFont="1" applyFill="1" applyBorder="1" applyAlignment="1">
      <alignment/>
    </xf>
    <xf numFmtId="14" fontId="0" fillId="0" borderId="8" xfId="0" applyNumberFormat="1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2" fontId="0" fillId="0" borderId="8" xfId="0" applyNumberFormat="1" applyFont="1" applyFill="1" applyBorder="1" applyAlignment="1">
      <alignment wrapText="1"/>
    </xf>
    <xf numFmtId="1" fontId="0" fillId="0" borderId="8" xfId="0" applyNumberFormat="1" applyFont="1" applyBorder="1" applyAlignment="1">
      <alignment/>
    </xf>
    <xf numFmtId="2" fontId="0" fillId="6" borderId="7" xfId="0" applyNumberFormat="1" applyFont="1" applyFill="1" applyBorder="1" applyAlignment="1">
      <alignment wrapText="1"/>
    </xf>
    <xf numFmtId="0" fontId="11" fillId="6" borderId="7" xfId="0" applyFont="1" applyFill="1" applyBorder="1" applyAlignment="1">
      <alignment wrapText="1"/>
    </xf>
    <xf numFmtId="1" fontId="11" fillId="6" borderId="7" xfId="0" applyNumberFormat="1" applyFont="1" applyFill="1" applyBorder="1" applyAlignment="1">
      <alignment wrapText="1"/>
    </xf>
    <xf numFmtId="0" fontId="11" fillId="5" borderId="7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5" borderId="9" xfId="0" applyFont="1" applyFill="1" applyBorder="1" applyAlignment="1">
      <alignment wrapText="1"/>
    </xf>
    <xf numFmtId="4" fontId="2" fillId="4" borderId="10" xfId="0" applyNumberFormat="1" applyFont="1" applyFill="1" applyBorder="1" applyAlignment="1">
      <alignment wrapText="1"/>
    </xf>
    <xf numFmtId="4" fontId="0" fillId="4" borderId="11" xfId="0" applyNumberFormat="1" applyFont="1" applyFill="1" applyBorder="1" applyAlignment="1">
      <alignment wrapText="1"/>
    </xf>
    <xf numFmtId="4" fontId="0" fillId="4" borderId="12" xfId="0" applyNumberFormat="1" applyFont="1" applyFill="1" applyBorder="1" applyAlignment="1">
      <alignment/>
    </xf>
    <xf numFmtId="0" fontId="11" fillId="0" borderId="13" xfId="0" applyFont="1" applyBorder="1" applyAlignment="1">
      <alignment wrapText="1"/>
    </xf>
    <xf numFmtId="14" fontId="11" fillId="0" borderId="13" xfId="0" applyNumberFormat="1" applyFont="1" applyBorder="1" applyAlignment="1">
      <alignment wrapText="1"/>
    </xf>
    <xf numFmtId="1" fontId="11" fillId="0" borderId="13" xfId="0" applyNumberFormat="1" applyFont="1" applyBorder="1" applyAlignment="1">
      <alignment wrapText="1"/>
    </xf>
    <xf numFmtId="1" fontId="11" fillId="0" borderId="13" xfId="0" applyNumberFormat="1" applyFont="1" applyBorder="1" applyAlignment="1">
      <alignment/>
    </xf>
    <xf numFmtId="165" fontId="11" fillId="0" borderId="13" xfId="0" applyNumberFormat="1" applyFont="1" applyBorder="1" applyAlignment="1">
      <alignment/>
    </xf>
    <xf numFmtId="1" fontId="11" fillId="5" borderId="13" xfId="0" applyNumberFormat="1" applyFont="1" applyFill="1" applyBorder="1" applyAlignment="1">
      <alignment/>
    </xf>
    <xf numFmtId="164" fontId="11" fillId="0" borderId="13" xfId="0" applyNumberFormat="1" applyFont="1" applyBorder="1" applyAlignment="1">
      <alignment/>
    </xf>
    <xf numFmtId="164" fontId="11" fillId="0" borderId="13" xfId="0" applyNumberFormat="1" applyFont="1" applyFill="1" applyBorder="1" applyAlignment="1">
      <alignment/>
    </xf>
    <xf numFmtId="4" fontId="11" fillId="4" borderId="14" xfId="0" applyNumberFormat="1" applyFont="1" applyFill="1" applyBorder="1" applyAlignment="1">
      <alignment/>
    </xf>
    <xf numFmtId="4" fontId="10" fillId="4" borderId="15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4" fontId="12" fillId="4" borderId="12" xfId="0" applyNumberFormat="1" applyFont="1" applyFill="1" applyBorder="1" applyAlignment="1">
      <alignment/>
    </xf>
    <xf numFmtId="4" fontId="12" fillId="4" borderId="15" xfId="0" applyNumberFormat="1" applyFont="1" applyFill="1" applyBorder="1" applyAlignment="1">
      <alignment/>
    </xf>
    <xf numFmtId="4" fontId="11" fillId="4" borderId="12" xfId="0" applyNumberFormat="1" applyFont="1" applyFill="1" applyBorder="1" applyAlignment="1">
      <alignment/>
    </xf>
    <xf numFmtId="4" fontId="14" fillId="4" borderId="12" xfId="0" applyNumberFormat="1" applyFont="1" applyFill="1" applyBorder="1" applyAlignment="1">
      <alignment/>
    </xf>
    <xf numFmtId="4" fontId="0" fillId="4" borderId="15" xfId="0" applyNumberFormat="1" applyFont="1" applyFill="1" applyBorder="1" applyAlignment="1">
      <alignment/>
    </xf>
    <xf numFmtId="0" fontId="10" fillId="0" borderId="13" xfId="0" applyFont="1" applyBorder="1" applyAlignment="1">
      <alignment wrapText="1"/>
    </xf>
    <xf numFmtId="1" fontId="10" fillId="0" borderId="13" xfId="0" applyNumberFormat="1" applyFont="1" applyBorder="1" applyAlignment="1">
      <alignment wrapText="1"/>
    </xf>
    <xf numFmtId="1" fontId="10" fillId="0" borderId="13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0" fillId="0" borderId="13" xfId="0" applyNumberFormat="1" applyFont="1" applyFill="1" applyBorder="1" applyAlignment="1">
      <alignment/>
    </xf>
    <xf numFmtId="4" fontId="19" fillId="4" borderId="12" xfId="0" applyNumberFormat="1" applyFont="1" applyFill="1" applyBorder="1" applyAlignment="1">
      <alignment/>
    </xf>
    <xf numFmtId="4" fontId="11" fillId="4" borderId="11" xfId="0" applyNumberFormat="1" applyFont="1" applyFill="1" applyBorder="1" applyAlignment="1">
      <alignment wrapText="1"/>
    </xf>
    <xf numFmtId="4" fontId="11" fillId="4" borderId="15" xfId="0" applyNumberFormat="1" applyFont="1" applyFill="1" applyBorder="1" applyAlignment="1">
      <alignment/>
    </xf>
    <xf numFmtId="4" fontId="10" fillId="4" borderId="12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164" fontId="32" fillId="0" borderId="0" xfId="0" applyNumberFormat="1" applyFont="1" applyBorder="1" applyAlignment="1">
      <alignment wrapText="1"/>
    </xf>
    <xf numFmtId="0" fontId="31" fillId="2" borderId="16" xfId="0" applyFont="1" applyFill="1" applyBorder="1" applyAlignment="1">
      <alignment wrapText="1"/>
    </xf>
    <xf numFmtId="164" fontId="32" fillId="5" borderId="9" xfId="0" applyNumberFormat="1" applyFont="1" applyFill="1" applyBorder="1" applyAlignment="1">
      <alignment wrapText="1"/>
    </xf>
    <xf numFmtId="164" fontId="32" fillId="4" borderId="9" xfId="0" applyNumberFormat="1" applyFont="1" applyFill="1" applyBorder="1" applyAlignment="1">
      <alignment wrapText="1"/>
    </xf>
    <xf numFmtId="164" fontId="32" fillId="2" borderId="9" xfId="0" applyNumberFormat="1" applyFont="1" applyFill="1" applyBorder="1" applyAlignment="1">
      <alignment wrapText="1"/>
    </xf>
    <xf numFmtId="0" fontId="21" fillId="0" borderId="17" xfId="0" applyFont="1" applyFill="1" applyBorder="1" applyAlignment="1">
      <alignment wrapText="1"/>
    </xf>
    <xf numFmtId="164" fontId="32" fillId="6" borderId="18" xfId="0" applyNumberFormat="1" applyFont="1" applyFill="1" applyBorder="1" applyAlignment="1">
      <alignment wrapText="1"/>
    </xf>
    <xf numFmtId="164" fontId="32" fillId="5" borderId="7" xfId="0" applyNumberFormat="1" applyFont="1" applyFill="1" applyBorder="1" applyAlignment="1">
      <alignment wrapText="1"/>
    </xf>
    <xf numFmtId="164" fontId="32" fillId="4" borderId="7" xfId="0" applyNumberFormat="1" applyFont="1" applyFill="1" applyBorder="1" applyAlignment="1">
      <alignment wrapText="1"/>
    </xf>
    <xf numFmtId="0" fontId="21" fillId="0" borderId="17" xfId="0" applyFont="1" applyBorder="1" applyAlignment="1">
      <alignment wrapText="1"/>
    </xf>
    <xf numFmtId="164" fontId="32" fillId="0" borderId="19" xfId="0" applyNumberFormat="1" applyFont="1" applyBorder="1" applyAlignment="1">
      <alignment wrapText="1"/>
    </xf>
    <xf numFmtId="0" fontId="35" fillId="0" borderId="20" xfId="0" applyFont="1" applyBorder="1" applyAlignment="1">
      <alignment wrapText="1"/>
    </xf>
    <xf numFmtId="164" fontId="36" fillId="0" borderId="21" xfId="0" applyNumberFormat="1" applyFont="1" applyBorder="1" applyAlignment="1">
      <alignment wrapText="1"/>
    </xf>
    <xf numFmtId="164" fontId="36" fillId="0" borderId="13" xfId="0" applyNumberFormat="1" applyFont="1" applyBorder="1" applyAlignment="1">
      <alignment wrapText="1"/>
    </xf>
    <xf numFmtId="0" fontId="37" fillId="0" borderId="17" xfId="0" applyFont="1" applyBorder="1" applyAlignment="1">
      <alignment wrapText="1"/>
    </xf>
    <xf numFmtId="164" fontId="38" fillId="0" borderId="22" xfId="0" applyNumberFormat="1" applyFont="1" applyBorder="1" applyAlignment="1">
      <alignment wrapText="1"/>
    </xf>
    <xf numFmtId="164" fontId="38" fillId="0" borderId="8" xfId="0" applyNumberFormat="1" applyFont="1" applyBorder="1" applyAlignment="1">
      <alignment wrapText="1"/>
    </xf>
    <xf numFmtId="0" fontId="39" fillId="0" borderId="17" xfId="0" applyFont="1" applyBorder="1" applyAlignment="1">
      <alignment wrapText="1"/>
    </xf>
    <xf numFmtId="164" fontId="40" fillId="0" borderId="19" xfId="0" applyNumberFormat="1" applyFont="1" applyBorder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40" fillId="0" borderId="22" xfId="0" applyNumberFormat="1" applyFont="1" applyBorder="1" applyAlignment="1">
      <alignment wrapText="1"/>
    </xf>
    <xf numFmtId="164" fontId="40" fillId="0" borderId="8" xfId="0" applyNumberFormat="1" applyFont="1" applyBorder="1" applyAlignment="1">
      <alignment wrapText="1"/>
    </xf>
    <xf numFmtId="0" fontId="41" fillId="0" borderId="17" xfId="0" applyFont="1" applyBorder="1" applyAlignment="1">
      <alignment wrapText="1"/>
    </xf>
    <xf numFmtId="164" fontId="34" fillId="0" borderId="19" xfId="0" applyNumberFormat="1" applyFont="1" applyBorder="1" applyAlignment="1">
      <alignment wrapText="1"/>
    </xf>
    <xf numFmtId="164" fontId="34" fillId="0" borderId="0" xfId="0" applyNumberFormat="1" applyFont="1" applyBorder="1" applyAlignment="1">
      <alignment wrapText="1"/>
    </xf>
    <xf numFmtId="164" fontId="36" fillId="0" borderId="19" xfId="0" applyNumberFormat="1" applyFont="1" applyBorder="1" applyAlignment="1">
      <alignment wrapText="1"/>
    </xf>
    <xf numFmtId="164" fontId="36" fillId="0" borderId="0" xfId="0" applyNumberFormat="1" applyFont="1" applyBorder="1" applyAlignment="1">
      <alignment wrapText="1"/>
    </xf>
    <xf numFmtId="0" fontId="42" fillId="0" borderId="17" xfId="0" applyFont="1" applyFill="1" applyBorder="1" applyAlignment="1">
      <alignment wrapText="1"/>
    </xf>
    <xf numFmtId="164" fontId="43" fillId="0" borderId="19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wrapText="1"/>
    </xf>
    <xf numFmtId="164" fontId="32" fillId="0" borderId="0" xfId="0" applyNumberFormat="1" applyFont="1" applyBorder="1" applyAlignment="1">
      <alignment/>
    </xf>
    <xf numFmtId="0" fontId="44" fillId="0" borderId="17" xfId="0" applyFont="1" applyFill="1" applyBorder="1" applyAlignment="1">
      <alignment wrapText="1"/>
    </xf>
    <xf numFmtId="164" fontId="40" fillId="0" borderId="19" xfId="0" applyNumberFormat="1" applyFont="1" applyFill="1" applyBorder="1" applyAlignment="1">
      <alignment wrapText="1"/>
    </xf>
    <xf numFmtId="164" fontId="40" fillId="0" borderId="0" xfId="0" applyNumberFormat="1" applyFont="1" applyFill="1" applyBorder="1" applyAlignment="1">
      <alignment wrapText="1"/>
    </xf>
    <xf numFmtId="0" fontId="21" fillId="0" borderId="20" xfId="0" applyFont="1" applyBorder="1" applyAlignment="1">
      <alignment wrapText="1"/>
    </xf>
    <xf numFmtId="164" fontId="32" fillId="0" borderId="21" xfId="0" applyNumberFormat="1" applyFont="1" applyBorder="1" applyAlignment="1">
      <alignment wrapText="1"/>
    </xf>
    <xf numFmtId="164" fontId="32" fillId="0" borderId="13" xfId="0" applyNumberFormat="1" applyFont="1" applyBorder="1" applyAlignment="1">
      <alignment wrapText="1"/>
    </xf>
    <xf numFmtId="164" fontId="32" fillId="0" borderId="22" xfId="0" applyNumberFormat="1" applyFont="1" applyBorder="1" applyAlignment="1">
      <alignment wrapText="1"/>
    </xf>
    <xf numFmtId="164" fontId="32" fillId="0" borderId="8" xfId="0" applyNumberFormat="1" applyFont="1" applyBorder="1" applyAlignment="1">
      <alignment wrapText="1"/>
    </xf>
    <xf numFmtId="164" fontId="32" fillId="0" borderId="22" xfId="0" applyNumberFormat="1" applyFont="1" applyFill="1" applyBorder="1" applyAlignment="1">
      <alignment wrapText="1"/>
    </xf>
    <xf numFmtId="164" fontId="32" fillId="0" borderId="8" xfId="0" applyNumberFormat="1" applyFont="1" applyFill="1" applyBorder="1" applyAlignment="1">
      <alignment wrapText="1"/>
    </xf>
    <xf numFmtId="0" fontId="37" fillId="0" borderId="20" xfId="0" applyFont="1" applyBorder="1" applyAlignment="1">
      <alignment wrapText="1"/>
    </xf>
    <xf numFmtId="164" fontId="38" fillId="0" borderId="21" xfId="0" applyNumberFormat="1" applyFont="1" applyBorder="1" applyAlignment="1">
      <alignment wrapText="1"/>
    </xf>
    <xf numFmtId="164" fontId="38" fillId="0" borderId="13" xfId="0" applyNumberFormat="1" applyFont="1" applyBorder="1" applyAlignment="1">
      <alignment wrapText="1"/>
    </xf>
    <xf numFmtId="164" fontId="34" fillId="0" borderId="0" xfId="0" applyNumberFormat="1" applyFont="1" applyFill="1" applyBorder="1" applyAlignment="1">
      <alignment wrapText="1"/>
    </xf>
    <xf numFmtId="164" fontId="32" fillId="0" borderId="0" xfId="0" applyNumberFormat="1" applyFont="1" applyBorder="1" applyAlignment="1">
      <alignment horizontal="left" wrapText="1"/>
    </xf>
    <xf numFmtId="164" fontId="32" fillId="0" borderId="8" xfId="0" applyNumberFormat="1" applyFont="1" applyBorder="1" applyAlignment="1">
      <alignment horizontal="left" wrapText="1"/>
    </xf>
    <xf numFmtId="0" fontId="45" fillId="0" borderId="17" xfId="0" applyFont="1" applyBorder="1" applyAlignment="1">
      <alignment wrapText="1"/>
    </xf>
    <xf numFmtId="164" fontId="36" fillId="6" borderId="18" xfId="0" applyNumberFormat="1" applyFont="1" applyFill="1" applyBorder="1" applyAlignment="1">
      <alignment wrapText="1"/>
    </xf>
    <xf numFmtId="164" fontId="36" fillId="0" borderId="22" xfId="0" applyNumberFormat="1" applyFont="1" applyBorder="1" applyAlignment="1">
      <alignment wrapText="1"/>
    </xf>
    <xf numFmtId="164" fontId="36" fillId="0" borderId="8" xfId="0" applyNumberFormat="1" applyFont="1" applyBorder="1" applyAlignment="1">
      <alignment wrapText="1"/>
    </xf>
    <xf numFmtId="164" fontId="32" fillId="0" borderId="19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38" fillId="0" borderId="19" xfId="0" applyNumberFormat="1" applyFont="1" applyBorder="1" applyAlignment="1">
      <alignment wrapText="1"/>
    </xf>
    <xf numFmtId="164" fontId="38" fillId="0" borderId="0" xfId="0" applyNumberFormat="1" applyFont="1" applyBorder="1" applyAlignment="1">
      <alignment wrapText="1"/>
    </xf>
    <xf numFmtId="0" fontId="31" fillId="3" borderId="0" xfId="0" applyFont="1" applyFill="1" applyBorder="1" applyAlignment="1">
      <alignment wrapText="1"/>
    </xf>
    <xf numFmtId="165" fontId="25" fillId="0" borderId="0" xfId="0" applyNumberFormat="1" applyFont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/>
    </xf>
    <xf numFmtId="164" fontId="32" fillId="0" borderId="0" xfId="0" applyNumberFormat="1" applyFont="1" applyAlignment="1">
      <alignment/>
    </xf>
    <xf numFmtId="0" fontId="28" fillId="0" borderId="0" xfId="0" applyFont="1" applyFill="1" applyAlignment="1">
      <alignment horizontal="left" vertical="top"/>
    </xf>
    <xf numFmtId="0" fontId="0" fillId="0" borderId="0" xfId="0" applyFill="1" applyAlignment="1">
      <alignment horizontal="centerContinuous" vertical="top"/>
    </xf>
    <xf numFmtId="0" fontId="46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horizontal="centerContinuous" vertical="top"/>
    </xf>
    <xf numFmtId="179" fontId="2" fillId="0" borderId="0" xfId="15" applyNumberFormat="1" applyFont="1" applyFill="1" applyAlignment="1">
      <alignment horizontal="centerContinuous" vertical="top"/>
    </xf>
    <xf numFmtId="180" fontId="47" fillId="0" borderId="0" xfId="0" applyNumberFormat="1" applyFont="1" applyFill="1" applyAlignment="1">
      <alignment horizontal="centerContinuous" vertical="top"/>
    </xf>
    <xf numFmtId="181" fontId="0" fillId="0" borderId="0" xfId="0" applyNumberFormat="1" applyFill="1" applyAlignment="1">
      <alignment horizontal="centerContinuous" vertical="top"/>
    </xf>
    <xf numFmtId="179" fontId="0" fillId="0" borderId="0" xfId="15" applyNumberFormat="1" applyFill="1" applyAlignment="1">
      <alignment horizontal="centerContinuous" vertical="top"/>
    </xf>
    <xf numFmtId="180" fontId="46" fillId="0" borderId="0" xfId="0" applyNumberFormat="1" applyFont="1" applyFill="1" applyAlignment="1">
      <alignment horizontal="centerContinuous" vertical="top"/>
    </xf>
    <xf numFmtId="181" fontId="2" fillId="0" borderId="0" xfId="0" applyNumberFormat="1" applyFont="1" applyFill="1" applyAlignment="1">
      <alignment horizontal="centerContinuous" vertical="top"/>
    </xf>
    <xf numFmtId="0" fontId="2" fillId="0" borderId="0" xfId="0" applyFont="1" applyFill="1" applyAlignment="1">
      <alignment vertical="top"/>
    </xf>
    <xf numFmtId="180" fontId="0" fillId="0" borderId="0" xfId="0" applyNumberFormat="1" applyFill="1" applyBorder="1" applyAlignment="1">
      <alignment horizontal="centerContinuous" vertical="top"/>
    </xf>
    <xf numFmtId="0" fontId="0" fillId="0" borderId="0" xfId="0" applyFill="1" applyAlignment="1">
      <alignment vertical="top"/>
    </xf>
    <xf numFmtId="0" fontId="25" fillId="0" borderId="23" xfId="0" applyFont="1" applyFill="1" applyBorder="1" applyAlignment="1">
      <alignment vertical="top"/>
    </xf>
    <xf numFmtId="0" fontId="32" fillId="0" borderId="23" xfId="0" applyFont="1" applyFill="1" applyBorder="1" applyAlignment="1">
      <alignment vertical="top"/>
    </xf>
    <xf numFmtId="0" fontId="48" fillId="0" borderId="23" xfId="0" applyFont="1" applyFill="1" applyBorder="1" applyAlignment="1">
      <alignment vertical="top"/>
    </xf>
    <xf numFmtId="179" fontId="49" fillId="0" borderId="0" xfId="15" applyNumberFormat="1" applyFont="1" applyFill="1" applyBorder="1" applyAlignment="1">
      <alignment horizontal="centerContinuous" vertical="top" wrapText="1"/>
    </xf>
    <xf numFmtId="180" fontId="27" fillId="0" borderId="0" xfId="15" applyNumberFormat="1" applyFont="1" applyFill="1" applyBorder="1" applyAlignment="1">
      <alignment horizontal="centerContinuous" vertical="top" wrapText="1"/>
    </xf>
    <xf numFmtId="179" fontId="27" fillId="0" borderId="0" xfId="15" applyNumberFormat="1" applyFont="1" applyFill="1" applyBorder="1" applyAlignment="1">
      <alignment horizontal="centerContinuous" vertical="top" wrapText="1"/>
    </xf>
    <xf numFmtId="180" fontId="26" fillId="0" borderId="0" xfId="0" applyNumberFormat="1" applyFont="1" applyFill="1" applyBorder="1" applyAlignment="1">
      <alignment horizontal="centerContinuous" vertical="top" wrapText="1"/>
    </xf>
    <xf numFmtId="181" fontId="50" fillId="0" borderId="0" xfId="0" applyNumberFormat="1" applyFont="1" applyFill="1" applyAlignment="1">
      <alignment vertical="top"/>
    </xf>
    <xf numFmtId="0" fontId="50" fillId="0" borderId="0" xfId="0" applyFont="1" applyFill="1" applyAlignment="1">
      <alignment vertical="top"/>
    </xf>
    <xf numFmtId="0" fontId="51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52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181" fontId="46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>
      <alignment vertical="top"/>
    </xf>
    <xf numFmtId="179" fontId="2" fillId="0" borderId="0" xfId="15" applyNumberFormat="1" applyFont="1" applyFill="1" applyBorder="1" applyAlignment="1">
      <alignment vertical="top"/>
    </xf>
    <xf numFmtId="180" fontId="47" fillId="0" borderId="0" xfId="0" applyNumberFormat="1" applyFont="1" applyFill="1" applyBorder="1" applyAlignment="1">
      <alignment vertical="top"/>
    </xf>
    <xf numFmtId="181" fontId="0" fillId="0" borderId="0" xfId="0" applyNumberFormat="1" applyFill="1" applyBorder="1" applyAlignment="1">
      <alignment vertical="top"/>
    </xf>
    <xf numFmtId="179" fontId="0" fillId="0" borderId="0" xfId="15" applyNumberFormat="1" applyFill="1" applyBorder="1" applyAlignment="1">
      <alignment vertical="top"/>
    </xf>
    <xf numFmtId="180" fontId="46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Alignment="1">
      <alignment vertical="top"/>
    </xf>
    <xf numFmtId="180" fontId="0" fillId="0" borderId="0" xfId="0" applyNumberFormat="1" applyFill="1" applyBorder="1" applyAlignment="1">
      <alignment vertical="top"/>
    </xf>
    <xf numFmtId="1" fontId="5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8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1" fontId="46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1" fontId="53" fillId="0" borderId="0" xfId="0" applyNumberFormat="1" applyFont="1" applyFill="1" applyBorder="1" applyAlignment="1">
      <alignment/>
    </xf>
    <xf numFmtId="1" fontId="53" fillId="0" borderId="0" xfId="0" applyNumberFormat="1" applyFont="1" applyFill="1" applyAlignment="1">
      <alignment horizontal="left"/>
    </xf>
    <xf numFmtId="10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wrapText="1"/>
    </xf>
    <xf numFmtId="1" fontId="53" fillId="0" borderId="18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1" fontId="54" fillId="0" borderId="24" xfId="0" applyNumberFormat="1" applyFont="1" applyBorder="1" applyAlignment="1">
      <alignment horizontal="centerContinuous" wrapText="1"/>
    </xf>
    <xf numFmtId="1" fontId="55" fillId="0" borderId="25" xfId="0" applyNumberFormat="1" applyFont="1" applyBorder="1" applyAlignment="1">
      <alignment horizontal="centerContinuous" wrapText="1"/>
    </xf>
    <xf numFmtId="1" fontId="56" fillId="0" borderId="25" xfId="0" applyNumberFormat="1" applyFont="1" applyBorder="1" applyAlignment="1">
      <alignment horizontal="centerContinuous" wrapText="1"/>
    </xf>
    <xf numFmtId="1" fontId="56" fillId="0" borderId="25" xfId="0" applyNumberFormat="1" applyFont="1" applyFill="1" applyBorder="1" applyAlignment="1">
      <alignment horizontal="centerContinuous" wrapText="1"/>
    </xf>
    <xf numFmtId="1" fontId="54" fillId="0" borderId="26" xfId="0" applyNumberFormat="1" applyFont="1" applyFill="1" applyBorder="1" applyAlignment="1">
      <alignment horizontal="centerContinuous" wrapText="1"/>
    </xf>
    <xf numFmtId="1" fontId="9" fillId="7" borderId="7" xfId="0" applyNumberFormat="1" applyFont="1" applyFill="1" applyBorder="1" applyAlignment="1">
      <alignment/>
    </xf>
    <xf numFmtId="1" fontId="54" fillId="0" borderId="24" xfId="0" applyNumberFormat="1" applyFont="1" applyFill="1" applyBorder="1" applyAlignment="1">
      <alignment horizontal="centerContinuous" wrapText="1"/>
    </xf>
    <xf numFmtId="1" fontId="55" fillId="0" borderId="25" xfId="0" applyNumberFormat="1" applyFont="1" applyFill="1" applyBorder="1" applyAlignment="1">
      <alignment horizontal="centerContinuous" wrapText="1"/>
    </xf>
    <xf numFmtId="1" fontId="54" fillId="0" borderId="0" xfId="0" applyNumberFormat="1" applyFont="1" applyFill="1" applyBorder="1" applyAlignment="1">
      <alignment horizontal="centerContinuous" wrapText="1"/>
    </xf>
    <xf numFmtId="1" fontId="54" fillId="0" borderId="27" xfId="0" applyNumberFormat="1" applyFont="1" applyFill="1" applyBorder="1" applyAlignment="1">
      <alignment horizontal="centerContinuous" wrapText="1"/>
    </xf>
    <xf numFmtId="1" fontId="9" fillId="0" borderId="0" xfId="0" applyNumberFormat="1" applyFont="1" applyFill="1" applyAlignment="1">
      <alignment horizontal="left"/>
    </xf>
    <xf numFmtId="10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/>
    </xf>
    <xf numFmtId="1" fontId="53" fillId="0" borderId="28" xfId="0" applyNumberFormat="1" applyFont="1" applyBorder="1" applyAlignment="1">
      <alignment/>
    </xf>
    <xf numFmtId="1" fontId="46" fillId="0" borderId="29" xfId="0" applyNumberFormat="1" applyFont="1" applyBorder="1" applyAlignment="1">
      <alignment horizontal="left"/>
    </xf>
    <xf numFmtId="10" fontId="8" fillId="0" borderId="6" xfId="0" applyNumberFormat="1" applyFont="1" applyBorder="1" applyAlignment="1">
      <alignment horizontal="left"/>
    </xf>
    <xf numFmtId="1" fontId="8" fillId="0" borderId="6" xfId="0" applyNumberFormat="1" applyFont="1" applyFill="1" applyBorder="1" applyAlignment="1">
      <alignment horizontal="left"/>
    </xf>
    <xf numFmtId="1" fontId="54" fillId="5" borderId="6" xfId="0" applyNumberFormat="1" applyFont="1" applyFill="1" applyBorder="1" applyAlignment="1">
      <alignment/>
    </xf>
    <xf numFmtId="1" fontId="4" fillId="7" borderId="0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left"/>
    </xf>
    <xf numFmtId="1" fontId="46" fillId="0" borderId="29" xfId="0" applyNumberFormat="1" applyFont="1" applyFill="1" applyBorder="1" applyAlignment="1">
      <alignment horizontal="left"/>
    </xf>
    <xf numFmtId="1" fontId="53" fillId="0" borderId="30" xfId="0" applyNumberFormat="1" applyFont="1" applyFill="1" applyBorder="1" applyAlignment="1">
      <alignment/>
    </xf>
    <xf numFmtId="1" fontId="53" fillId="0" borderId="26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31" xfId="0" applyNumberFormat="1" applyFont="1" applyFill="1" applyBorder="1" applyAlignment="1">
      <alignment horizontal="left"/>
    </xf>
    <xf numFmtId="1" fontId="4" fillId="0" borderId="32" xfId="0" applyNumberFormat="1" applyFont="1" applyFill="1" applyBorder="1" applyAlignment="1">
      <alignment horizontal="left"/>
    </xf>
    <xf numFmtId="10" fontId="4" fillId="0" borderId="33" xfId="0" applyNumberFormat="1" applyFont="1" applyFill="1" applyBorder="1" applyAlignment="1">
      <alignment horizontal="left"/>
    </xf>
    <xf numFmtId="1" fontId="4" fillId="0" borderId="34" xfId="0" applyNumberFormat="1" applyFont="1" applyFill="1" applyBorder="1" applyAlignment="1">
      <alignment horizontal="left"/>
    </xf>
    <xf numFmtId="1" fontId="4" fillId="0" borderId="33" xfId="0" applyNumberFormat="1" applyFont="1" applyFill="1" applyBorder="1" applyAlignment="1">
      <alignment horizontal="left"/>
    </xf>
    <xf numFmtId="1" fontId="4" fillId="0" borderId="35" xfId="0" applyNumberFormat="1" applyFont="1" applyFill="1" applyBorder="1" applyAlignment="1">
      <alignment wrapText="1"/>
    </xf>
    <xf numFmtId="1" fontId="57" fillId="0" borderId="23" xfId="0" applyNumberFormat="1" applyFont="1" applyBorder="1" applyAlignment="1">
      <alignment/>
    </xf>
    <xf numFmtId="1" fontId="21" fillId="0" borderId="23" xfId="0" applyNumberFormat="1" applyFont="1" applyBorder="1" applyAlignment="1">
      <alignment/>
    </xf>
    <xf numFmtId="1" fontId="8" fillId="0" borderId="23" xfId="0" applyNumberFormat="1" applyFont="1" applyBorder="1" applyAlignment="1">
      <alignment/>
    </xf>
    <xf numFmtId="1" fontId="8" fillId="0" borderId="23" xfId="0" applyNumberFormat="1" applyFont="1" applyFill="1" applyBorder="1" applyAlignment="1">
      <alignment/>
    </xf>
    <xf numFmtId="1" fontId="56" fillId="5" borderId="23" xfId="0" applyNumberFormat="1" applyFont="1" applyFill="1" applyBorder="1" applyAlignment="1">
      <alignment/>
    </xf>
    <xf numFmtId="1" fontId="8" fillId="7" borderId="36" xfId="0" applyNumberFormat="1" applyFont="1" applyFill="1" applyBorder="1" applyAlignment="1">
      <alignment/>
    </xf>
    <xf numFmtId="1" fontId="57" fillId="0" borderId="37" xfId="0" applyNumberFormat="1" applyFont="1" applyFill="1" applyBorder="1" applyAlignment="1">
      <alignment horizontal="left"/>
    </xf>
    <xf numFmtId="1" fontId="21" fillId="0" borderId="38" xfId="0" applyNumberFormat="1" applyFont="1" applyFill="1" applyBorder="1" applyAlignment="1">
      <alignment horizontal="left"/>
    </xf>
    <xf numFmtId="1" fontId="8" fillId="0" borderId="23" xfId="0" applyNumberFormat="1" applyFont="1" applyFill="1" applyBorder="1" applyAlignment="1">
      <alignment horizontal="left"/>
    </xf>
    <xf numFmtId="1" fontId="56" fillId="5" borderId="39" xfId="0" applyNumberFormat="1" applyFont="1" applyFill="1" applyBorder="1" applyAlignment="1">
      <alignment/>
    </xf>
    <xf numFmtId="1" fontId="30" fillId="0" borderId="0" xfId="0" applyNumberFormat="1" applyFont="1" applyFill="1" applyBorder="1" applyAlignment="1">
      <alignment/>
    </xf>
    <xf numFmtId="1" fontId="30" fillId="0" borderId="40" xfId="0" applyNumberFormat="1" applyFont="1" applyFill="1" applyBorder="1" applyAlignment="1">
      <alignment/>
    </xf>
    <xf numFmtId="1" fontId="30" fillId="0" borderId="39" xfId="0" applyNumberFormat="1" applyFont="1" applyFill="1" applyBorder="1" applyAlignment="1">
      <alignment horizontal="left"/>
    </xf>
    <xf numFmtId="1" fontId="8" fillId="0" borderId="36" xfId="0" applyNumberFormat="1" applyFont="1" applyFill="1" applyBorder="1" applyAlignment="1">
      <alignment horizontal="left"/>
    </xf>
    <xf numFmtId="1" fontId="8" fillId="0" borderId="2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10" fontId="8" fillId="0" borderId="41" xfId="0" applyNumberFormat="1" applyFont="1" applyFill="1" applyBorder="1" applyAlignment="1">
      <alignment horizontal="left"/>
    </xf>
    <xf numFmtId="1" fontId="8" fillId="0" borderId="28" xfId="0" applyNumberFormat="1" applyFont="1" applyFill="1" applyBorder="1" applyAlignment="1">
      <alignment horizontal="left"/>
    </xf>
    <xf numFmtId="1" fontId="8" fillId="0" borderId="41" xfId="0" applyNumberFormat="1" applyFont="1" applyFill="1" applyBorder="1" applyAlignment="1">
      <alignment horizontal="left"/>
    </xf>
    <xf numFmtId="1" fontId="8" fillId="0" borderId="35" xfId="0" applyNumberFormat="1" applyFont="1" applyFill="1" applyBorder="1" applyAlignment="1">
      <alignment wrapText="1"/>
    </xf>
    <xf numFmtId="1" fontId="58" fillId="0" borderId="36" xfId="0" applyNumberFormat="1" applyFont="1" applyBorder="1" applyAlignment="1">
      <alignment/>
    </xf>
    <xf numFmtId="179" fontId="46" fillId="0" borderId="36" xfId="15" applyNumberFormat="1" applyFont="1" applyBorder="1" applyAlignment="1">
      <alignment/>
    </xf>
    <xf numFmtId="177" fontId="8" fillId="0" borderId="36" xfId="21" applyNumberFormat="1" applyFont="1" applyBorder="1" applyAlignment="1">
      <alignment/>
    </xf>
    <xf numFmtId="179" fontId="8" fillId="0" borderId="36" xfId="15" applyNumberFormat="1" applyFont="1" applyFill="1" applyBorder="1" applyAlignment="1">
      <alignment/>
    </xf>
    <xf numFmtId="179" fontId="54" fillId="5" borderId="36" xfId="15" applyNumberFormat="1" applyFont="1" applyFill="1" applyBorder="1" applyAlignment="1">
      <alignment/>
    </xf>
    <xf numFmtId="179" fontId="4" fillId="7" borderId="36" xfId="15" applyNumberFormat="1" applyFont="1" applyFill="1" applyBorder="1" applyAlignment="1">
      <alignment/>
    </xf>
    <xf numFmtId="179" fontId="58" fillId="0" borderId="28" xfId="15" applyNumberFormat="1" applyFont="1" applyFill="1" applyBorder="1" applyAlignment="1">
      <alignment horizontal="left"/>
    </xf>
    <xf numFmtId="179" fontId="46" fillId="0" borderId="41" xfId="15" applyNumberFormat="1" applyFont="1" applyFill="1" applyBorder="1" applyAlignment="1">
      <alignment horizontal="left"/>
    </xf>
    <xf numFmtId="177" fontId="8" fillId="0" borderId="36" xfId="21" applyNumberFormat="1" applyFont="1" applyFill="1" applyBorder="1" applyAlignment="1">
      <alignment horizontal="left"/>
    </xf>
    <xf numFmtId="179" fontId="8" fillId="0" borderId="36" xfId="15" applyNumberFormat="1" applyFont="1" applyFill="1" applyBorder="1" applyAlignment="1">
      <alignment horizontal="left"/>
    </xf>
    <xf numFmtId="179" fontId="54" fillId="5" borderId="42" xfId="15" applyNumberFormat="1" applyFont="1" applyFill="1" applyBorder="1" applyAlignment="1">
      <alignment/>
    </xf>
    <xf numFmtId="179" fontId="53" fillId="0" borderId="0" xfId="15" applyNumberFormat="1" applyFont="1" applyFill="1" applyBorder="1" applyAlignment="1">
      <alignment/>
    </xf>
    <xf numFmtId="179" fontId="53" fillId="0" borderId="40" xfId="15" applyNumberFormat="1" applyFont="1" applyFill="1" applyBorder="1" applyAlignment="1">
      <alignment/>
    </xf>
    <xf numFmtId="179" fontId="53" fillId="0" borderId="42" xfId="15" applyNumberFormat="1" applyFont="1" applyFill="1" applyBorder="1" applyAlignment="1">
      <alignment horizontal="left"/>
    </xf>
    <xf numFmtId="1" fontId="4" fillId="0" borderId="36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0" fontId="4" fillId="0" borderId="41" xfId="0" applyNumberFormat="1" applyFont="1" applyFill="1" applyBorder="1" applyAlignment="1">
      <alignment horizontal="left"/>
    </xf>
    <xf numFmtId="1" fontId="4" fillId="0" borderId="28" xfId="0" applyNumberFormat="1" applyFont="1" applyFill="1" applyBorder="1" applyAlignment="1">
      <alignment horizontal="left"/>
    </xf>
    <xf numFmtId="1" fontId="4" fillId="0" borderId="41" xfId="0" applyNumberFormat="1" applyFont="1" applyFill="1" applyBorder="1" applyAlignment="1">
      <alignment horizontal="left"/>
    </xf>
    <xf numFmtId="1" fontId="57" fillId="0" borderId="36" xfId="0" applyNumberFormat="1" applyFont="1" applyBorder="1" applyAlignment="1">
      <alignment/>
    </xf>
    <xf numFmtId="179" fontId="21" fillId="0" borderId="36" xfId="15" applyNumberFormat="1" applyFont="1" applyBorder="1" applyAlignment="1">
      <alignment/>
    </xf>
    <xf numFmtId="179" fontId="57" fillId="0" borderId="28" xfId="15" applyNumberFormat="1" applyFont="1" applyFill="1" applyBorder="1" applyAlignment="1">
      <alignment horizontal="left"/>
    </xf>
    <xf numFmtId="179" fontId="21" fillId="0" borderId="41" xfId="15" applyNumberFormat="1" applyFont="1" applyFill="1" applyBorder="1" applyAlignment="1">
      <alignment horizontal="left"/>
    </xf>
    <xf numFmtId="179" fontId="30" fillId="0" borderId="42" xfId="15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/>
    </xf>
    <xf numFmtId="1" fontId="4" fillId="0" borderId="23" xfId="0" applyNumberFormat="1" applyFont="1" applyBorder="1" applyAlignment="1">
      <alignment/>
    </xf>
    <xf numFmtId="1" fontId="53" fillId="0" borderId="22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58" fillId="0" borderId="8" xfId="0" applyNumberFormat="1" applyFont="1" applyBorder="1" applyAlignment="1">
      <alignment/>
    </xf>
    <xf numFmtId="179" fontId="55" fillId="0" borderId="8" xfId="15" applyNumberFormat="1" applyFont="1" applyBorder="1" applyAlignment="1">
      <alignment/>
    </xf>
    <xf numFmtId="177" fontId="29" fillId="0" borderId="8" xfId="21" applyNumberFormat="1" applyFont="1" applyBorder="1" applyAlignment="1">
      <alignment/>
    </xf>
    <xf numFmtId="179" fontId="29" fillId="0" borderId="8" xfId="15" applyNumberFormat="1" applyFont="1" applyFill="1" applyBorder="1" applyAlignment="1">
      <alignment/>
    </xf>
    <xf numFmtId="179" fontId="59" fillId="5" borderId="8" xfId="15" applyNumberFormat="1" applyFont="1" applyFill="1" applyBorder="1" applyAlignment="1">
      <alignment/>
    </xf>
    <xf numFmtId="179" fontId="52" fillId="7" borderId="8" xfId="15" applyNumberFormat="1" applyFont="1" applyFill="1" applyBorder="1" applyAlignment="1">
      <alignment/>
    </xf>
    <xf numFmtId="179" fontId="60" fillId="0" borderId="22" xfId="15" applyNumberFormat="1" applyFont="1" applyFill="1" applyBorder="1" applyAlignment="1">
      <alignment horizontal="left"/>
    </xf>
    <xf numFmtId="179" fontId="55" fillId="0" borderId="43" xfId="15" applyNumberFormat="1" applyFont="1" applyFill="1" applyBorder="1" applyAlignment="1">
      <alignment horizontal="left"/>
    </xf>
    <xf numFmtId="1" fontId="29" fillId="0" borderId="8" xfId="0" applyNumberFormat="1" applyFont="1" applyFill="1" applyBorder="1" applyAlignment="1">
      <alignment horizontal="left"/>
    </xf>
    <xf numFmtId="179" fontId="29" fillId="0" borderId="8" xfId="15" applyNumberFormat="1" applyFont="1" applyFill="1" applyBorder="1" applyAlignment="1">
      <alignment horizontal="left"/>
    </xf>
    <xf numFmtId="179" fontId="59" fillId="5" borderId="44" xfId="15" applyNumberFormat="1" applyFont="1" applyFill="1" applyBorder="1" applyAlignment="1">
      <alignment/>
    </xf>
    <xf numFmtId="179" fontId="61" fillId="0" borderId="0" xfId="15" applyNumberFormat="1" applyFont="1" applyFill="1" applyBorder="1" applyAlignment="1">
      <alignment/>
    </xf>
    <xf numFmtId="179" fontId="53" fillId="0" borderId="30" xfId="15" applyNumberFormat="1" applyFont="1" applyFill="1" applyBorder="1" applyAlignment="1">
      <alignment/>
    </xf>
    <xf numFmtId="179" fontId="61" fillId="0" borderId="44" xfId="15" applyNumberFormat="1" applyFont="1" applyFill="1" applyBorder="1" applyAlignment="1">
      <alignment horizontal="left"/>
    </xf>
    <xf numFmtId="1" fontId="4" fillId="0" borderId="8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 horizontal="left"/>
    </xf>
    <xf numFmtId="1" fontId="4" fillId="0" borderId="46" xfId="0" applyNumberFormat="1" applyFont="1" applyFill="1" applyBorder="1" applyAlignment="1">
      <alignment horizontal="left"/>
    </xf>
    <xf numFmtId="10" fontId="4" fillId="0" borderId="47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 horizontal="left"/>
    </xf>
    <xf numFmtId="177" fontId="8" fillId="0" borderId="0" xfId="21" applyNumberFormat="1" applyFont="1" applyAlignment="1">
      <alignment/>
    </xf>
    <xf numFmtId="1" fontId="4" fillId="7" borderId="0" xfId="0" applyNumberFormat="1" applyFont="1" applyFill="1" applyAlignment="1">
      <alignment/>
    </xf>
    <xf numFmtId="1" fontId="62" fillId="0" borderId="0" xfId="0" applyNumberFormat="1" applyFont="1" applyFill="1" applyAlignment="1">
      <alignment horizontal="left"/>
    </xf>
    <xf numFmtId="9" fontId="8" fillId="0" borderId="0" xfId="21" applyFont="1" applyAlignment="1">
      <alignment/>
    </xf>
    <xf numFmtId="1" fontId="2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" fontId="53" fillId="0" borderId="1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/>
    </xf>
    <xf numFmtId="1" fontId="53" fillId="0" borderId="4" xfId="0" applyNumberFormat="1" applyFont="1" applyBorder="1" applyAlignment="1">
      <alignment/>
    </xf>
    <xf numFmtId="1" fontId="53" fillId="0" borderId="48" xfId="0" applyNumberFormat="1" applyFont="1" applyBorder="1" applyAlignment="1">
      <alignment/>
    </xf>
    <xf numFmtId="1" fontId="53" fillId="0" borderId="6" xfId="0" applyNumberFormat="1" applyFont="1" applyBorder="1" applyAlignment="1">
      <alignment horizontal="center"/>
    </xf>
    <xf numFmtId="1" fontId="55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9" fillId="7" borderId="0" xfId="0" applyNumberFormat="1" applyFont="1" applyFill="1" applyBorder="1" applyAlignment="1">
      <alignment/>
    </xf>
    <xf numFmtId="1" fontId="53" fillId="0" borderId="1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8" fillId="0" borderId="0" xfId="0" applyNumberFormat="1" applyFont="1" applyBorder="1" applyAlignment="1">
      <alignment/>
    </xf>
    <xf numFmtId="179" fontId="46" fillId="0" borderId="0" xfId="15" applyNumberFormat="1" applyFont="1" applyBorder="1" applyAlignment="1">
      <alignment/>
    </xf>
    <xf numFmtId="177" fontId="8" fillId="0" borderId="0" xfId="21" applyNumberFormat="1" applyFont="1" applyBorder="1" applyAlignment="1">
      <alignment/>
    </xf>
    <xf numFmtId="179" fontId="8" fillId="0" borderId="0" xfId="15" applyNumberFormat="1" applyFont="1" applyFill="1" applyBorder="1" applyAlignment="1">
      <alignment/>
    </xf>
    <xf numFmtId="179" fontId="54" fillId="5" borderId="0" xfId="15" applyNumberFormat="1" applyFont="1" applyFill="1" applyBorder="1" applyAlignment="1">
      <alignment/>
    </xf>
    <xf numFmtId="179" fontId="4" fillId="7" borderId="0" xfId="15" applyNumberFormat="1" applyFont="1" applyFill="1" applyBorder="1" applyAlignment="1">
      <alignment/>
    </xf>
    <xf numFmtId="179" fontId="58" fillId="0" borderId="19" xfId="15" applyNumberFormat="1" applyFont="1" applyFill="1" applyBorder="1" applyAlignment="1">
      <alignment horizontal="left"/>
    </xf>
    <xf numFmtId="179" fontId="46" fillId="0" borderId="0" xfId="15" applyNumberFormat="1" applyFont="1" applyFill="1" applyBorder="1" applyAlignment="1">
      <alignment horizontal="left"/>
    </xf>
    <xf numFmtId="177" fontId="8" fillId="0" borderId="0" xfId="21" applyNumberFormat="1" applyFont="1" applyFill="1" applyBorder="1" applyAlignment="1">
      <alignment horizontal="left"/>
    </xf>
    <xf numFmtId="179" fontId="8" fillId="0" borderId="0" xfId="15" applyNumberFormat="1" applyFont="1" applyFill="1" applyBorder="1" applyAlignment="1">
      <alignment horizontal="left"/>
    </xf>
    <xf numFmtId="179" fontId="54" fillId="5" borderId="49" xfId="15" applyNumberFormat="1" applyFont="1" applyFill="1" applyBorder="1" applyAlignment="1">
      <alignment/>
    </xf>
    <xf numFmtId="179" fontId="53" fillId="0" borderId="49" xfId="15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4" fillId="0" borderId="50" xfId="0" applyNumberFormat="1" applyFont="1" applyFill="1" applyBorder="1" applyAlignment="1">
      <alignment horizontal="left"/>
    </xf>
    <xf numFmtId="1" fontId="4" fillId="0" borderId="51" xfId="0" applyNumberFormat="1" applyFont="1" applyFill="1" applyBorder="1" applyAlignment="1">
      <alignment horizontal="left"/>
    </xf>
    <xf numFmtId="10" fontId="4" fillId="0" borderId="52" xfId="0" applyNumberFormat="1" applyFont="1" applyFill="1" applyBorder="1" applyAlignment="1">
      <alignment horizontal="left"/>
    </xf>
    <xf numFmtId="1" fontId="4" fillId="0" borderId="53" xfId="0" applyNumberFormat="1" applyFont="1" applyFill="1" applyBorder="1" applyAlignment="1">
      <alignment horizontal="left"/>
    </xf>
    <xf numFmtId="1" fontId="4" fillId="0" borderId="52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wrapText="1"/>
    </xf>
    <xf numFmtId="1" fontId="4" fillId="8" borderId="2" xfId="0" applyNumberFormat="1" applyFont="1" applyFill="1" applyBorder="1" applyAlignment="1">
      <alignment/>
    </xf>
    <xf numFmtId="1" fontId="4" fillId="8" borderId="34" xfId="0" applyNumberFormat="1" applyFont="1" applyFill="1" applyBorder="1" applyAlignment="1">
      <alignment horizontal="left"/>
    </xf>
    <xf numFmtId="1" fontId="4" fillId="8" borderId="33" xfId="0" applyNumberFormat="1" applyFont="1" applyFill="1" applyBorder="1" applyAlignment="1">
      <alignment horizontal="left"/>
    </xf>
    <xf numFmtId="1" fontId="4" fillId="8" borderId="31" xfId="0" applyNumberFormat="1" applyFont="1" applyFill="1" applyBorder="1" applyAlignment="1">
      <alignment horizontal="left"/>
    </xf>
    <xf numFmtId="1" fontId="4" fillId="8" borderId="32" xfId="0" applyNumberFormat="1" applyFont="1" applyFill="1" applyBorder="1" applyAlignment="1">
      <alignment horizontal="left"/>
    </xf>
    <xf numFmtId="10" fontId="4" fillId="8" borderId="33" xfId="0" applyNumberFormat="1" applyFont="1" applyFill="1" applyBorder="1" applyAlignment="1">
      <alignment horizontal="left"/>
    </xf>
    <xf numFmtId="1" fontId="4" fillId="8" borderId="35" xfId="0" applyNumberFormat="1" applyFont="1" applyFill="1" applyBorder="1" applyAlignment="1">
      <alignment wrapText="1"/>
    </xf>
    <xf numFmtId="1" fontId="8" fillId="8" borderId="2" xfId="0" applyNumberFormat="1" applyFont="1" applyFill="1" applyBorder="1" applyAlignment="1">
      <alignment/>
    </xf>
    <xf numFmtId="1" fontId="8" fillId="8" borderId="28" xfId="0" applyNumberFormat="1" applyFont="1" applyFill="1" applyBorder="1" applyAlignment="1">
      <alignment horizontal="left"/>
    </xf>
    <xf numFmtId="1" fontId="8" fillId="8" borderId="41" xfId="0" applyNumberFormat="1" applyFont="1" applyFill="1" applyBorder="1" applyAlignment="1">
      <alignment horizontal="left"/>
    </xf>
    <xf numFmtId="1" fontId="8" fillId="8" borderId="2" xfId="0" applyNumberFormat="1" applyFont="1" applyFill="1" applyBorder="1" applyAlignment="1">
      <alignment horizontal="left"/>
    </xf>
    <xf numFmtId="1" fontId="8" fillId="8" borderId="1" xfId="0" applyNumberFormat="1" applyFont="1" applyFill="1" applyBorder="1" applyAlignment="1">
      <alignment horizontal="left"/>
    </xf>
    <xf numFmtId="10" fontId="8" fillId="8" borderId="41" xfId="0" applyNumberFormat="1" applyFont="1" applyFill="1" applyBorder="1" applyAlignment="1">
      <alignment horizontal="left"/>
    </xf>
    <xf numFmtId="1" fontId="8" fillId="8" borderId="35" xfId="0" applyNumberFormat="1" applyFont="1" applyFill="1" applyBorder="1" applyAlignment="1">
      <alignment wrapText="1"/>
    </xf>
    <xf numFmtId="1" fontId="4" fillId="8" borderId="28" xfId="0" applyNumberFormat="1" applyFont="1" applyFill="1" applyBorder="1" applyAlignment="1">
      <alignment horizontal="left"/>
    </xf>
    <xf numFmtId="1" fontId="4" fillId="8" borderId="41" xfId="0" applyNumberFormat="1" applyFont="1" applyFill="1" applyBorder="1" applyAlignment="1">
      <alignment horizontal="left"/>
    </xf>
    <xf numFmtId="1" fontId="4" fillId="8" borderId="2" xfId="0" applyNumberFormat="1" applyFont="1" applyFill="1" applyBorder="1" applyAlignment="1">
      <alignment horizontal="left"/>
    </xf>
    <xf numFmtId="1" fontId="4" fillId="8" borderId="1" xfId="0" applyNumberFormat="1" applyFont="1" applyFill="1" applyBorder="1" applyAlignment="1">
      <alignment horizontal="left"/>
    </xf>
    <xf numFmtId="10" fontId="4" fillId="8" borderId="41" xfId="0" applyNumberFormat="1" applyFont="1" applyFill="1" applyBorder="1" applyAlignment="1">
      <alignment horizontal="left"/>
    </xf>
    <xf numFmtId="1" fontId="4" fillId="8" borderId="54" xfId="0" applyNumberFormat="1" applyFont="1" applyFill="1" applyBorder="1" applyAlignment="1">
      <alignment horizontal="left"/>
    </xf>
    <xf numFmtId="1" fontId="4" fillId="8" borderId="55" xfId="0" applyNumberFormat="1" applyFont="1" applyFill="1" applyBorder="1" applyAlignment="1">
      <alignment horizontal="left"/>
    </xf>
    <xf numFmtId="1" fontId="4" fillId="8" borderId="56" xfId="0" applyNumberFormat="1" applyFont="1" applyFill="1" applyBorder="1" applyAlignment="1">
      <alignment horizontal="left"/>
    </xf>
    <xf numFmtId="1" fontId="4" fillId="8" borderId="4" xfId="0" applyNumberFormat="1" applyFont="1" applyFill="1" applyBorder="1" applyAlignment="1">
      <alignment horizontal="left"/>
    </xf>
    <xf numFmtId="10" fontId="4" fillId="8" borderId="55" xfId="0" applyNumberFormat="1" applyFont="1" applyFill="1" applyBorder="1" applyAlignment="1">
      <alignment horizontal="left"/>
    </xf>
    <xf numFmtId="1" fontId="4" fillId="8" borderId="0" xfId="0" applyNumberFormat="1" applyFont="1" applyFill="1" applyAlignment="1">
      <alignment/>
    </xf>
    <xf numFmtId="1" fontId="4" fillId="8" borderId="3" xfId="0" applyNumberFormat="1" applyFont="1" applyFill="1" applyBorder="1" applyAlignment="1">
      <alignment horizontal="left"/>
    </xf>
    <xf numFmtId="1" fontId="4" fillId="8" borderId="29" xfId="0" applyNumberFormat="1" applyFont="1" applyFill="1" applyBorder="1" applyAlignment="1">
      <alignment horizontal="left"/>
    </xf>
    <xf numFmtId="1" fontId="4" fillId="8" borderId="57" xfId="0" applyNumberFormat="1" applyFont="1" applyFill="1" applyBorder="1" applyAlignment="1">
      <alignment horizontal="left"/>
    </xf>
    <xf numFmtId="1" fontId="4" fillId="8" borderId="58" xfId="0" applyNumberFormat="1" applyFont="1" applyFill="1" applyBorder="1" applyAlignment="1">
      <alignment horizontal="left"/>
    </xf>
    <xf numFmtId="10" fontId="4" fillId="8" borderId="29" xfId="0" applyNumberFormat="1" applyFont="1" applyFill="1" applyBorder="1" applyAlignment="1">
      <alignment horizontal="left"/>
    </xf>
    <xf numFmtId="1" fontId="4" fillId="8" borderId="0" xfId="0" applyNumberFormat="1" applyFont="1" applyFill="1" applyAlignment="1">
      <alignment wrapText="1"/>
    </xf>
    <xf numFmtId="1" fontId="4" fillId="8" borderId="0" xfId="0" applyNumberFormat="1" applyFont="1" applyFill="1" applyAlignment="1">
      <alignment horizontal="left"/>
    </xf>
    <xf numFmtId="10" fontId="4" fillId="8" borderId="0" xfId="0" applyNumberFormat="1" applyFont="1" applyFill="1" applyAlignment="1">
      <alignment horizontal="left"/>
    </xf>
    <xf numFmtId="0" fontId="0" fillId="8" borderId="0" xfId="0" applyFill="1" applyAlignment="1">
      <alignment horizontal="left"/>
    </xf>
    <xf numFmtId="1" fontId="4" fillId="8" borderId="1" xfId="0" applyNumberFormat="1" applyFont="1" applyFill="1" applyBorder="1" applyAlignment="1">
      <alignment/>
    </xf>
    <xf numFmtId="1" fontId="4" fillId="8" borderId="4" xfId="0" applyNumberFormat="1" applyFont="1" applyFill="1" applyBorder="1" applyAlignment="1">
      <alignment/>
    </xf>
    <xf numFmtId="1" fontId="4" fillId="8" borderId="5" xfId="0" applyNumberFormat="1" applyFont="1" applyFill="1" applyBorder="1" applyAlignment="1">
      <alignment/>
    </xf>
    <xf numFmtId="1" fontId="9" fillId="8" borderId="6" xfId="0" applyNumberFormat="1" applyFont="1" applyFill="1" applyBorder="1" applyAlignment="1">
      <alignment/>
    </xf>
    <xf numFmtId="1" fontId="8" fillId="8" borderId="1" xfId="0" applyNumberFormat="1" applyFont="1" applyFill="1" applyBorder="1" applyAlignment="1">
      <alignment/>
    </xf>
    <xf numFmtId="1" fontId="4" fillId="8" borderId="48" xfId="0" applyNumberFormat="1" applyFont="1" applyFill="1" applyBorder="1" applyAlignment="1">
      <alignment/>
    </xf>
    <xf numFmtId="1" fontId="9" fillId="8" borderId="6" xfId="0" applyNumberFormat="1" applyFont="1" applyFill="1" applyBorder="1" applyAlignment="1">
      <alignment horizontal="center"/>
    </xf>
    <xf numFmtId="164" fontId="36" fillId="5" borderId="7" xfId="0" applyNumberFormat="1" applyFont="1" applyFill="1" applyBorder="1" applyAlignment="1">
      <alignment wrapText="1"/>
    </xf>
    <xf numFmtId="164" fontId="36" fillId="4" borderId="7" xfId="0" applyNumberFormat="1" applyFont="1" applyFill="1" applyBorder="1" applyAlignment="1">
      <alignment wrapText="1"/>
    </xf>
    <xf numFmtId="0" fontId="63" fillId="0" borderId="20" xfId="0" applyFont="1" applyBorder="1" applyAlignment="1">
      <alignment wrapText="1"/>
    </xf>
    <xf numFmtId="164" fontId="64" fillId="0" borderId="21" xfId="0" applyNumberFormat="1" applyFont="1" applyBorder="1" applyAlignment="1">
      <alignment wrapText="1"/>
    </xf>
    <xf numFmtId="164" fontId="64" fillId="0" borderId="13" xfId="0" applyNumberFormat="1" applyFont="1" applyBorder="1" applyAlignment="1">
      <alignment wrapText="1"/>
    </xf>
    <xf numFmtId="0" fontId="65" fillId="0" borderId="13" xfId="0" applyFont="1" applyBorder="1" applyAlignment="1">
      <alignment wrapText="1"/>
    </xf>
    <xf numFmtId="14" fontId="66" fillId="0" borderId="13" xfId="0" applyNumberFormat="1" applyFont="1" applyBorder="1" applyAlignment="1">
      <alignment wrapText="1"/>
    </xf>
    <xf numFmtId="1" fontId="65" fillId="0" borderId="13" xfId="0" applyNumberFormat="1" applyFont="1" applyBorder="1" applyAlignment="1">
      <alignment wrapText="1"/>
    </xf>
    <xf numFmtId="1" fontId="65" fillId="0" borderId="13" xfId="0" applyNumberFormat="1" applyFont="1" applyBorder="1" applyAlignment="1">
      <alignment/>
    </xf>
    <xf numFmtId="165" fontId="65" fillId="0" borderId="13" xfId="0" applyNumberFormat="1" applyFont="1" applyBorder="1" applyAlignment="1">
      <alignment/>
    </xf>
    <xf numFmtId="1" fontId="65" fillId="5" borderId="13" xfId="0" applyNumberFormat="1" applyFont="1" applyFill="1" applyBorder="1" applyAlignment="1">
      <alignment/>
    </xf>
    <xf numFmtId="164" fontId="65" fillId="0" borderId="13" xfId="0" applyNumberFormat="1" applyFont="1" applyBorder="1" applyAlignment="1">
      <alignment/>
    </xf>
    <xf numFmtId="164" fontId="65" fillId="0" borderId="13" xfId="0" applyNumberFormat="1" applyFont="1" applyFill="1" applyBorder="1" applyAlignment="1">
      <alignment/>
    </xf>
    <xf numFmtId="4" fontId="65" fillId="4" borderId="14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17" xfId="0" applyFont="1" applyBorder="1" applyAlignment="1">
      <alignment wrapText="1"/>
    </xf>
    <xf numFmtId="164" fontId="68" fillId="0" borderId="19" xfId="0" applyNumberFormat="1" applyFont="1" applyBorder="1" applyAlignment="1">
      <alignment wrapText="1"/>
    </xf>
    <xf numFmtId="164" fontId="68" fillId="0" borderId="0" xfId="0" applyNumberFormat="1" applyFont="1" applyBorder="1" applyAlignment="1">
      <alignment wrapText="1"/>
    </xf>
    <xf numFmtId="1" fontId="67" fillId="0" borderId="0" xfId="0" applyNumberFormat="1" applyFont="1" applyBorder="1" applyAlignment="1">
      <alignment/>
    </xf>
    <xf numFmtId="4" fontId="69" fillId="4" borderId="12" xfId="0" applyNumberFormat="1" applyFont="1" applyFill="1" applyBorder="1" applyAlignment="1">
      <alignment/>
    </xf>
    <xf numFmtId="0" fontId="71" fillId="0" borderId="0" xfId="0" applyFont="1" applyBorder="1" applyAlignment="1">
      <alignment wrapText="1"/>
    </xf>
    <xf numFmtId="1" fontId="71" fillId="0" borderId="0" xfId="0" applyNumberFormat="1" applyFont="1" applyBorder="1" applyAlignment="1">
      <alignment wrapText="1"/>
    </xf>
    <xf numFmtId="1" fontId="71" fillId="0" borderId="0" xfId="0" applyNumberFormat="1" applyFont="1" applyBorder="1" applyAlignment="1">
      <alignment/>
    </xf>
    <xf numFmtId="165" fontId="71" fillId="0" borderId="0" xfId="0" applyNumberFormat="1" applyFont="1" applyBorder="1" applyAlignment="1">
      <alignment/>
    </xf>
    <xf numFmtId="1" fontId="71" fillId="5" borderId="0" xfId="0" applyNumberFormat="1" applyFont="1" applyFill="1" applyBorder="1" applyAlignment="1">
      <alignment/>
    </xf>
    <xf numFmtId="164" fontId="71" fillId="0" borderId="0" xfId="0" applyNumberFormat="1" applyFont="1" applyBorder="1" applyAlignment="1">
      <alignment/>
    </xf>
    <xf numFmtId="164" fontId="71" fillId="0" borderId="0" xfId="0" applyNumberFormat="1" applyFont="1" applyFill="1" applyBorder="1" applyAlignment="1">
      <alignment/>
    </xf>
    <xf numFmtId="4" fontId="71" fillId="4" borderId="12" xfId="0" applyNumberFormat="1" applyFont="1" applyFill="1" applyBorder="1" applyAlignment="1">
      <alignment/>
    </xf>
    <xf numFmtId="0" fontId="71" fillId="0" borderId="0" xfId="0" applyFont="1" applyBorder="1" applyAlignment="1">
      <alignment/>
    </xf>
    <xf numFmtId="14" fontId="71" fillId="0" borderId="0" xfId="0" applyNumberFormat="1" applyFont="1" applyBorder="1" applyAlignment="1">
      <alignment wrapText="1"/>
    </xf>
    <xf numFmtId="164" fontId="68" fillId="0" borderId="22" xfId="0" applyNumberFormat="1" applyFont="1" applyBorder="1" applyAlignment="1">
      <alignment wrapText="1"/>
    </xf>
    <xf numFmtId="164" fontId="68" fillId="0" borderId="8" xfId="0" applyNumberFormat="1" applyFont="1" applyBorder="1" applyAlignment="1">
      <alignment wrapText="1"/>
    </xf>
    <xf numFmtId="0" fontId="71" fillId="0" borderId="8" xfId="0" applyFont="1" applyBorder="1" applyAlignment="1">
      <alignment wrapText="1"/>
    </xf>
    <xf numFmtId="14" fontId="71" fillId="0" borderId="8" xfId="0" applyNumberFormat="1" applyFont="1" applyBorder="1" applyAlignment="1">
      <alignment wrapText="1"/>
    </xf>
    <xf numFmtId="1" fontId="71" fillId="0" borderId="8" xfId="0" applyNumberFormat="1" applyFont="1" applyBorder="1" applyAlignment="1">
      <alignment wrapText="1"/>
    </xf>
    <xf numFmtId="1" fontId="71" fillId="0" borderId="8" xfId="0" applyNumberFormat="1" applyFont="1" applyBorder="1" applyAlignment="1">
      <alignment/>
    </xf>
    <xf numFmtId="165" fontId="71" fillId="0" borderId="8" xfId="0" applyNumberFormat="1" applyFont="1" applyBorder="1" applyAlignment="1">
      <alignment/>
    </xf>
    <xf numFmtId="1" fontId="71" fillId="5" borderId="8" xfId="0" applyNumberFormat="1" applyFont="1" applyFill="1" applyBorder="1" applyAlignment="1">
      <alignment/>
    </xf>
    <xf numFmtId="164" fontId="71" fillId="0" borderId="8" xfId="0" applyNumberFormat="1" applyFont="1" applyBorder="1" applyAlignment="1">
      <alignment/>
    </xf>
    <xf numFmtId="164" fontId="71" fillId="0" borderId="8" xfId="0" applyNumberFormat="1" applyFont="1" applyFill="1" applyBorder="1" applyAlignment="1">
      <alignment/>
    </xf>
    <xf numFmtId="4" fontId="71" fillId="4" borderId="15" xfId="0" applyNumberFormat="1" applyFont="1" applyFill="1" applyBorder="1" applyAlignment="1">
      <alignment/>
    </xf>
    <xf numFmtId="164" fontId="48" fillId="0" borderId="19" xfId="0" applyNumberFormat="1" applyFont="1" applyBorder="1" applyAlignment="1">
      <alignment wrapText="1"/>
    </xf>
    <xf numFmtId="164" fontId="48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" fontId="2" fillId="5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4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4" fontId="32" fillId="0" borderId="0" xfId="0" applyNumberFormat="1" applyFont="1" applyBorder="1" applyAlignment="1">
      <alignment wrapText="1"/>
    </xf>
    <xf numFmtId="1" fontId="1" fillId="5" borderId="6" xfId="0" applyNumberFormat="1" applyFont="1" applyFill="1" applyBorder="1" applyAlignment="1">
      <alignment/>
    </xf>
    <xf numFmtId="4" fontId="0" fillId="4" borderId="6" xfId="0" applyNumberFormat="1" applyFont="1" applyFill="1" applyBorder="1" applyAlignment="1">
      <alignment/>
    </xf>
    <xf numFmtId="0" fontId="0" fillId="0" borderId="13" xfId="0" applyFont="1" applyBorder="1" applyAlignment="1">
      <alignment wrapText="1"/>
    </xf>
    <xf numFmtId="1" fontId="0" fillId="0" borderId="13" xfId="0" applyNumberFormat="1" applyFont="1" applyBorder="1" applyAlignment="1">
      <alignment wrapText="1"/>
    </xf>
    <xf numFmtId="1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" fontId="0" fillId="5" borderId="13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4" fontId="0" fillId="4" borderId="14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2" fillId="0" borderId="17" xfId="0" applyFont="1" applyBorder="1" applyAlignment="1">
      <alignment wrapText="1"/>
    </xf>
    <xf numFmtId="164" fontId="73" fillId="6" borderId="18" xfId="0" applyNumberFormat="1" applyFont="1" applyFill="1" applyBorder="1" applyAlignment="1">
      <alignment wrapText="1"/>
    </xf>
    <xf numFmtId="0" fontId="74" fillId="6" borderId="7" xfId="0" applyFont="1" applyFill="1" applyBorder="1" applyAlignment="1">
      <alignment wrapText="1"/>
    </xf>
    <xf numFmtId="1" fontId="74" fillId="6" borderId="7" xfId="0" applyNumberFormat="1" applyFont="1" applyFill="1" applyBorder="1" applyAlignment="1">
      <alignment wrapText="1"/>
    </xf>
    <xf numFmtId="0" fontId="74" fillId="5" borderId="7" xfId="0" applyFont="1" applyFill="1" applyBorder="1" applyAlignment="1">
      <alignment wrapText="1"/>
    </xf>
    <xf numFmtId="4" fontId="74" fillId="4" borderId="11" xfId="0" applyNumberFormat="1" applyFont="1" applyFill="1" applyBorder="1" applyAlignment="1">
      <alignment wrapText="1"/>
    </xf>
    <xf numFmtId="0" fontId="74" fillId="0" borderId="0" xfId="0" applyFont="1" applyBorder="1" applyAlignment="1">
      <alignment/>
    </xf>
    <xf numFmtId="164" fontId="73" fillId="0" borderId="19" xfId="0" applyNumberFormat="1" applyFont="1" applyBorder="1" applyAlignment="1">
      <alignment wrapText="1"/>
    </xf>
    <xf numFmtId="164" fontId="73" fillId="0" borderId="0" xfId="0" applyNumberFormat="1" applyFont="1" applyBorder="1" applyAlignment="1">
      <alignment wrapText="1"/>
    </xf>
    <xf numFmtId="0" fontId="74" fillId="0" borderId="0" xfId="0" applyFont="1" applyBorder="1" applyAlignment="1">
      <alignment wrapText="1"/>
    </xf>
    <xf numFmtId="14" fontId="74" fillId="0" borderId="0" xfId="0" applyNumberFormat="1" applyFont="1" applyBorder="1" applyAlignment="1">
      <alignment wrapText="1"/>
    </xf>
    <xf numFmtId="1" fontId="74" fillId="0" borderId="0" xfId="0" applyNumberFormat="1" applyFont="1" applyBorder="1" applyAlignment="1">
      <alignment wrapText="1"/>
    </xf>
    <xf numFmtId="1" fontId="74" fillId="0" borderId="0" xfId="0" applyNumberFormat="1" applyFont="1" applyBorder="1" applyAlignment="1">
      <alignment/>
    </xf>
    <xf numFmtId="165" fontId="74" fillId="0" borderId="0" xfId="0" applyNumberFormat="1" applyFont="1" applyBorder="1" applyAlignment="1">
      <alignment/>
    </xf>
    <xf numFmtId="1" fontId="74" fillId="5" borderId="0" xfId="0" applyNumberFormat="1" applyFont="1" applyFill="1" applyBorder="1" applyAlignment="1">
      <alignment/>
    </xf>
    <xf numFmtId="164" fontId="74" fillId="0" borderId="0" xfId="0" applyNumberFormat="1" applyFont="1" applyBorder="1" applyAlignment="1">
      <alignment/>
    </xf>
    <xf numFmtId="164" fontId="74" fillId="0" borderId="0" xfId="0" applyNumberFormat="1" applyFont="1" applyFill="1" applyBorder="1" applyAlignment="1">
      <alignment/>
    </xf>
    <xf numFmtId="4" fontId="74" fillId="4" borderId="12" xfId="0" applyNumberFormat="1" applyFont="1" applyFill="1" applyBorder="1" applyAlignment="1">
      <alignment/>
    </xf>
    <xf numFmtId="164" fontId="73" fillId="0" borderId="13" xfId="0" applyNumberFormat="1" applyFont="1" applyBorder="1" applyAlignment="1">
      <alignment wrapText="1"/>
    </xf>
    <xf numFmtId="0" fontId="33" fillId="3" borderId="17" xfId="0" applyFont="1" applyFill="1" applyBorder="1" applyAlignment="1">
      <alignment wrapText="1"/>
    </xf>
    <xf numFmtId="164" fontId="34" fillId="3" borderId="22" xfId="0" applyNumberFormat="1" applyFont="1" applyFill="1" applyBorder="1" applyAlignment="1">
      <alignment wrapText="1"/>
    </xf>
    <xf numFmtId="164" fontId="34" fillId="3" borderId="8" xfId="0" applyNumberFormat="1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14" fontId="17" fillId="3" borderId="8" xfId="0" applyNumberFormat="1" applyFont="1" applyFill="1" applyBorder="1" applyAlignment="1">
      <alignment wrapText="1"/>
    </xf>
    <xf numFmtId="14" fontId="18" fillId="3" borderId="8" xfId="0" applyNumberFormat="1" applyFont="1" applyFill="1" applyBorder="1" applyAlignment="1">
      <alignment wrapText="1"/>
    </xf>
    <xf numFmtId="1" fontId="16" fillId="3" borderId="8" xfId="0" applyNumberFormat="1" applyFont="1" applyFill="1" applyBorder="1" applyAlignment="1">
      <alignment wrapText="1"/>
    </xf>
    <xf numFmtId="1" fontId="16" fillId="3" borderId="8" xfId="0" applyNumberFormat="1" applyFont="1" applyFill="1" applyBorder="1" applyAlignment="1">
      <alignment/>
    </xf>
    <xf numFmtId="165" fontId="16" fillId="3" borderId="8" xfId="0" applyNumberFormat="1" applyFont="1" applyFill="1" applyBorder="1" applyAlignment="1">
      <alignment/>
    </xf>
    <xf numFmtId="164" fontId="16" fillId="3" borderId="8" xfId="0" applyNumberFormat="1" applyFont="1" applyFill="1" applyBorder="1" applyAlignment="1">
      <alignment/>
    </xf>
    <xf numFmtId="4" fontId="16" fillId="3" borderId="15" xfId="0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69" fillId="9" borderId="17" xfId="0" applyFont="1" applyFill="1" applyBorder="1" applyAlignment="1">
      <alignment wrapText="1"/>
    </xf>
    <xf numFmtId="164" fontId="70" fillId="9" borderId="19" xfId="0" applyNumberFormat="1" applyFont="1" applyFill="1" applyBorder="1" applyAlignment="1">
      <alignment wrapText="1"/>
    </xf>
    <xf numFmtId="164" fontId="70" fillId="9" borderId="0" xfId="0" applyNumberFormat="1" applyFont="1" applyFill="1" applyBorder="1" applyAlignment="1">
      <alignment wrapText="1"/>
    </xf>
    <xf numFmtId="0" fontId="69" fillId="9" borderId="0" xfId="0" applyFont="1" applyFill="1" applyBorder="1" applyAlignment="1">
      <alignment wrapText="1"/>
    </xf>
    <xf numFmtId="1" fontId="69" fillId="9" borderId="0" xfId="0" applyNumberFormat="1" applyFont="1" applyFill="1" applyBorder="1" applyAlignment="1">
      <alignment wrapText="1"/>
    </xf>
    <xf numFmtId="1" fontId="69" fillId="9" borderId="0" xfId="0" applyNumberFormat="1" applyFont="1" applyFill="1" applyBorder="1" applyAlignment="1">
      <alignment/>
    </xf>
    <xf numFmtId="165" fontId="69" fillId="9" borderId="0" xfId="0" applyNumberFormat="1" applyFont="1" applyFill="1" applyBorder="1" applyAlignment="1">
      <alignment/>
    </xf>
    <xf numFmtId="164" fontId="69" fillId="9" borderId="0" xfId="0" applyNumberFormat="1" applyFont="1" applyFill="1" applyBorder="1" applyAlignment="1">
      <alignment/>
    </xf>
    <xf numFmtId="4" fontId="69" fillId="9" borderId="12" xfId="0" applyNumberFormat="1" applyFont="1" applyFill="1" applyBorder="1" applyAlignment="1">
      <alignment/>
    </xf>
    <xf numFmtId="0" fontId="69" fillId="9" borderId="0" xfId="0" applyFont="1" applyFill="1" applyBorder="1" applyAlignment="1">
      <alignment/>
    </xf>
    <xf numFmtId="0" fontId="67" fillId="9" borderId="17" xfId="0" applyFont="1" applyFill="1" applyBorder="1" applyAlignment="1">
      <alignment wrapText="1"/>
    </xf>
    <xf numFmtId="164" fontId="68" fillId="9" borderId="19" xfId="0" applyNumberFormat="1" applyFont="1" applyFill="1" applyBorder="1" applyAlignment="1">
      <alignment wrapText="1"/>
    </xf>
    <xf numFmtId="164" fontId="68" fillId="9" borderId="0" xfId="0" applyNumberFormat="1" applyFont="1" applyFill="1" applyBorder="1" applyAlignment="1">
      <alignment wrapText="1"/>
    </xf>
    <xf numFmtId="0" fontId="71" fillId="9" borderId="0" xfId="0" applyFont="1" applyFill="1" applyBorder="1" applyAlignment="1">
      <alignment wrapText="1"/>
    </xf>
    <xf numFmtId="1" fontId="71" fillId="9" borderId="0" xfId="0" applyNumberFormat="1" applyFont="1" applyFill="1" applyBorder="1" applyAlignment="1">
      <alignment wrapText="1"/>
    </xf>
    <xf numFmtId="1" fontId="71" fillId="9" borderId="0" xfId="0" applyNumberFormat="1" applyFont="1" applyFill="1" applyBorder="1" applyAlignment="1">
      <alignment/>
    </xf>
    <xf numFmtId="165" fontId="71" fillId="9" borderId="0" xfId="0" applyNumberFormat="1" applyFont="1" applyFill="1" applyBorder="1" applyAlignment="1">
      <alignment/>
    </xf>
    <xf numFmtId="164" fontId="71" fillId="9" borderId="0" xfId="0" applyNumberFormat="1" applyFont="1" applyFill="1" applyBorder="1" applyAlignment="1">
      <alignment/>
    </xf>
    <xf numFmtId="0" fontId="71" fillId="9" borderId="0" xfId="0" applyFont="1" applyFill="1" applyBorder="1" applyAlignment="1">
      <alignment/>
    </xf>
    <xf numFmtId="0" fontId="21" fillId="9" borderId="17" xfId="0" applyFont="1" applyFill="1" applyBorder="1" applyAlignment="1">
      <alignment wrapText="1"/>
    </xf>
    <xf numFmtId="164" fontId="32" fillId="9" borderId="19" xfId="0" applyNumberFormat="1" applyFont="1" applyFill="1" applyBorder="1" applyAlignment="1">
      <alignment wrapText="1"/>
    </xf>
    <xf numFmtId="164" fontId="32" fillId="9" borderId="0" xfId="0" applyNumberFormat="1" applyFont="1" applyFill="1" applyBorder="1" applyAlignment="1">
      <alignment wrapText="1"/>
    </xf>
    <xf numFmtId="0" fontId="0" fillId="9" borderId="0" xfId="0" applyFont="1" applyFill="1" applyBorder="1" applyAlignment="1">
      <alignment wrapText="1"/>
    </xf>
    <xf numFmtId="1" fontId="0" fillId="9" borderId="0" xfId="0" applyNumberFormat="1" applyFont="1" applyFill="1" applyBorder="1" applyAlignment="1">
      <alignment wrapText="1"/>
    </xf>
    <xf numFmtId="1" fontId="0" fillId="9" borderId="0" xfId="0" applyNumberFormat="1" applyFont="1" applyFill="1" applyBorder="1" applyAlignment="1">
      <alignment/>
    </xf>
    <xf numFmtId="165" fontId="0" fillId="9" borderId="0" xfId="0" applyNumberFormat="1" applyFont="1" applyFill="1" applyBorder="1" applyAlignment="1">
      <alignment/>
    </xf>
    <xf numFmtId="164" fontId="0" fillId="9" borderId="0" xfId="0" applyNumberFormat="1" applyFont="1" applyFill="1" applyBorder="1" applyAlignment="1">
      <alignment/>
    </xf>
    <xf numFmtId="4" fontId="0" fillId="9" borderId="12" xfId="0" applyNumberFormat="1" applyFont="1" applyFill="1" applyBorder="1" applyAlignment="1">
      <alignment/>
    </xf>
    <xf numFmtId="0" fontId="0" fillId="9" borderId="0" xfId="0" applyFont="1" applyFill="1" applyBorder="1" applyAlignment="1">
      <alignment/>
    </xf>
    <xf numFmtId="4" fontId="71" fillId="9" borderId="12" xfId="0" applyNumberFormat="1" applyFont="1" applyFill="1" applyBorder="1" applyAlignment="1">
      <alignment/>
    </xf>
    <xf numFmtId="0" fontId="35" fillId="9" borderId="17" xfId="0" applyFont="1" applyFill="1" applyBorder="1" applyAlignment="1">
      <alignment wrapText="1"/>
    </xf>
    <xf numFmtId="164" fontId="36" fillId="9" borderId="19" xfId="0" applyNumberFormat="1" applyFont="1" applyFill="1" applyBorder="1" applyAlignment="1">
      <alignment wrapText="1"/>
    </xf>
    <xf numFmtId="164" fontId="36" fillId="9" borderId="0" xfId="0" applyNumberFormat="1" applyFont="1" applyFill="1" applyBorder="1" applyAlignment="1">
      <alignment wrapText="1"/>
    </xf>
    <xf numFmtId="0" fontId="11" fillId="9" borderId="0" xfId="0" applyFont="1" applyFill="1" applyBorder="1" applyAlignment="1">
      <alignment wrapText="1"/>
    </xf>
    <xf numFmtId="14" fontId="11" fillId="9" borderId="0" xfId="0" applyNumberFormat="1" applyFont="1" applyFill="1" applyBorder="1" applyAlignment="1">
      <alignment/>
    </xf>
    <xf numFmtId="1" fontId="11" fillId="9" borderId="0" xfId="0" applyNumberFormat="1" applyFont="1" applyFill="1" applyBorder="1" applyAlignment="1">
      <alignment wrapText="1"/>
    </xf>
    <xf numFmtId="1" fontId="11" fillId="9" borderId="0" xfId="0" applyNumberFormat="1" applyFont="1" applyFill="1" applyBorder="1" applyAlignment="1">
      <alignment/>
    </xf>
    <xf numFmtId="165" fontId="11" fillId="9" borderId="0" xfId="0" applyNumberFormat="1" applyFont="1" applyFill="1" applyBorder="1" applyAlignment="1">
      <alignment/>
    </xf>
    <xf numFmtId="164" fontId="11" fillId="9" borderId="0" xfId="0" applyNumberFormat="1" applyFont="1" applyFill="1" applyBorder="1" applyAlignment="1">
      <alignment/>
    </xf>
    <xf numFmtId="4" fontId="11" fillId="9" borderId="12" xfId="0" applyNumberFormat="1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21" fillId="9" borderId="20" xfId="0" applyFont="1" applyFill="1" applyBorder="1" applyAlignment="1">
      <alignment wrapText="1"/>
    </xf>
    <xf numFmtId="164" fontId="32" fillId="9" borderId="21" xfId="0" applyNumberFormat="1" applyFont="1" applyFill="1" applyBorder="1" applyAlignment="1">
      <alignment wrapText="1"/>
    </xf>
    <xf numFmtId="164" fontId="32" fillId="9" borderId="13" xfId="0" applyNumberFormat="1" applyFont="1" applyFill="1" applyBorder="1" applyAlignment="1">
      <alignment wrapText="1"/>
    </xf>
    <xf numFmtId="0" fontId="0" fillId="9" borderId="13" xfId="0" applyFont="1" applyFill="1" applyBorder="1" applyAlignment="1">
      <alignment wrapText="1"/>
    </xf>
    <xf numFmtId="1" fontId="0" fillId="9" borderId="13" xfId="0" applyNumberFormat="1" applyFont="1" applyFill="1" applyBorder="1" applyAlignment="1">
      <alignment wrapText="1"/>
    </xf>
    <xf numFmtId="1" fontId="0" fillId="9" borderId="13" xfId="0" applyNumberFormat="1" applyFont="1" applyFill="1" applyBorder="1" applyAlignment="1">
      <alignment/>
    </xf>
    <xf numFmtId="165" fontId="0" fillId="9" borderId="13" xfId="0" applyNumberFormat="1" applyFont="1" applyFill="1" applyBorder="1" applyAlignment="1">
      <alignment/>
    </xf>
    <xf numFmtId="164" fontId="0" fillId="9" borderId="13" xfId="0" applyNumberFormat="1" applyFont="1" applyFill="1" applyBorder="1" applyAlignment="1">
      <alignment/>
    </xf>
    <xf numFmtId="4" fontId="0" fillId="9" borderId="14" xfId="0" applyNumberFormat="1" applyFont="1" applyFill="1" applyBorder="1" applyAlignment="1">
      <alignment/>
    </xf>
    <xf numFmtId="14" fontId="71" fillId="9" borderId="0" xfId="0" applyNumberFormat="1" applyFont="1" applyFill="1" applyBorder="1" applyAlignment="1">
      <alignment wrapText="1"/>
    </xf>
    <xf numFmtId="0" fontId="72" fillId="9" borderId="17" xfId="0" applyFont="1" applyFill="1" applyBorder="1" applyAlignment="1">
      <alignment wrapText="1"/>
    </xf>
    <xf numFmtId="164" fontId="73" fillId="9" borderId="19" xfId="0" applyNumberFormat="1" applyFont="1" applyFill="1" applyBorder="1" applyAlignment="1">
      <alignment wrapText="1"/>
    </xf>
    <xf numFmtId="164" fontId="73" fillId="9" borderId="0" xfId="0" applyNumberFormat="1" applyFont="1" applyFill="1" applyBorder="1" applyAlignment="1">
      <alignment wrapText="1"/>
    </xf>
    <xf numFmtId="0" fontId="74" fillId="9" borderId="0" xfId="0" applyFont="1" applyFill="1" applyBorder="1" applyAlignment="1">
      <alignment wrapText="1"/>
    </xf>
    <xf numFmtId="1" fontId="74" fillId="9" borderId="0" xfId="0" applyNumberFormat="1" applyFont="1" applyFill="1" applyBorder="1" applyAlignment="1">
      <alignment wrapText="1"/>
    </xf>
    <xf numFmtId="1" fontId="74" fillId="9" borderId="0" xfId="0" applyNumberFormat="1" applyFont="1" applyFill="1" applyBorder="1" applyAlignment="1">
      <alignment/>
    </xf>
    <xf numFmtId="165" fontId="74" fillId="9" borderId="0" xfId="0" applyNumberFormat="1" applyFont="1" applyFill="1" applyBorder="1" applyAlignment="1">
      <alignment/>
    </xf>
    <xf numFmtId="164" fontId="74" fillId="9" borderId="0" xfId="0" applyNumberFormat="1" applyFont="1" applyFill="1" applyBorder="1" applyAlignment="1">
      <alignment/>
    </xf>
    <xf numFmtId="4" fontId="74" fillId="9" borderId="12" xfId="0" applyNumberFormat="1" applyFont="1" applyFill="1" applyBorder="1" applyAlignment="1">
      <alignment/>
    </xf>
    <xf numFmtId="0" fontId="74" fillId="9" borderId="0" xfId="0" applyFont="1" applyFill="1" applyBorder="1" applyAlignment="1">
      <alignment/>
    </xf>
    <xf numFmtId="164" fontId="32" fillId="9" borderId="22" xfId="0" applyNumberFormat="1" applyFont="1" applyFill="1" applyBorder="1" applyAlignment="1">
      <alignment wrapText="1"/>
    </xf>
    <xf numFmtId="164" fontId="32" fillId="9" borderId="8" xfId="0" applyNumberFormat="1" applyFont="1" applyFill="1" applyBorder="1" applyAlignment="1">
      <alignment wrapText="1"/>
    </xf>
    <xf numFmtId="0" fontId="0" fillId="9" borderId="8" xfId="0" applyFont="1" applyFill="1" applyBorder="1" applyAlignment="1">
      <alignment wrapText="1"/>
    </xf>
    <xf numFmtId="14" fontId="0" fillId="9" borderId="8" xfId="0" applyNumberFormat="1" applyFont="1" applyFill="1" applyBorder="1" applyAlignment="1">
      <alignment wrapText="1"/>
    </xf>
    <xf numFmtId="164" fontId="0" fillId="9" borderId="8" xfId="0" applyNumberFormat="1" applyFont="1" applyFill="1" applyBorder="1" applyAlignment="1">
      <alignment wrapText="1"/>
    </xf>
    <xf numFmtId="1" fontId="0" fillId="9" borderId="8" xfId="0" applyNumberFormat="1" applyFont="1" applyFill="1" applyBorder="1" applyAlignment="1">
      <alignment/>
    </xf>
    <xf numFmtId="1" fontId="0" fillId="9" borderId="8" xfId="0" applyNumberFormat="1" applyFont="1" applyFill="1" applyBorder="1" applyAlignment="1">
      <alignment wrapText="1"/>
    </xf>
    <xf numFmtId="165" fontId="0" fillId="9" borderId="8" xfId="0" applyNumberFormat="1" applyFont="1" applyFill="1" applyBorder="1" applyAlignment="1">
      <alignment/>
    </xf>
    <xf numFmtId="164" fontId="0" fillId="9" borderId="8" xfId="0" applyNumberFormat="1" applyFont="1" applyFill="1" applyBorder="1" applyAlignment="1">
      <alignment/>
    </xf>
    <xf numFmtId="4" fontId="0" fillId="9" borderId="15" xfId="0" applyNumberFormat="1" applyFont="1" applyFill="1" applyBorder="1" applyAlignment="1">
      <alignment/>
    </xf>
    <xf numFmtId="0" fontId="41" fillId="9" borderId="17" xfId="0" applyFont="1" applyFill="1" applyBorder="1" applyAlignment="1">
      <alignment wrapText="1"/>
    </xf>
    <xf numFmtId="164" fontId="34" fillId="9" borderId="22" xfId="0" applyNumberFormat="1" applyFont="1" applyFill="1" applyBorder="1" applyAlignment="1">
      <alignment wrapText="1"/>
    </xf>
    <xf numFmtId="164" fontId="34" fillId="9" borderId="8" xfId="0" applyNumberFormat="1" applyFont="1" applyFill="1" applyBorder="1" applyAlignment="1">
      <alignment wrapText="1"/>
    </xf>
    <xf numFmtId="0" fontId="19" fillId="9" borderId="8" xfId="0" applyFont="1" applyFill="1" applyBorder="1" applyAlignment="1">
      <alignment wrapText="1"/>
    </xf>
    <xf numFmtId="1" fontId="19" fillId="9" borderId="8" xfId="0" applyNumberFormat="1" applyFont="1" applyFill="1" applyBorder="1" applyAlignment="1">
      <alignment wrapText="1"/>
    </xf>
    <xf numFmtId="1" fontId="19" fillId="9" borderId="8" xfId="0" applyNumberFormat="1" applyFont="1" applyFill="1" applyBorder="1" applyAlignment="1">
      <alignment/>
    </xf>
    <xf numFmtId="165" fontId="19" fillId="9" borderId="8" xfId="0" applyNumberFormat="1" applyFont="1" applyFill="1" applyBorder="1" applyAlignment="1">
      <alignment/>
    </xf>
    <xf numFmtId="164" fontId="19" fillId="9" borderId="8" xfId="0" applyNumberFormat="1" applyFont="1" applyFill="1" applyBorder="1" applyAlignment="1">
      <alignment/>
    </xf>
    <xf numFmtId="4" fontId="20" fillId="9" borderId="15" xfId="0" applyNumberFormat="1" applyFont="1" applyFill="1" applyBorder="1" applyAlignment="1">
      <alignment/>
    </xf>
    <xf numFmtId="0" fontId="19" fillId="9" borderId="0" xfId="0" applyFont="1" applyFill="1" applyBorder="1" applyAlignment="1">
      <alignment/>
    </xf>
    <xf numFmtId="164" fontId="75" fillId="0" borderId="0" xfId="0" applyNumberFormat="1" applyFont="1" applyBorder="1" applyAlignment="1">
      <alignment/>
    </xf>
    <xf numFmtId="0" fontId="7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'[1]Summary'!$A$26:$A$30</c:f>
              <c:strCache>
                <c:ptCount val="5"/>
                <c:pt idx="0">
                  <c:v>41- AC Power</c:v>
                </c:pt>
                <c:pt idx="1">
                  <c:v>42 - AC/DC Converters</c:v>
                </c:pt>
                <c:pt idx="2">
                  <c:v>43 - DC Systems</c:v>
                </c:pt>
                <c:pt idx="3">
                  <c:v>44 - Control &amp; Protection Systems</c:v>
                </c:pt>
                <c:pt idx="4">
                  <c:v>45 - System Design and Integration</c:v>
                </c:pt>
              </c:strCache>
            </c:strRef>
          </c:cat>
          <c:val>
            <c:numRef>
              <c:f>'[1]Summary'!$B$26:$B$30</c:f>
              <c:numCache>
                <c:ptCount val="5"/>
                <c:pt idx="0">
                  <c:v>699.6168190861471</c:v>
                </c:pt>
                <c:pt idx="1">
                  <c:v>30.841353624799996</c:v>
                </c:pt>
                <c:pt idx="2">
                  <c:v>3732.858876871209</c:v>
                </c:pt>
                <c:pt idx="3">
                  <c:v>1860.1072301245536</c:v>
                </c:pt>
                <c:pt idx="4">
                  <c:v>1218.8036072484701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cat>
            <c:strRef>
              <c:f>'.'!$A$26:$A$30</c:f>
              <c:strCache>
                <c:ptCount val="5"/>
                <c:pt idx="0">
                  <c:v>41- AC Power</c:v>
                </c:pt>
                <c:pt idx="1">
                  <c:v>42 - AC/DC Converters</c:v>
                </c:pt>
                <c:pt idx="2">
                  <c:v>43 - DC Systems</c:v>
                </c:pt>
                <c:pt idx="3">
                  <c:v>44 - Control &amp; Protection Systems</c:v>
                </c:pt>
                <c:pt idx="4">
                  <c:v>45 - System Design and Integration</c:v>
                </c:pt>
              </c:strCache>
            </c:strRef>
          </c:cat>
          <c:val>
            <c:numRef>
              <c:f>'.'!$B$26:$B$30</c:f>
              <c:numCache>
                <c:ptCount val="5"/>
                <c:pt idx="0">
                  <c:v>612.51617</c:v>
                </c:pt>
                <c:pt idx="1">
                  <c:v>0</c:v>
                </c:pt>
                <c:pt idx="2">
                  <c:v>2727.340361</c:v>
                </c:pt>
                <c:pt idx="3">
                  <c:v>1935.2979592000002</c:v>
                </c:pt>
                <c:pt idx="4">
                  <c:v>967.9089399999998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51</xdr:row>
      <xdr:rowOff>0</xdr:rowOff>
    </xdr:from>
    <xdr:to>
      <xdr:col>23</xdr:col>
      <xdr:colOff>171450</xdr:colOff>
      <xdr:row>73</xdr:row>
      <xdr:rowOff>114300</xdr:rowOff>
    </xdr:to>
    <xdr:graphicFrame>
      <xdr:nvGraphicFramePr>
        <xdr:cNvPr id="1" name="Chart 1"/>
        <xdr:cNvGraphicFramePr/>
      </xdr:nvGraphicFramePr>
      <xdr:xfrm>
        <a:off x="7191375" y="12420600"/>
        <a:ext cx="4676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52</xdr:row>
      <xdr:rowOff>76200</xdr:rowOff>
    </xdr:from>
    <xdr:to>
      <xdr:col>11</xdr:col>
      <xdr:colOff>28575</xdr:colOff>
      <xdr:row>75</xdr:row>
      <xdr:rowOff>57150</xdr:rowOff>
    </xdr:to>
    <xdr:graphicFrame>
      <xdr:nvGraphicFramePr>
        <xdr:cNvPr id="1" name="Chart 2"/>
        <xdr:cNvGraphicFramePr/>
      </xdr:nvGraphicFramePr>
      <xdr:xfrm>
        <a:off x="4933950" y="10315575"/>
        <a:ext cx="6705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CSXserv\Cost%20Estimate\Cost%20Estimate\CER%20WBS%204%20061603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Summary"/>
      <sheetName val="CDR reconciliation"/>
    </sheetNames>
    <sheetDataSet>
      <sheetData sheetId="0">
        <row r="4">
          <cell r="B4">
            <v>592.89560939504</v>
          </cell>
          <cell r="C4">
            <v>699.6168190861471</v>
          </cell>
        </row>
        <row r="5">
          <cell r="D5">
            <v>570.8273190877951</v>
          </cell>
        </row>
        <row r="16">
          <cell r="D16">
            <v>128.78949999835197</v>
          </cell>
        </row>
        <row r="18">
          <cell r="B18">
            <v>26.136740359999997</v>
          </cell>
          <cell r="C18">
            <v>30.841353624799996</v>
          </cell>
        </row>
        <row r="19">
          <cell r="D19">
            <v>0</v>
          </cell>
        </row>
        <row r="21">
          <cell r="D21">
            <v>30.841353624799996</v>
          </cell>
        </row>
        <row r="23">
          <cell r="B23">
            <v>3119.71091260272</v>
          </cell>
          <cell r="C23">
            <v>3732.858876871209</v>
          </cell>
        </row>
        <row r="24">
          <cell r="D24">
            <v>456.38519027464315</v>
          </cell>
        </row>
        <row r="40">
          <cell r="D40">
            <v>1916.3804689334336</v>
          </cell>
        </row>
        <row r="47">
          <cell r="D47">
            <v>1360.0932176631325</v>
          </cell>
        </row>
        <row r="73">
          <cell r="B73">
            <v>1565.4259293092798</v>
          </cell>
          <cell r="C73">
            <v>1860.1072301245536</v>
          </cell>
        </row>
        <row r="74">
          <cell r="D74">
            <v>679.1533811889664</v>
          </cell>
        </row>
        <row r="89">
          <cell r="D89">
            <v>110.68579482191359</v>
          </cell>
        </row>
        <row r="91">
          <cell r="D91">
            <v>44.017626691296</v>
          </cell>
        </row>
        <row r="93">
          <cell r="D93">
            <v>672.4143966149022</v>
          </cell>
        </row>
        <row r="98">
          <cell r="D98">
            <v>353.83603080747514</v>
          </cell>
        </row>
        <row r="103">
          <cell r="B103">
            <v>998.2615762711999</v>
          </cell>
          <cell r="C103">
            <v>1218.8036072484701</v>
          </cell>
        </row>
        <row r="104">
          <cell r="D104">
            <v>456.31833407196456</v>
          </cell>
        </row>
        <row r="115">
          <cell r="D115">
            <v>574.000563278016</v>
          </cell>
        </row>
        <row r="118">
          <cell r="D118">
            <v>188.4847098984896</v>
          </cell>
        </row>
        <row r="131">
          <cell r="B131" t="str">
            <v> </v>
          </cell>
        </row>
      </sheetData>
      <sheetData sheetId="1">
        <row r="26">
          <cell r="A26" t="str">
            <v>41- AC Power</v>
          </cell>
          <cell r="B26">
            <v>699.6168190861471</v>
          </cell>
        </row>
        <row r="27">
          <cell r="A27" t="str">
            <v>42 - AC/DC Converters</v>
          </cell>
          <cell r="B27">
            <v>30.841353624799996</v>
          </cell>
        </row>
        <row r="28">
          <cell r="A28" t="str">
            <v>43 - DC Systems</v>
          </cell>
          <cell r="B28">
            <v>3732.858876871209</v>
          </cell>
        </row>
        <row r="29">
          <cell r="A29" t="str">
            <v>44 - Control &amp; Protection Systems</v>
          </cell>
          <cell r="B29">
            <v>1860.1072301245536</v>
          </cell>
        </row>
        <row r="30">
          <cell r="A30" t="str">
            <v>45 - System Design and Integration</v>
          </cell>
          <cell r="B30">
            <v>1218.8036072484701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191"/>
  <sheetViews>
    <sheetView tabSelected="1" zoomScale="70" zoomScaleNormal="70" workbookViewId="0" topLeftCell="E1">
      <pane ySplit="1320" topLeftCell="BM1" activePane="bottomLeft" state="split"/>
      <selection pane="topLeft" activeCell="A1" sqref="A1:M1"/>
      <selection pane="bottomLeft" activeCell="V119" sqref="V119"/>
    </sheetView>
  </sheetViews>
  <sheetFormatPr defaultColWidth="9.00390625" defaultRowHeight="12"/>
  <cols>
    <col min="1" max="1" width="22.875" style="191" customWidth="1"/>
    <col min="2" max="2" width="23.625" style="192" customWidth="1"/>
    <col min="3" max="3" width="21.125" style="192" customWidth="1"/>
    <col min="4" max="4" width="24.25390625" style="192" customWidth="1"/>
    <col min="5" max="5" width="11.875" style="1" customWidth="1"/>
    <col min="6" max="6" width="19.375" style="1" customWidth="1"/>
    <col min="7" max="7" width="10.75390625" style="1" bestFit="1" customWidth="1"/>
    <col min="8" max="8" width="11.375" style="1" bestFit="1" customWidth="1"/>
    <col min="9" max="9" width="4.625" style="1" customWidth="1"/>
    <col min="10" max="10" width="4.875" style="1" bestFit="1" customWidth="1"/>
    <col min="11" max="11" width="6.125" style="1" customWidth="1"/>
    <col min="12" max="13" width="5.625" style="1" customWidth="1"/>
    <col min="14" max="14" width="6.25390625" style="3" bestFit="1" customWidth="1"/>
    <col min="15" max="15" width="6.625" style="10" customWidth="1"/>
    <col min="16" max="16" width="7.875" style="2" customWidth="1"/>
    <col min="17" max="17" width="8.25390625" style="2" customWidth="1"/>
    <col min="18" max="18" width="7.00390625" style="2" customWidth="1"/>
    <col min="19" max="19" width="6.875" style="2" customWidth="1"/>
    <col min="20" max="20" width="6.625" style="3" bestFit="1" customWidth="1"/>
    <col min="21" max="21" width="6.75390625" style="3" customWidth="1"/>
    <col min="22" max="22" width="5.875" style="3" customWidth="1"/>
    <col min="23" max="23" width="6.125" style="3" customWidth="1"/>
    <col min="24" max="24" width="6.25390625" style="3" customWidth="1"/>
    <col min="25" max="25" width="5.375" style="3" customWidth="1"/>
    <col min="26" max="26" width="5.875" style="3" customWidth="1"/>
    <col min="27" max="27" width="6.125" style="3" customWidth="1"/>
    <col min="28" max="28" width="5.625" style="3" customWidth="1"/>
    <col min="29" max="29" width="9.375" style="102" customWidth="1"/>
    <col min="30" max="30" width="6.125" style="3" customWidth="1"/>
    <col min="31" max="31" width="6.625" style="21" customWidth="1"/>
    <col min="32" max="32" width="8.125" style="3" bestFit="1" customWidth="1"/>
    <col min="33" max="33" width="6.375" style="3" customWidth="1"/>
    <col min="34" max="34" width="10.75390625" style="96" customWidth="1"/>
    <col min="35" max="16384" width="11.375" style="5" customWidth="1"/>
  </cols>
  <sheetData>
    <row r="1" spans="1:34" ht="24">
      <c r="A1" s="660" t="s">
        <v>268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16" t="s">
        <v>177</v>
      </c>
      <c r="O1" s="17"/>
      <c r="P1" s="18"/>
      <c r="Q1" s="18"/>
      <c r="R1" s="18"/>
      <c r="S1" s="18"/>
      <c r="T1" s="17" t="s">
        <v>129</v>
      </c>
      <c r="U1" s="17"/>
      <c r="V1" s="16" t="s">
        <v>175</v>
      </c>
      <c r="W1" s="16"/>
      <c r="X1" s="16"/>
      <c r="Y1" s="16"/>
      <c r="Z1" s="16" t="s">
        <v>176</v>
      </c>
      <c r="AA1" s="16"/>
      <c r="AB1" s="16"/>
      <c r="AC1" s="99" t="s">
        <v>114</v>
      </c>
      <c r="AD1" s="19" t="s">
        <v>128</v>
      </c>
      <c r="AE1" s="19"/>
      <c r="AF1" s="19"/>
      <c r="AG1" s="20"/>
      <c r="AH1" s="94" t="s">
        <v>126</v>
      </c>
    </row>
    <row r="2" spans="1:34" s="1" customFormat="1" ht="24">
      <c r="A2" s="191"/>
      <c r="B2" s="192"/>
      <c r="C2" s="192"/>
      <c r="D2" s="192"/>
      <c r="G2" s="1" t="s">
        <v>220</v>
      </c>
      <c r="H2" s="1" t="s">
        <v>221</v>
      </c>
      <c r="I2" s="1" t="s">
        <v>164</v>
      </c>
      <c r="J2" s="1" t="s">
        <v>15</v>
      </c>
      <c r="K2" s="1" t="s">
        <v>182</v>
      </c>
      <c r="L2" s="1" t="s">
        <v>15</v>
      </c>
      <c r="M2" s="1" t="s">
        <v>182</v>
      </c>
      <c r="N2" s="1" t="s">
        <v>15</v>
      </c>
      <c r="O2" s="1" t="s">
        <v>182</v>
      </c>
      <c r="P2" s="6" t="s">
        <v>181</v>
      </c>
      <c r="Q2" s="6" t="s">
        <v>143</v>
      </c>
      <c r="R2" s="6" t="s">
        <v>123</v>
      </c>
      <c r="S2" s="6" t="s">
        <v>124</v>
      </c>
      <c r="T2" s="10" t="s">
        <v>183</v>
      </c>
      <c r="U2" s="10" t="s">
        <v>242</v>
      </c>
      <c r="V2" s="10" t="s">
        <v>183</v>
      </c>
      <c r="W2" s="10" t="s">
        <v>184</v>
      </c>
      <c r="X2" s="10" t="s">
        <v>185</v>
      </c>
      <c r="Y2" s="10" t="s">
        <v>186</v>
      </c>
      <c r="Z2" s="10" t="s">
        <v>183</v>
      </c>
      <c r="AA2" s="10" t="s">
        <v>184</v>
      </c>
      <c r="AB2" s="10" t="s">
        <v>185</v>
      </c>
      <c r="AC2" s="100"/>
      <c r="AD2" s="74" t="s">
        <v>80</v>
      </c>
      <c r="AE2" s="10" t="s">
        <v>143</v>
      </c>
      <c r="AF2" s="10" t="s">
        <v>127</v>
      </c>
      <c r="AG2" s="7" t="s">
        <v>125</v>
      </c>
      <c r="AH2" s="95"/>
    </row>
    <row r="3" spans="16:34" ht="15.75" thickBot="1">
      <c r="P3" s="2" t="s">
        <v>79</v>
      </c>
      <c r="Q3" s="2" t="s">
        <v>150</v>
      </c>
      <c r="S3" s="2" t="s">
        <v>150</v>
      </c>
      <c r="T3" s="3" t="s">
        <v>151</v>
      </c>
      <c r="U3" s="3" t="s">
        <v>151</v>
      </c>
      <c r="V3" s="3" t="s">
        <v>151</v>
      </c>
      <c r="W3" s="3" t="s">
        <v>151</v>
      </c>
      <c r="X3" s="3" t="s">
        <v>151</v>
      </c>
      <c r="Y3" s="3" t="s">
        <v>150</v>
      </c>
      <c r="Z3" s="3" t="s">
        <v>151</v>
      </c>
      <c r="AA3" s="3" t="s">
        <v>151</v>
      </c>
      <c r="AB3" s="3" t="s">
        <v>151</v>
      </c>
      <c r="AC3" s="101" t="s">
        <v>150</v>
      </c>
      <c r="AD3" s="21" t="s">
        <v>154</v>
      </c>
      <c r="AE3" s="21" t="s">
        <v>154</v>
      </c>
      <c r="AF3" s="21" t="s">
        <v>154</v>
      </c>
      <c r="AG3" s="22" t="s">
        <v>154</v>
      </c>
      <c r="AH3" s="96" t="s">
        <v>150</v>
      </c>
    </row>
    <row r="4" spans="1:197" s="24" customFormat="1" ht="17.25" thickBot="1" thickTop="1">
      <c r="A4" s="193" t="s">
        <v>187</v>
      </c>
      <c r="B4" s="194">
        <f>C5+C16</f>
        <v>519.0815</v>
      </c>
      <c r="C4" s="195">
        <f>D5+D16</f>
        <v>612.51617</v>
      </c>
      <c r="D4" s="196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60"/>
      <c r="AD4" s="159"/>
      <c r="AE4" s="159"/>
      <c r="AF4" s="159"/>
      <c r="AG4" s="159"/>
      <c r="AH4" s="161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</row>
    <row r="5" spans="1:34" s="22" customFormat="1" ht="30">
      <c r="A5" s="197"/>
      <c r="B5" s="198" t="s">
        <v>206</v>
      </c>
      <c r="C5" s="199">
        <f>SUM(AC5:AC15)</f>
        <v>475.7595</v>
      </c>
      <c r="D5" s="200">
        <f>SUM(AH5:AH15)</f>
        <v>561.39621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1"/>
      <c r="AD5" s="110"/>
      <c r="AE5" s="110"/>
      <c r="AF5" s="110"/>
      <c r="AG5" s="110"/>
      <c r="AH5" s="162"/>
    </row>
    <row r="6" spans="1:36" ht="30">
      <c r="A6" s="201"/>
      <c r="B6" s="202"/>
      <c r="D6" s="192" t="s">
        <v>160</v>
      </c>
      <c r="G6" s="71">
        <v>37987</v>
      </c>
      <c r="H6" s="70">
        <v>39083</v>
      </c>
      <c r="I6" s="1">
        <v>1</v>
      </c>
      <c r="P6" s="2">
        <v>0</v>
      </c>
      <c r="Q6" s="2">
        <f aca="true" t="shared" si="0" ref="Q6:Q15">P6*N6</f>
        <v>0</v>
      </c>
      <c r="S6" s="2">
        <f aca="true" t="shared" si="1" ref="S6:S15">P6*R6</f>
        <v>0</v>
      </c>
      <c r="T6" s="3">
        <v>20</v>
      </c>
      <c r="U6" s="3">
        <v>50</v>
      </c>
      <c r="V6" s="3">
        <v>10</v>
      </c>
      <c r="W6" s="3">
        <v>10</v>
      </c>
      <c r="X6" s="3">
        <v>60</v>
      </c>
      <c r="Z6" s="3">
        <v>6</v>
      </c>
      <c r="AA6" s="3">
        <v>10</v>
      </c>
      <c r="AB6" s="3">
        <v>20</v>
      </c>
      <c r="AC6" s="102">
        <f>((Q6+Y6)*GA+(T6+V6+Z6)*EEEM+(W6+AA6)*EESM+(U6*DM)+(X6+AB6)*EETB)*I6</f>
        <v>158.38400000000001</v>
      </c>
      <c r="AD6" s="21">
        <f>4*2</f>
        <v>8</v>
      </c>
      <c r="AE6" s="3">
        <f>4*2</f>
        <v>8</v>
      </c>
      <c r="AF6" s="3">
        <f aca="true" t="shared" si="2" ref="AF6:AF15">2*1</f>
        <v>2</v>
      </c>
      <c r="AG6" s="26">
        <f aca="true" t="shared" si="3" ref="AG6:AG15">IF(AC6=0,"",AD6+AE6+AF6)</f>
        <v>18</v>
      </c>
      <c r="AH6" s="163">
        <f aca="true" t="shared" si="4" ref="AH6:AH17">IF(AG6="",0,AC6*(1+AG6/100))</f>
        <v>186.89312</v>
      </c>
      <c r="AJ6" s="5">
        <f aca="true" t="shared" si="5" ref="AJ6:AJ65">(AH6-AC6)*100/AC6</f>
        <v>17.999999999999993</v>
      </c>
    </row>
    <row r="7" spans="1:36" ht="15">
      <c r="A7" s="201"/>
      <c r="B7" s="202"/>
      <c r="F7" s="10" t="s">
        <v>87</v>
      </c>
      <c r="G7" s="10"/>
      <c r="H7" s="10"/>
      <c r="I7" s="10">
        <v>1</v>
      </c>
      <c r="J7" s="10"/>
      <c r="K7" s="10"/>
      <c r="L7" s="10"/>
      <c r="M7" s="10"/>
      <c r="N7" s="3">
        <v>3</v>
      </c>
      <c r="O7" s="10" t="s">
        <v>88</v>
      </c>
      <c r="P7" s="2">
        <v>5</v>
      </c>
      <c r="Q7" s="2">
        <f t="shared" si="0"/>
        <v>15</v>
      </c>
      <c r="S7" s="2">
        <f t="shared" si="1"/>
        <v>0</v>
      </c>
      <c r="AC7" s="102">
        <f aca="true" t="shared" si="6" ref="AC7:AC15">((Q7+Y7)*GA+(T7+V7+Z7)*EEEM+(W7+AA7)*EESM+(U7*DM)+(X7+AB7)*EETB)*I7</f>
        <v>19.950000000000003</v>
      </c>
      <c r="AD7" s="21">
        <f aca="true" t="shared" si="7" ref="AD7:AD12">4*2</f>
        <v>8</v>
      </c>
      <c r="AE7" s="3">
        <f aca="true" t="shared" si="8" ref="AE7:AE15">4*2</f>
        <v>8</v>
      </c>
      <c r="AF7" s="3">
        <f t="shared" si="2"/>
        <v>2</v>
      </c>
      <c r="AG7" s="26">
        <f t="shared" si="3"/>
        <v>18</v>
      </c>
      <c r="AH7" s="163">
        <f t="shared" si="4"/>
        <v>23.541</v>
      </c>
      <c r="AJ7" s="5">
        <f t="shared" si="5"/>
        <v>17.999999999999986</v>
      </c>
    </row>
    <row r="8" spans="1:36" ht="15">
      <c r="A8" s="201"/>
      <c r="B8" s="202"/>
      <c r="F8" s="10" t="s">
        <v>82</v>
      </c>
      <c r="G8" s="10"/>
      <c r="H8" s="10"/>
      <c r="I8" s="10">
        <v>1</v>
      </c>
      <c r="J8" s="10"/>
      <c r="K8" s="10"/>
      <c r="L8" s="10"/>
      <c r="M8" s="10"/>
      <c r="N8" s="3">
        <v>6</v>
      </c>
      <c r="O8" s="10" t="s">
        <v>88</v>
      </c>
      <c r="P8" s="2">
        <v>3.5</v>
      </c>
      <c r="Q8" s="2">
        <f t="shared" si="0"/>
        <v>21</v>
      </c>
      <c r="S8" s="2">
        <f t="shared" si="1"/>
        <v>0</v>
      </c>
      <c r="AC8" s="102">
        <f t="shared" si="6"/>
        <v>27.93</v>
      </c>
      <c r="AD8" s="21">
        <f t="shared" si="7"/>
        <v>8</v>
      </c>
      <c r="AE8" s="3">
        <f t="shared" si="8"/>
        <v>8</v>
      </c>
      <c r="AF8" s="3">
        <f t="shared" si="2"/>
        <v>2</v>
      </c>
      <c r="AG8" s="26">
        <f t="shared" si="3"/>
        <v>18</v>
      </c>
      <c r="AH8" s="163">
        <f t="shared" si="4"/>
        <v>32.9574</v>
      </c>
      <c r="AJ8" s="5">
        <f t="shared" si="5"/>
        <v>18</v>
      </c>
    </row>
    <row r="9" spans="1:36" ht="15">
      <c r="A9" s="201"/>
      <c r="B9" s="202"/>
      <c r="F9" s="10" t="s">
        <v>83</v>
      </c>
      <c r="G9" s="10"/>
      <c r="H9" s="10"/>
      <c r="I9" s="10">
        <v>1</v>
      </c>
      <c r="J9" s="10"/>
      <c r="K9" s="10"/>
      <c r="L9" s="10"/>
      <c r="M9" s="10"/>
      <c r="N9" s="3">
        <v>6</v>
      </c>
      <c r="O9" s="10" t="s">
        <v>88</v>
      </c>
      <c r="P9" s="2">
        <v>2.5</v>
      </c>
      <c r="Q9" s="2">
        <f t="shared" si="0"/>
        <v>15</v>
      </c>
      <c r="S9" s="2">
        <f t="shared" si="1"/>
        <v>0</v>
      </c>
      <c r="AC9" s="102">
        <f t="shared" si="6"/>
        <v>19.950000000000003</v>
      </c>
      <c r="AD9" s="21">
        <f t="shared" si="7"/>
        <v>8</v>
      </c>
      <c r="AE9" s="3">
        <f t="shared" si="8"/>
        <v>8</v>
      </c>
      <c r="AF9" s="3">
        <f t="shared" si="2"/>
        <v>2</v>
      </c>
      <c r="AG9" s="26">
        <f t="shared" si="3"/>
        <v>18</v>
      </c>
      <c r="AH9" s="163">
        <f t="shared" si="4"/>
        <v>23.541</v>
      </c>
      <c r="AJ9" s="5">
        <f t="shared" si="5"/>
        <v>17.999999999999986</v>
      </c>
    </row>
    <row r="10" spans="1:36" ht="15">
      <c r="A10" s="201"/>
      <c r="B10" s="202"/>
      <c r="F10" s="10" t="s">
        <v>84</v>
      </c>
      <c r="G10" s="10"/>
      <c r="H10" s="10"/>
      <c r="I10" s="10">
        <v>1</v>
      </c>
      <c r="J10" s="10"/>
      <c r="K10" s="10"/>
      <c r="L10" s="10"/>
      <c r="M10" s="10"/>
      <c r="N10" s="3">
        <v>800</v>
      </c>
      <c r="O10" s="10" t="s">
        <v>117</v>
      </c>
      <c r="P10" s="2">
        <v>0.0015</v>
      </c>
      <c r="Q10" s="2">
        <f t="shared" si="0"/>
        <v>1.2</v>
      </c>
      <c r="S10" s="2">
        <f t="shared" si="1"/>
        <v>0</v>
      </c>
      <c r="AC10" s="102">
        <f t="shared" si="6"/>
        <v>1.596</v>
      </c>
      <c r="AD10" s="21">
        <f t="shared" si="7"/>
        <v>8</v>
      </c>
      <c r="AE10" s="3">
        <f t="shared" si="8"/>
        <v>8</v>
      </c>
      <c r="AF10" s="3">
        <f t="shared" si="2"/>
        <v>2</v>
      </c>
      <c r="AG10" s="26">
        <f t="shared" si="3"/>
        <v>18</v>
      </c>
      <c r="AH10" s="163">
        <f t="shared" si="4"/>
        <v>1.88328</v>
      </c>
      <c r="AJ10" s="5">
        <f t="shared" si="5"/>
        <v>17.999999999999996</v>
      </c>
    </row>
    <row r="11" spans="1:36" ht="15">
      <c r="A11" s="201"/>
      <c r="B11" s="202"/>
      <c r="F11" s="10" t="s">
        <v>85</v>
      </c>
      <c r="G11" s="10"/>
      <c r="H11" s="10"/>
      <c r="I11" s="10">
        <v>1</v>
      </c>
      <c r="J11" s="10"/>
      <c r="K11" s="10"/>
      <c r="L11" s="10"/>
      <c r="M11" s="10"/>
      <c r="N11" s="3">
        <v>100</v>
      </c>
      <c r="O11" s="10" t="s">
        <v>117</v>
      </c>
      <c r="P11" s="2">
        <v>0.01</v>
      </c>
      <c r="Q11" s="2">
        <f t="shared" si="0"/>
        <v>1</v>
      </c>
      <c r="S11" s="2">
        <f t="shared" si="1"/>
        <v>0</v>
      </c>
      <c r="AC11" s="102">
        <f t="shared" si="6"/>
        <v>1.33</v>
      </c>
      <c r="AD11" s="21">
        <f t="shared" si="7"/>
        <v>8</v>
      </c>
      <c r="AE11" s="3">
        <f t="shared" si="8"/>
        <v>8</v>
      </c>
      <c r="AF11" s="3">
        <f t="shared" si="2"/>
        <v>2</v>
      </c>
      <c r="AG11" s="26">
        <f t="shared" si="3"/>
        <v>18</v>
      </c>
      <c r="AH11" s="163">
        <f t="shared" si="4"/>
        <v>1.5694</v>
      </c>
      <c r="AJ11" s="5">
        <f t="shared" si="5"/>
        <v>17.999999999999986</v>
      </c>
    </row>
    <row r="12" spans="1:36" ht="15">
      <c r="A12" s="201"/>
      <c r="B12" s="202"/>
      <c r="F12" s="10" t="s">
        <v>86</v>
      </c>
      <c r="G12" s="10"/>
      <c r="H12" s="10"/>
      <c r="I12" s="10">
        <v>1</v>
      </c>
      <c r="J12" s="10"/>
      <c r="K12" s="10"/>
      <c r="L12" s="10"/>
      <c r="M12" s="10"/>
      <c r="N12" s="3">
        <v>150</v>
      </c>
      <c r="O12" s="10" t="s">
        <v>117</v>
      </c>
      <c r="P12" s="2">
        <v>0.001</v>
      </c>
      <c r="Q12" s="2">
        <f t="shared" si="0"/>
        <v>0.15</v>
      </c>
      <c r="S12" s="2">
        <f t="shared" si="1"/>
        <v>0</v>
      </c>
      <c r="AC12" s="102">
        <f t="shared" si="6"/>
        <v>0.1995</v>
      </c>
      <c r="AD12" s="21">
        <f t="shared" si="7"/>
        <v>8</v>
      </c>
      <c r="AE12" s="3">
        <f t="shared" si="8"/>
        <v>8</v>
      </c>
      <c r="AF12" s="3">
        <f t="shared" si="2"/>
        <v>2</v>
      </c>
      <c r="AG12" s="26">
        <f t="shared" si="3"/>
        <v>18</v>
      </c>
      <c r="AH12" s="163">
        <f t="shared" si="4"/>
        <v>0.23541</v>
      </c>
      <c r="AJ12" s="5">
        <f t="shared" si="5"/>
        <v>17.999999999999996</v>
      </c>
    </row>
    <row r="13" spans="1:36" ht="30">
      <c r="A13" s="201" t="s">
        <v>159</v>
      </c>
      <c r="B13" s="202"/>
      <c r="D13" s="192" t="s">
        <v>174</v>
      </c>
      <c r="F13" s="1" t="s">
        <v>90</v>
      </c>
      <c r="G13" s="71">
        <v>37987</v>
      </c>
      <c r="H13" s="70">
        <v>38718</v>
      </c>
      <c r="I13" s="10">
        <v>1</v>
      </c>
      <c r="N13" s="3">
        <v>3</v>
      </c>
      <c r="O13" s="10" t="s">
        <v>130</v>
      </c>
      <c r="P13" s="2">
        <v>3</v>
      </c>
      <c r="Q13" s="2">
        <f t="shared" si="0"/>
        <v>9</v>
      </c>
      <c r="S13" s="2">
        <f t="shared" si="1"/>
        <v>0</v>
      </c>
      <c r="T13" s="3">
        <v>10</v>
      </c>
      <c r="U13" s="3">
        <v>15</v>
      </c>
      <c r="V13" s="3">
        <v>15</v>
      </c>
      <c r="W13" s="3">
        <v>20</v>
      </c>
      <c r="X13" s="3">
        <v>30</v>
      </c>
      <c r="Z13" s="3">
        <v>10</v>
      </c>
      <c r="AA13" s="3">
        <v>10</v>
      </c>
      <c r="AB13" s="3">
        <v>20</v>
      </c>
      <c r="AC13" s="102">
        <f t="shared" si="6"/>
        <v>128.81</v>
      </c>
      <c r="AD13" s="21">
        <f>4*2</f>
        <v>8</v>
      </c>
      <c r="AE13" s="3">
        <f t="shared" si="8"/>
        <v>8</v>
      </c>
      <c r="AF13" s="3">
        <f t="shared" si="2"/>
        <v>2</v>
      </c>
      <c r="AG13" s="26">
        <f t="shared" si="3"/>
        <v>18</v>
      </c>
      <c r="AH13" s="163">
        <f t="shared" si="4"/>
        <v>151.9958</v>
      </c>
      <c r="AJ13" s="5">
        <f t="shared" si="5"/>
        <v>18</v>
      </c>
    </row>
    <row r="14" spans="1:36" ht="30">
      <c r="A14" s="201"/>
      <c r="B14" s="202"/>
      <c r="D14" s="192" t="s">
        <v>4</v>
      </c>
      <c r="F14" s="1" t="s">
        <v>32</v>
      </c>
      <c r="G14" s="71"/>
      <c r="H14" s="70"/>
      <c r="I14" s="10"/>
      <c r="AD14" s="21"/>
      <c r="AE14" s="3"/>
      <c r="AG14" s="26"/>
      <c r="AH14" s="163"/>
      <c r="AJ14" s="5" t="e">
        <f t="shared" si="5"/>
        <v>#DIV/0!</v>
      </c>
    </row>
    <row r="15" spans="1:36" s="578" customFormat="1" ht="16.5" thickBot="1">
      <c r="A15" s="567"/>
      <c r="B15" s="568"/>
      <c r="C15" s="569"/>
      <c r="D15" s="569" t="s">
        <v>92</v>
      </c>
      <c r="E15" s="570"/>
      <c r="F15" s="570" t="s">
        <v>93</v>
      </c>
      <c r="G15" s="571" t="s">
        <v>258</v>
      </c>
      <c r="H15" s="572">
        <v>38898</v>
      </c>
      <c r="I15" s="573">
        <v>1</v>
      </c>
      <c r="J15" s="570"/>
      <c r="K15" s="570"/>
      <c r="L15" s="570"/>
      <c r="M15" s="570"/>
      <c r="N15" s="574">
        <v>1</v>
      </c>
      <c r="O15" s="573" t="s">
        <v>91</v>
      </c>
      <c r="P15" s="575">
        <v>5</v>
      </c>
      <c r="Q15" s="575">
        <f t="shared" si="0"/>
        <v>5</v>
      </c>
      <c r="R15" s="575"/>
      <c r="S15" s="575">
        <f t="shared" si="1"/>
        <v>0</v>
      </c>
      <c r="T15" s="574">
        <v>10</v>
      </c>
      <c r="U15" s="574">
        <v>25</v>
      </c>
      <c r="V15" s="574">
        <v>5</v>
      </c>
      <c r="W15" s="574">
        <v>15</v>
      </c>
      <c r="X15" s="574">
        <v>20</v>
      </c>
      <c r="Y15" s="574">
        <v>20</v>
      </c>
      <c r="Z15" s="574">
        <v>5</v>
      </c>
      <c r="AA15" s="574">
        <v>5</v>
      </c>
      <c r="AB15" s="574">
        <v>10</v>
      </c>
      <c r="AC15" s="574">
        <f t="shared" si="6"/>
        <v>117.61000000000001</v>
      </c>
      <c r="AD15" s="576">
        <f>4*2</f>
        <v>8</v>
      </c>
      <c r="AE15" s="574">
        <f t="shared" si="8"/>
        <v>8</v>
      </c>
      <c r="AF15" s="574">
        <f t="shared" si="2"/>
        <v>2</v>
      </c>
      <c r="AG15" s="576">
        <f t="shared" si="3"/>
        <v>18</v>
      </c>
      <c r="AH15" s="577">
        <f t="shared" si="4"/>
        <v>138.77980000000002</v>
      </c>
      <c r="AJ15" s="578">
        <f t="shared" si="5"/>
        <v>18.000000000000007</v>
      </c>
    </row>
    <row r="16" spans="1:34" ht="30">
      <c r="A16" s="197"/>
      <c r="B16" s="198" t="s">
        <v>207</v>
      </c>
      <c r="C16" s="199">
        <f>SUM(AC17)</f>
        <v>43.321999999999996</v>
      </c>
      <c r="D16" s="200">
        <f>SUM(AH17)</f>
        <v>51.11995999999999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1"/>
      <c r="AD16" s="110"/>
      <c r="AE16" s="110"/>
      <c r="AF16" s="110"/>
      <c r="AG16" s="110"/>
      <c r="AH16" s="162"/>
    </row>
    <row r="17" spans="1:36" s="78" customFormat="1" ht="30.75" thickBot="1">
      <c r="A17" s="203"/>
      <c r="B17" s="204"/>
      <c r="C17" s="205"/>
      <c r="D17" s="205" t="s">
        <v>161</v>
      </c>
      <c r="E17" s="164"/>
      <c r="F17" s="164" t="s">
        <v>165</v>
      </c>
      <c r="G17" s="165">
        <v>38353</v>
      </c>
      <c r="H17" s="165">
        <v>38808</v>
      </c>
      <c r="I17" s="166">
        <v>1</v>
      </c>
      <c r="J17" s="164"/>
      <c r="K17" s="164"/>
      <c r="L17" s="164"/>
      <c r="M17" s="164"/>
      <c r="N17" s="167">
        <v>1</v>
      </c>
      <c r="O17" s="166" t="s">
        <v>91</v>
      </c>
      <c r="P17" s="168">
        <v>5</v>
      </c>
      <c r="Q17" s="168">
        <v>5</v>
      </c>
      <c r="R17" s="168"/>
      <c r="S17" s="168">
        <f>P17*R17</f>
        <v>0</v>
      </c>
      <c r="T17" s="167">
        <v>5</v>
      </c>
      <c r="U17" s="167">
        <v>5</v>
      </c>
      <c r="V17" s="167">
        <v>2</v>
      </c>
      <c r="W17" s="167">
        <v>8</v>
      </c>
      <c r="X17" s="167">
        <v>10</v>
      </c>
      <c r="Y17" s="167"/>
      <c r="Z17" s="167">
        <v>3</v>
      </c>
      <c r="AA17" s="167">
        <v>3</v>
      </c>
      <c r="AB17" s="167">
        <v>5</v>
      </c>
      <c r="AC17" s="169">
        <f>((Q17+Y17)*GA+(T17+V17+Z17)*EEEM+(W17+AA17)*EESM+(U17*DM)+(X17+AB17)*EETB)*I17</f>
        <v>43.321999999999996</v>
      </c>
      <c r="AD17" s="170">
        <f>4*2</f>
        <v>8</v>
      </c>
      <c r="AE17" s="167">
        <f>4*2</f>
        <v>8</v>
      </c>
      <c r="AF17" s="167">
        <f>2*1</f>
        <v>2</v>
      </c>
      <c r="AG17" s="171">
        <f>IF(AC17=0,"",AD17+AE17+AF17)</f>
        <v>18</v>
      </c>
      <c r="AH17" s="172">
        <f t="shared" si="4"/>
        <v>51.11995999999999</v>
      </c>
      <c r="AJ17" s="78">
        <f t="shared" si="5"/>
        <v>17.999999999999993</v>
      </c>
    </row>
    <row r="18" spans="1:197" s="24" customFormat="1" ht="31.5" thickBot="1" thickTop="1">
      <c r="A18" s="193" t="s">
        <v>188</v>
      </c>
      <c r="B18" s="194">
        <f>C19+C21</f>
        <v>0</v>
      </c>
      <c r="C18" s="195">
        <f>D19+D21</f>
        <v>0</v>
      </c>
      <c r="D18" s="196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60"/>
      <c r="AD18" s="159"/>
      <c r="AE18" s="159"/>
      <c r="AF18" s="159"/>
      <c r="AG18" s="159"/>
      <c r="AH18" s="161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</row>
    <row r="19" spans="1:34" ht="30">
      <c r="A19" s="201" t="s">
        <v>159</v>
      </c>
      <c r="B19" s="198" t="s">
        <v>208</v>
      </c>
      <c r="C19" s="199">
        <f>SUM(AC20)</f>
        <v>0</v>
      </c>
      <c r="D19" s="200">
        <f>SUM(AH20)</f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1"/>
      <c r="AD19" s="110"/>
      <c r="AE19" s="110"/>
      <c r="AF19" s="110"/>
      <c r="AG19" s="110"/>
      <c r="AH19" s="162"/>
    </row>
    <row r="20" spans="1:36" s="46" customFormat="1" ht="30.75" thickBot="1">
      <c r="A20" s="206"/>
      <c r="B20" s="207"/>
      <c r="C20" s="208"/>
      <c r="D20" s="208" t="s">
        <v>162</v>
      </c>
      <c r="E20" s="120" t="s">
        <v>217</v>
      </c>
      <c r="F20" s="120" t="s">
        <v>166</v>
      </c>
      <c r="G20" s="120"/>
      <c r="H20" s="120"/>
      <c r="I20" s="121">
        <v>1</v>
      </c>
      <c r="J20" s="120"/>
      <c r="K20" s="120"/>
      <c r="L20" s="120"/>
      <c r="M20" s="120"/>
      <c r="N20" s="122">
        <v>1</v>
      </c>
      <c r="O20" s="121" t="s">
        <v>91</v>
      </c>
      <c r="P20" s="123">
        <v>5</v>
      </c>
      <c r="Q20" s="123">
        <f>P20*N20</f>
        <v>5</v>
      </c>
      <c r="R20" s="123"/>
      <c r="S20" s="123">
        <f>P20*R20</f>
        <v>0</v>
      </c>
      <c r="T20" s="122">
        <v>10</v>
      </c>
      <c r="U20" s="122">
        <v>15</v>
      </c>
      <c r="V20" s="122">
        <v>10</v>
      </c>
      <c r="W20" s="122">
        <v>10</v>
      </c>
      <c r="X20" s="122">
        <v>15</v>
      </c>
      <c r="Y20" s="122"/>
      <c r="Z20" s="122">
        <v>3</v>
      </c>
      <c r="AA20" s="122">
        <v>3</v>
      </c>
      <c r="AB20" s="122">
        <v>0</v>
      </c>
      <c r="AC20" s="124">
        <v>0</v>
      </c>
      <c r="AD20" s="125">
        <f>4*2</f>
        <v>8</v>
      </c>
      <c r="AE20" s="122">
        <f>4*2</f>
        <v>8</v>
      </c>
      <c r="AF20" s="122">
        <f>2*1</f>
        <v>2</v>
      </c>
      <c r="AG20" s="126">
        <f>IF(AC20=0,"",AD20+AE20+AF20)</f>
      </c>
      <c r="AH20" s="173">
        <v>0</v>
      </c>
      <c r="AJ20" s="5"/>
    </row>
    <row r="21" spans="1:34" ht="30">
      <c r="A21" s="201" t="s">
        <v>159</v>
      </c>
      <c r="B21" s="198" t="s">
        <v>209</v>
      </c>
      <c r="C21" s="199">
        <f>SUM(AC22)</f>
        <v>0</v>
      </c>
      <c r="D21" s="200">
        <f>SUM(AH22)</f>
        <v>0</v>
      </c>
      <c r="E21" s="110"/>
      <c r="F21" s="110"/>
      <c r="G21" s="110"/>
      <c r="H21" s="110"/>
      <c r="I21" s="127">
        <v>1</v>
      </c>
      <c r="J21" s="110"/>
      <c r="K21" s="110"/>
      <c r="L21" s="110"/>
      <c r="M21" s="110"/>
      <c r="N21" s="128"/>
      <c r="O21" s="127"/>
      <c r="P21" s="129"/>
      <c r="Q21" s="129"/>
      <c r="R21" s="129"/>
      <c r="S21" s="129"/>
      <c r="T21" s="128"/>
      <c r="U21" s="128"/>
      <c r="V21" s="128"/>
      <c r="W21" s="128"/>
      <c r="X21" s="128"/>
      <c r="Y21" s="128"/>
      <c r="Z21" s="128"/>
      <c r="AA21" s="128"/>
      <c r="AB21" s="128"/>
      <c r="AC21" s="130"/>
      <c r="AD21" s="131"/>
      <c r="AE21" s="128"/>
      <c r="AF21" s="128" t="s">
        <v>159</v>
      </c>
      <c r="AG21" s="131">
        <f>IF(AC21=0,"",AD21+AE21+AF21)</f>
      </c>
      <c r="AH21" s="174">
        <f>IF(AG21="",0,AC21*(1+AG21/100))</f>
        <v>0</v>
      </c>
    </row>
    <row r="22" spans="1:36" s="498" customFormat="1" ht="24.75" thickBot="1">
      <c r="A22" s="486"/>
      <c r="B22" s="487"/>
      <c r="C22" s="488"/>
      <c r="D22" s="488" t="s">
        <v>163</v>
      </c>
      <c r="E22" s="489" t="s">
        <v>108</v>
      </c>
      <c r="F22" s="489" t="s">
        <v>166</v>
      </c>
      <c r="G22" s="490">
        <v>36799</v>
      </c>
      <c r="H22" s="490">
        <v>37042</v>
      </c>
      <c r="I22" s="491">
        <v>1</v>
      </c>
      <c r="J22" s="489"/>
      <c r="K22" s="489"/>
      <c r="L22" s="489"/>
      <c r="M22" s="489"/>
      <c r="N22" s="492">
        <v>2</v>
      </c>
      <c r="O22" s="491" t="s">
        <v>11</v>
      </c>
      <c r="P22" s="493">
        <v>0.25</v>
      </c>
      <c r="Q22" s="493">
        <f>P22*N22</f>
        <v>0.5</v>
      </c>
      <c r="R22" s="493"/>
      <c r="S22" s="493">
        <f>P22*R22</f>
        <v>0</v>
      </c>
      <c r="T22" s="492">
        <v>0</v>
      </c>
      <c r="U22" s="492">
        <v>0</v>
      </c>
      <c r="V22" s="492">
        <v>0</v>
      </c>
      <c r="W22" s="492">
        <v>0</v>
      </c>
      <c r="X22" s="492">
        <v>0</v>
      </c>
      <c r="Y22" s="492"/>
      <c r="Z22" s="492">
        <v>5</v>
      </c>
      <c r="AA22" s="492">
        <v>5</v>
      </c>
      <c r="AB22" s="492">
        <f>2*N22</f>
        <v>4</v>
      </c>
      <c r="AC22" s="494"/>
      <c r="AD22" s="495">
        <f>4*2</f>
        <v>8</v>
      </c>
      <c r="AE22" s="492">
        <f>4*2</f>
        <v>8</v>
      </c>
      <c r="AF22" s="492">
        <f>2*1</f>
        <v>2</v>
      </c>
      <c r="AG22" s="496">
        <f>IF(AC22=0,"",AD22+AE22+AF22)</f>
      </c>
      <c r="AH22" s="497">
        <f>IF(AG22="",0,AC22*(1+AG22/100))</f>
        <v>0</v>
      </c>
      <c r="AJ22" s="499" t="e">
        <f t="shared" si="5"/>
        <v>#DIV/0!</v>
      </c>
    </row>
    <row r="23" spans="1:197" s="24" customFormat="1" ht="16.5" thickBot="1" thickTop="1">
      <c r="A23" s="193" t="s">
        <v>189</v>
      </c>
      <c r="B23" s="194">
        <f>C24+C40+C47</f>
        <v>2244.69095</v>
      </c>
      <c r="C23" s="195">
        <f>D24+D40+D47</f>
        <v>2729.993001</v>
      </c>
      <c r="D23" s="196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60"/>
      <c r="AD23" s="159"/>
      <c r="AE23" s="159"/>
      <c r="AF23" s="159"/>
      <c r="AG23" s="159"/>
      <c r="AH23" s="161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</row>
    <row r="24" spans="1:34" ht="30">
      <c r="A24" s="201"/>
      <c r="B24" s="198" t="s">
        <v>210</v>
      </c>
      <c r="C24" s="199">
        <f>SUM(AC25:AC39)</f>
        <v>324.926</v>
      </c>
      <c r="D24" s="200">
        <f>SUM(AH25:AH39)</f>
        <v>383.41267999999997</v>
      </c>
      <c r="E24" s="110" t="s">
        <v>159</v>
      </c>
      <c r="F24" s="110" t="s">
        <v>159</v>
      </c>
      <c r="G24" s="110"/>
      <c r="H24" s="110"/>
      <c r="I24" s="110" t="s">
        <v>159</v>
      </c>
      <c r="J24" s="110" t="s">
        <v>159</v>
      </c>
      <c r="K24" s="110" t="s">
        <v>159</v>
      </c>
      <c r="L24" s="110" t="s">
        <v>159</v>
      </c>
      <c r="M24" s="110" t="s">
        <v>159</v>
      </c>
      <c r="N24" s="110" t="s">
        <v>159</v>
      </c>
      <c r="O24" s="110" t="s">
        <v>159</v>
      </c>
      <c r="P24" s="110" t="s">
        <v>159</v>
      </c>
      <c r="Q24" s="110" t="s">
        <v>159</v>
      </c>
      <c r="R24" s="110" t="s">
        <v>159</v>
      </c>
      <c r="S24" s="110" t="s">
        <v>159</v>
      </c>
      <c r="T24" s="110" t="s">
        <v>159</v>
      </c>
      <c r="U24" s="110" t="s">
        <v>159</v>
      </c>
      <c r="V24" s="110" t="s">
        <v>159</v>
      </c>
      <c r="W24" s="110" t="s">
        <v>159</v>
      </c>
      <c r="X24" s="110" t="s">
        <v>159</v>
      </c>
      <c r="Y24" s="110" t="s">
        <v>159</v>
      </c>
      <c r="Z24" s="110" t="s">
        <v>159</v>
      </c>
      <c r="AA24" s="110" t="s">
        <v>159</v>
      </c>
      <c r="AB24" s="110" t="s">
        <v>159</v>
      </c>
      <c r="AC24" s="111" t="s">
        <v>159</v>
      </c>
      <c r="AD24" s="110" t="s">
        <v>159</v>
      </c>
      <c r="AE24" s="110" t="s">
        <v>159</v>
      </c>
      <c r="AF24" s="110" t="s">
        <v>159</v>
      </c>
      <c r="AG24" s="110" t="s">
        <v>159</v>
      </c>
      <c r="AH24" s="162" t="s">
        <v>159</v>
      </c>
    </row>
    <row r="25" spans="1:36" ht="45">
      <c r="A25" s="201"/>
      <c r="B25" s="202"/>
      <c r="D25" s="192" t="s">
        <v>259</v>
      </c>
      <c r="E25" s="1" t="s">
        <v>21</v>
      </c>
      <c r="G25" s="70">
        <v>38047</v>
      </c>
      <c r="H25" s="70">
        <v>38504</v>
      </c>
      <c r="I25" s="10">
        <v>1</v>
      </c>
      <c r="Q25" s="2">
        <f>P25*N25</f>
        <v>0</v>
      </c>
      <c r="S25" s="2">
        <f>P25*R25</f>
        <v>0</v>
      </c>
      <c r="T25" s="3">
        <v>15</v>
      </c>
      <c r="U25" s="3">
        <v>60</v>
      </c>
      <c r="V25" s="3">
        <v>15</v>
      </c>
      <c r="W25" s="3">
        <v>15</v>
      </c>
      <c r="X25" s="3">
        <v>15</v>
      </c>
      <c r="AC25" s="102">
        <f aca="true" t="shared" si="9" ref="AC25:AC34">((Q25+Y25)*GA+(T25+V25+Z25)*EEEM+(W25+AA25)*EESM+(U25*DM)+(X25+AB25)*EETB)*I25</f>
        <v>112.68</v>
      </c>
      <c r="AD25" s="21">
        <f aca="true" t="shared" si="10" ref="AD25:AE28">4*2</f>
        <v>8</v>
      </c>
      <c r="AE25" s="3">
        <f t="shared" si="10"/>
        <v>8</v>
      </c>
      <c r="AF25" s="3">
        <f aca="true" t="shared" si="11" ref="AF25:AF39">2*1</f>
        <v>2</v>
      </c>
      <c r="AG25" s="26">
        <f>IF(AC25=0,"",AD25+AE25+AF25)</f>
        <v>18</v>
      </c>
      <c r="AH25" s="163">
        <f>IF(AG25="",0,AC25*(1+AG25/100))</f>
        <v>132.9624</v>
      </c>
      <c r="AJ25" s="5">
        <f t="shared" si="5"/>
        <v>17.999999999999996</v>
      </c>
    </row>
    <row r="26" spans="1:36" s="588" customFormat="1" ht="38.25">
      <c r="A26" s="579"/>
      <c r="B26" s="580"/>
      <c r="C26" s="581"/>
      <c r="D26" s="581"/>
      <c r="E26" s="582" t="s">
        <v>20</v>
      </c>
      <c r="F26" s="582" t="s">
        <v>22</v>
      </c>
      <c r="G26" s="582"/>
      <c r="H26" s="582"/>
      <c r="I26" s="583">
        <v>1</v>
      </c>
      <c r="J26" s="582">
        <v>12</v>
      </c>
      <c r="K26" s="582" t="s">
        <v>84</v>
      </c>
      <c r="L26" s="582">
        <v>48</v>
      </c>
      <c r="M26" s="582" t="s">
        <v>26</v>
      </c>
      <c r="N26" s="584">
        <f>J26*L26</f>
        <v>576</v>
      </c>
      <c r="O26" s="583" t="s">
        <v>23</v>
      </c>
      <c r="P26" s="585">
        <v>0.075</v>
      </c>
      <c r="Q26" s="585">
        <f>P26*N26</f>
        <v>43.199999999999996</v>
      </c>
      <c r="R26" s="585"/>
      <c r="S26" s="585">
        <f>P26*R26</f>
        <v>0</v>
      </c>
      <c r="T26" s="584"/>
      <c r="U26" s="584"/>
      <c r="V26" s="584"/>
      <c r="W26" s="584"/>
      <c r="X26" s="584"/>
      <c r="Y26" s="584"/>
      <c r="Z26" s="584"/>
      <c r="AA26" s="584"/>
      <c r="AB26" s="584"/>
      <c r="AC26" s="584">
        <f t="shared" si="9"/>
        <v>57.455999999999996</v>
      </c>
      <c r="AD26" s="586">
        <f t="shared" si="10"/>
        <v>8</v>
      </c>
      <c r="AE26" s="584">
        <f t="shared" si="10"/>
        <v>8</v>
      </c>
      <c r="AF26" s="584">
        <f t="shared" si="11"/>
        <v>2</v>
      </c>
      <c r="AG26" s="586">
        <f>IF(AC26=0,"",AD26+AE26+AF26)</f>
        <v>18</v>
      </c>
      <c r="AH26" s="587">
        <f>IF(AG26="",0,AC26*(1+AG26/100))</f>
        <v>67.79807999999998</v>
      </c>
      <c r="AJ26" s="588">
        <f t="shared" si="5"/>
        <v>17.999999999999982</v>
      </c>
    </row>
    <row r="27" spans="1:36" ht="15">
      <c r="A27" s="201"/>
      <c r="B27" s="202"/>
      <c r="F27" s="1" t="s">
        <v>10</v>
      </c>
      <c r="I27" s="10">
        <v>1</v>
      </c>
      <c r="J27" s="1" t="s">
        <v>159</v>
      </c>
      <c r="K27" s="1" t="s">
        <v>159</v>
      </c>
      <c r="L27" s="1" t="s">
        <v>159</v>
      </c>
      <c r="M27" s="1" t="s">
        <v>159</v>
      </c>
      <c r="N27" s="3">
        <v>50</v>
      </c>
      <c r="O27" s="10" t="s">
        <v>145</v>
      </c>
      <c r="P27" s="2">
        <v>0.01</v>
      </c>
      <c r="Q27" s="2">
        <f>P27*N27</f>
        <v>0.5</v>
      </c>
      <c r="S27" s="2">
        <f>P27*R27</f>
        <v>0</v>
      </c>
      <c r="T27" s="3">
        <v>2</v>
      </c>
      <c r="U27" s="3">
        <v>4</v>
      </c>
      <c r="AC27" s="102">
        <f t="shared" si="9"/>
        <v>6.617</v>
      </c>
      <c r="AD27" s="21">
        <f t="shared" si="10"/>
        <v>8</v>
      </c>
      <c r="AE27" s="3">
        <f t="shared" si="10"/>
        <v>8</v>
      </c>
      <c r="AF27" s="3">
        <f t="shared" si="11"/>
        <v>2</v>
      </c>
      <c r="AG27" s="26">
        <f>IF(AC27=0,"",AD27+AE27+AF27)</f>
        <v>18</v>
      </c>
      <c r="AH27" s="163">
        <f>IF(AG27="",0,AC27*(1+AG27/100))</f>
        <v>7.808059999999999</v>
      </c>
      <c r="AJ27" s="5">
        <f t="shared" si="5"/>
        <v>17.99999999999999</v>
      </c>
    </row>
    <row r="28" spans="1:36" ht="15">
      <c r="A28" s="201"/>
      <c r="B28" s="202"/>
      <c r="F28" s="1" t="s">
        <v>19</v>
      </c>
      <c r="I28" s="10">
        <v>1</v>
      </c>
      <c r="J28" s="1" t="s">
        <v>159</v>
      </c>
      <c r="K28" s="1" t="s">
        <v>159</v>
      </c>
      <c r="L28" s="1" t="s">
        <v>159</v>
      </c>
      <c r="M28" s="1" t="s">
        <v>159</v>
      </c>
      <c r="N28" s="3">
        <v>50</v>
      </c>
      <c r="O28" s="10" t="s">
        <v>145</v>
      </c>
      <c r="P28" s="2">
        <v>0.01</v>
      </c>
      <c r="Q28" s="2">
        <f>P28*N28</f>
        <v>0.5</v>
      </c>
      <c r="S28" s="2">
        <f>P28*R28</f>
        <v>0</v>
      </c>
      <c r="AC28" s="102">
        <f t="shared" si="9"/>
        <v>0.665</v>
      </c>
      <c r="AD28" s="21">
        <f t="shared" si="10"/>
        <v>8</v>
      </c>
      <c r="AE28" s="3">
        <f t="shared" si="10"/>
        <v>8</v>
      </c>
      <c r="AF28" s="3">
        <f t="shared" si="11"/>
        <v>2</v>
      </c>
      <c r="AG28" s="26">
        <f>IF(AC28=0,"",AD28+AE28+AF28)</f>
        <v>18</v>
      </c>
      <c r="AH28" s="163">
        <f>IF(AG28="",0,AC28*(1+AG28/100))</f>
        <v>0.7847</v>
      </c>
      <c r="AJ28" s="5">
        <f t="shared" si="5"/>
        <v>17.999999999999986</v>
      </c>
    </row>
    <row r="29" spans="1:36" ht="30">
      <c r="A29" s="201"/>
      <c r="B29" s="202"/>
      <c r="D29" s="192" t="s">
        <v>169</v>
      </c>
      <c r="E29" s="1" t="s">
        <v>21</v>
      </c>
      <c r="G29" s="70">
        <v>38504</v>
      </c>
      <c r="H29" s="70">
        <v>38687</v>
      </c>
      <c r="I29" s="10">
        <v>1</v>
      </c>
      <c r="Q29" s="2">
        <f aca="true" t="shared" si="12" ref="Q29:Q34">P29*N29</f>
        <v>0</v>
      </c>
      <c r="S29" s="2">
        <f aca="true" t="shared" si="13" ref="S29:S34">P29*R29</f>
        <v>0</v>
      </c>
      <c r="T29" s="3">
        <v>15</v>
      </c>
      <c r="U29" s="3">
        <v>40</v>
      </c>
      <c r="V29" s="3">
        <v>10</v>
      </c>
      <c r="W29" s="3">
        <v>10</v>
      </c>
      <c r="X29" s="3">
        <v>10</v>
      </c>
      <c r="AC29" s="102">
        <f t="shared" si="9"/>
        <v>81.44000000000001</v>
      </c>
      <c r="AD29" s="21">
        <f aca="true" t="shared" si="14" ref="AD29:AE34">4*2</f>
        <v>8</v>
      </c>
      <c r="AE29" s="3">
        <f t="shared" si="14"/>
        <v>8</v>
      </c>
      <c r="AF29" s="3">
        <f t="shared" si="11"/>
        <v>2</v>
      </c>
      <c r="AG29" s="26">
        <f aca="true" t="shared" si="15" ref="AG29:AG34">IF(AC29=0,"",AD29+AE29+AF29)</f>
        <v>18</v>
      </c>
      <c r="AH29" s="163">
        <f aca="true" t="shared" si="16" ref="AH29:AH34">IF(AG29="",0,AC29*(1+AG29/100))</f>
        <v>96.09920000000001</v>
      </c>
      <c r="AJ29" s="5">
        <f t="shared" si="5"/>
        <v>17.999999999999996</v>
      </c>
    </row>
    <row r="30" spans="1:36" s="513" customFormat="1" ht="24">
      <c r="A30" s="500"/>
      <c r="B30" s="501"/>
      <c r="C30" s="502"/>
      <c r="D30" s="502"/>
      <c r="E30" s="505" t="s">
        <v>20</v>
      </c>
      <c r="F30" s="505" t="s">
        <v>9</v>
      </c>
      <c r="G30" s="505"/>
      <c r="H30" s="505"/>
      <c r="I30" s="506">
        <v>1</v>
      </c>
      <c r="J30" s="505">
        <v>6</v>
      </c>
      <c r="K30" s="505" t="s">
        <v>14</v>
      </c>
      <c r="L30" s="505">
        <v>100</v>
      </c>
      <c r="M30" s="505" t="s">
        <v>13</v>
      </c>
      <c r="N30" s="507">
        <f>J30*L30</f>
        <v>600</v>
      </c>
      <c r="O30" s="506" t="s">
        <v>145</v>
      </c>
      <c r="P30" s="508">
        <v>0.012</v>
      </c>
      <c r="Q30" s="508">
        <f t="shared" si="12"/>
        <v>7.2</v>
      </c>
      <c r="R30" s="508"/>
      <c r="S30" s="508">
        <f t="shared" si="13"/>
        <v>0</v>
      </c>
      <c r="T30" s="507"/>
      <c r="U30" s="507"/>
      <c r="V30" s="507"/>
      <c r="W30" s="507"/>
      <c r="X30" s="507"/>
      <c r="Y30" s="507"/>
      <c r="Z30" s="507"/>
      <c r="AA30" s="507"/>
      <c r="AB30" s="507"/>
      <c r="AC30" s="509">
        <f t="shared" si="9"/>
        <v>9.576</v>
      </c>
      <c r="AD30" s="510">
        <f t="shared" si="14"/>
        <v>8</v>
      </c>
      <c r="AE30" s="507">
        <f t="shared" si="14"/>
        <v>8</v>
      </c>
      <c r="AF30" s="507">
        <f t="shared" si="11"/>
        <v>2</v>
      </c>
      <c r="AG30" s="511">
        <f t="shared" si="15"/>
        <v>18</v>
      </c>
      <c r="AH30" s="512">
        <f t="shared" si="16"/>
        <v>11.29968</v>
      </c>
      <c r="AJ30" s="513">
        <f t="shared" si="5"/>
        <v>18</v>
      </c>
    </row>
    <row r="31" spans="1:36" s="513" customFormat="1" ht="15">
      <c r="A31" s="500"/>
      <c r="B31" s="501"/>
      <c r="C31" s="502"/>
      <c r="D31" s="502"/>
      <c r="E31" s="505"/>
      <c r="F31" s="505" t="s">
        <v>18</v>
      </c>
      <c r="G31" s="505"/>
      <c r="H31" s="505"/>
      <c r="I31" s="506">
        <v>1</v>
      </c>
      <c r="J31" s="505">
        <v>6</v>
      </c>
      <c r="K31" s="505" t="s">
        <v>14</v>
      </c>
      <c r="L31" s="505">
        <v>100</v>
      </c>
      <c r="M31" s="505" t="s">
        <v>13</v>
      </c>
      <c r="N31" s="507">
        <f>J31*L31</f>
        <v>600</v>
      </c>
      <c r="O31" s="506" t="s">
        <v>145</v>
      </c>
      <c r="P31" s="508">
        <v>0.055</v>
      </c>
      <c r="Q31" s="508">
        <f t="shared" si="12"/>
        <v>33</v>
      </c>
      <c r="R31" s="508"/>
      <c r="S31" s="508">
        <f t="shared" si="13"/>
        <v>0</v>
      </c>
      <c r="T31" s="507"/>
      <c r="U31" s="507"/>
      <c r="V31" s="507"/>
      <c r="W31" s="507"/>
      <c r="X31" s="507"/>
      <c r="Y31" s="507"/>
      <c r="Z31" s="507"/>
      <c r="AA31" s="507"/>
      <c r="AB31" s="507"/>
      <c r="AC31" s="509">
        <f t="shared" si="9"/>
        <v>43.89</v>
      </c>
      <c r="AD31" s="510">
        <f t="shared" si="14"/>
        <v>8</v>
      </c>
      <c r="AE31" s="507">
        <f t="shared" si="14"/>
        <v>8</v>
      </c>
      <c r="AF31" s="507">
        <f t="shared" si="11"/>
        <v>2</v>
      </c>
      <c r="AG31" s="511">
        <f t="shared" si="15"/>
        <v>18</v>
      </c>
      <c r="AH31" s="512">
        <f t="shared" si="16"/>
        <v>51.7902</v>
      </c>
      <c r="AJ31" s="513">
        <f t="shared" si="5"/>
        <v>17.999999999999993</v>
      </c>
    </row>
    <row r="32" spans="1:36" ht="15">
      <c r="A32" s="201"/>
      <c r="B32" s="202"/>
      <c r="F32" s="1" t="s">
        <v>10</v>
      </c>
      <c r="I32" s="10">
        <v>1</v>
      </c>
      <c r="N32" s="3">
        <v>100</v>
      </c>
      <c r="O32" s="10" t="s">
        <v>145</v>
      </c>
      <c r="P32" s="2">
        <v>0.01</v>
      </c>
      <c r="Q32" s="2">
        <f t="shared" si="12"/>
        <v>1</v>
      </c>
      <c r="S32" s="2">
        <f t="shared" si="13"/>
        <v>0</v>
      </c>
      <c r="T32" s="3">
        <v>2</v>
      </c>
      <c r="U32" s="3">
        <v>4</v>
      </c>
      <c r="AC32" s="102">
        <f t="shared" si="9"/>
        <v>7.282</v>
      </c>
      <c r="AD32" s="21">
        <f t="shared" si="14"/>
        <v>8</v>
      </c>
      <c r="AE32" s="3">
        <f>4*2</f>
        <v>8</v>
      </c>
      <c r="AF32" s="3">
        <f t="shared" si="11"/>
        <v>2</v>
      </c>
      <c r="AG32" s="26">
        <f t="shared" si="15"/>
        <v>18</v>
      </c>
      <c r="AH32" s="163">
        <f t="shared" si="16"/>
        <v>8.59276</v>
      </c>
      <c r="AJ32" s="5">
        <f t="shared" si="5"/>
        <v>18.000000000000004</v>
      </c>
    </row>
    <row r="33" spans="1:36" ht="15">
      <c r="A33" s="201"/>
      <c r="B33" s="202"/>
      <c r="F33" s="1" t="s">
        <v>19</v>
      </c>
      <c r="I33" s="10">
        <v>1</v>
      </c>
      <c r="N33" s="3">
        <v>100</v>
      </c>
      <c r="O33" s="10" t="s">
        <v>145</v>
      </c>
      <c r="P33" s="2">
        <v>0.01</v>
      </c>
      <c r="Q33" s="2">
        <f t="shared" si="12"/>
        <v>1</v>
      </c>
      <c r="S33" s="2">
        <f t="shared" si="13"/>
        <v>0</v>
      </c>
      <c r="AC33" s="102">
        <f t="shared" si="9"/>
        <v>1.33</v>
      </c>
      <c r="AD33" s="21">
        <f t="shared" si="14"/>
        <v>8</v>
      </c>
      <c r="AE33" s="3">
        <f>4*2</f>
        <v>8</v>
      </c>
      <c r="AF33" s="3">
        <f t="shared" si="11"/>
        <v>2</v>
      </c>
      <c r="AG33" s="26">
        <f t="shared" si="15"/>
        <v>18</v>
      </c>
      <c r="AH33" s="163">
        <f t="shared" si="16"/>
        <v>1.5694</v>
      </c>
      <c r="AJ33" s="5">
        <f t="shared" si="5"/>
        <v>17.999999999999986</v>
      </c>
    </row>
    <row r="34" spans="1:36" s="513" customFormat="1" ht="15">
      <c r="A34" s="500"/>
      <c r="B34" s="501"/>
      <c r="C34" s="502"/>
      <c r="D34" s="502"/>
      <c r="E34" s="505"/>
      <c r="F34" s="505" t="s">
        <v>19</v>
      </c>
      <c r="G34" s="505"/>
      <c r="H34" s="505"/>
      <c r="I34" s="506">
        <v>1</v>
      </c>
      <c r="J34" s="505">
        <v>6</v>
      </c>
      <c r="K34" s="505" t="s">
        <v>14</v>
      </c>
      <c r="L34" s="505">
        <v>50</v>
      </c>
      <c r="M34" s="505" t="s">
        <v>13</v>
      </c>
      <c r="N34" s="507">
        <f>J34*L34</f>
        <v>300</v>
      </c>
      <c r="O34" s="506" t="s">
        <v>145</v>
      </c>
      <c r="P34" s="508">
        <v>0.01</v>
      </c>
      <c r="Q34" s="508">
        <f t="shared" si="12"/>
        <v>3</v>
      </c>
      <c r="R34" s="508"/>
      <c r="S34" s="508">
        <f t="shared" si="13"/>
        <v>0</v>
      </c>
      <c r="T34" s="507"/>
      <c r="U34" s="507"/>
      <c r="V34" s="507"/>
      <c r="W34" s="507"/>
      <c r="X34" s="507"/>
      <c r="Y34" s="507"/>
      <c r="Z34" s="507"/>
      <c r="AA34" s="507"/>
      <c r="AB34" s="507"/>
      <c r="AC34" s="509">
        <f t="shared" si="9"/>
        <v>3.99</v>
      </c>
      <c r="AD34" s="510">
        <f t="shared" si="14"/>
        <v>8</v>
      </c>
      <c r="AE34" s="507">
        <f>4*2</f>
        <v>8</v>
      </c>
      <c r="AF34" s="507">
        <f t="shared" si="11"/>
        <v>2</v>
      </c>
      <c r="AG34" s="511">
        <f t="shared" si="15"/>
        <v>18</v>
      </c>
      <c r="AH34" s="512">
        <f t="shared" si="16"/>
        <v>4.7082</v>
      </c>
      <c r="AJ34" s="513">
        <f t="shared" si="5"/>
        <v>17.999999999999986</v>
      </c>
    </row>
    <row r="35" spans="1:36" s="56" customFormat="1" ht="30">
      <c r="A35" s="209"/>
      <c r="B35" s="210"/>
      <c r="C35" s="211"/>
      <c r="D35" s="211" t="s">
        <v>24</v>
      </c>
      <c r="E35" s="48" t="s">
        <v>21</v>
      </c>
      <c r="F35" s="48"/>
      <c r="G35" s="48"/>
      <c r="H35" s="48"/>
      <c r="I35" s="49">
        <v>1</v>
      </c>
      <c r="J35" s="48"/>
      <c r="K35" s="48"/>
      <c r="L35" s="48"/>
      <c r="M35" s="48"/>
      <c r="N35" s="50"/>
      <c r="O35" s="49"/>
      <c r="P35" s="51"/>
      <c r="Q35" s="51">
        <f>P35*N35</f>
        <v>0</v>
      </c>
      <c r="R35" s="51"/>
      <c r="S35" s="51">
        <f>P35*R35</f>
        <v>0</v>
      </c>
      <c r="T35" s="50">
        <v>5</v>
      </c>
      <c r="U35" s="50">
        <v>10</v>
      </c>
      <c r="V35" s="50">
        <v>5</v>
      </c>
      <c r="W35" s="50">
        <v>5</v>
      </c>
      <c r="X35" s="50">
        <v>5</v>
      </c>
      <c r="Y35" s="50"/>
      <c r="Z35" s="50"/>
      <c r="AA35" s="50"/>
      <c r="AB35" s="50"/>
      <c r="AC35" s="105">
        <v>0</v>
      </c>
      <c r="AD35" s="53">
        <f aca="true" t="shared" si="17" ref="AD35:AE37">4*2</f>
        <v>8</v>
      </c>
      <c r="AE35" s="50">
        <f t="shared" si="17"/>
        <v>8</v>
      </c>
      <c r="AF35" s="50">
        <f t="shared" si="11"/>
        <v>2</v>
      </c>
      <c r="AG35" s="54">
        <f>IF(AC35=0,"",AD35+AE35+AF35)</f>
      </c>
      <c r="AH35" s="175">
        <v>0</v>
      </c>
      <c r="AJ35" s="5"/>
    </row>
    <row r="36" spans="1:36" s="56" customFormat="1" ht="24">
      <c r="A36" s="209"/>
      <c r="B36" s="210"/>
      <c r="C36" s="211"/>
      <c r="D36" s="211"/>
      <c r="E36" s="48" t="s">
        <v>20</v>
      </c>
      <c r="F36" s="48" t="s">
        <v>25</v>
      </c>
      <c r="G36" s="48"/>
      <c r="H36" s="48"/>
      <c r="I36" s="49">
        <v>1</v>
      </c>
      <c r="J36" s="48">
        <v>4</v>
      </c>
      <c r="K36" s="48" t="s">
        <v>14</v>
      </c>
      <c r="L36" s="48">
        <v>150</v>
      </c>
      <c r="M36" s="48" t="s">
        <v>13</v>
      </c>
      <c r="N36" s="50">
        <f>J36*L36</f>
        <v>600</v>
      </c>
      <c r="O36" s="49" t="s">
        <v>145</v>
      </c>
      <c r="P36" s="51">
        <v>0.012</v>
      </c>
      <c r="Q36" s="51">
        <f>P36*N36</f>
        <v>7.2</v>
      </c>
      <c r="R36" s="51"/>
      <c r="S36" s="51">
        <f>P36*R36</f>
        <v>0</v>
      </c>
      <c r="T36" s="50"/>
      <c r="U36" s="50"/>
      <c r="V36" s="50"/>
      <c r="W36" s="50"/>
      <c r="X36" s="50"/>
      <c r="Y36" s="50"/>
      <c r="Z36" s="50"/>
      <c r="AA36" s="50"/>
      <c r="AB36" s="50"/>
      <c r="AC36" s="105">
        <v>0</v>
      </c>
      <c r="AD36" s="53">
        <f t="shared" si="17"/>
        <v>8</v>
      </c>
      <c r="AE36" s="50">
        <f t="shared" si="17"/>
        <v>8</v>
      </c>
      <c r="AF36" s="50">
        <f t="shared" si="11"/>
        <v>2</v>
      </c>
      <c r="AG36" s="54">
        <f>IF(AC36=0,"",AD36+AE36+AF36)</f>
      </c>
      <c r="AH36" s="175">
        <v>0</v>
      </c>
      <c r="AJ36" s="5"/>
    </row>
    <row r="37" spans="1:36" s="56" customFormat="1" ht="15">
      <c r="A37" s="209"/>
      <c r="B37" s="210"/>
      <c r="C37" s="211"/>
      <c r="D37" s="211"/>
      <c r="E37" s="48"/>
      <c r="F37" s="48" t="s">
        <v>18</v>
      </c>
      <c r="G37" s="48"/>
      <c r="H37" s="48"/>
      <c r="I37" s="49">
        <v>1</v>
      </c>
      <c r="J37" s="48">
        <v>4</v>
      </c>
      <c r="K37" s="48" t="s">
        <v>14</v>
      </c>
      <c r="L37" s="48">
        <v>150</v>
      </c>
      <c r="M37" s="48" t="s">
        <v>13</v>
      </c>
      <c r="N37" s="50">
        <f>J37*L37</f>
        <v>600</v>
      </c>
      <c r="O37" s="49" t="s">
        <v>145</v>
      </c>
      <c r="P37" s="51">
        <v>0.055</v>
      </c>
      <c r="Q37" s="51">
        <f>P37*N37</f>
        <v>33</v>
      </c>
      <c r="R37" s="51"/>
      <c r="S37" s="51">
        <f>P37*R37</f>
        <v>0</v>
      </c>
      <c r="T37" s="50"/>
      <c r="U37" s="50"/>
      <c r="V37" s="50"/>
      <c r="W37" s="50"/>
      <c r="X37" s="50"/>
      <c r="Y37" s="50"/>
      <c r="Z37" s="50"/>
      <c r="AA37" s="50"/>
      <c r="AB37" s="50"/>
      <c r="AC37" s="105">
        <v>0</v>
      </c>
      <c r="AD37" s="53">
        <f t="shared" si="17"/>
        <v>8</v>
      </c>
      <c r="AE37" s="50">
        <f t="shared" si="17"/>
        <v>8</v>
      </c>
      <c r="AF37" s="50">
        <f t="shared" si="11"/>
        <v>2</v>
      </c>
      <c r="AG37" s="54">
        <f>IF(AC37=0,"",AD37+AE37+AF37)</f>
      </c>
      <c r="AH37" s="175">
        <v>0</v>
      </c>
      <c r="AJ37" s="5"/>
    </row>
    <row r="38" spans="1:36" s="56" customFormat="1" ht="15">
      <c r="A38" s="209"/>
      <c r="B38" s="210"/>
      <c r="C38" s="211"/>
      <c r="D38" s="211"/>
      <c r="E38" s="48"/>
      <c r="F38" s="48" t="s">
        <v>10</v>
      </c>
      <c r="G38" s="48"/>
      <c r="H38" s="48"/>
      <c r="I38" s="49">
        <v>1</v>
      </c>
      <c r="J38" s="48"/>
      <c r="K38" s="48"/>
      <c r="L38" s="48"/>
      <c r="M38" s="48"/>
      <c r="N38" s="50">
        <v>100</v>
      </c>
      <c r="O38" s="49" t="s">
        <v>145</v>
      </c>
      <c r="P38" s="51">
        <v>0.01</v>
      </c>
      <c r="Q38" s="51">
        <f>P38*N38</f>
        <v>1</v>
      </c>
      <c r="R38" s="51"/>
      <c r="S38" s="51">
        <f>P38*R38</f>
        <v>0</v>
      </c>
      <c r="T38" s="50">
        <v>2</v>
      </c>
      <c r="U38" s="50">
        <v>4</v>
      </c>
      <c r="V38" s="50"/>
      <c r="W38" s="50"/>
      <c r="X38" s="50"/>
      <c r="Y38" s="50"/>
      <c r="Z38" s="50"/>
      <c r="AA38" s="50"/>
      <c r="AB38" s="50"/>
      <c r="AC38" s="105">
        <v>0</v>
      </c>
      <c r="AD38" s="53">
        <f>1*2</f>
        <v>2</v>
      </c>
      <c r="AE38" s="50">
        <f>4*2</f>
        <v>8</v>
      </c>
      <c r="AF38" s="50">
        <f t="shared" si="11"/>
        <v>2</v>
      </c>
      <c r="AG38" s="54">
        <f>IF(AC38=0,"",AD38+AE38+AF38)</f>
      </c>
      <c r="AH38" s="175">
        <v>0</v>
      </c>
      <c r="AJ38" s="5"/>
    </row>
    <row r="39" spans="1:36" s="56" customFormat="1" ht="15.75" thickBot="1">
      <c r="A39" s="209"/>
      <c r="B39" s="212"/>
      <c r="C39" s="213"/>
      <c r="D39" s="213"/>
      <c r="E39" s="132"/>
      <c r="F39" s="132" t="s">
        <v>19</v>
      </c>
      <c r="G39" s="132"/>
      <c r="H39" s="132"/>
      <c r="I39" s="133">
        <v>1</v>
      </c>
      <c r="J39" s="132"/>
      <c r="K39" s="132"/>
      <c r="L39" s="132"/>
      <c r="M39" s="132"/>
      <c r="N39" s="134">
        <v>100</v>
      </c>
      <c r="O39" s="133" t="s">
        <v>145</v>
      </c>
      <c r="P39" s="135">
        <v>0.01</v>
      </c>
      <c r="Q39" s="135">
        <f>P39*N39</f>
        <v>1</v>
      </c>
      <c r="R39" s="135"/>
      <c r="S39" s="135">
        <f>P39*R39</f>
        <v>0</v>
      </c>
      <c r="T39" s="134"/>
      <c r="U39" s="134"/>
      <c r="V39" s="134"/>
      <c r="W39" s="134"/>
      <c r="X39" s="134"/>
      <c r="Y39" s="134"/>
      <c r="Z39" s="134"/>
      <c r="AA39" s="134"/>
      <c r="AB39" s="134"/>
      <c r="AC39" s="136">
        <v>0</v>
      </c>
      <c r="AD39" s="137">
        <f>1*2</f>
        <v>2</v>
      </c>
      <c r="AE39" s="134">
        <f>4*2</f>
        <v>8</v>
      </c>
      <c r="AF39" s="134">
        <f t="shared" si="11"/>
        <v>2</v>
      </c>
      <c r="AG39" s="138">
        <f>IF(AC39=0,"",AD39+AE39+AF39)</f>
      </c>
      <c r="AH39" s="176">
        <v>0</v>
      </c>
      <c r="AJ39" s="5"/>
    </row>
    <row r="40" spans="1:34" ht="30">
      <c r="A40" s="201"/>
      <c r="B40" s="198" t="s">
        <v>211</v>
      </c>
      <c r="C40" s="199">
        <f>SUM(AC41:AC46)</f>
        <v>1387.9268000000002</v>
      </c>
      <c r="D40" s="200">
        <f>SUM(AH41:AH46)</f>
        <v>1719.011304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10"/>
      <c r="AE40" s="110"/>
      <c r="AF40" s="110"/>
      <c r="AG40" s="110"/>
      <c r="AH40" s="162"/>
    </row>
    <row r="41" spans="1:36" ht="24">
      <c r="A41" s="201"/>
      <c r="B41" s="202"/>
      <c r="D41" s="192" t="s">
        <v>5</v>
      </c>
      <c r="E41" s="1" t="s">
        <v>21</v>
      </c>
      <c r="I41" s="10">
        <v>1</v>
      </c>
      <c r="Q41" s="2">
        <f>P41*N41</f>
        <v>0</v>
      </c>
      <c r="S41" s="2">
        <f aca="true" t="shared" si="18" ref="S41:S46">P41*R41</f>
        <v>0</v>
      </c>
      <c r="T41" s="3">
        <v>15</v>
      </c>
      <c r="U41" s="3">
        <v>25</v>
      </c>
      <c r="V41" s="3">
        <v>15</v>
      </c>
      <c r="W41" s="3">
        <v>10</v>
      </c>
      <c r="X41" s="3">
        <v>15</v>
      </c>
      <c r="AC41" s="102">
        <f aca="true" t="shared" si="19" ref="AC41:AC46">((Q41+Y41)*GA+(T41+V41+Z41)*EEEM+(W41+AA41)*EESM+(U41*DM)+(X41+AB41)*EETB)*I41</f>
        <v>78.16</v>
      </c>
      <c r="AD41" s="21">
        <f aca="true" t="shared" si="20" ref="AD41:AE45">4*2</f>
        <v>8</v>
      </c>
      <c r="AE41" s="3">
        <f t="shared" si="20"/>
        <v>8</v>
      </c>
      <c r="AF41" s="3">
        <f aca="true" t="shared" si="21" ref="AF41:AF46">2*1</f>
        <v>2</v>
      </c>
      <c r="AG41" s="26">
        <f aca="true" t="shared" si="22" ref="AG41:AG46">IF(AC41=0,"",AD41+AE41+AF41)</f>
        <v>18</v>
      </c>
      <c r="AH41" s="163">
        <f aca="true" t="shared" si="23" ref="AH41:AH46">IF(AG41="",0,AC41*(1+AG41/100))</f>
        <v>92.22879999999999</v>
      </c>
      <c r="AJ41" s="5">
        <f t="shared" si="5"/>
        <v>17.999999999999996</v>
      </c>
    </row>
    <row r="42" spans="1:36" s="513" customFormat="1" ht="24">
      <c r="A42" s="500"/>
      <c r="B42" s="501"/>
      <c r="C42" s="502"/>
      <c r="D42" s="502"/>
      <c r="E42" s="505" t="s">
        <v>20</v>
      </c>
      <c r="F42" s="505" t="s">
        <v>167</v>
      </c>
      <c r="G42" s="514">
        <v>37895</v>
      </c>
      <c r="H42" s="514">
        <v>38261</v>
      </c>
      <c r="I42" s="506">
        <v>1</v>
      </c>
      <c r="J42" s="505">
        <v>14</v>
      </c>
      <c r="K42" s="505" t="s">
        <v>157</v>
      </c>
      <c r="L42" s="505">
        <v>620</v>
      </c>
      <c r="M42" s="505" t="s">
        <v>156</v>
      </c>
      <c r="N42" s="507">
        <f>J42*L42</f>
        <v>8680</v>
      </c>
      <c r="O42" s="506" t="s">
        <v>145</v>
      </c>
      <c r="P42" s="508">
        <v>0.012</v>
      </c>
      <c r="Q42" s="508">
        <f>P42*N42</f>
        <v>104.16</v>
      </c>
      <c r="R42" s="508"/>
      <c r="S42" s="508">
        <f t="shared" si="18"/>
        <v>0</v>
      </c>
      <c r="T42" s="507">
        <v>5</v>
      </c>
      <c r="U42" s="507"/>
      <c r="V42" s="507"/>
      <c r="W42" s="507"/>
      <c r="X42" s="507"/>
      <c r="Y42" s="507"/>
      <c r="Z42" s="507"/>
      <c r="AA42" s="507"/>
      <c r="AB42" s="507"/>
      <c r="AC42" s="509">
        <f t="shared" si="19"/>
        <v>144.8528</v>
      </c>
      <c r="AD42" s="510">
        <f t="shared" si="20"/>
        <v>8</v>
      </c>
      <c r="AE42" s="507">
        <f t="shared" si="20"/>
        <v>8</v>
      </c>
      <c r="AF42" s="507">
        <f t="shared" si="21"/>
        <v>2</v>
      </c>
      <c r="AG42" s="511">
        <f t="shared" si="22"/>
        <v>18</v>
      </c>
      <c r="AH42" s="504">
        <f t="shared" si="23"/>
        <v>170.926304</v>
      </c>
      <c r="AJ42" s="513">
        <f t="shared" si="5"/>
        <v>17.99999999999999</v>
      </c>
    </row>
    <row r="43" spans="1:36" s="597" customFormat="1" ht="24">
      <c r="A43" s="589"/>
      <c r="B43" s="590"/>
      <c r="C43" s="591"/>
      <c r="D43" s="591"/>
      <c r="E43" s="592"/>
      <c r="F43" s="592" t="s">
        <v>18</v>
      </c>
      <c r="G43" s="592"/>
      <c r="H43" s="592"/>
      <c r="I43" s="593">
        <v>1</v>
      </c>
      <c r="J43" s="592">
        <v>14</v>
      </c>
      <c r="K43" s="592" t="s">
        <v>157</v>
      </c>
      <c r="L43" s="592">
        <v>620</v>
      </c>
      <c r="M43" s="592" t="s">
        <v>156</v>
      </c>
      <c r="N43" s="594">
        <f>J43*L43</f>
        <v>8680</v>
      </c>
      <c r="O43" s="593" t="s">
        <v>145</v>
      </c>
      <c r="P43" s="595">
        <v>0.055</v>
      </c>
      <c r="Q43" s="595">
        <f>P43*N43</f>
        <v>477.4</v>
      </c>
      <c r="R43" s="595"/>
      <c r="S43" s="595">
        <f t="shared" si="18"/>
        <v>0</v>
      </c>
      <c r="T43" s="594"/>
      <c r="U43" s="594"/>
      <c r="V43" s="594"/>
      <c r="W43" s="594"/>
      <c r="X43" s="594"/>
      <c r="Y43" s="594"/>
      <c r="Z43" s="594"/>
      <c r="AA43" s="594"/>
      <c r="AB43" s="594"/>
      <c r="AC43" s="594">
        <f t="shared" si="19"/>
        <v>634.942</v>
      </c>
      <c r="AD43" s="596">
        <f t="shared" si="20"/>
        <v>8</v>
      </c>
      <c r="AE43" s="594">
        <f>4*3</f>
        <v>12</v>
      </c>
      <c r="AF43" s="594">
        <f t="shared" si="21"/>
        <v>2</v>
      </c>
      <c r="AG43" s="596">
        <f t="shared" si="22"/>
        <v>22</v>
      </c>
      <c r="AH43" s="587">
        <f t="shared" si="23"/>
        <v>774.62924</v>
      </c>
      <c r="AJ43" s="597">
        <f t="shared" si="5"/>
        <v>21.999999999999996</v>
      </c>
    </row>
    <row r="44" spans="1:36" s="607" customFormat="1" ht="15">
      <c r="A44" s="598"/>
      <c r="B44" s="599"/>
      <c r="C44" s="600"/>
      <c r="D44" s="600"/>
      <c r="E44" s="601"/>
      <c r="F44" s="601" t="s">
        <v>10</v>
      </c>
      <c r="G44" s="601"/>
      <c r="H44" s="601"/>
      <c r="I44" s="602">
        <v>1</v>
      </c>
      <c r="J44" s="601"/>
      <c r="K44" s="601"/>
      <c r="L44" s="601"/>
      <c r="M44" s="601"/>
      <c r="N44" s="603">
        <v>1100</v>
      </c>
      <c r="O44" s="602" t="s">
        <v>145</v>
      </c>
      <c r="P44" s="604">
        <v>0.015</v>
      </c>
      <c r="Q44" s="604">
        <f>P44*N44</f>
        <v>16.5</v>
      </c>
      <c r="R44" s="604"/>
      <c r="S44" s="604">
        <f t="shared" si="18"/>
        <v>0</v>
      </c>
      <c r="T44" s="603">
        <v>2</v>
      </c>
      <c r="U44" s="603">
        <v>4</v>
      </c>
      <c r="V44" s="603"/>
      <c r="W44" s="603"/>
      <c r="X44" s="603"/>
      <c r="Y44" s="603"/>
      <c r="Z44" s="603"/>
      <c r="AA44" s="603"/>
      <c r="AB44" s="603"/>
      <c r="AC44" s="603">
        <f t="shared" si="19"/>
        <v>27.897</v>
      </c>
      <c r="AD44" s="605">
        <f t="shared" si="20"/>
        <v>8</v>
      </c>
      <c r="AE44" s="603">
        <f>4*2</f>
        <v>8</v>
      </c>
      <c r="AF44" s="603">
        <f t="shared" si="21"/>
        <v>2</v>
      </c>
      <c r="AG44" s="605">
        <f t="shared" si="22"/>
        <v>18</v>
      </c>
      <c r="AH44" s="606">
        <f t="shared" si="23"/>
        <v>32.918459999999996</v>
      </c>
      <c r="AJ44" s="607">
        <f t="shared" si="5"/>
        <v>17.999999999999993</v>
      </c>
    </row>
    <row r="45" spans="1:36" s="607" customFormat="1" ht="15">
      <c r="A45" s="598"/>
      <c r="B45" s="599"/>
      <c r="C45" s="600"/>
      <c r="D45" s="600"/>
      <c r="E45" s="601"/>
      <c r="F45" s="601" t="s">
        <v>19</v>
      </c>
      <c r="G45" s="601"/>
      <c r="H45" s="601"/>
      <c r="I45" s="602">
        <v>1</v>
      </c>
      <c r="J45" s="601"/>
      <c r="K45" s="601"/>
      <c r="L45" s="601"/>
      <c r="M45" s="601"/>
      <c r="N45" s="603">
        <v>1100</v>
      </c>
      <c r="O45" s="602" t="s">
        <v>145</v>
      </c>
      <c r="P45" s="604">
        <v>0.025</v>
      </c>
      <c r="Q45" s="604">
        <f>P45*N45</f>
        <v>27.5</v>
      </c>
      <c r="R45" s="604"/>
      <c r="S45" s="604">
        <f t="shared" si="18"/>
        <v>0</v>
      </c>
      <c r="T45" s="603"/>
      <c r="U45" s="603"/>
      <c r="V45" s="603"/>
      <c r="W45" s="603"/>
      <c r="X45" s="603"/>
      <c r="Y45" s="603"/>
      <c r="Z45" s="603"/>
      <c r="AA45" s="603"/>
      <c r="AB45" s="603"/>
      <c r="AC45" s="603">
        <f t="shared" si="19"/>
        <v>36.575</v>
      </c>
      <c r="AD45" s="605">
        <f t="shared" si="20"/>
        <v>8</v>
      </c>
      <c r="AE45" s="603">
        <f>4*2</f>
        <v>8</v>
      </c>
      <c r="AF45" s="603">
        <f t="shared" si="21"/>
        <v>2</v>
      </c>
      <c r="AG45" s="605">
        <f t="shared" si="22"/>
        <v>18</v>
      </c>
      <c r="AH45" s="606">
        <f t="shared" si="23"/>
        <v>43.158500000000004</v>
      </c>
      <c r="AJ45" s="607">
        <f t="shared" si="5"/>
        <v>18.000000000000004</v>
      </c>
    </row>
    <row r="46" spans="1:36" s="659" customFormat="1" ht="15.75" thickBot="1">
      <c r="A46" s="650"/>
      <c r="B46" s="651"/>
      <c r="C46" s="652"/>
      <c r="D46" s="652"/>
      <c r="E46" s="653"/>
      <c r="F46" s="653" t="s">
        <v>168</v>
      </c>
      <c r="G46" s="653"/>
      <c r="H46" s="653"/>
      <c r="I46" s="654">
        <v>1</v>
      </c>
      <c r="J46" s="653"/>
      <c r="K46" s="653"/>
      <c r="L46" s="653"/>
      <c r="M46" s="653"/>
      <c r="N46" s="655">
        <v>1</v>
      </c>
      <c r="O46" s="654" t="s">
        <v>91</v>
      </c>
      <c r="P46" s="656"/>
      <c r="Q46" s="656"/>
      <c r="R46" s="656"/>
      <c r="S46" s="656">
        <f t="shared" si="18"/>
        <v>0</v>
      </c>
      <c r="T46" s="655"/>
      <c r="U46" s="655"/>
      <c r="V46" s="655"/>
      <c r="W46" s="655"/>
      <c r="X46" s="655"/>
      <c r="Y46" s="655">
        <v>350</v>
      </c>
      <c r="Z46" s="655"/>
      <c r="AA46" s="655"/>
      <c r="AB46" s="655"/>
      <c r="AC46" s="655">
        <f t="shared" si="19"/>
        <v>465.5</v>
      </c>
      <c r="AD46" s="657">
        <f>4*2</f>
        <v>8</v>
      </c>
      <c r="AE46" s="655">
        <v>20</v>
      </c>
      <c r="AF46" s="655">
        <f t="shared" si="21"/>
        <v>2</v>
      </c>
      <c r="AG46" s="657">
        <f t="shared" si="22"/>
        <v>30</v>
      </c>
      <c r="AH46" s="658">
        <f t="shared" si="23"/>
        <v>605.15</v>
      </c>
      <c r="AJ46" s="659">
        <f t="shared" si="5"/>
        <v>29.999999999999996</v>
      </c>
    </row>
    <row r="47" spans="1:34" ht="30">
      <c r="A47" s="201"/>
      <c r="B47" s="198" t="s">
        <v>212</v>
      </c>
      <c r="C47" s="199">
        <f>SUM(AC48:AC65)</f>
        <v>531.83815</v>
      </c>
      <c r="D47" s="200">
        <f>SUM(AH48:AH65)</f>
        <v>627.569017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1"/>
      <c r="AD47" s="110"/>
      <c r="AE47" s="110"/>
      <c r="AF47" s="110"/>
      <c r="AG47" s="110"/>
      <c r="AH47" s="162"/>
    </row>
    <row r="48" spans="1:36" ht="24">
      <c r="A48" s="201"/>
      <c r="B48" s="202"/>
      <c r="D48" s="192" t="s">
        <v>5</v>
      </c>
      <c r="E48" s="1" t="s">
        <v>21</v>
      </c>
      <c r="G48" s="70">
        <v>38261</v>
      </c>
      <c r="H48" s="70">
        <v>38384</v>
      </c>
      <c r="I48" s="10">
        <v>1</v>
      </c>
      <c r="Q48" s="2">
        <f>P48*N48</f>
        <v>0</v>
      </c>
      <c r="S48" s="2">
        <f aca="true" t="shared" si="24" ref="S48:S54">P48*R48</f>
        <v>0</v>
      </c>
      <c r="T48" s="3">
        <v>15</v>
      </c>
      <c r="U48" s="3">
        <v>50</v>
      </c>
      <c r="V48" s="3">
        <v>15</v>
      </c>
      <c r="W48" s="3">
        <v>15</v>
      </c>
      <c r="X48" s="3">
        <v>15</v>
      </c>
      <c r="AC48" s="102">
        <f aca="true" t="shared" si="25" ref="AC48:AC65">((Q48+Y48)*GA+(T48+V48+Z48)*EEEM+(W48+AA48)*EESM+(U48*DM)+(X48+AB48)*EETB)*I48</f>
        <v>104.12</v>
      </c>
      <c r="AD48" s="21">
        <f aca="true" t="shared" si="26" ref="AD48:AE54">4*2</f>
        <v>8</v>
      </c>
      <c r="AE48" s="3">
        <f t="shared" si="26"/>
        <v>8</v>
      </c>
      <c r="AF48" s="3">
        <f aca="true" t="shared" si="27" ref="AF48:AF92">2*1</f>
        <v>2</v>
      </c>
      <c r="AG48" s="26">
        <f aca="true" t="shared" si="28" ref="AG48:AG54">IF(AC48=0,"",AD48+AE48+AF48)</f>
        <v>18</v>
      </c>
      <c r="AH48" s="163">
        <f aca="true" t="shared" si="29" ref="AH48:AH54">IF(AG48="",0,AC48*(1+AG48/100))</f>
        <v>122.8616</v>
      </c>
      <c r="AJ48" s="5">
        <f t="shared" si="5"/>
        <v>17.999999999999993</v>
      </c>
    </row>
    <row r="49" spans="1:36" ht="24">
      <c r="A49" s="201"/>
      <c r="B49" s="202"/>
      <c r="E49" s="1" t="s">
        <v>20</v>
      </c>
      <c r="F49" s="1" t="s">
        <v>142</v>
      </c>
      <c r="I49" s="10">
        <v>1</v>
      </c>
      <c r="J49" s="1">
        <v>10</v>
      </c>
      <c r="K49" s="1" t="s">
        <v>11</v>
      </c>
      <c r="L49" s="1">
        <v>50</v>
      </c>
      <c r="M49" s="1" t="s">
        <v>12</v>
      </c>
      <c r="N49" s="3">
        <f>J49*L49</f>
        <v>500</v>
      </c>
      <c r="O49" s="10" t="s">
        <v>145</v>
      </c>
      <c r="P49" s="2">
        <v>0.012</v>
      </c>
      <c r="Q49" s="2">
        <f>P49*N49</f>
        <v>6</v>
      </c>
      <c r="S49" s="2">
        <f t="shared" si="24"/>
        <v>0</v>
      </c>
      <c r="T49" s="3">
        <v>5</v>
      </c>
      <c r="AC49" s="102">
        <f t="shared" si="25"/>
        <v>14.3</v>
      </c>
      <c r="AD49" s="21">
        <f t="shared" si="26"/>
        <v>8</v>
      </c>
      <c r="AE49" s="3">
        <f t="shared" si="26"/>
        <v>8</v>
      </c>
      <c r="AF49" s="3">
        <f t="shared" si="27"/>
        <v>2</v>
      </c>
      <c r="AG49" s="26">
        <f t="shared" si="28"/>
        <v>18</v>
      </c>
      <c r="AH49" s="163">
        <f t="shared" si="29"/>
        <v>16.874</v>
      </c>
      <c r="AJ49" s="5">
        <f t="shared" si="5"/>
        <v>17.999999999999986</v>
      </c>
    </row>
    <row r="50" spans="1:36" ht="24">
      <c r="A50" s="201"/>
      <c r="B50" s="202"/>
      <c r="F50" s="1" t="s">
        <v>18</v>
      </c>
      <c r="I50" s="10">
        <v>1</v>
      </c>
      <c r="J50" s="1">
        <v>10</v>
      </c>
      <c r="K50" s="1" t="s">
        <v>11</v>
      </c>
      <c r="L50" s="1">
        <v>50</v>
      </c>
      <c r="M50" s="1" t="s">
        <v>12</v>
      </c>
      <c r="N50" s="3">
        <f>J50*L50</f>
        <v>500</v>
      </c>
      <c r="O50" s="10" t="s">
        <v>145</v>
      </c>
      <c r="P50" s="2">
        <v>0.055</v>
      </c>
      <c r="Q50" s="2">
        <v>0.055</v>
      </c>
      <c r="S50" s="2">
        <f t="shared" si="24"/>
        <v>0</v>
      </c>
      <c r="AC50" s="102">
        <f t="shared" si="25"/>
        <v>0.07315</v>
      </c>
      <c r="AD50" s="21">
        <f t="shared" si="26"/>
        <v>8</v>
      </c>
      <c r="AE50" s="3">
        <f t="shared" si="26"/>
        <v>8</v>
      </c>
      <c r="AF50" s="3">
        <f t="shared" si="27"/>
        <v>2</v>
      </c>
      <c r="AG50" s="26">
        <f t="shared" si="28"/>
        <v>18</v>
      </c>
      <c r="AH50" s="163">
        <f t="shared" si="29"/>
        <v>0.086317</v>
      </c>
      <c r="AJ50" s="5">
        <f t="shared" si="5"/>
        <v>17.999999999999996</v>
      </c>
    </row>
    <row r="51" spans="1:36" s="513" customFormat="1" ht="24">
      <c r="A51" s="500"/>
      <c r="B51" s="501"/>
      <c r="C51" s="502"/>
      <c r="D51" s="502"/>
      <c r="E51" s="505"/>
      <c r="F51" s="505" t="s">
        <v>9</v>
      </c>
      <c r="G51" s="505"/>
      <c r="H51" s="505"/>
      <c r="I51" s="506">
        <v>1</v>
      </c>
      <c r="J51" s="505">
        <v>6</v>
      </c>
      <c r="K51" s="505" t="s">
        <v>14</v>
      </c>
      <c r="L51" s="505">
        <v>150</v>
      </c>
      <c r="M51" s="505" t="s">
        <v>13</v>
      </c>
      <c r="N51" s="507">
        <f>J51*L51</f>
        <v>900</v>
      </c>
      <c r="O51" s="506" t="s">
        <v>145</v>
      </c>
      <c r="P51" s="508">
        <v>0.012</v>
      </c>
      <c r="Q51" s="508">
        <f>P51*N51</f>
        <v>10.8</v>
      </c>
      <c r="R51" s="508"/>
      <c r="S51" s="508">
        <f t="shared" si="24"/>
        <v>0</v>
      </c>
      <c r="T51" s="507"/>
      <c r="U51" s="507"/>
      <c r="V51" s="507"/>
      <c r="W51" s="507"/>
      <c r="X51" s="507"/>
      <c r="Y51" s="507"/>
      <c r="Z51" s="507"/>
      <c r="AA51" s="507"/>
      <c r="AB51" s="507"/>
      <c r="AC51" s="509">
        <f t="shared" si="25"/>
        <v>14.364000000000003</v>
      </c>
      <c r="AD51" s="510">
        <f t="shared" si="26"/>
        <v>8</v>
      </c>
      <c r="AE51" s="507">
        <f t="shared" si="26"/>
        <v>8</v>
      </c>
      <c r="AF51" s="507">
        <f t="shared" si="27"/>
        <v>2</v>
      </c>
      <c r="AG51" s="511">
        <f t="shared" si="28"/>
        <v>18</v>
      </c>
      <c r="AH51" s="512">
        <f t="shared" si="29"/>
        <v>16.949520000000003</v>
      </c>
      <c r="AJ51" s="513">
        <f t="shared" si="5"/>
        <v>18.000000000000004</v>
      </c>
    </row>
    <row r="52" spans="1:36" s="597" customFormat="1" ht="15">
      <c r="A52" s="589"/>
      <c r="B52" s="590"/>
      <c r="C52" s="591"/>
      <c r="D52" s="591"/>
      <c r="E52" s="592"/>
      <c r="F52" s="592" t="s">
        <v>18</v>
      </c>
      <c r="G52" s="592"/>
      <c r="H52" s="592"/>
      <c r="I52" s="593">
        <v>1</v>
      </c>
      <c r="J52" s="592">
        <v>6</v>
      </c>
      <c r="K52" s="592" t="s">
        <v>14</v>
      </c>
      <c r="L52" s="592">
        <v>150</v>
      </c>
      <c r="M52" s="592" t="s">
        <v>13</v>
      </c>
      <c r="N52" s="594">
        <f>J52*L52</f>
        <v>900</v>
      </c>
      <c r="O52" s="593" t="s">
        <v>145</v>
      </c>
      <c r="P52" s="595">
        <v>0.055</v>
      </c>
      <c r="Q52" s="595">
        <f>P52*N52</f>
        <v>49.5</v>
      </c>
      <c r="R52" s="595"/>
      <c r="S52" s="595">
        <f t="shared" si="24"/>
        <v>0</v>
      </c>
      <c r="T52" s="594"/>
      <c r="U52" s="594"/>
      <c r="V52" s="594"/>
      <c r="W52" s="594"/>
      <c r="X52" s="594"/>
      <c r="Y52" s="594"/>
      <c r="Z52" s="594"/>
      <c r="AA52" s="594"/>
      <c r="AB52" s="594"/>
      <c r="AC52" s="594">
        <f t="shared" si="25"/>
        <v>65.83500000000001</v>
      </c>
      <c r="AD52" s="596">
        <f t="shared" si="26"/>
        <v>8</v>
      </c>
      <c r="AE52" s="594">
        <f t="shared" si="26"/>
        <v>8</v>
      </c>
      <c r="AF52" s="594">
        <f t="shared" si="27"/>
        <v>2</v>
      </c>
      <c r="AG52" s="596">
        <f t="shared" si="28"/>
        <v>18</v>
      </c>
      <c r="AH52" s="608">
        <f t="shared" si="29"/>
        <v>77.68530000000001</v>
      </c>
      <c r="AJ52" s="597">
        <f t="shared" si="5"/>
        <v>18.000000000000004</v>
      </c>
    </row>
    <row r="53" spans="1:36" s="607" customFormat="1" ht="15">
      <c r="A53" s="598"/>
      <c r="B53" s="599"/>
      <c r="C53" s="600"/>
      <c r="D53" s="600"/>
      <c r="E53" s="601"/>
      <c r="F53" s="601" t="s">
        <v>10</v>
      </c>
      <c r="G53" s="601"/>
      <c r="H53" s="601"/>
      <c r="I53" s="602">
        <v>1</v>
      </c>
      <c r="J53" s="601"/>
      <c r="K53" s="601"/>
      <c r="L53" s="601"/>
      <c r="M53" s="601"/>
      <c r="N53" s="603">
        <v>200</v>
      </c>
      <c r="O53" s="602" t="s">
        <v>145</v>
      </c>
      <c r="P53" s="604">
        <v>0.015</v>
      </c>
      <c r="Q53" s="604">
        <f>P53*N53</f>
        <v>3</v>
      </c>
      <c r="R53" s="604"/>
      <c r="S53" s="604">
        <f t="shared" si="24"/>
        <v>0</v>
      </c>
      <c r="T53" s="603">
        <v>2</v>
      </c>
      <c r="U53" s="603">
        <v>4</v>
      </c>
      <c r="V53" s="603"/>
      <c r="W53" s="603"/>
      <c r="X53" s="603"/>
      <c r="Y53" s="603"/>
      <c r="Z53" s="603"/>
      <c r="AA53" s="603"/>
      <c r="AB53" s="603"/>
      <c r="AC53" s="603">
        <f t="shared" si="25"/>
        <v>9.942</v>
      </c>
      <c r="AD53" s="605">
        <f t="shared" si="26"/>
        <v>8</v>
      </c>
      <c r="AE53" s="603">
        <f>4*2</f>
        <v>8</v>
      </c>
      <c r="AF53" s="603">
        <f t="shared" si="27"/>
        <v>2</v>
      </c>
      <c r="AG53" s="605">
        <f t="shared" si="28"/>
        <v>18</v>
      </c>
      <c r="AH53" s="606">
        <f t="shared" si="29"/>
        <v>11.73156</v>
      </c>
      <c r="AJ53" s="607">
        <f t="shared" si="5"/>
        <v>18</v>
      </c>
    </row>
    <row r="54" spans="1:36" s="607" customFormat="1" ht="15">
      <c r="A54" s="598"/>
      <c r="B54" s="599"/>
      <c r="C54" s="600"/>
      <c r="D54" s="600"/>
      <c r="E54" s="601"/>
      <c r="F54" s="601" t="s">
        <v>19</v>
      </c>
      <c r="G54" s="601"/>
      <c r="H54" s="601"/>
      <c r="I54" s="602">
        <v>1</v>
      </c>
      <c r="J54" s="601"/>
      <c r="K54" s="601"/>
      <c r="L54" s="601"/>
      <c r="M54" s="601"/>
      <c r="N54" s="603">
        <v>200</v>
      </c>
      <c r="O54" s="602" t="s">
        <v>145</v>
      </c>
      <c r="P54" s="604">
        <v>0.025</v>
      </c>
      <c r="Q54" s="604">
        <f>P54*N54</f>
        <v>5</v>
      </c>
      <c r="R54" s="604"/>
      <c r="S54" s="604">
        <f t="shared" si="24"/>
        <v>0</v>
      </c>
      <c r="T54" s="603"/>
      <c r="U54" s="603"/>
      <c r="V54" s="603"/>
      <c r="W54" s="603"/>
      <c r="X54" s="603"/>
      <c r="Y54" s="603"/>
      <c r="Z54" s="603"/>
      <c r="AA54" s="603"/>
      <c r="AB54" s="603"/>
      <c r="AC54" s="603">
        <f t="shared" si="25"/>
        <v>6.65</v>
      </c>
      <c r="AD54" s="605">
        <f t="shared" si="26"/>
        <v>8</v>
      </c>
      <c r="AE54" s="603">
        <f>4*2</f>
        <v>8</v>
      </c>
      <c r="AF54" s="603">
        <f t="shared" si="27"/>
        <v>2</v>
      </c>
      <c r="AG54" s="605">
        <f t="shared" si="28"/>
        <v>18</v>
      </c>
      <c r="AH54" s="606">
        <f t="shared" si="29"/>
        <v>7.847</v>
      </c>
      <c r="AJ54" s="607">
        <f t="shared" si="5"/>
        <v>18</v>
      </c>
    </row>
    <row r="55" spans="1:36" s="513" customFormat="1" ht="30">
      <c r="A55" s="500"/>
      <c r="B55" s="501"/>
      <c r="C55" s="502"/>
      <c r="D55" s="502" t="s">
        <v>6</v>
      </c>
      <c r="E55" s="505" t="s">
        <v>153</v>
      </c>
      <c r="F55" s="505"/>
      <c r="G55" s="514"/>
      <c r="H55" s="514"/>
      <c r="I55" s="506"/>
      <c r="J55" s="505"/>
      <c r="K55" s="505"/>
      <c r="L55" s="505"/>
      <c r="M55" s="505"/>
      <c r="N55" s="503"/>
      <c r="O55" s="506"/>
      <c r="P55" s="508"/>
      <c r="Q55" s="508"/>
      <c r="R55" s="508"/>
      <c r="S55" s="508"/>
      <c r="T55" s="507"/>
      <c r="U55" s="507"/>
      <c r="V55" s="507"/>
      <c r="W55" s="507"/>
      <c r="X55" s="507"/>
      <c r="Y55" s="507"/>
      <c r="Z55" s="507"/>
      <c r="AA55" s="507"/>
      <c r="AB55" s="507"/>
      <c r="AC55" s="509"/>
      <c r="AD55" s="510"/>
      <c r="AE55" s="507"/>
      <c r="AF55" s="507"/>
      <c r="AG55" s="511"/>
      <c r="AH55" s="512"/>
      <c r="AJ55" s="513" t="e">
        <f t="shared" si="5"/>
        <v>#DIV/0!</v>
      </c>
    </row>
    <row r="56" spans="1:34" s="513" customFormat="1" ht="36">
      <c r="A56" s="500"/>
      <c r="B56" s="501"/>
      <c r="C56" s="502"/>
      <c r="D56" s="502"/>
      <c r="E56" s="505" t="s">
        <v>146</v>
      </c>
      <c r="F56" s="505"/>
      <c r="G56" s="505"/>
      <c r="H56" s="505"/>
      <c r="I56" s="506"/>
      <c r="J56" s="505"/>
      <c r="K56" s="505"/>
      <c r="L56" s="505"/>
      <c r="M56" s="505"/>
      <c r="N56" s="503"/>
      <c r="O56" s="506"/>
      <c r="P56" s="508"/>
      <c r="Q56" s="508"/>
      <c r="R56" s="508"/>
      <c r="S56" s="508"/>
      <c r="T56" s="507"/>
      <c r="U56" s="507"/>
      <c r="V56" s="507"/>
      <c r="W56" s="507"/>
      <c r="X56" s="507"/>
      <c r="Y56" s="507"/>
      <c r="Z56" s="507"/>
      <c r="AA56" s="507"/>
      <c r="AB56" s="507"/>
      <c r="AC56" s="509"/>
      <c r="AD56" s="510"/>
      <c r="AE56" s="507"/>
      <c r="AF56" s="507"/>
      <c r="AG56" s="511"/>
      <c r="AH56" s="512"/>
    </row>
    <row r="57" spans="1:36" s="513" customFormat="1" ht="15">
      <c r="A57" s="500"/>
      <c r="B57" s="501"/>
      <c r="C57" s="502"/>
      <c r="D57" s="502"/>
      <c r="E57" s="505" t="s">
        <v>147</v>
      </c>
      <c r="F57" s="505"/>
      <c r="G57" s="514"/>
      <c r="H57" s="514"/>
      <c r="I57" s="506"/>
      <c r="J57" s="505"/>
      <c r="K57" s="505"/>
      <c r="L57" s="505"/>
      <c r="M57" s="505"/>
      <c r="N57" s="503"/>
      <c r="O57" s="506"/>
      <c r="P57" s="508"/>
      <c r="Q57" s="508"/>
      <c r="R57" s="508"/>
      <c r="S57" s="508"/>
      <c r="T57" s="507"/>
      <c r="U57" s="507"/>
      <c r="V57" s="507"/>
      <c r="W57" s="507"/>
      <c r="X57" s="507"/>
      <c r="Y57" s="507"/>
      <c r="Z57" s="507"/>
      <c r="AA57" s="507"/>
      <c r="AB57" s="507"/>
      <c r="AC57" s="509"/>
      <c r="AD57" s="510"/>
      <c r="AE57" s="507"/>
      <c r="AF57" s="507"/>
      <c r="AG57" s="511"/>
      <c r="AH57" s="512"/>
      <c r="AJ57" s="513" t="e">
        <f t="shared" si="5"/>
        <v>#DIV/0!</v>
      </c>
    </row>
    <row r="58" spans="1:34" s="619" customFormat="1" ht="36">
      <c r="A58" s="609"/>
      <c r="B58" s="610"/>
      <c r="C58" s="611"/>
      <c r="D58" s="611" t="s">
        <v>0</v>
      </c>
      <c r="E58" s="612" t="s">
        <v>2</v>
      </c>
      <c r="F58" s="612"/>
      <c r="G58" s="613">
        <v>38261</v>
      </c>
      <c r="H58" s="613">
        <v>38626</v>
      </c>
      <c r="I58" s="614">
        <v>1</v>
      </c>
      <c r="J58" s="612"/>
      <c r="K58" s="612"/>
      <c r="L58" s="612"/>
      <c r="M58" s="612"/>
      <c r="N58" s="615"/>
      <c r="O58" s="614"/>
      <c r="P58" s="616"/>
      <c r="Q58" s="616">
        <f>P58*N58</f>
        <v>0</v>
      </c>
      <c r="R58" s="616"/>
      <c r="S58" s="616">
        <f>P58*R58</f>
        <v>0</v>
      </c>
      <c r="T58" s="615">
        <v>6</v>
      </c>
      <c r="U58" s="615">
        <v>15</v>
      </c>
      <c r="V58" s="615">
        <v>2</v>
      </c>
      <c r="W58" s="615">
        <v>2</v>
      </c>
      <c r="X58" s="615"/>
      <c r="Y58" s="615">
        <v>10</v>
      </c>
      <c r="Z58" s="615">
        <v>1</v>
      </c>
      <c r="AA58" s="615">
        <v>1</v>
      </c>
      <c r="AB58" s="615">
        <v>2</v>
      </c>
      <c r="AC58" s="603">
        <f t="shared" si="25"/>
        <v>41.548</v>
      </c>
      <c r="AD58" s="617">
        <f>4*2</f>
        <v>8</v>
      </c>
      <c r="AE58" s="615">
        <f>4*2</f>
        <v>8</v>
      </c>
      <c r="AF58" s="615">
        <f>2*1</f>
        <v>2</v>
      </c>
      <c r="AG58" s="617">
        <f>IF(AC58=0,"",AD58+AE58+AF58)</f>
        <v>18</v>
      </c>
      <c r="AH58" s="618">
        <f>IF(AG58="",0,AC58*(1+AG58/100))</f>
        <v>49.02664</v>
      </c>
    </row>
    <row r="59" spans="1:34" s="619" customFormat="1" ht="36">
      <c r="A59" s="609"/>
      <c r="B59" s="610"/>
      <c r="C59" s="611"/>
      <c r="D59" s="611" t="s">
        <v>1</v>
      </c>
      <c r="E59" s="612" t="s">
        <v>3</v>
      </c>
      <c r="F59" s="612"/>
      <c r="G59" s="613">
        <v>38626</v>
      </c>
      <c r="H59" s="613">
        <v>38991</v>
      </c>
      <c r="I59" s="614">
        <v>1</v>
      </c>
      <c r="J59" s="612"/>
      <c r="K59" s="612"/>
      <c r="L59" s="612"/>
      <c r="M59" s="612"/>
      <c r="N59" s="615"/>
      <c r="O59" s="614"/>
      <c r="P59" s="616"/>
      <c r="Q59" s="616">
        <f>P59*N59</f>
        <v>0</v>
      </c>
      <c r="R59" s="616"/>
      <c r="S59" s="616">
        <f>P59*R59</f>
        <v>0</v>
      </c>
      <c r="T59" s="615">
        <v>6</v>
      </c>
      <c r="U59" s="615">
        <v>15</v>
      </c>
      <c r="V59" s="615">
        <v>2</v>
      </c>
      <c r="W59" s="615">
        <v>2</v>
      </c>
      <c r="X59" s="615"/>
      <c r="Y59" s="615">
        <v>10</v>
      </c>
      <c r="Z59" s="615">
        <v>1</v>
      </c>
      <c r="AA59" s="615">
        <v>1</v>
      </c>
      <c r="AB59" s="615">
        <v>2</v>
      </c>
      <c r="AC59" s="603">
        <f>((Q59+Y59)*GA+(T59+V59+Z59)*EEEM+(W59+AA59)*EESM+(U59*DM)+(X59+AB59)*EETB)*I59</f>
        <v>41.548</v>
      </c>
      <c r="AD59" s="617">
        <f>4*2</f>
        <v>8</v>
      </c>
      <c r="AE59" s="615">
        <f>4*2</f>
        <v>8</v>
      </c>
      <c r="AF59" s="615">
        <f>2*1</f>
        <v>2</v>
      </c>
      <c r="AG59" s="617">
        <f>IF(AC59=0,"",AD59+AE59+AF59)</f>
        <v>18</v>
      </c>
      <c r="AH59" s="618">
        <f>IF(AG59="",0,AC59*(1+AG59/100))</f>
        <v>49.02664</v>
      </c>
    </row>
    <row r="60" spans="1:36" s="67" customFormat="1" ht="15">
      <c r="A60" s="219"/>
      <c r="B60" s="220"/>
      <c r="C60" s="221"/>
      <c r="D60" s="222"/>
      <c r="E60" s="69"/>
      <c r="F60" s="68"/>
      <c r="G60" s="72">
        <v>36433</v>
      </c>
      <c r="H60" s="72">
        <v>36799</v>
      </c>
      <c r="I60" s="59"/>
      <c r="J60" s="68"/>
      <c r="K60" s="68"/>
      <c r="L60" s="61"/>
      <c r="M60" s="61"/>
      <c r="N60" s="63"/>
      <c r="O60" s="66"/>
      <c r="P60" s="65"/>
      <c r="Q60" s="65"/>
      <c r="R60" s="65"/>
      <c r="S60" s="65"/>
      <c r="T60" s="63"/>
      <c r="U60" s="63"/>
      <c r="V60" s="63"/>
      <c r="W60" s="63"/>
      <c r="X60" s="63"/>
      <c r="Y60" s="63"/>
      <c r="Z60" s="63"/>
      <c r="AA60" s="63"/>
      <c r="AB60" s="63"/>
      <c r="AC60" s="102">
        <f t="shared" si="25"/>
        <v>0</v>
      </c>
      <c r="AD60" s="64"/>
      <c r="AE60" s="63"/>
      <c r="AF60" s="63"/>
      <c r="AG60" s="64"/>
      <c r="AH60" s="178"/>
      <c r="AJ60" s="57"/>
    </row>
    <row r="61" spans="1:36" s="67" customFormat="1" ht="15">
      <c r="A61" s="219"/>
      <c r="B61" s="220"/>
      <c r="C61" s="221"/>
      <c r="D61" s="221"/>
      <c r="E61" s="61"/>
      <c r="F61" s="61"/>
      <c r="G61" s="61"/>
      <c r="H61" s="61"/>
      <c r="I61" s="62"/>
      <c r="J61" s="61"/>
      <c r="K61" s="61"/>
      <c r="L61" s="61"/>
      <c r="M61" s="61"/>
      <c r="N61" s="63"/>
      <c r="O61" s="66"/>
      <c r="P61" s="65"/>
      <c r="Q61" s="65"/>
      <c r="R61" s="65"/>
      <c r="S61" s="65"/>
      <c r="T61" s="63"/>
      <c r="U61" s="63"/>
      <c r="V61" s="63"/>
      <c r="W61" s="63"/>
      <c r="X61" s="63"/>
      <c r="Y61" s="63"/>
      <c r="Z61" s="63"/>
      <c r="AA61" s="63"/>
      <c r="AB61" s="63"/>
      <c r="AC61" s="102">
        <f t="shared" si="25"/>
        <v>0</v>
      </c>
      <c r="AD61" s="64"/>
      <c r="AE61" s="63"/>
      <c r="AF61" s="63"/>
      <c r="AG61" s="64"/>
      <c r="AH61" s="178"/>
      <c r="AJ61" s="57"/>
    </row>
    <row r="62" spans="1:36" s="60" customFormat="1" ht="15">
      <c r="A62" s="223"/>
      <c r="B62" s="224"/>
      <c r="C62" s="225"/>
      <c r="D62" s="225"/>
      <c r="E62" s="58"/>
      <c r="F62" s="58"/>
      <c r="G62" s="58"/>
      <c r="H62" s="58"/>
      <c r="I62" s="49"/>
      <c r="J62" s="58"/>
      <c r="K62" s="58"/>
      <c r="L62" s="58"/>
      <c r="M62" s="58"/>
      <c r="N62" s="52"/>
      <c r="O62" s="59"/>
      <c r="P62" s="55"/>
      <c r="Q62" s="55"/>
      <c r="R62" s="55"/>
      <c r="S62" s="55"/>
      <c r="T62" s="52"/>
      <c r="U62" s="52"/>
      <c r="V62" s="52"/>
      <c r="W62" s="52"/>
      <c r="X62" s="52"/>
      <c r="Y62" s="52"/>
      <c r="Z62" s="52"/>
      <c r="AA62" s="52"/>
      <c r="AB62" s="52"/>
      <c r="AC62" s="102">
        <f t="shared" si="25"/>
        <v>0</v>
      </c>
      <c r="AD62" s="54"/>
      <c r="AE62" s="52"/>
      <c r="AF62" s="52"/>
      <c r="AG62" s="54"/>
      <c r="AH62" s="175"/>
      <c r="AJ62" s="5"/>
    </row>
    <row r="63" spans="1:36" ht="24">
      <c r="A63" s="201"/>
      <c r="B63" s="202"/>
      <c r="D63" s="192" t="s">
        <v>78</v>
      </c>
      <c r="E63" s="1" t="s">
        <v>170</v>
      </c>
      <c r="G63" s="70">
        <v>37895</v>
      </c>
      <c r="H63" s="70">
        <v>38078</v>
      </c>
      <c r="I63" s="10">
        <v>1</v>
      </c>
      <c r="Q63" s="2">
        <f>P63*N63</f>
        <v>0</v>
      </c>
      <c r="S63" s="2">
        <f>P63*R63</f>
        <v>0</v>
      </c>
      <c r="V63" s="3">
        <v>5</v>
      </c>
      <c r="W63" s="3">
        <v>5</v>
      </c>
      <c r="AC63" s="102">
        <f t="shared" si="25"/>
        <v>10.88</v>
      </c>
      <c r="AD63" s="21">
        <f aca="true" t="shared" si="30" ref="AD63:AE65">4*2</f>
        <v>8</v>
      </c>
      <c r="AE63" s="3">
        <f t="shared" si="30"/>
        <v>8</v>
      </c>
      <c r="AF63" s="3">
        <f t="shared" si="27"/>
        <v>2</v>
      </c>
      <c r="AG63" s="26">
        <f>IF(AC63=0,"",AD63+AE63+AF63)</f>
        <v>18</v>
      </c>
      <c r="AH63" s="163">
        <f>IF(AG63="",0,AC63*(1+AG63/100))</f>
        <v>12.8384</v>
      </c>
      <c r="AJ63" s="5">
        <f t="shared" si="5"/>
        <v>17.999999999999993</v>
      </c>
    </row>
    <row r="64" spans="1:36" s="535" customFormat="1" ht="15">
      <c r="A64" s="201"/>
      <c r="B64" s="526"/>
      <c r="C64" s="527"/>
      <c r="D64" s="527"/>
      <c r="E64" s="11" t="s">
        <v>171</v>
      </c>
      <c r="F64" s="11"/>
      <c r="G64" s="11"/>
      <c r="H64" s="11"/>
      <c r="I64" s="528">
        <v>1</v>
      </c>
      <c r="J64" s="11"/>
      <c r="K64" s="11"/>
      <c r="L64" s="11"/>
      <c r="M64" s="11"/>
      <c r="N64" s="529">
        <v>7</v>
      </c>
      <c r="O64" s="528" t="s">
        <v>172</v>
      </c>
      <c r="P64" s="530">
        <v>13</v>
      </c>
      <c r="Q64" s="530">
        <f>P64*N64</f>
        <v>91</v>
      </c>
      <c r="R64" s="530"/>
      <c r="S64" s="530">
        <f>P64*R64</f>
        <v>0</v>
      </c>
      <c r="T64" s="529"/>
      <c r="U64" s="529"/>
      <c r="V64" s="529">
        <v>5</v>
      </c>
      <c r="W64" s="529">
        <v>5</v>
      </c>
      <c r="X64" s="529"/>
      <c r="Y64" s="529"/>
      <c r="Z64" s="529"/>
      <c r="AA64" s="529"/>
      <c r="AB64" s="529"/>
      <c r="AC64" s="531">
        <f t="shared" si="25"/>
        <v>131.91</v>
      </c>
      <c r="AD64" s="532">
        <f t="shared" si="30"/>
        <v>8</v>
      </c>
      <c r="AE64" s="529">
        <f>4*2</f>
        <v>8</v>
      </c>
      <c r="AF64" s="529">
        <f t="shared" si="27"/>
        <v>2</v>
      </c>
      <c r="AG64" s="533">
        <f>IF(AC64=0,"",AD64+AE64+AF64)</f>
        <v>18</v>
      </c>
      <c r="AH64" s="534">
        <f>IF(AG64="",0,AC64*(1+AG64/100))</f>
        <v>155.6538</v>
      </c>
      <c r="AJ64" s="535">
        <f t="shared" si="5"/>
        <v>17.999999999999993</v>
      </c>
    </row>
    <row r="65" spans="1:36" s="607" customFormat="1" ht="15.75" thickBot="1">
      <c r="A65" s="620"/>
      <c r="B65" s="621"/>
      <c r="C65" s="622"/>
      <c r="D65" s="622"/>
      <c r="E65" s="623" t="s">
        <v>175</v>
      </c>
      <c r="F65" s="623"/>
      <c r="G65" s="623"/>
      <c r="H65" s="623"/>
      <c r="I65" s="624">
        <v>1</v>
      </c>
      <c r="J65" s="623"/>
      <c r="K65" s="623"/>
      <c r="L65" s="623"/>
      <c r="M65" s="623"/>
      <c r="N65" s="625"/>
      <c r="O65" s="624"/>
      <c r="P65" s="626"/>
      <c r="Q65" s="626">
        <f>P65*N65</f>
        <v>0</v>
      </c>
      <c r="R65" s="626"/>
      <c r="S65" s="626">
        <f>P65*R65</f>
        <v>0</v>
      </c>
      <c r="T65" s="625">
        <v>2</v>
      </c>
      <c r="U65" s="625">
        <v>5</v>
      </c>
      <c r="V65" s="625">
        <v>5</v>
      </c>
      <c r="W65" s="625">
        <v>5</v>
      </c>
      <c r="X65" s="625">
        <v>10</v>
      </c>
      <c r="Y65" s="625">
        <v>50</v>
      </c>
      <c r="Z65" s="625"/>
      <c r="AA65" s="625"/>
      <c r="AB65" s="625"/>
      <c r="AC65" s="625">
        <f t="shared" si="25"/>
        <v>90.668</v>
      </c>
      <c r="AD65" s="627">
        <f t="shared" si="30"/>
        <v>8</v>
      </c>
      <c r="AE65" s="625">
        <f t="shared" si="30"/>
        <v>8</v>
      </c>
      <c r="AF65" s="625">
        <f t="shared" si="27"/>
        <v>2</v>
      </c>
      <c r="AG65" s="627">
        <f>IF(AC65=0,"",AD65+AE65+AF65)</f>
        <v>18</v>
      </c>
      <c r="AH65" s="628">
        <f>IF(AG65="",0,AC65*(1+AG65/100))</f>
        <v>106.98824</v>
      </c>
      <c r="AJ65" s="607">
        <f t="shared" si="5"/>
        <v>17.999999999999996</v>
      </c>
    </row>
    <row r="66" spans="1:197" s="24" customFormat="1" ht="46.5" thickBot="1" thickTop="1">
      <c r="A66" s="193" t="s">
        <v>204</v>
      </c>
      <c r="B66" s="194">
        <f>C67+C82+C84+C86+C91+C94</f>
        <v>1633.28244</v>
      </c>
      <c r="C66" s="195">
        <f>D67+D82+D84+D86+D91+D94</f>
        <v>1941.5643592000001</v>
      </c>
      <c r="D66" s="196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60"/>
      <c r="AD66" s="159"/>
      <c r="AE66" s="159"/>
      <c r="AF66" s="159"/>
      <c r="AG66" s="159"/>
      <c r="AH66" s="161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</row>
    <row r="67" spans="1:34" ht="30">
      <c r="A67" s="201"/>
      <c r="B67" s="198" t="s">
        <v>7</v>
      </c>
      <c r="C67" s="199">
        <f>SUM(AC68:AC81)</f>
        <v>611.8756000000001</v>
      </c>
      <c r="D67" s="200">
        <f>SUM(AH68:AH81)</f>
        <v>725.616088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1"/>
      <c r="AD67" s="110"/>
      <c r="AE67" s="110"/>
      <c r="AF67" s="110"/>
      <c r="AG67" s="110"/>
      <c r="AH67" s="162"/>
    </row>
    <row r="68" spans="1:36" ht="36">
      <c r="A68" s="201"/>
      <c r="B68" s="202"/>
      <c r="D68" s="192" t="s">
        <v>158</v>
      </c>
      <c r="E68" s="1" t="s">
        <v>134</v>
      </c>
      <c r="G68" s="70">
        <v>38261</v>
      </c>
      <c r="H68" s="70">
        <v>38991</v>
      </c>
      <c r="I68" s="10">
        <v>1</v>
      </c>
      <c r="Q68" s="2">
        <f aca="true" t="shared" si="31" ref="Q68:Q81">P68*N68</f>
        <v>0</v>
      </c>
      <c r="S68" s="2">
        <f aca="true" t="shared" si="32" ref="S68:S81">P68*R68</f>
        <v>0</v>
      </c>
      <c r="T68" s="3">
        <v>15</v>
      </c>
      <c r="U68" s="3">
        <v>25</v>
      </c>
      <c r="V68" s="3">
        <v>8</v>
      </c>
      <c r="W68" s="3">
        <v>15</v>
      </c>
      <c r="X68" s="3">
        <v>40</v>
      </c>
      <c r="AC68" s="102">
        <f aca="true" t="shared" si="33" ref="AC68:AC81">((Q68+Y68)*GA+(T68+V68+Z68)*EEEM+(W68+AA68)*EESM+(U68*DM)+(X68+AB68)*EETB)*I68</f>
        <v>90.07199999999999</v>
      </c>
      <c r="AD68" s="21">
        <f>4*3</f>
        <v>12</v>
      </c>
      <c r="AE68" s="3">
        <f>4*2</f>
        <v>8</v>
      </c>
      <c r="AF68" s="3">
        <f t="shared" si="27"/>
        <v>2</v>
      </c>
      <c r="AG68" s="26">
        <f aca="true" t="shared" si="34" ref="AG68:AG81">IF(AC68=0,"",AD68+AE68+AF68)</f>
        <v>22</v>
      </c>
      <c r="AH68" s="163">
        <f aca="true" t="shared" si="35" ref="AH68:AH81">IF(AG68="",0,AC68*(1+AG68/100))</f>
        <v>109.88783999999998</v>
      </c>
      <c r="AJ68" s="5">
        <f aca="true" t="shared" si="36" ref="AJ68:AJ128">(AH68-AC68)*100/AC68</f>
        <v>21.999999999999996</v>
      </c>
    </row>
    <row r="69" spans="1:36" ht="15">
      <c r="A69" s="201"/>
      <c r="B69" s="202"/>
      <c r="E69" s="1" t="s">
        <v>95</v>
      </c>
      <c r="F69" s="1" t="s">
        <v>122</v>
      </c>
      <c r="I69" s="10">
        <v>1</v>
      </c>
      <c r="N69" s="3">
        <v>1</v>
      </c>
      <c r="O69" s="10" t="s">
        <v>144</v>
      </c>
      <c r="P69" s="2">
        <v>10</v>
      </c>
      <c r="Q69" s="2">
        <f t="shared" si="31"/>
        <v>10</v>
      </c>
      <c r="R69" s="2">
        <v>1</v>
      </c>
      <c r="S69" s="2">
        <f t="shared" si="32"/>
        <v>10</v>
      </c>
      <c r="T69" s="3">
        <v>10</v>
      </c>
      <c r="U69" s="3">
        <v>20</v>
      </c>
      <c r="V69" s="3">
        <v>5</v>
      </c>
      <c r="W69" s="3">
        <v>5</v>
      </c>
      <c r="X69" s="3">
        <v>10</v>
      </c>
      <c r="AC69" s="102">
        <f t="shared" si="33"/>
        <v>60.420000000000016</v>
      </c>
      <c r="AD69" s="21">
        <f aca="true" t="shared" si="37" ref="AD69:AD81">4*2</f>
        <v>8</v>
      </c>
      <c r="AE69" s="3">
        <f aca="true" t="shared" si="38" ref="AE69:AE75">4*2</f>
        <v>8</v>
      </c>
      <c r="AF69" s="3">
        <f t="shared" si="27"/>
        <v>2</v>
      </c>
      <c r="AG69" s="26">
        <f t="shared" si="34"/>
        <v>18</v>
      </c>
      <c r="AH69" s="163">
        <f t="shared" si="35"/>
        <v>71.29560000000002</v>
      </c>
      <c r="AJ69" s="5">
        <f t="shared" si="36"/>
        <v>18.000000000000007</v>
      </c>
    </row>
    <row r="70" spans="1:36" ht="24">
      <c r="A70" s="201"/>
      <c r="B70" s="202"/>
      <c r="E70" s="1" t="s">
        <v>96</v>
      </c>
      <c r="I70" s="10">
        <v>1</v>
      </c>
      <c r="N70" s="3">
        <v>80</v>
      </c>
      <c r="O70" s="10" t="s">
        <v>97</v>
      </c>
      <c r="P70" s="2">
        <v>0.012</v>
      </c>
      <c r="Q70" s="2">
        <f t="shared" si="31"/>
        <v>0.96</v>
      </c>
      <c r="S70" s="2">
        <f t="shared" si="32"/>
        <v>0</v>
      </c>
      <c r="T70" s="3">
        <v>10</v>
      </c>
      <c r="U70" s="3">
        <v>10</v>
      </c>
      <c r="V70" s="3">
        <v>10</v>
      </c>
      <c r="W70" s="3">
        <v>5</v>
      </c>
      <c r="X70" s="3">
        <v>5</v>
      </c>
      <c r="AC70" s="102">
        <f t="shared" si="33"/>
        <v>42.91680000000001</v>
      </c>
      <c r="AD70" s="21">
        <f t="shared" si="37"/>
        <v>8</v>
      </c>
      <c r="AE70" s="3">
        <f t="shared" si="38"/>
        <v>8</v>
      </c>
      <c r="AF70" s="3">
        <f t="shared" si="27"/>
        <v>2</v>
      </c>
      <c r="AG70" s="26">
        <f t="shared" si="34"/>
        <v>18</v>
      </c>
      <c r="AH70" s="163">
        <f t="shared" si="35"/>
        <v>50.64182400000001</v>
      </c>
      <c r="AJ70" s="5">
        <f t="shared" si="36"/>
        <v>17.99999999999999</v>
      </c>
    </row>
    <row r="71" spans="1:36" ht="15">
      <c r="A71" s="201"/>
      <c r="B71" s="202"/>
      <c r="E71" s="1" t="s">
        <v>135</v>
      </c>
      <c r="I71" s="10">
        <v>1</v>
      </c>
      <c r="Q71" s="2">
        <f t="shared" si="31"/>
        <v>0</v>
      </c>
      <c r="S71" s="2">
        <f t="shared" si="32"/>
        <v>0</v>
      </c>
      <c r="T71" s="3">
        <v>10</v>
      </c>
      <c r="U71" s="3">
        <v>5</v>
      </c>
      <c r="V71" s="3">
        <v>5</v>
      </c>
      <c r="W71" s="3">
        <v>5</v>
      </c>
      <c r="X71" s="3">
        <v>10</v>
      </c>
      <c r="AC71" s="102">
        <f t="shared" si="33"/>
        <v>34.28</v>
      </c>
      <c r="AD71" s="21">
        <f t="shared" si="37"/>
        <v>8</v>
      </c>
      <c r="AE71" s="3">
        <f t="shared" si="38"/>
        <v>8</v>
      </c>
      <c r="AF71" s="3">
        <f t="shared" si="27"/>
        <v>2</v>
      </c>
      <c r="AG71" s="26">
        <f t="shared" si="34"/>
        <v>18</v>
      </c>
      <c r="AH71" s="163">
        <f t="shared" si="35"/>
        <v>40.4504</v>
      </c>
      <c r="AJ71" s="5">
        <f t="shared" si="36"/>
        <v>18</v>
      </c>
    </row>
    <row r="72" spans="1:36" ht="15">
      <c r="A72" s="201"/>
      <c r="B72" s="202"/>
      <c r="E72" s="1" t="s">
        <v>94</v>
      </c>
      <c r="I72" s="10">
        <v>1</v>
      </c>
      <c r="N72" s="3">
        <v>1</v>
      </c>
      <c r="O72" s="10" t="s">
        <v>144</v>
      </c>
      <c r="P72" s="2">
        <v>1</v>
      </c>
      <c r="Q72" s="2">
        <f t="shared" si="31"/>
        <v>1</v>
      </c>
      <c r="S72" s="2">
        <f t="shared" si="32"/>
        <v>0</v>
      </c>
      <c r="T72" s="3">
        <v>10</v>
      </c>
      <c r="V72" s="3">
        <v>5</v>
      </c>
      <c r="W72" s="3">
        <v>5</v>
      </c>
      <c r="X72" s="3">
        <v>10</v>
      </c>
      <c r="AC72" s="102">
        <f t="shared" si="33"/>
        <v>31.330000000000002</v>
      </c>
      <c r="AD72" s="21">
        <f t="shared" si="37"/>
        <v>8</v>
      </c>
      <c r="AE72" s="3">
        <f t="shared" si="38"/>
        <v>8</v>
      </c>
      <c r="AF72" s="3">
        <f t="shared" si="27"/>
        <v>2</v>
      </c>
      <c r="AG72" s="26">
        <f t="shared" si="34"/>
        <v>18</v>
      </c>
      <c r="AH72" s="163">
        <f t="shared" si="35"/>
        <v>36.9694</v>
      </c>
      <c r="AJ72" s="5">
        <f t="shared" si="36"/>
        <v>17.999999999999993</v>
      </c>
    </row>
    <row r="73" spans="1:36" s="607" customFormat="1" ht="24">
      <c r="A73" s="598"/>
      <c r="B73" s="599"/>
      <c r="C73" s="600"/>
      <c r="D73" s="600"/>
      <c r="E73" s="601" t="s">
        <v>138</v>
      </c>
      <c r="F73" s="601"/>
      <c r="G73" s="601"/>
      <c r="H73" s="601"/>
      <c r="I73" s="602">
        <v>1</v>
      </c>
      <c r="J73" s="601"/>
      <c r="K73" s="601"/>
      <c r="L73" s="601"/>
      <c r="M73" s="601"/>
      <c r="N73" s="603">
        <v>1</v>
      </c>
      <c r="O73" s="602" t="s">
        <v>144</v>
      </c>
      <c r="P73" s="604">
        <v>8</v>
      </c>
      <c r="Q73" s="604">
        <f t="shared" si="31"/>
        <v>8</v>
      </c>
      <c r="R73" s="604"/>
      <c r="S73" s="604">
        <f t="shared" si="32"/>
        <v>0</v>
      </c>
      <c r="T73" s="603">
        <v>2</v>
      </c>
      <c r="U73" s="603">
        <v>4</v>
      </c>
      <c r="V73" s="603"/>
      <c r="W73" s="603">
        <v>5</v>
      </c>
      <c r="X73" s="603">
        <v>20</v>
      </c>
      <c r="Y73" s="603">
        <v>30</v>
      </c>
      <c r="Z73" s="603"/>
      <c r="AA73" s="603"/>
      <c r="AB73" s="603"/>
      <c r="AC73" s="603">
        <f t="shared" si="33"/>
        <v>74.012</v>
      </c>
      <c r="AD73" s="605">
        <f t="shared" si="37"/>
        <v>8</v>
      </c>
      <c r="AE73" s="603">
        <f t="shared" si="38"/>
        <v>8</v>
      </c>
      <c r="AF73" s="603">
        <f t="shared" si="27"/>
        <v>2</v>
      </c>
      <c r="AG73" s="605">
        <f t="shared" si="34"/>
        <v>18</v>
      </c>
      <c r="AH73" s="606">
        <f t="shared" si="35"/>
        <v>87.33416</v>
      </c>
      <c r="AJ73" s="607">
        <f t="shared" si="36"/>
        <v>17.999999999999996</v>
      </c>
    </row>
    <row r="74" spans="1:36" ht="36">
      <c r="A74" s="201"/>
      <c r="B74" s="202"/>
      <c r="D74" s="192" t="s">
        <v>180</v>
      </c>
      <c r="E74" s="1" t="s">
        <v>136</v>
      </c>
      <c r="G74" s="70">
        <v>37895</v>
      </c>
      <c r="H74" s="70">
        <v>38261</v>
      </c>
      <c r="I74" s="10">
        <v>1</v>
      </c>
      <c r="N74" s="3">
        <v>1</v>
      </c>
      <c r="O74" s="10" t="s">
        <v>91</v>
      </c>
      <c r="P74" s="2">
        <v>5</v>
      </c>
      <c r="Q74" s="2">
        <f t="shared" si="31"/>
        <v>5</v>
      </c>
      <c r="S74" s="2">
        <f t="shared" si="32"/>
        <v>0</v>
      </c>
      <c r="T74" s="3">
        <v>10</v>
      </c>
      <c r="U74" s="3">
        <v>15</v>
      </c>
      <c r="V74" s="3">
        <v>5</v>
      </c>
      <c r="W74" s="3">
        <v>5</v>
      </c>
      <c r="X74" s="3">
        <v>20</v>
      </c>
      <c r="Z74" s="3">
        <v>5</v>
      </c>
      <c r="AA74" s="3">
        <v>5</v>
      </c>
      <c r="AB74" s="3">
        <v>10</v>
      </c>
      <c r="AC74" s="102">
        <f t="shared" si="33"/>
        <v>73.33</v>
      </c>
      <c r="AD74" s="21">
        <f t="shared" si="37"/>
        <v>8</v>
      </c>
      <c r="AE74" s="3">
        <f t="shared" si="38"/>
        <v>8</v>
      </c>
      <c r="AF74" s="3">
        <f t="shared" si="27"/>
        <v>2</v>
      </c>
      <c r="AG74" s="26">
        <f t="shared" si="34"/>
        <v>18</v>
      </c>
      <c r="AH74" s="163">
        <f t="shared" si="35"/>
        <v>86.5294</v>
      </c>
      <c r="AJ74" s="5">
        <f t="shared" si="36"/>
        <v>17.999999999999996</v>
      </c>
    </row>
    <row r="75" spans="1:36" ht="36">
      <c r="A75" s="201"/>
      <c r="B75" s="202"/>
      <c r="D75" s="192" t="s">
        <v>155</v>
      </c>
      <c r="E75" s="1" t="s">
        <v>134</v>
      </c>
      <c r="G75" s="70">
        <v>38261</v>
      </c>
      <c r="H75" s="70">
        <v>38626</v>
      </c>
      <c r="I75" s="10">
        <v>1</v>
      </c>
      <c r="Q75" s="2">
        <f t="shared" si="31"/>
        <v>0</v>
      </c>
      <c r="S75" s="2">
        <f t="shared" si="32"/>
        <v>0</v>
      </c>
      <c r="T75" s="3">
        <v>10</v>
      </c>
      <c r="U75" s="3">
        <v>15</v>
      </c>
      <c r="V75" s="3">
        <v>5</v>
      </c>
      <c r="W75" s="3">
        <v>10</v>
      </c>
      <c r="X75" s="3">
        <v>30</v>
      </c>
      <c r="AC75" s="102">
        <f t="shared" si="33"/>
        <v>60.36</v>
      </c>
      <c r="AD75" s="21">
        <f t="shared" si="37"/>
        <v>8</v>
      </c>
      <c r="AE75" s="3">
        <f t="shared" si="38"/>
        <v>8</v>
      </c>
      <c r="AF75" s="3">
        <f t="shared" si="27"/>
        <v>2</v>
      </c>
      <c r="AG75" s="26">
        <f t="shared" si="34"/>
        <v>18</v>
      </c>
      <c r="AH75" s="163">
        <f t="shared" si="35"/>
        <v>71.2248</v>
      </c>
      <c r="AJ75" s="5">
        <f t="shared" si="36"/>
        <v>18.000000000000004</v>
      </c>
    </row>
    <row r="76" spans="1:36" ht="15">
      <c r="A76" s="201"/>
      <c r="B76" s="202"/>
      <c r="E76" s="1" t="s">
        <v>95</v>
      </c>
      <c r="I76" s="10">
        <v>1</v>
      </c>
      <c r="N76" s="3">
        <v>1</v>
      </c>
      <c r="O76" s="10" t="s">
        <v>144</v>
      </c>
      <c r="P76" s="2">
        <v>10</v>
      </c>
      <c r="Q76" s="2">
        <f t="shared" si="31"/>
        <v>10</v>
      </c>
      <c r="S76" s="2">
        <f t="shared" si="32"/>
        <v>0</v>
      </c>
      <c r="T76" s="3">
        <v>3</v>
      </c>
      <c r="U76" s="3">
        <v>8</v>
      </c>
      <c r="V76" s="3">
        <v>0</v>
      </c>
      <c r="W76" s="3">
        <v>0</v>
      </c>
      <c r="X76" s="3">
        <v>0</v>
      </c>
      <c r="AC76" s="102">
        <f t="shared" si="33"/>
        <v>23.939999999999998</v>
      </c>
      <c r="AD76" s="21">
        <f t="shared" si="37"/>
        <v>8</v>
      </c>
      <c r="AE76" s="3">
        <f aca="true" t="shared" si="39" ref="AE76:AE85">4*2</f>
        <v>8</v>
      </c>
      <c r="AF76" s="3">
        <f t="shared" si="27"/>
        <v>2</v>
      </c>
      <c r="AG76" s="26">
        <f t="shared" si="34"/>
        <v>18</v>
      </c>
      <c r="AH76" s="163">
        <f t="shared" si="35"/>
        <v>28.249199999999995</v>
      </c>
      <c r="AJ76" s="5">
        <f t="shared" si="36"/>
        <v>17.99999999999999</v>
      </c>
    </row>
    <row r="77" spans="1:36" ht="24">
      <c r="A77" s="201"/>
      <c r="B77" s="202"/>
      <c r="E77" s="1" t="s">
        <v>96</v>
      </c>
      <c r="I77" s="10">
        <v>1</v>
      </c>
      <c r="N77" s="3">
        <v>80</v>
      </c>
      <c r="O77" s="10" t="s">
        <v>97</v>
      </c>
      <c r="P77" s="2">
        <v>0.012</v>
      </c>
      <c r="Q77" s="2">
        <f t="shared" si="31"/>
        <v>0.96</v>
      </c>
      <c r="S77" s="2">
        <f t="shared" si="32"/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AC77" s="102">
        <f t="shared" si="33"/>
        <v>1.2768</v>
      </c>
      <c r="AD77" s="21">
        <f t="shared" si="37"/>
        <v>8</v>
      </c>
      <c r="AE77" s="3">
        <f t="shared" si="39"/>
        <v>8</v>
      </c>
      <c r="AF77" s="3">
        <f t="shared" si="27"/>
        <v>2</v>
      </c>
      <c r="AG77" s="26">
        <f t="shared" si="34"/>
        <v>18</v>
      </c>
      <c r="AH77" s="163">
        <f t="shared" si="35"/>
        <v>1.5066239999999997</v>
      </c>
      <c r="AJ77" s="5">
        <f t="shared" si="36"/>
        <v>17.999999999999986</v>
      </c>
    </row>
    <row r="78" spans="1:36" ht="15">
      <c r="A78" s="201"/>
      <c r="B78" s="202"/>
      <c r="E78" s="1" t="s">
        <v>135</v>
      </c>
      <c r="I78" s="10">
        <v>1</v>
      </c>
      <c r="Q78" s="2">
        <f t="shared" si="31"/>
        <v>0</v>
      </c>
      <c r="S78" s="2">
        <f t="shared" si="32"/>
        <v>0</v>
      </c>
      <c r="T78" s="3">
        <v>10</v>
      </c>
      <c r="U78" s="3">
        <v>5</v>
      </c>
      <c r="V78" s="3">
        <v>5</v>
      </c>
      <c r="W78" s="3">
        <v>5</v>
      </c>
      <c r="X78" s="3">
        <v>5</v>
      </c>
      <c r="AC78" s="102">
        <f t="shared" si="33"/>
        <v>31.040000000000006</v>
      </c>
      <c r="AD78" s="21">
        <f t="shared" si="37"/>
        <v>8</v>
      </c>
      <c r="AE78" s="3">
        <f t="shared" si="39"/>
        <v>8</v>
      </c>
      <c r="AF78" s="3">
        <f t="shared" si="27"/>
        <v>2</v>
      </c>
      <c r="AG78" s="26">
        <f t="shared" si="34"/>
        <v>18</v>
      </c>
      <c r="AH78" s="163">
        <f t="shared" si="35"/>
        <v>36.6272</v>
      </c>
      <c r="AJ78" s="5">
        <f t="shared" si="36"/>
        <v>17.999999999999982</v>
      </c>
    </row>
    <row r="79" spans="1:36" ht="15">
      <c r="A79" s="201"/>
      <c r="B79" s="202"/>
      <c r="E79" s="1" t="s">
        <v>94</v>
      </c>
      <c r="I79" s="10">
        <v>1</v>
      </c>
      <c r="N79" s="3">
        <v>1</v>
      </c>
      <c r="O79" s="10" t="s">
        <v>144</v>
      </c>
      <c r="P79" s="2">
        <v>1</v>
      </c>
      <c r="Q79" s="2">
        <f t="shared" si="31"/>
        <v>1</v>
      </c>
      <c r="S79" s="2">
        <f t="shared" si="32"/>
        <v>0</v>
      </c>
      <c r="T79" s="3">
        <v>10</v>
      </c>
      <c r="V79" s="3">
        <v>5</v>
      </c>
      <c r="W79" s="3">
        <v>5</v>
      </c>
      <c r="X79" s="3">
        <v>5</v>
      </c>
      <c r="AC79" s="102">
        <f t="shared" si="33"/>
        <v>28.090000000000003</v>
      </c>
      <c r="AD79" s="21">
        <f t="shared" si="37"/>
        <v>8</v>
      </c>
      <c r="AE79" s="3">
        <f t="shared" si="39"/>
        <v>8</v>
      </c>
      <c r="AF79" s="3">
        <f t="shared" si="27"/>
        <v>2</v>
      </c>
      <c r="AG79" s="26">
        <f t="shared" si="34"/>
        <v>18</v>
      </c>
      <c r="AH79" s="163">
        <f t="shared" si="35"/>
        <v>33.1462</v>
      </c>
      <c r="AJ79" s="5">
        <f t="shared" si="36"/>
        <v>17.999999999999986</v>
      </c>
    </row>
    <row r="80" spans="1:36" s="607" customFormat="1" ht="24">
      <c r="A80" s="598"/>
      <c r="B80" s="599"/>
      <c r="C80" s="600"/>
      <c r="D80" s="600"/>
      <c r="E80" s="601" t="s">
        <v>138</v>
      </c>
      <c r="F80" s="601"/>
      <c r="G80" s="601"/>
      <c r="H80" s="601"/>
      <c r="I80" s="602">
        <v>1</v>
      </c>
      <c r="J80" s="601"/>
      <c r="K80" s="601"/>
      <c r="L80" s="601"/>
      <c r="M80" s="601"/>
      <c r="N80" s="603">
        <v>1</v>
      </c>
      <c r="O80" s="602" t="s">
        <v>144</v>
      </c>
      <c r="P80" s="604">
        <v>2</v>
      </c>
      <c r="Q80" s="604">
        <f t="shared" si="31"/>
        <v>2</v>
      </c>
      <c r="R80" s="604"/>
      <c r="S80" s="604">
        <f t="shared" si="32"/>
        <v>0</v>
      </c>
      <c r="T80" s="603">
        <v>1</v>
      </c>
      <c r="U80" s="603">
        <v>2</v>
      </c>
      <c r="V80" s="603"/>
      <c r="W80" s="603">
        <v>5</v>
      </c>
      <c r="X80" s="603">
        <v>4</v>
      </c>
      <c r="Y80" s="603">
        <v>10</v>
      </c>
      <c r="Z80" s="603"/>
      <c r="AA80" s="603"/>
      <c r="AB80" s="603"/>
      <c r="AC80" s="603">
        <f t="shared" si="33"/>
        <v>26.087999999999997</v>
      </c>
      <c r="AD80" s="605">
        <f t="shared" si="37"/>
        <v>8</v>
      </c>
      <c r="AE80" s="603">
        <f t="shared" si="39"/>
        <v>8</v>
      </c>
      <c r="AF80" s="603">
        <f t="shared" si="27"/>
        <v>2</v>
      </c>
      <c r="AG80" s="605">
        <f t="shared" si="34"/>
        <v>18</v>
      </c>
      <c r="AH80" s="606">
        <f t="shared" si="35"/>
        <v>30.783839999999994</v>
      </c>
      <c r="AJ80" s="607">
        <f t="shared" si="36"/>
        <v>17.99999999999999</v>
      </c>
    </row>
    <row r="81" spans="1:36" ht="24.75" thickBot="1">
      <c r="A81" s="201"/>
      <c r="B81" s="229"/>
      <c r="C81" s="230"/>
      <c r="D81" s="230"/>
      <c r="E81" s="139" t="s">
        <v>137</v>
      </c>
      <c r="F81" s="139"/>
      <c r="G81" s="139"/>
      <c r="H81" s="139"/>
      <c r="I81" s="140">
        <v>1</v>
      </c>
      <c r="J81" s="139"/>
      <c r="K81" s="139"/>
      <c r="L81" s="139"/>
      <c r="M81" s="139"/>
      <c r="N81" s="141"/>
      <c r="O81" s="140"/>
      <c r="P81" s="142"/>
      <c r="Q81" s="142">
        <f t="shared" si="31"/>
        <v>0</v>
      </c>
      <c r="R81" s="142"/>
      <c r="S81" s="142">
        <f t="shared" si="32"/>
        <v>0</v>
      </c>
      <c r="T81" s="141"/>
      <c r="U81" s="141"/>
      <c r="V81" s="141"/>
      <c r="W81" s="141"/>
      <c r="X81" s="141"/>
      <c r="Y81" s="141"/>
      <c r="Z81" s="141">
        <v>10</v>
      </c>
      <c r="AA81" s="141">
        <v>10</v>
      </c>
      <c r="AB81" s="141">
        <v>20</v>
      </c>
      <c r="AC81" s="143">
        <f t="shared" si="33"/>
        <v>34.72</v>
      </c>
      <c r="AD81" s="144">
        <f t="shared" si="37"/>
        <v>8</v>
      </c>
      <c r="AE81" s="141">
        <f t="shared" si="39"/>
        <v>8</v>
      </c>
      <c r="AF81" s="141">
        <f t="shared" si="27"/>
        <v>2</v>
      </c>
      <c r="AG81" s="145">
        <f t="shared" si="34"/>
        <v>18</v>
      </c>
      <c r="AH81" s="179">
        <f t="shared" si="35"/>
        <v>40.9696</v>
      </c>
      <c r="AJ81" s="5">
        <f t="shared" si="36"/>
        <v>18</v>
      </c>
    </row>
    <row r="82" spans="1:34" ht="30">
      <c r="A82" s="201"/>
      <c r="B82" s="198" t="s">
        <v>8</v>
      </c>
      <c r="C82" s="199">
        <f>SUM(AC83)</f>
        <v>96.732</v>
      </c>
      <c r="D82" s="200">
        <f>SUM(AH83)</f>
        <v>114.14375999999999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1"/>
      <c r="AD82" s="110"/>
      <c r="AE82" s="110"/>
      <c r="AF82" s="110"/>
      <c r="AG82" s="110"/>
      <c r="AH82" s="162"/>
    </row>
    <row r="83" spans="1:36" s="22" customFormat="1" ht="15.75" thickBot="1">
      <c r="A83" s="197"/>
      <c r="B83" s="231" t="s">
        <v>159</v>
      </c>
      <c r="C83" s="232"/>
      <c r="D83" s="232"/>
      <c r="E83" s="146" t="s">
        <v>16</v>
      </c>
      <c r="F83" s="146"/>
      <c r="G83" s="147">
        <v>37895</v>
      </c>
      <c r="H83" s="147">
        <v>38991</v>
      </c>
      <c r="I83" s="140">
        <v>1</v>
      </c>
      <c r="J83" s="146"/>
      <c r="K83" s="146"/>
      <c r="L83" s="146"/>
      <c r="M83" s="146"/>
      <c r="N83" s="148">
        <v>1</v>
      </c>
      <c r="O83" s="149" t="s">
        <v>91</v>
      </c>
      <c r="P83" s="150">
        <v>10</v>
      </c>
      <c r="Q83" s="150">
        <f>P83*N83</f>
        <v>10</v>
      </c>
      <c r="R83" s="150"/>
      <c r="S83" s="150">
        <f>P83*R83</f>
        <v>0</v>
      </c>
      <c r="T83" s="148">
        <v>15</v>
      </c>
      <c r="U83" s="148">
        <v>15</v>
      </c>
      <c r="V83" s="148">
        <v>3</v>
      </c>
      <c r="W83" s="148">
        <v>5</v>
      </c>
      <c r="X83" s="148">
        <v>35</v>
      </c>
      <c r="Y83" s="148"/>
      <c r="Z83" s="148">
        <v>5</v>
      </c>
      <c r="AA83" s="148">
        <v>5</v>
      </c>
      <c r="AB83" s="148">
        <v>15</v>
      </c>
      <c r="AC83" s="143">
        <f>((Q83+Y83)*GA+(T83+V83+Z83)*EEEM+(W83+AA83)*EESM+(U83*DM)+(X83+AB83)*EETB)*I83</f>
        <v>96.732</v>
      </c>
      <c r="AD83" s="145">
        <f>4*2</f>
        <v>8</v>
      </c>
      <c r="AE83" s="148">
        <f t="shared" si="39"/>
        <v>8</v>
      </c>
      <c r="AF83" s="148">
        <f t="shared" si="27"/>
        <v>2</v>
      </c>
      <c r="AG83" s="145">
        <f>IF(AC83=0,"",AD83+AE83+AF83)</f>
        <v>18</v>
      </c>
      <c r="AH83" s="179">
        <f>IF(AG83="",0,AC83*(1+AG83/100))</f>
        <v>114.14375999999999</v>
      </c>
      <c r="AJ83" s="5">
        <f t="shared" si="36"/>
        <v>17.999999999999986</v>
      </c>
    </row>
    <row r="84" spans="1:34" ht="30">
      <c r="A84" s="201"/>
      <c r="B84" s="198" t="s">
        <v>27</v>
      </c>
      <c r="C84" s="199">
        <f>SUM(AC85)</f>
        <v>37.92</v>
      </c>
      <c r="D84" s="200">
        <f>SUM(AH85)</f>
        <v>44.7456</v>
      </c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1"/>
      <c r="AD84" s="110"/>
      <c r="AE84" s="110"/>
      <c r="AF84" s="110"/>
      <c r="AG84" s="110"/>
      <c r="AH84" s="162"/>
    </row>
    <row r="85" spans="1:36" s="22" customFormat="1" ht="36.75" thickBot="1">
      <c r="A85" s="197"/>
      <c r="B85" s="231"/>
      <c r="C85" s="232"/>
      <c r="D85" s="232"/>
      <c r="E85" s="146" t="s">
        <v>139</v>
      </c>
      <c r="F85" s="146"/>
      <c r="G85" s="147">
        <v>38626</v>
      </c>
      <c r="H85" s="147">
        <v>38777</v>
      </c>
      <c r="I85" s="140">
        <v>1</v>
      </c>
      <c r="J85" s="146"/>
      <c r="K85" s="146"/>
      <c r="L85" s="146"/>
      <c r="M85" s="146"/>
      <c r="N85" s="148"/>
      <c r="O85" s="149"/>
      <c r="P85" s="150"/>
      <c r="Q85" s="150">
        <f>P85*N85</f>
        <v>0</v>
      </c>
      <c r="R85" s="150"/>
      <c r="S85" s="150">
        <f>P85*R85</f>
        <v>0</v>
      </c>
      <c r="T85" s="148">
        <v>30</v>
      </c>
      <c r="U85" s="148"/>
      <c r="V85" s="148"/>
      <c r="W85" s="148"/>
      <c r="X85" s="148"/>
      <c r="Y85" s="148"/>
      <c r="Z85" s="148"/>
      <c r="AA85" s="148"/>
      <c r="AB85" s="148"/>
      <c r="AC85" s="143">
        <f>((Q85+Y85)*GA+(T85+V85+Z85)*EEEM+(W85+AA85)*EESM+(U85*DM)+(X85+AB85)*EETB)*I85</f>
        <v>37.92</v>
      </c>
      <c r="AD85" s="145">
        <f>4*2</f>
        <v>8</v>
      </c>
      <c r="AE85" s="148">
        <f t="shared" si="39"/>
        <v>8</v>
      </c>
      <c r="AF85" s="148">
        <f t="shared" si="27"/>
        <v>2</v>
      </c>
      <c r="AG85" s="145">
        <f>IF(AC85=0,"",AD85+AE85+AF85)</f>
        <v>18</v>
      </c>
      <c r="AH85" s="179">
        <f>IF(AG85="",0,AC85*(1+AG85/100))</f>
        <v>44.7456</v>
      </c>
      <c r="AJ85" s="5">
        <f t="shared" si="36"/>
        <v>18.000000000000004</v>
      </c>
    </row>
    <row r="86" spans="1:34" ht="15">
      <c r="A86" s="201"/>
      <c r="B86" s="198" t="s">
        <v>28</v>
      </c>
      <c r="C86" s="199">
        <f>SUM(AC87:AC90)</f>
        <v>432.49800000000005</v>
      </c>
      <c r="D86" s="200">
        <f>SUM(AH87:AH90)</f>
        <v>510.34763999999996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1"/>
      <c r="AD86" s="110"/>
      <c r="AE86" s="110"/>
      <c r="AF86" s="110"/>
      <c r="AG86" s="110"/>
      <c r="AH86" s="162"/>
    </row>
    <row r="87" spans="1:36" ht="30">
      <c r="A87" s="201"/>
      <c r="B87" s="202"/>
      <c r="D87" s="192" t="s">
        <v>131</v>
      </c>
      <c r="G87" s="70">
        <v>38626</v>
      </c>
      <c r="H87" s="70">
        <v>38991</v>
      </c>
      <c r="I87" s="10">
        <v>1</v>
      </c>
      <c r="N87" s="3">
        <v>2</v>
      </c>
      <c r="O87" s="10" t="s">
        <v>144</v>
      </c>
      <c r="P87" s="2">
        <v>18</v>
      </c>
      <c r="Q87" s="2">
        <f>P87*N87</f>
        <v>36</v>
      </c>
      <c r="R87" s="2">
        <v>1</v>
      </c>
      <c r="S87" s="2">
        <f>P87*R87</f>
        <v>18</v>
      </c>
      <c r="T87" s="3">
        <v>5</v>
      </c>
      <c r="U87" s="3">
        <v>10</v>
      </c>
      <c r="V87" s="3">
        <v>4</v>
      </c>
      <c r="W87" s="3">
        <v>8</v>
      </c>
      <c r="X87" s="3">
        <v>35</v>
      </c>
      <c r="Z87" s="3">
        <v>3</v>
      </c>
      <c r="AA87" s="3">
        <v>3</v>
      </c>
      <c r="AB87" s="3">
        <v>15</v>
      </c>
      <c r="AC87" s="102">
        <f>((Q87+Y87)*GA+(T87+V87+Z87)*EEEM+(W87+AA87)*EESM+(U87*DM)+(X87+AB87)*EETB)*I87</f>
        <v>114.03999999999999</v>
      </c>
      <c r="AD87" s="21">
        <f>4*2</f>
        <v>8</v>
      </c>
      <c r="AE87" s="3">
        <f>4*2</f>
        <v>8</v>
      </c>
      <c r="AF87" s="3">
        <f>2*1</f>
        <v>2</v>
      </c>
      <c r="AG87" s="26">
        <f>IF(AC87=0,"",AD87+AE87+AF87)</f>
        <v>18</v>
      </c>
      <c r="AH87" s="163">
        <f>IF(AG87="",0,AC87*(1+AG87/100))</f>
        <v>134.56719999999999</v>
      </c>
      <c r="AJ87" s="5">
        <f>(AH87-AC87)*100/AC87</f>
        <v>17.999999999999996</v>
      </c>
    </row>
    <row r="88" spans="1:34" ht="15">
      <c r="A88" s="201"/>
      <c r="B88" s="202"/>
      <c r="D88" s="192" t="s">
        <v>218</v>
      </c>
      <c r="I88" s="10">
        <v>1</v>
      </c>
      <c r="N88" s="3">
        <v>4</v>
      </c>
      <c r="O88" s="10" t="s">
        <v>144</v>
      </c>
      <c r="P88" s="2">
        <v>8</v>
      </c>
      <c r="Q88" s="2">
        <f>P88*N88</f>
        <v>32</v>
      </c>
      <c r="R88" s="2">
        <v>1</v>
      </c>
      <c r="S88" s="2">
        <f>P88*R88</f>
        <v>8</v>
      </c>
      <c r="T88" s="3">
        <v>5</v>
      </c>
      <c r="U88" s="3">
        <v>10</v>
      </c>
      <c r="V88" s="3">
        <v>4</v>
      </c>
      <c r="W88" s="3">
        <v>8</v>
      </c>
      <c r="X88" s="3">
        <v>35</v>
      </c>
      <c r="Z88" s="3">
        <v>3</v>
      </c>
      <c r="AA88" s="3">
        <v>3</v>
      </c>
      <c r="AB88" s="3">
        <v>15</v>
      </c>
      <c r="AC88" s="102">
        <f>((Q88+Y88)*GA+(T88+V88+Z88)*EEEM+(W88+AA88)*EESM+(U88*DM)+(X88+AB88)*EETB)*I88</f>
        <v>108.72</v>
      </c>
      <c r="AD88" s="21">
        <f aca="true" t="shared" si="40" ref="AD88:AE90">4*2</f>
        <v>8</v>
      </c>
      <c r="AE88" s="3">
        <f t="shared" si="40"/>
        <v>8</v>
      </c>
      <c r="AF88" s="3">
        <f t="shared" si="27"/>
        <v>2</v>
      </c>
      <c r="AG88" s="26">
        <f>IF(AC88=0,"",AD88+AE88+AF88)</f>
        <v>18</v>
      </c>
      <c r="AH88" s="163">
        <f>IF(AG88="",0,AC88*(1+AG88/100))</f>
        <v>128.28959999999998</v>
      </c>
    </row>
    <row r="89" spans="1:36" ht="30">
      <c r="A89" s="201"/>
      <c r="B89" s="202"/>
      <c r="D89" s="192" t="s">
        <v>132</v>
      </c>
      <c r="G89" s="70">
        <v>37987</v>
      </c>
      <c r="H89" s="70">
        <v>38718</v>
      </c>
      <c r="I89" s="10">
        <v>1</v>
      </c>
      <c r="N89" s="3">
        <v>1</v>
      </c>
      <c r="O89" s="10" t="s">
        <v>91</v>
      </c>
      <c r="P89" s="2">
        <v>9</v>
      </c>
      <c r="Q89" s="2">
        <f>P89*N89</f>
        <v>9</v>
      </c>
      <c r="R89" s="2">
        <v>0</v>
      </c>
      <c r="S89" s="2">
        <f>P89*R89</f>
        <v>0</v>
      </c>
      <c r="T89" s="3">
        <v>35</v>
      </c>
      <c r="U89" s="3">
        <v>10</v>
      </c>
      <c r="V89" s="3">
        <v>5</v>
      </c>
      <c r="W89" s="3">
        <v>0</v>
      </c>
      <c r="X89" s="3">
        <v>35</v>
      </c>
      <c r="Z89" s="3">
        <v>10</v>
      </c>
      <c r="AA89" s="3">
        <v>5</v>
      </c>
      <c r="AB89" s="3">
        <v>5</v>
      </c>
      <c r="AC89" s="102">
        <f>((Q89+Y89)*GA+(T89+V89+Z89)*EEEM+(W89+AA89)*EESM+(U89*DM)+(X89+AB89)*EETB)*I89</f>
        <v>114.21000000000001</v>
      </c>
      <c r="AD89" s="21">
        <f t="shared" si="40"/>
        <v>8</v>
      </c>
      <c r="AE89" s="3">
        <f t="shared" si="40"/>
        <v>8</v>
      </c>
      <c r="AF89" s="3">
        <f t="shared" si="27"/>
        <v>2</v>
      </c>
      <c r="AG89" s="26">
        <f>IF(AC89=0,"",AD89+AE89+AF89)</f>
        <v>18</v>
      </c>
      <c r="AH89" s="163">
        <f>IF(AG89="",0,AC89*(1+AG89/100))</f>
        <v>134.7678</v>
      </c>
      <c r="AJ89" s="5">
        <f t="shared" si="36"/>
        <v>17.99999999999999</v>
      </c>
    </row>
    <row r="90" spans="1:34" s="513" customFormat="1" ht="45.75" thickBot="1">
      <c r="A90" s="500"/>
      <c r="B90" s="515"/>
      <c r="C90" s="516"/>
      <c r="D90" s="516" t="s">
        <v>140</v>
      </c>
      <c r="E90" s="517"/>
      <c r="F90" s="517"/>
      <c r="G90" s="518">
        <v>37895</v>
      </c>
      <c r="H90" s="518">
        <v>38261</v>
      </c>
      <c r="I90" s="519">
        <v>1</v>
      </c>
      <c r="J90" s="517"/>
      <c r="K90" s="517"/>
      <c r="L90" s="517"/>
      <c r="M90" s="517"/>
      <c r="N90" s="520">
        <v>12</v>
      </c>
      <c r="O90" s="519" t="s">
        <v>144</v>
      </c>
      <c r="P90" s="521">
        <v>1</v>
      </c>
      <c r="Q90" s="521">
        <f>P90*N90</f>
        <v>12</v>
      </c>
      <c r="R90" s="521">
        <v>2</v>
      </c>
      <c r="S90" s="521">
        <f>P90*R90</f>
        <v>2</v>
      </c>
      <c r="T90" s="520">
        <v>10</v>
      </c>
      <c r="U90" s="520">
        <v>20</v>
      </c>
      <c r="V90" s="520">
        <v>5</v>
      </c>
      <c r="W90" s="520">
        <v>5</v>
      </c>
      <c r="X90" s="520">
        <v>35</v>
      </c>
      <c r="Y90" s="520"/>
      <c r="Z90" s="520">
        <v>3</v>
      </c>
      <c r="AA90" s="520">
        <v>3</v>
      </c>
      <c r="AB90" s="520">
        <v>15</v>
      </c>
      <c r="AC90" s="522">
        <f>((Q90+Y90)*GA+(T90+V90+Z90)*EEEM+(W90+AA90)*EESM+(U90*DM)+(X90+AB90)*EETB)*I90</f>
        <v>95.52799999999999</v>
      </c>
      <c r="AD90" s="523">
        <f t="shared" si="40"/>
        <v>8</v>
      </c>
      <c r="AE90" s="520">
        <f t="shared" si="40"/>
        <v>8</v>
      </c>
      <c r="AF90" s="520">
        <f t="shared" si="27"/>
        <v>2</v>
      </c>
      <c r="AG90" s="524">
        <f>IF(AC90=0,"",AD90+AE90+AF90)</f>
        <v>18</v>
      </c>
      <c r="AH90" s="525">
        <f>IF(AG90="",0,AC90*(1+AG90/100))</f>
        <v>112.72303999999998</v>
      </c>
    </row>
    <row r="91" spans="1:34" ht="15">
      <c r="A91" s="201"/>
      <c r="B91" s="198" t="s">
        <v>29</v>
      </c>
      <c r="C91" s="199">
        <f>SUM(AC92:AC93)</f>
        <v>287.61</v>
      </c>
      <c r="D91" s="200">
        <f>SUM(AH92:AH93)</f>
        <v>348.68780000000004</v>
      </c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27"/>
      <c r="U91" s="110"/>
      <c r="V91" s="110"/>
      <c r="W91" s="110"/>
      <c r="X91" s="110"/>
      <c r="Y91" s="110"/>
      <c r="Z91" s="110"/>
      <c r="AA91" s="110"/>
      <c r="AB91" s="110"/>
      <c r="AC91" s="130"/>
      <c r="AD91" s="110"/>
      <c r="AE91" s="110"/>
      <c r="AF91" s="110"/>
      <c r="AG91" s="110"/>
      <c r="AH91" s="162"/>
    </row>
    <row r="92" spans="1:36" s="597" customFormat="1" ht="30.75" thickBot="1">
      <c r="A92" s="589"/>
      <c r="B92" s="590"/>
      <c r="C92" s="591"/>
      <c r="D92" s="591" t="s">
        <v>133</v>
      </c>
      <c r="E92" s="592"/>
      <c r="F92" s="592"/>
      <c r="G92" s="629">
        <v>38626</v>
      </c>
      <c r="H92" s="629">
        <v>38991</v>
      </c>
      <c r="I92" s="593">
        <v>1</v>
      </c>
      <c r="J92" s="592"/>
      <c r="K92" s="592"/>
      <c r="L92" s="592"/>
      <c r="M92" s="592"/>
      <c r="N92" s="594">
        <v>7</v>
      </c>
      <c r="O92" s="593" t="s">
        <v>144</v>
      </c>
      <c r="P92" s="595">
        <v>4</v>
      </c>
      <c r="Q92" s="595">
        <f aca="true" t="shared" si="41" ref="Q92:Q134">P92*N92</f>
        <v>28</v>
      </c>
      <c r="R92" s="595">
        <v>1</v>
      </c>
      <c r="S92" s="595">
        <f>P92*R92</f>
        <v>4</v>
      </c>
      <c r="T92" s="594">
        <v>50</v>
      </c>
      <c r="U92" s="594">
        <v>55</v>
      </c>
      <c r="V92" s="594">
        <v>8</v>
      </c>
      <c r="W92" s="594">
        <v>25</v>
      </c>
      <c r="X92" s="594">
        <v>25</v>
      </c>
      <c r="Y92" s="594">
        <v>10</v>
      </c>
      <c r="Z92" s="594">
        <v>10</v>
      </c>
      <c r="AA92" s="594">
        <v>4</v>
      </c>
      <c r="AB92" s="594">
        <v>10</v>
      </c>
      <c r="AC92" s="594">
        <f>((Q92+Y92)*GA+(T92+V92+Z92)*EEEM+(W92+AA92)*EESM+(U92*DM)+(X92+AB92)*EETB)*I92</f>
        <v>232.70000000000005</v>
      </c>
      <c r="AD92" s="596">
        <f>4*3</f>
        <v>12</v>
      </c>
      <c r="AE92" s="594">
        <f>4*2</f>
        <v>8</v>
      </c>
      <c r="AF92" s="594">
        <f t="shared" si="27"/>
        <v>2</v>
      </c>
      <c r="AG92" s="596">
        <f aca="true" t="shared" si="42" ref="AG92:AG134">IF(AC92=0,"",AD92+AE92+AF92)</f>
        <v>22</v>
      </c>
      <c r="AH92" s="608">
        <f aca="true" t="shared" si="43" ref="AH92:AH133">IF(AG92="",0,AC92*(1+AG92/100))</f>
        <v>283.89400000000006</v>
      </c>
      <c r="AJ92" s="597">
        <f t="shared" si="36"/>
        <v>22.000000000000004</v>
      </c>
    </row>
    <row r="93" spans="1:36" ht="31.5" thickBot="1" thickTop="1">
      <c r="A93" s="201"/>
      <c r="B93" s="229"/>
      <c r="C93" s="194"/>
      <c r="D93" s="230" t="s">
        <v>141</v>
      </c>
      <c r="E93" s="139"/>
      <c r="F93" s="139"/>
      <c r="G93" s="151">
        <v>37895</v>
      </c>
      <c r="H93" s="151">
        <v>38261</v>
      </c>
      <c r="I93" s="140">
        <v>1</v>
      </c>
      <c r="J93" s="139"/>
      <c r="K93" s="139"/>
      <c r="L93" s="139"/>
      <c r="M93" s="139"/>
      <c r="N93" s="141">
        <v>1</v>
      </c>
      <c r="O93" s="140" t="s">
        <v>144</v>
      </c>
      <c r="P93" s="142">
        <v>3</v>
      </c>
      <c r="Q93" s="142">
        <f t="shared" si="41"/>
        <v>3</v>
      </c>
      <c r="R93" s="142">
        <v>1</v>
      </c>
      <c r="S93" s="142">
        <f aca="true" t="shared" si="44" ref="S93:S134">P93*R93</f>
        <v>3</v>
      </c>
      <c r="T93" s="141">
        <v>10</v>
      </c>
      <c r="U93" s="141">
        <v>10</v>
      </c>
      <c r="V93" s="141">
        <v>4</v>
      </c>
      <c r="W93" s="141">
        <v>4</v>
      </c>
      <c r="X93" s="141">
        <v>15</v>
      </c>
      <c r="Y93" s="141"/>
      <c r="Z93" s="141">
        <v>4</v>
      </c>
      <c r="AA93" s="141">
        <v>4</v>
      </c>
      <c r="AB93" s="141">
        <v>4</v>
      </c>
      <c r="AC93" s="143">
        <f>((Q93+Y93)*GA+(T93+V93+Z93)*EEEM+(W93+AA93)*EESM+(U93*DM)+(X93+AB93)*EETB)*I93</f>
        <v>54.91</v>
      </c>
      <c r="AD93" s="144">
        <f aca="true" t="shared" si="45" ref="AD93:AE134">4*2</f>
        <v>8</v>
      </c>
      <c r="AE93" s="141">
        <f t="shared" si="45"/>
        <v>8</v>
      </c>
      <c r="AF93" s="141">
        <f aca="true" t="shared" si="46" ref="AF93:AF134">2*1</f>
        <v>2</v>
      </c>
      <c r="AG93" s="145">
        <f t="shared" si="42"/>
        <v>18</v>
      </c>
      <c r="AH93" s="179">
        <f t="shared" si="43"/>
        <v>64.79379999999999</v>
      </c>
      <c r="AJ93" s="5">
        <f t="shared" si="36"/>
        <v>17.99999999999999</v>
      </c>
    </row>
    <row r="94" spans="1:34" s="554" customFormat="1" ht="30">
      <c r="A94" s="548"/>
      <c r="B94" s="549" t="s">
        <v>30</v>
      </c>
      <c r="C94" s="199">
        <f>SUM(AC95:AC100)</f>
        <v>166.64684</v>
      </c>
      <c r="D94" s="200">
        <f>SUM(AH95:AH100)</f>
        <v>198.02347120000002</v>
      </c>
      <c r="E94" s="550"/>
      <c r="F94" s="550"/>
      <c r="G94" s="550"/>
      <c r="H94" s="550"/>
      <c r="I94" s="550"/>
      <c r="J94" s="550"/>
      <c r="K94" s="550"/>
      <c r="L94" s="550"/>
      <c r="M94" s="550"/>
      <c r="N94" s="550"/>
      <c r="O94" s="550"/>
      <c r="P94" s="550"/>
      <c r="Q94" s="550"/>
      <c r="R94" s="550"/>
      <c r="S94" s="550"/>
      <c r="T94" s="551"/>
      <c r="U94" s="550"/>
      <c r="V94" s="550"/>
      <c r="W94" s="550"/>
      <c r="X94" s="550"/>
      <c r="Y94" s="550"/>
      <c r="Z94" s="550"/>
      <c r="AA94" s="550"/>
      <c r="AB94" s="550"/>
      <c r="AC94" s="552"/>
      <c r="AD94" s="550"/>
      <c r="AE94" s="550"/>
      <c r="AF94" s="550"/>
      <c r="AG94" s="550"/>
      <c r="AH94" s="553"/>
    </row>
    <row r="95" spans="1:36" s="554" customFormat="1" ht="23.25" customHeight="1">
      <c r="A95" s="548"/>
      <c r="B95" s="555"/>
      <c r="C95" s="556"/>
      <c r="D95" s="556" t="s">
        <v>17</v>
      </c>
      <c r="E95" s="557" t="s">
        <v>263</v>
      </c>
      <c r="F95" s="557"/>
      <c r="G95" s="558">
        <v>38261</v>
      </c>
      <c r="H95" s="558">
        <v>38991</v>
      </c>
      <c r="I95" s="559">
        <v>1</v>
      </c>
      <c r="J95" s="557"/>
      <c r="K95" s="557"/>
      <c r="L95" s="557"/>
      <c r="M95" s="557"/>
      <c r="N95" s="560"/>
      <c r="O95" s="559"/>
      <c r="P95" s="561"/>
      <c r="Q95" s="561">
        <v>0.5</v>
      </c>
      <c r="R95" s="561"/>
      <c r="S95" s="561">
        <f aca="true" t="shared" si="47" ref="S95:S100">P95*R95</f>
        <v>0</v>
      </c>
      <c r="T95" s="560">
        <v>20</v>
      </c>
      <c r="U95" s="560">
        <v>10</v>
      </c>
      <c r="V95" s="560"/>
      <c r="W95" s="560"/>
      <c r="X95" s="560"/>
      <c r="Y95" s="560"/>
      <c r="Z95" s="560"/>
      <c r="AA95" s="560"/>
      <c r="AB95" s="560"/>
      <c r="AC95" s="562">
        <f aca="true" t="shared" si="48" ref="AC95:AC100">((Q95+Y95)*GA+(T95+V95+Z95)*EEEM+(W95+AA95)*EESM+(U95*DM)+(X95+AB95)*EETB)*I95</f>
        <v>34.505</v>
      </c>
      <c r="AD95" s="563">
        <f>4*3</f>
        <v>12</v>
      </c>
      <c r="AE95" s="560">
        <f>4*2</f>
        <v>8</v>
      </c>
      <c r="AF95" s="560">
        <f aca="true" t="shared" si="49" ref="AF95:AF100">2*1</f>
        <v>2</v>
      </c>
      <c r="AG95" s="564">
        <f aca="true" t="shared" si="50" ref="AG95:AG100">IF(AC95=0,"",AD95+AE95+AF95)</f>
        <v>22</v>
      </c>
      <c r="AH95" s="565">
        <f aca="true" t="shared" si="51" ref="AH95:AH100">IF(AG95="",0,AC95*(1+AG95/100))</f>
        <v>42.0961</v>
      </c>
      <c r="AJ95" s="554">
        <f aca="true" t="shared" si="52" ref="AJ95:AJ100">(AH95-AC95)*100/AC95</f>
        <v>21.99999999999999</v>
      </c>
    </row>
    <row r="96" spans="1:36" s="554" customFormat="1" ht="36.75" thickBot="1">
      <c r="A96" s="548"/>
      <c r="B96" s="555"/>
      <c r="C96" s="556"/>
      <c r="D96" s="566"/>
      <c r="E96" s="557" t="s">
        <v>267</v>
      </c>
      <c r="F96" s="557"/>
      <c r="G96" s="557"/>
      <c r="H96" s="557"/>
      <c r="I96" s="559">
        <v>1</v>
      </c>
      <c r="J96" s="557"/>
      <c r="K96" s="557"/>
      <c r="L96" s="557"/>
      <c r="M96" s="557"/>
      <c r="N96" s="560">
        <v>1</v>
      </c>
      <c r="O96" s="559" t="s">
        <v>91</v>
      </c>
      <c r="P96" s="561">
        <v>30</v>
      </c>
      <c r="Q96" s="561">
        <f>P96*N96</f>
        <v>30</v>
      </c>
      <c r="R96" s="561"/>
      <c r="S96" s="561">
        <f>P96*R96</f>
        <v>0</v>
      </c>
      <c r="T96" s="560">
        <v>2</v>
      </c>
      <c r="U96" s="560">
        <v>2</v>
      </c>
      <c r="V96" s="560">
        <v>5</v>
      </c>
      <c r="W96" s="560">
        <v>10</v>
      </c>
      <c r="X96" s="560">
        <v>5</v>
      </c>
      <c r="Y96" s="560"/>
      <c r="Z96" s="560"/>
      <c r="AA96" s="560"/>
      <c r="AB96" s="560"/>
      <c r="AC96" s="562">
        <f>((Q96+Y96)*GA+(T96+V96+Z96)*EEEM+(W96+AA96)*EESM+(U96*DM)+(X96+AB96)*EETB)*I96</f>
        <v>62.820000000000014</v>
      </c>
      <c r="AD96" s="563">
        <f aca="true" t="shared" si="53" ref="AD96:AE100">4*2</f>
        <v>8</v>
      </c>
      <c r="AE96" s="560">
        <f t="shared" si="53"/>
        <v>8</v>
      </c>
      <c r="AF96" s="560">
        <f t="shared" si="49"/>
        <v>2</v>
      </c>
      <c r="AG96" s="564">
        <f>IF(AC96=0,"",AD96+AE96+AF96)</f>
        <v>18</v>
      </c>
      <c r="AH96" s="565">
        <f>IF(AG96="",0,AC96*(1+AG96/100))</f>
        <v>74.12760000000002</v>
      </c>
      <c r="AJ96" s="554">
        <f>(AH96-AC96)*100/AC96</f>
        <v>17.999999999999996</v>
      </c>
    </row>
    <row r="97" spans="1:36" s="554" customFormat="1" ht="20.25" customHeight="1" thickTop="1">
      <c r="A97" s="548"/>
      <c r="B97" s="555"/>
      <c r="C97" s="556"/>
      <c r="D97" s="556"/>
      <c r="E97" s="557" t="s">
        <v>266</v>
      </c>
      <c r="F97" s="557"/>
      <c r="G97" s="557"/>
      <c r="H97" s="557"/>
      <c r="I97" s="559">
        <v>1</v>
      </c>
      <c r="J97" s="557"/>
      <c r="K97" s="557"/>
      <c r="L97" s="557"/>
      <c r="M97" s="557"/>
      <c r="N97" s="560">
        <v>1</v>
      </c>
      <c r="O97" s="559" t="s">
        <v>144</v>
      </c>
      <c r="P97" s="561">
        <v>1</v>
      </c>
      <c r="Q97" s="561">
        <f>P97*N97</f>
        <v>1</v>
      </c>
      <c r="R97" s="561"/>
      <c r="S97" s="561">
        <f t="shared" si="47"/>
        <v>0</v>
      </c>
      <c r="T97" s="560">
        <v>2</v>
      </c>
      <c r="U97" s="560">
        <v>2</v>
      </c>
      <c r="V97" s="560">
        <v>1</v>
      </c>
      <c r="W97" s="560">
        <v>4</v>
      </c>
      <c r="X97" s="560">
        <v>5</v>
      </c>
      <c r="Y97" s="560"/>
      <c r="Z97" s="560"/>
      <c r="AA97" s="560"/>
      <c r="AB97" s="560"/>
      <c r="AC97" s="562">
        <f t="shared" si="48"/>
        <v>13.722</v>
      </c>
      <c r="AD97" s="563">
        <f t="shared" si="53"/>
        <v>8</v>
      </c>
      <c r="AE97" s="560">
        <f t="shared" si="53"/>
        <v>8</v>
      </c>
      <c r="AF97" s="560">
        <f t="shared" si="49"/>
        <v>2</v>
      </c>
      <c r="AG97" s="564">
        <f t="shared" si="50"/>
        <v>18</v>
      </c>
      <c r="AH97" s="565">
        <f t="shared" si="51"/>
        <v>16.191959999999998</v>
      </c>
      <c r="AJ97" s="554">
        <f t="shared" si="52"/>
        <v>17.99999999999999</v>
      </c>
    </row>
    <row r="98" spans="1:36" s="554" customFormat="1" ht="21.75" customHeight="1">
      <c r="A98" s="548"/>
      <c r="B98" s="555"/>
      <c r="C98" s="556"/>
      <c r="D98" s="556"/>
      <c r="E98" s="557" t="s">
        <v>265</v>
      </c>
      <c r="F98" s="557"/>
      <c r="G98" s="557"/>
      <c r="H98" s="557"/>
      <c r="I98" s="559">
        <v>1</v>
      </c>
      <c r="J98" s="557"/>
      <c r="K98" s="557"/>
      <c r="L98" s="557"/>
      <c r="M98" s="557"/>
      <c r="N98" s="560">
        <v>4</v>
      </c>
      <c r="O98" s="559" t="s">
        <v>97</v>
      </c>
      <c r="P98" s="561">
        <v>0.012</v>
      </c>
      <c r="Q98" s="561">
        <f>P98*N98</f>
        <v>0.048</v>
      </c>
      <c r="R98" s="561"/>
      <c r="S98" s="561">
        <f t="shared" si="47"/>
        <v>0</v>
      </c>
      <c r="T98" s="560">
        <v>2</v>
      </c>
      <c r="U98" s="560">
        <v>2</v>
      </c>
      <c r="V98" s="560">
        <v>2</v>
      </c>
      <c r="W98" s="560">
        <v>5</v>
      </c>
      <c r="X98" s="560">
        <v>5</v>
      </c>
      <c r="Y98" s="560"/>
      <c r="Z98" s="560"/>
      <c r="AA98" s="560"/>
      <c r="AB98" s="560"/>
      <c r="AC98" s="562">
        <f t="shared" si="48"/>
        <v>14.63184</v>
      </c>
      <c r="AD98" s="563">
        <f t="shared" si="53"/>
        <v>8</v>
      </c>
      <c r="AE98" s="560">
        <f t="shared" si="53"/>
        <v>8</v>
      </c>
      <c r="AF98" s="560">
        <f t="shared" si="49"/>
        <v>2</v>
      </c>
      <c r="AG98" s="564">
        <f t="shared" si="50"/>
        <v>18</v>
      </c>
      <c r="AH98" s="565">
        <f t="shared" si="51"/>
        <v>17.2655712</v>
      </c>
      <c r="AJ98" s="554">
        <f t="shared" si="52"/>
        <v>17.999999999999996</v>
      </c>
    </row>
    <row r="99" spans="1:36" s="554" customFormat="1" ht="15">
      <c r="A99" s="548"/>
      <c r="B99" s="555"/>
      <c r="C99" s="556"/>
      <c r="D99" s="556"/>
      <c r="E99" s="557" t="s">
        <v>135</v>
      </c>
      <c r="F99" s="557"/>
      <c r="G99" s="557"/>
      <c r="H99" s="557"/>
      <c r="I99" s="559">
        <v>1</v>
      </c>
      <c r="J99" s="557"/>
      <c r="K99" s="557"/>
      <c r="L99" s="557"/>
      <c r="M99" s="557"/>
      <c r="N99" s="560"/>
      <c r="O99" s="559"/>
      <c r="P99" s="561"/>
      <c r="Q99" s="561">
        <f>P99*N99</f>
        <v>0</v>
      </c>
      <c r="R99" s="561"/>
      <c r="S99" s="561">
        <f t="shared" si="47"/>
        <v>0</v>
      </c>
      <c r="T99" s="560">
        <v>1</v>
      </c>
      <c r="U99" s="560"/>
      <c r="V99" s="560">
        <v>1</v>
      </c>
      <c r="W99" s="560">
        <v>5</v>
      </c>
      <c r="X99" s="560"/>
      <c r="Y99" s="560"/>
      <c r="Z99" s="560"/>
      <c r="AA99" s="560"/>
      <c r="AB99" s="560"/>
      <c r="AC99" s="562">
        <f t="shared" si="48"/>
        <v>7.088000000000001</v>
      </c>
      <c r="AD99" s="563">
        <f t="shared" si="53"/>
        <v>8</v>
      </c>
      <c r="AE99" s="560">
        <f t="shared" si="53"/>
        <v>8</v>
      </c>
      <c r="AF99" s="560">
        <f t="shared" si="49"/>
        <v>2</v>
      </c>
      <c r="AG99" s="564">
        <f t="shared" si="50"/>
        <v>18</v>
      </c>
      <c r="AH99" s="565">
        <f t="shared" si="51"/>
        <v>8.363840000000001</v>
      </c>
      <c r="AJ99" s="554">
        <f t="shared" si="52"/>
        <v>18.000000000000007</v>
      </c>
    </row>
    <row r="100" spans="1:36" s="639" customFormat="1" ht="36">
      <c r="A100" s="630"/>
      <c r="B100" s="631"/>
      <c r="C100" s="632"/>
      <c r="D100" s="632"/>
      <c r="E100" s="633" t="s">
        <v>264</v>
      </c>
      <c r="F100" s="633"/>
      <c r="G100" s="633"/>
      <c r="H100" s="633"/>
      <c r="I100" s="634">
        <v>1</v>
      </c>
      <c r="J100" s="633"/>
      <c r="K100" s="633"/>
      <c r="L100" s="633"/>
      <c r="M100" s="633"/>
      <c r="N100" s="635">
        <v>1</v>
      </c>
      <c r="O100" s="634" t="s">
        <v>144</v>
      </c>
      <c r="P100" s="636">
        <v>4</v>
      </c>
      <c r="Q100" s="636">
        <f>P100*N100</f>
        <v>4</v>
      </c>
      <c r="R100" s="636"/>
      <c r="S100" s="636">
        <f t="shared" si="47"/>
        <v>0</v>
      </c>
      <c r="T100" s="635">
        <v>1</v>
      </c>
      <c r="U100" s="635">
        <v>1</v>
      </c>
      <c r="V100" s="635">
        <v>3</v>
      </c>
      <c r="W100" s="635">
        <v>2</v>
      </c>
      <c r="X100" s="635">
        <v>7</v>
      </c>
      <c r="Y100" s="635">
        <v>8</v>
      </c>
      <c r="Z100" s="635">
        <v>2</v>
      </c>
      <c r="AA100" s="635">
        <v>2</v>
      </c>
      <c r="AB100" s="635">
        <v>2</v>
      </c>
      <c r="AC100" s="635">
        <f t="shared" si="48"/>
        <v>33.88</v>
      </c>
      <c r="AD100" s="637">
        <f t="shared" si="53"/>
        <v>8</v>
      </c>
      <c r="AE100" s="635">
        <f t="shared" si="53"/>
        <v>8</v>
      </c>
      <c r="AF100" s="635">
        <f t="shared" si="49"/>
        <v>2</v>
      </c>
      <c r="AG100" s="637">
        <f t="shared" si="50"/>
        <v>18</v>
      </c>
      <c r="AH100" s="638">
        <f t="shared" si="51"/>
        <v>39.9784</v>
      </c>
      <c r="AJ100" s="639">
        <f t="shared" si="52"/>
        <v>17.999999999999993</v>
      </c>
    </row>
    <row r="101" spans="1:35" s="547" customFormat="1" ht="15.75" thickBot="1">
      <c r="A101" s="226"/>
      <c r="B101" s="227" t="s">
        <v>159</v>
      </c>
      <c r="C101" s="228" t="s">
        <v>159</v>
      </c>
      <c r="E101" s="539"/>
      <c r="F101" s="539"/>
      <c r="G101" s="539"/>
      <c r="H101" s="539"/>
      <c r="I101" s="540"/>
      <c r="J101" s="539"/>
      <c r="K101" s="539"/>
      <c r="L101" s="539"/>
      <c r="M101" s="539"/>
      <c r="N101" s="541"/>
      <c r="O101" s="540"/>
      <c r="P101" s="542"/>
      <c r="Q101" s="542"/>
      <c r="R101" s="542"/>
      <c r="S101" s="542"/>
      <c r="T101" s="541"/>
      <c r="U101" s="541"/>
      <c r="V101" s="541"/>
      <c r="W101" s="541"/>
      <c r="X101" s="541"/>
      <c r="Y101" s="541"/>
      <c r="Z101" s="541"/>
      <c r="AA101" s="541"/>
      <c r="AB101" s="541"/>
      <c r="AC101" s="543"/>
      <c r="AD101" s="546"/>
      <c r="AE101" s="541"/>
      <c r="AF101" s="541"/>
      <c r="AG101" s="544"/>
      <c r="AH101" s="545"/>
      <c r="AI101" s="546">
        <f>SUM(AH95:AH100)</f>
        <v>198.02347120000002</v>
      </c>
    </row>
    <row r="102" spans="1:197" s="24" customFormat="1" ht="31.5" thickBot="1" thickTop="1">
      <c r="A102" s="193" t="s">
        <v>205</v>
      </c>
      <c r="B102" s="194">
        <f>SUM(C103,C114,C117,C122)</f>
        <v>810.1210000000002</v>
      </c>
      <c r="C102" s="194">
        <f>SUM(D103,D114,D117,D122)</f>
        <v>967.8383799999999</v>
      </c>
      <c r="D102" s="196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60"/>
      <c r="AD102" s="159"/>
      <c r="AE102" s="159"/>
      <c r="AF102" s="159"/>
      <c r="AG102" s="159"/>
      <c r="AH102" s="161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</row>
    <row r="103" spans="1:34" ht="15">
      <c r="A103" s="201"/>
      <c r="B103" s="198" t="s">
        <v>213</v>
      </c>
      <c r="C103" s="199">
        <f>SUM(AC104:AC113)</f>
        <v>475.4160000000002</v>
      </c>
      <c r="D103" s="200">
        <f>SUM(AH104:AH113)</f>
        <v>560.9908799999998</v>
      </c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1"/>
      <c r="AD103" s="110"/>
      <c r="AE103" s="110"/>
      <c r="AF103" s="110"/>
      <c r="AG103" s="110"/>
      <c r="AH103" s="162"/>
    </row>
    <row r="104" spans="1:36" s="89" customFormat="1" ht="45">
      <c r="A104" s="214"/>
      <c r="B104" s="215"/>
      <c r="C104" s="216"/>
      <c r="D104" s="236" t="s">
        <v>98</v>
      </c>
      <c r="E104" s="90" t="s">
        <v>99</v>
      </c>
      <c r="F104" s="82"/>
      <c r="G104" s="83">
        <v>38261</v>
      </c>
      <c r="H104" s="83">
        <v>39356</v>
      </c>
      <c r="I104" s="84">
        <v>1</v>
      </c>
      <c r="J104" s="82"/>
      <c r="K104" s="82"/>
      <c r="L104" s="82"/>
      <c r="M104" s="82"/>
      <c r="N104" s="85"/>
      <c r="O104" s="84"/>
      <c r="P104" s="86"/>
      <c r="Q104" s="86">
        <f t="shared" si="41"/>
        <v>0</v>
      </c>
      <c r="R104" s="86"/>
      <c r="S104" s="86">
        <f t="shared" si="44"/>
        <v>0</v>
      </c>
      <c r="T104" s="91">
        <v>160</v>
      </c>
      <c r="U104" s="91">
        <v>160</v>
      </c>
      <c r="V104" s="85"/>
      <c r="W104" s="85"/>
      <c r="X104" s="85"/>
      <c r="Y104" s="92"/>
      <c r="Z104" s="85"/>
      <c r="AA104" s="85"/>
      <c r="AB104" s="85"/>
      <c r="AC104" s="106">
        <f aca="true" t="shared" si="54" ref="AC104:AC113">((Q104+Y104)*GA+(T104+V104+Z104)*EEEM+(W104+AA104)*EESM+(U104*DM)+(X104+AB104)*EETB)*I104</f>
        <v>339.20000000000005</v>
      </c>
      <c r="AD104" s="87">
        <f t="shared" si="45"/>
        <v>8</v>
      </c>
      <c r="AE104" s="85">
        <f t="shared" si="45"/>
        <v>8</v>
      </c>
      <c r="AF104" s="85">
        <f t="shared" si="46"/>
        <v>2</v>
      </c>
      <c r="AG104" s="88">
        <f t="shared" si="42"/>
        <v>18</v>
      </c>
      <c r="AH104" s="186">
        <f t="shared" si="43"/>
        <v>400.25600000000003</v>
      </c>
      <c r="AJ104" s="89">
        <f t="shared" si="36"/>
        <v>17.999999999999993</v>
      </c>
    </row>
    <row r="105" spans="1:36" ht="24">
      <c r="A105" s="201"/>
      <c r="B105" s="202"/>
      <c r="D105" s="237" t="s">
        <v>100</v>
      </c>
      <c r="E105" s="29" t="s">
        <v>101</v>
      </c>
      <c r="G105" s="70"/>
      <c r="I105" s="10">
        <v>1</v>
      </c>
      <c r="Q105" s="2">
        <f t="shared" si="41"/>
        <v>0</v>
      </c>
      <c r="S105" s="2">
        <f t="shared" si="44"/>
        <v>0</v>
      </c>
      <c r="T105" s="9">
        <v>5</v>
      </c>
      <c r="U105" s="9">
        <v>5</v>
      </c>
      <c r="Y105" s="28"/>
      <c r="AC105" s="102">
        <f t="shared" si="54"/>
        <v>10.600000000000001</v>
      </c>
      <c r="AD105" s="21">
        <f t="shared" si="45"/>
        <v>8</v>
      </c>
      <c r="AE105" s="3">
        <f t="shared" si="45"/>
        <v>8</v>
      </c>
      <c r="AF105" s="3">
        <f t="shared" si="46"/>
        <v>2</v>
      </c>
      <c r="AG105" s="26">
        <f t="shared" si="42"/>
        <v>18</v>
      </c>
      <c r="AH105" s="163">
        <f t="shared" si="43"/>
        <v>12.508000000000001</v>
      </c>
      <c r="AJ105" s="5">
        <f t="shared" si="36"/>
        <v>17.999999999999993</v>
      </c>
    </row>
    <row r="106" spans="1:36" ht="24">
      <c r="A106" s="201"/>
      <c r="B106" s="202"/>
      <c r="D106" s="237" t="s">
        <v>102</v>
      </c>
      <c r="E106" s="29" t="s">
        <v>101</v>
      </c>
      <c r="G106" s="70"/>
      <c r="H106" s="70"/>
      <c r="I106" s="10">
        <v>1</v>
      </c>
      <c r="Q106" s="2">
        <f t="shared" si="41"/>
        <v>0</v>
      </c>
      <c r="S106" s="2">
        <f t="shared" si="44"/>
        <v>0</v>
      </c>
      <c r="T106" s="9">
        <v>5</v>
      </c>
      <c r="U106" s="9">
        <v>5</v>
      </c>
      <c r="Y106" s="28"/>
      <c r="AC106" s="102">
        <f t="shared" si="54"/>
        <v>10.600000000000001</v>
      </c>
      <c r="AD106" s="21">
        <f t="shared" si="45"/>
        <v>8</v>
      </c>
      <c r="AE106" s="3">
        <f t="shared" si="45"/>
        <v>8</v>
      </c>
      <c r="AF106" s="3">
        <f t="shared" si="46"/>
        <v>2</v>
      </c>
      <c r="AG106" s="26">
        <f t="shared" si="42"/>
        <v>18</v>
      </c>
      <c r="AH106" s="163">
        <f t="shared" si="43"/>
        <v>12.508000000000001</v>
      </c>
      <c r="AJ106" s="5">
        <f t="shared" si="36"/>
        <v>17.999999999999993</v>
      </c>
    </row>
    <row r="107" spans="1:36" ht="24">
      <c r="A107" s="201"/>
      <c r="B107" s="202"/>
      <c r="D107" s="237" t="s">
        <v>103</v>
      </c>
      <c r="E107" s="29" t="s">
        <v>104</v>
      </c>
      <c r="G107" s="70"/>
      <c r="I107" s="10">
        <v>1</v>
      </c>
      <c r="Q107" s="2">
        <f t="shared" si="41"/>
        <v>0</v>
      </c>
      <c r="S107" s="2">
        <f t="shared" si="44"/>
        <v>0</v>
      </c>
      <c r="T107" s="9">
        <v>5</v>
      </c>
      <c r="U107" s="9">
        <v>5</v>
      </c>
      <c r="Y107" s="28"/>
      <c r="AC107" s="102">
        <f t="shared" si="54"/>
        <v>10.600000000000001</v>
      </c>
      <c r="AD107" s="21">
        <f t="shared" si="45"/>
        <v>8</v>
      </c>
      <c r="AE107" s="3">
        <f t="shared" si="45"/>
        <v>8</v>
      </c>
      <c r="AF107" s="3">
        <f t="shared" si="46"/>
        <v>2</v>
      </c>
      <c r="AG107" s="26">
        <f t="shared" si="42"/>
        <v>18</v>
      </c>
      <c r="AH107" s="163">
        <f t="shared" si="43"/>
        <v>12.508000000000001</v>
      </c>
      <c r="AJ107" s="5">
        <f t="shared" si="36"/>
        <v>17.999999999999993</v>
      </c>
    </row>
    <row r="108" spans="1:36" ht="15">
      <c r="A108" s="201"/>
      <c r="B108" s="202"/>
      <c r="D108" s="237" t="s">
        <v>118</v>
      </c>
      <c r="E108" s="29" t="s">
        <v>105</v>
      </c>
      <c r="G108" s="70"/>
      <c r="I108" s="10">
        <v>1</v>
      </c>
      <c r="Q108" s="2">
        <f t="shared" si="41"/>
        <v>0</v>
      </c>
      <c r="S108" s="2">
        <f t="shared" si="44"/>
        <v>0</v>
      </c>
      <c r="T108" s="9">
        <v>5</v>
      </c>
      <c r="U108" s="9">
        <v>5</v>
      </c>
      <c r="Y108" s="28"/>
      <c r="AC108" s="102">
        <f t="shared" si="54"/>
        <v>10.600000000000001</v>
      </c>
      <c r="AD108" s="21">
        <f t="shared" si="45"/>
        <v>8</v>
      </c>
      <c r="AE108" s="3">
        <f t="shared" si="45"/>
        <v>8</v>
      </c>
      <c r="AF108" s="3">
        <f t="shared" si="46"/>
        <v>2</v>
      </c>
      <c r="AG108" s="26">
        <f t="shared" si="42"/>
        <v>18</v>
      </c>
      <c r="AH108" s="163">
        <f t="shared" si="43"/>
        <v>12.508000000000001</v>
      </c>
      <c r="AJ108" s="5">
        <f t="shared" si="36"/>
        <v>17.999999999999993</v>
      </c>
    </row>
    <row r="109" spans="1:36" ht="15">
      <c r="A109" s="201"/>
      <c r="B109" s="202"/>
      <c r="D109" s="237" t="s">
        <v>119</v>
      </c>
      <c r="E109" s="29" t="s">
        <v>222</v>
      </c>
      <c r="G109" s="70"/>
      <c r="H109" s="70"/>
      <c r="I109" s="10">
        <v>1</v>
      </c>
      <c r="Q109" s="2">
        <f>P109*N109</f>
        <v>0</v>
      </c>
      <c r="S109" s="2">
        <f>P109*R109</f>
        <v>0</v>
      </c>
      <c r="T109" s="9">
        <v>5</v>
      </c>
      <c r="U109" s="9">
        <v>5</v>
      </c>
      <c r="Y109" s="28"/>
      <c r="AC109" s="102">
        <f t="shared" si="54"/>
        <v>10.600000000000001</v>
      </c>
      <c r="AD109" s="21">
        <f t="shared" si="45"/>
        <v>8</v>
      </c>
      <c r="AE109" s="3">
        <f t="shared" si="45"/>
        <v>8</v>
      </c>
      <c r="AF109" s="3">
        <f t="shared" si="46"/>
        <v>2</v>
      </c>
      <c r="AG109" s="26">
        <f>IF(AC109=0,"",AD109+AE109+AF109)</f>
        <v>18</v>
      </c>
      <c r="AH109" s="163">
        <f>IF(AG109="",0,AC109*(1+AG109/100))</f>
        <v>12.508000000000001</v>
      </c>
      <c r="AJ109" s="5">
        <f>(AH109-AC109)*100/AC109</f>
        <v>17.999999999999993</v>
      </c>
    </row>
    <row r="110" spans="1:36" ht="15">
      <c r="A110" s="201"/>
      <c r="B110" s="202"/>
      <c r="D110" s="237" t="s">
        <v>119</v>
      </c>
      <c r="E110" s="29" t="s">
        <v>223</v>
      </c>
      <c r="G110" s="70"/>
      <c r="H110" s="70"/>
      <c r="I110" s="10">
        <v>1</v>
      </c>
      <c r="Q110" s="2">
        <f t="shared" si="41"/>
        <v>0</v>
      </c>
      <c r="S110" s="2">
        <f t="shared" si="44"/>
        <v>0</v>
      </c>
      <c r="T110" s="9">
        <v>5</v>
      </c>
      <c r="U110" s="9">
        <v>5</v>
      </c>
      <c r="Y110" s="28"/>
      <c r="AC110" s="102">
        <f t="shared" si="54"/>
        <v>10.600000000000001</v>
      </c>
      <c r="AD110" s="21">
        <f t="shared" si="45"/>
        <v>8</v>
      </c>
      <c r="AE110" s="3">
        <f t="shared" si="45"/>
        <v>8</v>
      </c>
      <c r="AF110" s="3">
        <f t="shared" si="46"/>
        <v>2</v>
      </c>
      <c r="AG110" s="26">
        <f t="shared" si="42"/>
        <v>18</v>
      </c>
      <c r="AH110" s="163">
        <f t="shared" si="43"/>
        <v>12.508000000000001</v>
      </c>
      <c r="AJ110" s="5">
        <f t="shared" si="36"/>
        <v>17.999999999999993</v>
      </c>
    </row>
    <row r="111" spans="1:36" ht="24">
      <c r="A111" s="201"/>
      <c r="B111" s="202"/>
      <c r="D111" s="237" t="s">
        <v>224</v>
      </c>
      <c r="E111" s="29" t="s">
        <v>225</v>
      </c>
      <c r="G111" s="70"/>
      <c r="H111" s="70"/>
      <c r="I111" s="10">
        <v>1</v>
      </c>
      <c r="Q111" s="2">
        <f t="shared" si="41"/>
        <v>0</v>
      </c>
      <c r="S111" s="2">
        <f t="shared" si="44"/>
        <v>0</v>
      </c>
      <c r="T111" s="9">
        <v>5</v>
      </c>
      <c r="U111" s="9">
        <v>5</v>
      </c>
      <c r="Y111" s="28"/>
      <c r="AC111" s="102">
        <f t="shared" si="54"/>
        <v>10.600000000000001</v>
      </c>
      <c r="AD111" s="21">
        <f t="shared" si="45"/>
        <v>8</v>
      </c>
      <c r="AE111" s="3">
        <f t="shared" si="45"/>
        <v>8</v>
      </c>
      <c r="AF111" s="3">
        <f t="shared" si="46"/>
        <v>2</v>
      </c>
      <c r="AG111" s="26">
        <f t="shared" si="42"/>
        <v>18</v>
      </c>
      <c r="AH111" s="163">
        <f t="shared" si="43"/>
        <v>12.508000000000001</v>
      </c>
      <c r="AJ111" s="5">
        <f t="shared" si="36"/>
        <v>17.999999999999993</v>
      </c>
    </row>
    <row r="112" spans="1:36" ht="60">
      <c r="A112" s="201"/>
      <c r="B112" s="202"/>
      <c r="D112" s="237" t="s">
        <v>120</v>
      </c>
      <c r="E112" s="29" t="s">
        <v>109</v>
      </c>
      <c r="G112" s="70"/>
      <c r="H112" s="70"/>
      <c r="I112" s="10">
        <v>1</v>
      </c>
      <c r="Q112" s="2">
        <f t="shared" si="41"/>
        <v>0</v>
      </c>
      <c r="S112" s="2">
        <f t="shared" si="44"/>
        <v>0</v>
      </c>
      <c r="T112" s="9">
        <v>5</v>
      </c>
      <c r="U112" s="9">
        <v>5</v>
      </c>
      <c r="Y112" s="28"/>
      <c r="AC112" s="102">
        <f t="shared" si="54"/>
        <v>10.600000000000001</v>
      </c>
      <c r="AD112" s="21">
        <f t="shared" si="45"/>
        <v>8</v>
      </c>
      <c r="AE112" s="3">
        <f t="shared" si="45"/>
        <v>8</v>
      </c>
      <c r="AF112" s="3">
        <f t="shared" si="46"/>
        <v>2</v>
      </c>
      <c r="AG112" s="26">
        <f t="shared" si="42"/>
        <v>18</v>
      </c>
      <c r="AH112" s="163">
        <f t="shared" si="43"/>
        <v>12.508000000000001</v>
      </c>
      <c r="AJ112" s="5">
        <f t="shared" si="36"/>
        <v>17.999999999999993</v>
      </c>
    </row>
    <row r="113" spans="1:36" ht="36.75" thickBot="1">
      <c r="A113" s="201"/>
      <c r="B113" s="229"/>
      <c r="C113" s="230"/>
      <c r="D113" s="238" t="s">
        <v>112</v>
      </c>
      <c r="E113" s="152" t="s">
        <v>113</v>
      </c>
      <c r="F113" s="139"/>
      <c r="G113" s="151"/>
      <c r="H113" s="151"/>
      <c r="I113" s="140">
        <v>1</v>
      </c>
      <c r="J113" s="139"/>
      <c r="K113" s="139"/>
      <c r="L113" s="139"/>
      <c r="M113" s="139"/>
      <c r="N113" s="141"/>
      <c r="O113" s="140"/>
      <c r="P113" s="142"/>
      <c r="Q113" s="142">
        <f t="shared" si="41"/>
        <v>0</v>
      </c>
      <c r="R113" s="142"/>
      <c r="S113" s="142">
        <f t="shared" si="44"/>
        <v>0</v>
      </c>
      <c r="T113" s="153">
        <v>40</v>
      </c>
      <c r="U113" s="153">
        <v>1</v>
      </c>
      <c r="V113" s="141"/>
      <c r="W113" s="141"/>
      <c r="X113" s="141"/>
      <c r="Y113" s="154"/>
      <c r="Z113" s="141"/>
      <c r="AA113" s="141"/>
      <c r="AB113" s="141"/>
      <c r="AC113" s="143">
        <f t="shared" si="54"/>
        <v>51.416000000000004</v>
      </c>
      <c r="AD113" s="144">
        <f t="shared" si="45"/>
        <v>8</v>
      </c>
      <c r="AE113" s="141">
        <f t="shared" si="45"/>
        <v>8</v>
      </c>
      <c r="AF113" s="141">
        <f t="shared" si="46"/>
        <v>2</v>
      </c>
      <c r="AG113" s="145">
        <f t="shared" si="42"/>
        <v>18</v>
      </c>
      <c r="AH113" s="179">
        <f t="shared" si="43"/>
        <v>60.670880000000004</v>
      </c>
      <c r="AJ113" s="5">
        <f t="shared" si="36"/>
        <v>18</v>
      </c>
    </row>
    <row r="114" spans="1:34" ht="30">
      <c r="A114" s="201"/>
      <c r="B114" s="198" t="s">
        <v>106</v>
      </c>
      <c r="C114" s="199">
        <f>SUM(AC115:AC116)</f>
        <v>94.08800000000001</v>
      </c>
      <c r="D114" s="200">
        <f>SUM(AH115:AH116)</f>
        <v>118.55088</v>
      </c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55"/>
      <c r="U114" s="110"/>
      <c r="V114" s="110"/>
      <c r="W114" s="110"/>
      <c r="X114" s="110"/>
      <c r="Y114" s="110"/>
      <c r="Z114" s="110"/>
      <c r="AA114" s="110"/>
      <c r="AB114" s="110"/>
      <c r="AC114" s="111"/>
      <c r="AD114" s="110"/>
      <c r="AE114" s="110"/>
      <c r="AF114" s="110"/>
      <c r="AG114" s="110"/>
      <c r="AH114" s="162"/>
    </row>
    <row r="115" spans="1:36" ht="48">
      <c r="A115" s="201"/>
      <c r="B115" s="202"/>
      <c r="D115" s="192" t="s">
        <v>179</v>
      </c>
      <c r="E115" s="1" t="s">
        <v>190</v>
      </c>
      <c r="G115" s="70">
        <v>38260</v>
      </c>
      <c r="H115" s="70">
        <v>38990</v>
      </c>
      <c r="I115" s="10">
        <v>0.2</v>
      </c>
      <c r="N115" s="3">
        <v>1</v>
      </c>
      <c r="O115" s="10" t="s">
        <v>89</v>
      </c>
      <c r="P115" s="2">
        <v>1</v>
      </c>
      <c r="Q115" s="2">
        <f>P115*N115</f>
        <v>1</v>
      </c>
      <c r="S115" s="2">
        <f>P115*R115</f>
        <v>0</v>
      </c>
      <c r="T115" s="3">
        <v>10</v>
      </c>
      <c r="U115" s="3">
        <v>80</v>
      </c>
      <c r="V115" s="3">
        <v>10</v>
      </c>
      <c r="W115" s="3">
        <v>10</v>
      </c>
      <c r="X115" s="3">
        <v>80</v>
      </c>
      <c r="Z115" s="3">
        <v>5</v>
      </c>
      <c r="AA115" s="3">
        <v>10</v>
      </c>
      <c r="AB115" s="3">
        <v>20</v>
      </c>
      <c r="AC115" s="102">
        <f>((Q115+Y115)*GA+(T115+V115+Z115)*EEEM+(W115+AA115)*EESM+(U115*DM)+(X115+AB115)*EETB)*I115</f>
        <v>36.89</v>
      </c>
      <c r="AD115" s="21">
        <f>4*4</f>
        <v>16</v>
      </c>
      <c r="AE115" s="3">
        <f t="shared" si="45"/>
        <v>8</v>
      </c>
      <c r="AF115" s="3">
        <f t="shared" si="46"/>
        <v>2</v>
      </c>
      <c r="AG115" s="26">
        <f>IF(AC115=0,"",AD115+AE115+AF115)</f>
        <v>26</v>
      </c>
      <c r="AH115" s="163">
        <f>IF(AG115="",0,AC115*(1+AG115/100))</f>
        <v>46.4814</v>
      </c>
      <c r="AJ115" s="5">
        <f>(AH115-AC115)*100/AC115</f>
        <v>26</v>
      </c>
    </row>
    <row r="116" spans="1:36" s="607" customFormat="1" ht="48.75" thickBot="1">
      <c r="A116" s="598"/>
      <c r="B116" s="640"/>
      <c r="C116" s="641"/>
      <c r="D116" s="641" t="s">
        <v>115</v>
      </c>
      <c r="E116" s="642" t="s">
        <v>190</v>
      </c>
      <c r="F116" s="642"/>
      <c r="G116" s="643">
        <v>38625</v>
      </c>
      <c r="H116" s="643">
        <v>38990</v>
      </c>
      <c r="I116" s="644">
        <v>0.2</v>
      </c>
      <c r="J116" s="642"/>
      <c r="K116" s="642"/>
      <c r="L116" s="642"/>
      <c r="M116" s="642"/>
      <c r="N116" s="645">
        <v>10</v>
      </c>
      <c r="O116" s="646" t="s">
        <v>116</v>
      </c>
      <c r="P116" s="647">
        <v>0.2</v>
      </c>
      <c r="Q116" s="647">
        <f>P116*N116</f>
        <v>2</v>
      </c>
      <c r="R116" s="647"/>
      <c r="S116" s="647">
        <f>P116*R116</f>
        <v>0</v>
      </c>
      <c r="T116" s="645">
        <v>25</v>
      </c>
      <c r="U116" s="645">
        <v>115</v>
      </c>
      <c r="V116" s="645">
        <v>15</v>
      </c>
      <c r="W116" s="645">
        <v>15</v>
      </c>
      <c r="X116" s="645">
        <v>50</v>
      </c>
      <c r="Y116" s="645">
        <v>45</v>
      </c>
      <c r="Z116" s="645">
        <v>5</v>
      </c>
      <c r="AA116" s="645">
        <v>10</v>
      </c>
      <c r="AB116" s="645">
        <v>20</v>
      </c>
      <c r="AC116" s="645">
        <f>((Q116+Y116)*GA+(T116+V116+Z116)*EEEM+(W116+AA116)*EESM+(U116*DM)+(X116+AB116)*EETB)*I116</f>
        <v>57.19800000000001</v>
      </c>
      <c r="AD116" s="648">
        <f>4*4</f>
        <v>16</v>
      </c>
      <c r="AE116" s="645">
        <f t="shared" si="45"/>
        <v>8</v>
      </c>
      <c r="AF116" s="645">
        <f t="shared" si="46"/>
        <v>2</v>
      </c>
      <c r="AG116" s="648">
        <f>IF(AC116=0,"",AD116+AE116+AF116)</f>
        <v>26</v>
      </c>
      <c r="AH116" s="649">
        <f>IF(AG116="",0,AC116*(1+AG116/100))</f>
        <v>72.06948000000001</v>
      </c>
      <c r="AJ116" s="607">
        <f>(AH116-AC116)*100/AC116</f>
        <v>26.000000000000007</v>
      </c>
    </row>
    <row r="117" spans="1:34" s="78" customFormat="1" ht="30">
      <c r="A117" s="239"/>
      <c r="B117" s="240" t="s">
        <v>229</v>
      </c>
      <c r="C117" s="484">
        <f>SUM(AC118:AC121)</f>
        <v>54.607</v>
      </c>
      <c r="D117" s="485">
        <f>SUM(AH118:AH121)</f>
        <v>68.80482</v>
      </c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7"/>
      <c r="U117" s="156"/>
      <c r="V117" s="156"/>
      <c r="W117" s="156"/>
      <c r="X117" s="156"/>
      <c r="Y117" s="156"/>
      <c r="Z117" s="156"/>
      <c r="AA117" s="156"/>
      <c r="AB117" s="156"/>
      <c r="AC117" s="158"/>
      <c r="AD117" s="156"/>
      <c r="AE117" s="156"/>
      <c r="AF117" s="156"/>
      <c r="AG117" s="156"/>
      <c r="AH117" s="187"/>
    </row>
    <row r="118" spans="1:36" s="78" customFormat="1" ht="60">
      <c r="A118" s="239"/>
      <c r="B118" s="217"/>
      <c r="C118" s="218" t="s">
        <v>234</v>
      </c>
      <c r="D118" s="218" t="s">
        <v>232</v>
      </c>
      <c r="E118" s="77" t="s">
        <v>230</v>
      </c>
      <c r="F118" s="77"/>
      <c r="G118" s="81">
        <v>37712</v>
      </c>
      <c r="H118" s="81">
        <v>37895</v>
      </c>
      <c r="I118" s="75">
        <v>0</v>
      </c>
      <c r="J118" s="77"/>
      <c r="K118" s="77"/>
      <c r="L118" s="77"/>
      <c r="M118" s="77"/>
      <c r="N118" s="79">
        <v>1</v>
      </c>
      <c r="O118" s="75" t="s">
        <v>91</v>
      </c>
      <c r="P118" s="47">
        <v>1</v>
      </c>
      <c r="Q118" s="47">
        <f>P118*N118</f>
        <v>1</v>
      </c>
      <c r="R118" s="47"/>
      <c r="S118" s="47">
        <f>P118*R118</f>
        <v>0</v>
      </c>
      <c r="T118" s="79">
        <v>8</v>
      </c>
      <c r="U118" s="79">
        <v>8</v>
      </c>
      <c r="V118" s="79">
        <v>2</v>
      </c>
      <c r="W118" s="79">
        <v>2</v>
      </c>
      <c r="X118" s="79">
        <v>12</v>
      </c>
      <c r="Y118" s="79"/>
      <c r="Z118" s="79"/>
      <c r="AA118" s="79"/>
      <c r="AB118" s="79"/>
      <c r="AC118" s="103">
        <f>((Q118+Y118)*GA+(T118+V118+Z118)*EEEM+(W118+AA118)*EESM+(U118*DM)+(X118+AB118)*EETB)*I118</f>
        <v>0</v>
      </c>
      <c r="AD118" s="80">
        <f>4*4</f>
        <v>16</v>
      </c>
      <c r="AE118" s="79">
        <f t="shared" si="45"/>
        <v>8</v>
      </c>
      <c r="AF118" s="79">
        <f t="shared" si="46"/>
        <v>2</v>
      </c>
      <c r="AG118" s="76">
        <f>IF(AC118=0,"",AD118+AE118+AF118)</f>
      </c>
      <c r="AH118" s="177">
        <f>IF(AG118="",0,AC118*(1+AG118/100))</f>
        <v>0</v>
      </c>
      <c r="AJ118" s="78" t="e">
        <f>(AH118-AC118)*100/AC118</f>
        <v>#DIV/0!</v>
      </c>
    </row>
    <row r="119" spans="1:36" s="78" customFormat="1" ht="48">
      <c r="A119" s="239"/>
      <c r="B119" s="217"/>
      <c r="C119" s="218" t="s">
        <v>233</v>
      </c>
      <c r="D119" s="218" t="s">
        <v>240</v>
      </c>
      <c r="E119" s="77" t="s">
        <v>230</v>
      </c>
      <c r="F119" s="77"/>
      <c r="G119" s="81">
        <v>37712</v>
      </c>
      <c r="H119" s="81">
        <v>37895</v>
      </c>
      <c r="I119" s="75">
        <v>1</v>
      </c>
      <c r="J119" s="77"/>
      <c r="K119" s="77"/>
      <c r="L119" s="77"/>
      <c r="M119" s="77"/>
      <c r="N119" s="79">
        <v>1</v>
      </c>
      <c r="O119" s="75" t="s">
        <v>91</v>
      </c>
      <c r="P119" s="47">
        <v>0.5</v>
      </c>
      <c r="Q119" s="47">
        <v>0.5</v>
      </c>
      <c r="R119" s="47"/>
      <c r="S119" s="47">
        <f t="shared" si="44"/>
        <v>0</v>
      </c>
      <c r="T119" s="79"/>
      <c r="U119" s="79"/>
      <c r="V119" s="79"/>
      <c r="W119" s="79"/>
      <c r="X119" s="79">
        <v>20</v>
      </c>
      <c r="Y119" s="79"/>
      <c r="Z119" s="79"/>
      <c r="AA119" s="79"/>
      <c r="AB119" s="79"/>
      <c r="AC119" s="103">
        <f>((Q119+Y119)*GA+(T119+V119+Z119)*EEEM+(W119+AA119)*EESM+(U119*DM)+(X119+AB119)*EETB)*I119</f>
        <v>13.625</v>
      </c>
      <c r="AD119" s="80">
        <f>4*4</f>
        <v>16</v>
      </c>
      <c r="AE119" s="79">
        <f t="shared" si="45"/>
        <v>8</v>
      </c>
      <c r="AF119" s="79">
        <f t="shared" si="46"/>
        <v>2</v>
      </c>
      <c r="AG119" s="76">
        <f t="shared" si="42"/>
        <v>26</v>
      </c>
      <c r="AH119" s="177">
        <f t="shared" si="43"/>
        <v>17.1675</v>
      </c>
      <c r="AJ119" s="78">
        <f t="shared" si="36"/>
        <v>26.000000000000004</v>
      </c>
    </row>
    <row r="120" spans="1:36" s="78" customFormat="1" ht="48">
      <c r="A120" s="239"/>
      <c r="B120" s="217"/>
      <c r="C120" s="218" t="s">
        <v>238</v>
      </c>
      <c r="D120" s="218" t="s">
        <v>231</v>
      </c>
      <c r="E120" s="77" t="s">
        <v>230</v>
      </c>
      <c r="F120" s="77"/>
      <c r="G120" s="81"/>
      <c r="H120" s="81"/>
      <c r="I120" s="75">
        <v>1</v>
      </c>
      <c r="J120" s="77"/>
      <c r="K120" s="77"/>
      <c r="L120" s="77"/>
      <c r="M120" s="77"/>
      <c r="N120" s="79">
        <v>1</v>
      </c>
      <c r="O120" s="75" t="s">
        <v>91</v>
      </c>
      <c r="P120" s="47">
        <v>2</v>
      </c>
      <c r="Q120" s="47">
        <f>P120*N120</f>
        <v>2</v>
      </c>
      <c r="R120" s="47"/>
      <c r="S120" s="47">
        <f>P120*R120</f>
        <v>0</v>
      </c>
      <c r="T120" s="79">
        <v>2</v>
      </c>
      <c r="U120" s="79">
        <v>2</v>
      </c>
      <c r="V120" s="79">
        <v>1</v>
      </c>
      <c r="W120" s="79">
        <v>2</v>
      </c>
      <c r="X120" s="79">
        <v>6</v>
      </c>
      <c r="Y120" s="79"/>
      <c r="Z120" s="79"/>
      <c r="AA120" s="79"/>
      <c r="AB120" s="79"/>
      <c r="AC120" s="103">
        <f>((Q120+Y120)*GA+(T120+V120+Z120)*EEEM+(W120+AA120)*EESM+(U120*DM)+(X120+AB120)*EETB)*I120</f>
        <v>13.876</v>
      </c>
      <c r="AD120" s="80">
        <f>4*4</f>
        <v>16</v>
      </c>
      <c r="AE120" s="79">
        <f t="shared" si="45"/>
        <v>8</v>
      </c>
      <c r="AF120" s="79">
        <f t="shared" si="46"/>
        <v>2</v>
      </c>
      <c r="AG120" s="76">
        <f>IF(AC120=0,"",AD120+AE120+AF120)</f>
        <v>26</v>
      </c>
      <c r="AH120" s="177">
        <f>IF(AG120="",0,AC120*(1+AG120/100))</f>
        <v>17.48376</v>
      </c>
      <c r="AJ120" s="78">
        <f>(AH120-AC120)*100/AC120</f>
        <v>26.000000000000007</v>
      </c>
    </row>
    <row r="121" spans="1:36" s="78" customFormat="1" ht="48.75" thickBot="1">
      <c r="A121" s="239"/>
      <c r="B121" s="241"/>
      <c r="C121" s="242" t="s">
        <v>239</v>
      </c>
      <c r="D121" s="242" t="s">
        <v>235</v>
      </c>
      <c r="E121" s="112" t="s">
        <v>236</v>
      </c>
      <c r="F121" s="112" t="s">
        <v>237</v>
      </c>
      <c r="G121" s="113">
        <v>38018</v>
      </c>
      <c r="H121" s="113">
        <v>38261</v>
      </c>
      <c r="I121" s="114">
        <v>1</v>
      </c>
      <c r="J121" s="112"/>
      <c r="K121" s="112"/>
      <c r="L121" s="112"/>
      <c r="M121" s="112"/>
      <c r="N121" s="115">
        <v>1</v>
      </c>
      <c r="O121" s="114" t="s">
        <v>91</v>
      </c>
      <c r="P121" s="116">
        <v>5</v>
      </c>
      <c r="Q121" s="116">
        <v>5</v>
      </c>
      <c r="R121" s="116"/>
      <c r="S121" s="116">
        <f t="shared" si="44"/>
        <v>0</v>
      </c>
      <c r="T121" s="115">
        <v>1</v>
      </c>
      <c r="U121" s="115">
        <v>2</v>
      </c>
      <c r="V121" s="115">
        <v>1</v>
      </c>
      <c r="W121" s="115">
        <v>2</v>
      </c>
      <c r="X121" s="115">
        <v>14</v>
      </c>
      <c r="Y121" s="115">
        <v>4</v>
      </c>
      <c r="Z121" s="115"/>
      <c r="AA121" s="115"/>
      <c r="AB121" s="115"/>
      <c r="AC121" s="117">
        <f>((Q121+Y121)*GA+(T121+V121+Z121)*EEEM+(W121+AA121)*EESM+(U121*DM)+(X121+AB121)*EETB)*I121</f>
        <v>27.106</v>
      </c>
      <c r="AD121" s="118">
        <f>4*4</f>
        <v>16</v>
      </c>
      <c r="AE121" s="115">
        <f t="shared" si="45"/>
        <v>8</v>
      </c>
      <c r="AF121" s="115">
        <f t="shared" si="46"/>
        <v>2</v>
      </c>
      <c r="AG121" s="119">
        <f t="shared" si="42"/>
        <v>26</v>
      </c>
      <c r="AH121" s="188">
        <f t="shared" si="43"/>
        <v>34.15356</v>
      </c>
      <c r="AJ121" s="78">
        <f t="shared" si="36"/>
        <v>25.99999999999999</v>
      </c>
    </row>
    <row r="122" spans="1:34" ht="15">
      <c r="A122" s="201"/>
      <c r="B122" s="198" t="s">
        <v>107</v>
      </c>
      <c r="C122" s="199">
        <f>SUM(AC123:AC134)</f>
        <v>186.01000000000002</v>
      </c>
      <c r="D122" s="200">
        <f>SUM(AH123:AH134)</f>
        <v>219.49179999999998</v>
      </c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27"/>
      <c r="U122" s="110"/>
      <c r="V122" s="110"/>
      <c r="W122" s="110"/>
      <c r="X122" s="110"/>
      <c r="Y122" s="110"/>
      <c r="Z122" s="110"/>
      <c r="AA122" s="110"/>
      <c r="AB122" s="110"/>
      <c r="AC122" s="111"/>
      <c r="AD122" s="110"/>
      <c r="AE122" s="110"/>
      <c r="AF122" s="110"/>
      <c r="AG122" s="110"/>
      <c r="AH122" s="162"/>
    </row>
    <row r="123" spans="1:34" ht="15">
      <c r="A123" s="201"/>
      <c r="B123" s="202"/>
      <c r="D123" s="192" t="s">
        <v>178</v>
      </c>
      <c r="I123" s="10">
        <v>1</v>
      </c>
      <c r="Q123" s="2">
        <f t="shared" si="41"/>
        <v>0</v>
      </c>
      <c r="S123" s="2">
        <f t="shared" si="44"/>
        <v>0</v>
      </c>
      <c r="AC123" s="102">
        <f aca="true" t="shared" si="55" ref="AC123:AC131">((Q123+Y123)*GA+(T123+V123+Z123)*EEEM+(W123+AA123)*EESM+(U123*DM)+(X123+AB123)*EETB)*I123</f>
        <v>0</v>
      </c>
      <c r="AD123" s="21" t="s">
        <v>159</v>
      </c>
      <c r="AE123" s="3" t="s">
        <v>159</v>
      </c>
      <c r="AF123" s="3" t="s">
        <v>159</v>
      </c>
      <c r="AG123" s="26">
        <f t="shared" si="42"/>
      </c>
      <c r="AH123" s="163">
        <f t="shared" si="43"/>
        <v>0</v>
      </c>
    </row>
    <row r="124" spans="1:36" s="22" customFormat="1" ht="24">
      <c r="A124" s="197"/>
      <c r="B124" s="243"/>
      <c r="C124" s="244"/>
      <c r="D124" s="244"/>
      <c r="E124" s="7" t="s">
        <v>121</v>
      </c>
      <c r="F124" s="7"/>
      <c r="G124" s="7"/>
      <c r="H124" s="7"/>
      <c r="I124" s="10">
        <v>1</v>
      </c>
      <c r="J124" s="7"/>
      <c r="K124" s="7"/>
      <c r="L124" s="7"/>
      <c r="M124" s="7"/>
      <c r="N124" s="25">
        <v>1</v>
      </c>
      <c r="O124" s="27" t="s">
        <v>91</v>
      </c>
      <c r="P124" s="23">
        <v>25</v>
      </c>
      <c r="Q124" s="23">
        <f>P124*N124</f>
        <v>25</v>
      </c>
      <c r="R124" s="23"/>
      <c r="S124" s="23">
        <f t="shared" si="44"/>
        <v>0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102">
        <f t="shared" si="55"/>
        <v>33.25</v>
      </c>
      <c r="AD124" s="26">
        <f t="shared" si="45"/>
        <v>8</v>
      </c>
      <c r="AE124" s="25">
        <f t="shared" si="45"/>
        <v>8</v>
      </c>
      <c r="AF124" s="25">
        <f t="shared" si="46"/>
        <v>2</v>
      </c>
      <c r="AG124" s="26">
        <f t="shared" si="42"/>
        <v>18</v>
      </c>
      <c r="AH124" s="163">
        <f t="shared" si="43"/>
        <v>39.235</v>
      </c>
      <c r="AJ124" s="5">
        <f t="shared" si="36"/>
        <v>18</v>
      </c>
    </row>
    <row r="125" spans="1:36" ht="30">
      <c r="A125" s="201"/>
      <c r="B125" s="202"/>
      <c r="D125" s="237" t="s">
        <v>110</v>
      </c>
      <c r="E125" s="29" t="s">
        <v>111</v>
      </c>
      <c r="G125" s="70"/>
      <c r="H125" s="70"/>
      <c r="I125" s="10">
        <v>1</v>
      </c>
      <c r="Q125" s="2">
        <f>P125*N125</f>
        <v>0</v>
      </c>
      <c r="S125" s="2">
        <f>P125*R125</f>
        <v>0</v>
      </c>
      <c r="T125" s="9">
        <v>20</v>
      </c>
      <c r="U125" s="9">
        <v>20</v>
      </c>
      <c r="Y125" s="28"/>
      <c r="AC125" s="102">
        <f t="shared" si="55"/>
        <v>42.400000000000006</v>
      </c>
      <c r="AD125" s="21">
        <f t="shared" si="45"/>
        <v>8</v>
      </c>
      <c r="AE125" s="3">
        <f t="shared" si="45"/>
        <v>8</v>
      </c>
      <c r="AF125" s="3">
        <f t="shared" si="46"/>
        <v>2</v>
      </c>
      <c r="AG125" s="26">
        <f>IF(AC125=0,"",AD125+AE125+AF125)</f>
        <v>18</v>
      </c>
      <c r="AH125" s="163">
        <f>IF(AG125="",0,AC125*(1+AG125/100))</f>
        <v>50.032000000000004</v>
      </c>
      <c r="AJ125" s="5">
        <f t="shared" si="36"/>
        <v>17.999999999999993</v>
      </c>
    </row>
    <row r="126" spans="1:36" ht="60">
      <c r="A126" s="201"/>
      <c r="B126" s="202"/>
      <c r="E126" s="1" t="s">
        <v>31</v>
      </c>
      <c r="G126" s="70"/>
      <c r="H126" s="70"/>
      <c r="I126" s="10">
        <v>1</v>
      </c>
      <c r="Q126" s="2">
        <f t="shared" si="41"/>
        <v>0</v>
      </c>
      <c r="S126" s="2">
        <f t="shared" si="44"/>
        <v>0</v>
      </c>
      <c r="Z126" s="3">
        <v>3</v>
      </c>
      <c r="AB126" s="3">
        <v>8</v>
      </c>
      <c r="AC126" s="102">
        <f t="shared" si="55"/>
        <v>8.975999999999999</v>
      </c>
      <c r="AD126" s="21">
        <f t="shared" si="45"/>
        <v>8</v>
      </c>
      <c r="AE126" s="3">
        <f t="shared" si="45"/>
        <v>8</v>
      </c>
      <c r="AF126" s="3">
        <f t="shared" si="46"/>
        <v>2</v>
      </c>
      <c r="AG126" s="26">
        <f t="shared" si="42"/>
        <v>18</v>
      </c>
      <c r="AH126" s="163">
        <f t="shared" si="43"/>
        <v>10.591679999999998</v>
      </c>
      <c r="AI126" s="5" t="s">
        <v>159</v>
      </c>
      <c r="AJ126" s="5">
        <f t="shared" si="36"/>
        <v>17.999999999999993</v>
      </c>
    </row>
    <row r="127" spans="1:36" ht="36">
      <c r="A127" s="201"/>
      <c r="B127" s="202"/>
      <c r="E127" s="1" t="s">
        <v>69</v>
      </c>
      <c r="G127" s="70"/>
      <c r="H127" s="70"/>
      <c r="I127" s="10">
        <v>1</v>
      </c>
      <c r="Q127" s="2">
        <f t="shared" si="41"/>
        <v>0</v>
      </c>
      <c r="S127" s="2">
        <f t="shared" si="44"/>
        <v>0</v>
      </c>
      <c r="Z127" s="3">
        <v>3</v>
      </c>
      <c r="AB127" s="3">
        <v>8</v>
      </c>
      <c r="AC127" s="102">
        <f t="shared" si="55"/>
        <v>8.975999999999999</v>
      </c>
      <c r="AD127" s="21">
        <f t="shared" si="45"/>
        <v>8</v>
      </c>
      <c r="AE127" s="3">
        <f t="shared" si="45"/>
        <v>8</v>
      </c>
      <c r="AF127" s="3">
        <f t="shared" si="46"/>
        <v>2</v>
      </c>
      <c r="AG127" s="26">
        <f t="shared" si="42"/>
        <v>18</v>
      </c>
      <c r="AH127" s="163">
        <f t="shared" si="43"/>
        <v>10.591679999999998</v>
      </c>
      <c r="AJ127" s="5">
        <f t="shared" si="36"/>
        <v>17.999999999999993</v>
      </c>
    </row>
    <row r="128" spans="1:36" ht="36">
      <c r="A128" s="201"/>
      <c r="B128" s="202"/>
      <c r="E128" s="1" t="s">
        <v>70</v>
      </c>
      <c r="G128" s="70"/>
      <c r="H128" s="70"/>
      <c r="I128" s="10">
        <v>1</v>
      </c>
      <c r="Q128" s="2">
        <f t="shared" si="41"/>
        <v>0</v>
      </c>
      <c r="S128" s="2">
        <f t="shared" si="44"/>
        <v>0</v>
      </c>
      <c r="Z128" s="3">
        <v>2</v>
      </c>
      <c r="AB128" s="3">
        <v>3</v>
      </c>
      <c r="AC128" s="102">
        <f t="shared" si="55"/>
        <v>4.4719999999999995</v>
      </c>
      <c r="AD128" s="21">
        <f t="shared" si="45"/>
        <v>8</v>
      </c>
      <c r="AE128" s="3">
        <f t="shared" si="45"/>
        <v>8</v>
      </c>
      <c r="AF128" s="3">
        <f t="shared" si="46"/>
        <v>2</v>
      </c>
      <c r="AG128" s="26">
        <f t="shared" si="42"/>
        <v>18</v>
      </c>
      <c r="AH128" s="163">
        <f t="shared" si="43"/>
        <v>5.276959999999999</v>
      </c>
      <c r="AJ128" s="5">
        <f t="shared" si="36"/>
        <v>17.999999999999993</v>
      </c>
    </row>
    <row r="129" spans="1:36" ht="36">
      <c r="A129" s="201"/>
      <c r="B129" s="202"/>
      <c r="E129" s="1" t="s">
        <v>72</v>
      </c>
      <c r="G129" s="70"/>
      <c r="H129" s="70"/>
      <c r="I129" s="10">
        <v>1</v>
      </c>
      <c r="Q129" s="2">
        <f t="shared" si="41"/>
        <v>0</v>
      </c>
      <c r="S129" s="2">
        <f t="shared" si="44"/>
        <v>0</v>
      </c>
      <c r="Z129" s="3">
        <v>2</v>
      </c>
      <c r="AB129" s="3">
        <v>2</v>
      </c>
      <c r="AC129" s="102">
        <f t="shared" si="55"/>
        <v>3.824</v>
      </c>
      <c r="AD129" s="21">
        <f t="shared" si="45"/>
        <v>8</v>
      </c>
      <c r="AE129" s="3">
        <f t="shared" si="45"/>
        <v>8</v>
      </c>
      <c r="AF129" s="3">
        <f t="shared" si="46"/>
        <v>2</v>
      </c>
      <c r="AG129" s="26">
        <f t="shared" si="42"/>
        <v>18</v>
      </c>
      <c r="AH129" s="163">
        <f t="shared" si="43"/>
        <v>4.51232</v>
      </c>
      <c r="AJ129" s="5">
        <f>(AH129-AC129)*100/AC129</f>
        <v>18.000000000000004</v>
      </c>
    </row>
    <row r="130" spans="1:36" ht="48">
      <c r="A130" s="201"/>
      <c r="B130" s="202"/>
      <c r="E130" s="1" t="s">
        <v>71</v>
      </c>
      <c r="G130" s="70"/>
      <c r="H130" s="70"/>
      <c r="I130" s="10">
        <v>1</v>
      </c>
      <c r="Q130" s="2">
        <f t="shared" si="41"/>
        <v>0</v>
      </c>
      <c r="S130" s="2">
        <f t="shared" si="44"/>
        <v>0</v>
      </c>
      <c r="Z130" s="3">
        <v>3</v>
      </c>
      <c r="AB130" s="3">
        <v>3</v>
      </c>
      <c r="AC130" s="102">
        <f t="shared" si="55"/>
        <v>5.736</v>
      </c>
      <c r="AD130" s="21">
        <f t="shared" si="45"/>
        <v>8</v>
      </c>
      <c r="AE130" s="3">
        <f t="shared" si="45"/>
        <v>8</v>
      </c>
      <c r="AF130" s="3">
        <f t="shared" si="46"/>
        <v>2</v>
      </c>
      <c r="AG130" s="26">
        <f t="shared" si="42"/>
        <v>18</v>
      </c>
      <c r="AH130" s="163">
        <f t="shared" si="43"/>
        <v>6.768479999999999</v>
      </c>
      <c r="AJ130" s="5">
        <f>(AH130-AC130)*100/AC130</f>
        <v>17.999999999999993</v>
      </c>
    </row>
    <row r="131" spans="1:36" ht="48">
      <c r="A131" s="201"/>
      <c r="B131" s="202"/>
      <c r="E131" s="1" t="s">
        <v>73</v>
      </c>
      <c r="G131" s="70"/>
      <c r="H131" s="70"/>
      <c r="I131" s="10">
        <v>1</v>
      </c>
      <c r="Q131" s="2">
        <f t="shared" si="41"/>
        <v>0</v>
      </c>
      <c r="S131" s="2">
        <f t="shared" si="44"/>
        <v>0</v>
      </c>
      <c r="T131" s="3">
        <f>SUM(T123:T130)</f>
        <v>20</v>
      </c>
      <c r="Z131" s="3">
        <v>3</v>
      </c>
      <c r="AB131" s="3">
        <v>3</v>
      </c>
      <c r="AC131" s="102">
        <f t="shared" si="55"/>
        <v>31.016</v>
      </c>
      <c r="AD131" s="21">
        <f t="shared" si="45"/>
        <v>8</v>
      </c>
      <c r="AE131" s="3">
        <f t="shared" si="45"/>
        <v>8</v>
      </c>
      <c r="AF131" s="3">
        <f t="shared" si="46"/>
        <v>2</v>
      </c>
      <c r="AG131" s="26">
        <f t="shared" si="42"/>
        <v>18</v>
      </c>
      <c r="AH131" s="163">
        <f t="shared" si="43"/>
        <v>36.598879999999994</v>
      </c>
      <c r="AJ131" s="5">
        <f>(AH131-AC131)*100/AC131</f>
        <v>17.999999999999986</v>
      </c>
    </row>
    <row r="132" spans="1:34" s="46" customFormat="1" ht="36">
      <c r="A132" s="206"/>
      <c r="B132" s="245"/>
      <c r="C132" s="246"/>
      <c r="D132" s="246"/>
      <c r="E132" s="40" t="s">
        <v>74</v>
      </c>
      <c r="F132" s="40"/>
      <c r="G132" s="73"/>
      <c r="H132" s="73"/>
      <c r="I132" s="41">
        <v>1</v>
      </c>
      <c r="J132" s="40"/>
      <c r="K132" s="40"/>
      <c r="L132" s="40"/>
      <c r="M132" s="40"/>
      <c r="N132" s="42"/>
      <c r="O132" s="41"/>
      <c r="P132" s="43"/>
      <c r="Q132" s="43">
        <f t="shared" si="41"/>
        <v>0</v>
      </c>
      <c r="R132" s="43"/>
      <c r="S132" s="43">
        <f t="shared" si="44"/>
        <v>0</v>
      </c>
      <c r="T132" s="42"/>
      <c r="U132" s="42"/>
      <c r="V132" s="42"/>
      <c r="W132" s="42"/>
      <c r="X132" s="42"/>
      <c r="Y132" s="42"/>
      <c r="Z132" s="42">
        <v>2</v>
      </c>
      <c r="AA132" s="42"/>
      <c r="AB132" s="42">
        <v>2</v>
      </c>
      <c r="AC132" s="104">
        <v>0</v>
      </c>
      <c r="AD132" s="44">
        <f t="shared" si="45"/>
        <v>8</v>
      </c>
      <c r="AE132" s="42">
        <f t="shared" si="45"/>
        <v>8</v>
      </c>
      <c r="AF132" s="42">
        <f t="shared" si="46"/>
        <v>2</v>
      </c>
      <c r="AG132" s="45">
        <f t="shared" si="42"/>
      </c>
      <c r="AH132" s="189">
        <f t="shared" si="43"/>
        <v>0</v>
      </c>
    </row>
    <row r="133" spans="1:36" ht="48">
      <c r="A133" s="201"/>
      <c r="B133" s="202"/>
      <c r="E133" s="1" t="s">
        <v>67</v>
      </c>
      <c r="G133" s="70"/>
      <c r="H133" s="70"/>
      <c r="I133" s="10">
        <v>1</v>
      </c>
      <c r="N133" s="3">
        <v>10</v>
      </c>
      <c r="O133" s="10" t="s">
        <v>173</v>
      </c>
      <c r="Q133" s="2">
        <f t="shared" si="41"/>
        <v>0</v>
      </c>
      <c r="S133" s="2">
        <f t="shared" si="44"/>
        <v>0</v>
      </c>
      <c r="T133" s="3">
        <f>SUM(S133)</f>
        <v>0</v>
      </c>
      <c r="Z133" s="3">
        <f>N133*2</f>
        <v>20</v>
      </c>
      <c r="AA133" s="3">
        <f>N133</f>
        <v>10</v>
      </c>
      <c r="AB133" s="3">
        <f>2*N133</f>
        <v>20</v>
      </c>
      <c r="AC133" s="102">
        <f>((Q133+Y133)*GA+(T133+V133+Z133)*EEEM+(W133+AA133)*EESM+(U133*DM)+(X133+AB133)*EETB)*I133</f>
        <v>47.36000000000001</v>
      </c>
      <c r="AD133" s="21">
        <f t="shared" si="45"/>
        <v>8</v>
      </c>
      <c r="AE133" s="3">
        <f t="shared" si="45"/>
        <v>8</v>
      </c>
      <c r="AF133" s="3">
        <f t="shared" si="46"/>
        <v>2</v>
      </c>
      <c r="AG133" s="26">
        <f t="shared" si="42"/>
        <v>18</v>
      </c>
      <c r="AH133" s="163">
        <f t="shared" si="43"/>
        <v>55.884800000000006</v>
      </c>
      <c r="AJ133" s="5">
        <f>(AH133-AC133)*100/AC133</f>
        <v>17.999999999999996</v>
      </c>
    </row>
    <row r="134" spans="1:34" s="46" customFormat="1" ht="48.75" thickBot="1">
      <c r="A134" s="233"/>
      <c r="B134" s="234"/>
      <c r="C134" s="235"/>
      <c r="D134" s="235"/>
      <c r="E134" s="180" t="s">
        <v>68</v>
      </c>
      <c r="F134" s="180"/>
      <c r="G134" s="180"/>
      <c r="H134" s="180"/>
      <c r="I134" s="181">
        <v>1</v>
      </c>
      <c r="J134" s="180"/>
      <c r="K134" s="180"/>
      <c r="L134" s="180"/>
      <c r="M134" s="180"/>
      <c r="N134" s="182"/>
      <c r="O134" s="181"/>
      <c r="P134" s="183"/>
      <c r="Q134" s="183">
        <f t="shared" si="41"/>
        <v>0</v>
      </c>
      <c r="R134" s="183"/>
      <c r="S134" s="183">
        <f t="shared" si="44"/>
        <v>0</v>
      </c>
      <c r="T134" s="182"/>
      <c r="U134" s="182"/>
      <c r="V134" s="182"/>
      <c r="W134" s="182"/>
      <c r="X134" s="182"/>
      <c r="Y134" s="182"/>
      <c r="Z134" s="182">
        <v>10</v>
      </c>
      <c r="AA134" s="182"/>
      <c r="AB134" s="182">
        <v>10</v>
      </c>
      <c r="AC134" s="104">
        <v>0</v>
      </c>
      <c r="AD134" s="184">
        <f t="shared" si="45"/>
        <v>8</v>
      </c>
      <c r="AE134" s="182">
        <f t="shared" si="45"/>
        <v>8</v>
      </c>
      <c r="AF134" s="182">
        <f t="shared" si="46"/>
        <v>2</v>
      </c>
      <c r="AG134" s="185">
        <f t="shared" si="42"/>
      </c>
      <c r="AH134" s="189">
        <v>0</v>
      </c>
    </row>
    <row r="135" spans="2:36" ht="16.5" thickBot="1" thickTop="1">
      <c r="B135" s="192" t="s">
        <v>159</v>
      </c>
      <c r="D135" s="192" t="s">
        <v>152</v>
      </c>
      <c r="Q135" s="2">
        <f>SUM(Q104:Q134,Q41:Q93,Q22:Q34,Q6:Q17)-Q134-Q132</f>
        <v>1158.585</v>
      </c>
      <c r="S135" s="2">
        <f aca="true" t="shared" si="56" ref="S135:AC135">SUM(S104:S134,S41:S93,S22:S34,S6:S17)-S134-S132</f>
        <v>45</v>
      </c>
      <c r="T135" s="3">
        <f t="shared" si="56"/>
        <v>724</v>
      </c>
      <c r="U135" s="3">
        <f t="shared" si="56"/>
        <v>988</v>
      </c>
      <c r="V135" s="3">
        <f t="shared" si="56"/>
        <v>221</v>
      </c>
      <c r="W135" s="3">
        <f t="shared" si="56"/>
        <v>278</v>
      </c>
      <c r="X135" s="3">
        <f t="shared" si="56"/>
        <v>741</v>
      </c>
      <c r="Y135" s="3">
        <f t="shared" si="56"/>
        <v>539</v>
      </c>
      <c r="Z135" s="3">
        <f t="shared" si="56"/>
        <v>130</v>
      </c>
      <c r="AA135" s="3">
        <f t="shared" si="56"/>
        <v>107</v>
      </c>
      <c r="AB135" s="3">
        <f t="shared" si="56"/>
        <v>259</v>
      </c>
      <c r="AC135" s="537">
        <f t="shared" si="56"/>
        <v>5040.52905</v>
      </c>
      <c r="AD135" s="21">
        <f>SUM(AD104:AD134,AD41:AD93,AD22:AD34,AD6:AD17)</f>
        <v>760</v>
      </c>
      <c r="AE135" s="3">
        <f>SUM(AE104:AE134,AE41:AE93,AE22:AE34,AE6:AE17)</f>
        <v>720</v>
      </c>
      <c r="AF135" s="3">
        <f>SUM(AF104:AF134,AF41:AF93,AF22:AF34,AF6:AF17)</f>
        <v>176</v>
      </c>
      <c r="AG135" s="26">
        <f>SUM(AG104:AG134,AG41:AG93,AG22:AG34,AG6:AG17)</f>
        <v>1576</v>
      </c>
      <c r="AH135" s="538">
        <f>SUM(AH104:AH134,AH41:AH93,AH22:AH34,AH6:AH17)</f>
        <v>6053.888439000004</v>
      </c>
      <c r="AJ135" s="5">
        <f>(AH135-AC135)*100/AC135</f>
        <v>20.104226737866014</v>
      </c>
    </row>
    <row r="136" spans="1:28" ht="15">
      <c r="A136" s="191" t="s">
        <v>226</v>
      </c>
      <c r="T136" s="3">
        <f>T135*8</f>
        <v>5792</v>
      </c>
      <c r="U136" s="3">
        <f>U135*8</f>
        <v>7904</v>
      </c>
      <c r="V136" s="3">
        <f>V135*8</f>
        <v>1768</v>
      </c>
      <c r="W136" s="3">
        <f>W135*8</f>
        <v>2224</v>
      </c>
      <c r="X136" s="3">
        <f>X135*8</f>
        <v>5928</v>
      </c>
      <c r="Z136" s="3">
        <f>Z135*8</f>
        <v>1040</v>
      </c>
      <c r="AA136" s="3">
        <f>AA135*8</f>
        <v>856</v>
      </c>
      <c r="AB136" s="3">
        <f>AB135*8</f>
        <v>2072</v>
      </c>
    </row>
    <row r="137" spans="1:34" ht="15">
      <c r="A137" s="191" t="s">
        <v>148</v>
      </c>
      <c r="P137" s="2" t="s">
        <v>39</v>
      </c>
      <c r="Q137" s="3">
        <f>Q135</f>
        <v>1158.585</v>
      </c>
      <c r="R137" s="2" t="s">
        <v>40</v>
      </c>
      <c r="S137" s="2">
        <f>S135</f>
        <v>45</v>
      </c>
      <c r="X137" s="2" t="s">
        <v>41</v>
      </c>
      <c r="Y137" s="3">
        <f>Y135</f>
        <v>539</v>
      </c>
      <c r="AB137"/>
      <c r="AC137" s="107"/>
      <c r="AD137"/>
      <c r="AE137"/>
      <c r="AF137"/>
      <c r="AG137"/>
      <c r="AH137" s="97"/>
    </row>
    <row r="138" spans="4:34" ht="15">
      <c r="D138" s="192" t="s">
        <v>261</v>
      </c>
      <c r="E138" s="1" t="s">
        <v>262</v>
      </c>
      <c r="Q138" s="2" t="s">
        <v>159</v>
      </c>
      <c r="AB138" s="21"/>
      <c r="AC138" s="102" t="s">
        <v>33</v>
      </c>
      <c r="AD138" s="3" t="s">
        <v>34</v>
      </c>
      <c r="AE138" s="22" t="s">
        <v>35</v>
      </c>
      <c r="AF138" s="23" t="s">
        <v>36</v>
      </c>
      <c r="AG138" s="5" t="s">
        <v>37</v>
      </c>
      <c r="AH138" s="96" t="s">
        <v>38</v>
      </c>
    </row>
    <row r="139" spans="1:34" ht="15.75">
      <c r="A139" s="247" t="s">
        <v>183</v>
      </c>
      <c r="B139" s="536">
        <v>1.264</v>
      </c>
      <c r="C139" s="192">
        <f>123*8/1000</f>
        <v>0.984</v>
      </c>
      <c r="D139" s="536">
        <v>1.264</v>
      </c>
      <c r="E139" s="248">
        <f>77.54*1.095*1.5*1.13*1.08*8/1000</f>
        <v>1.24343578224</v>
      </c>
      <c r="N139" s="9" t="s">
        <v>183</v>
      </c>
      <c r="O139" s="3">
        <f>SUM(O152:O160)</f>
        <v>980</v>
      </c>
      <c r="Q139" s="2" t="s">
        <v>159</v>
      </c>
      <c r="AA139" s="190" t="s">
        <v>244</v>
      </c>
      <c r="AB139" s="3" t="s">
        <v>183</v>
      </c>
      <c r="AC139" s="102">
        <f>T135+V135+Z135</f>
        <v>1075</v>
      </c>
      <c r="AD139" s="2">
        <f>EEEM</f>
        <v>1.264</v>
      </c>
      <c r="AE139" s="3">
        <f>AD139*AC139</f>
        <v>1358.8</v>
      </c>
      <c r="AF139" s="21">
        <f>AC139/220</f>
        <v>4.886363636363637</v>
      </c>
      <c r="AG139" s="5">
        <v>4</v>
      </c>
      <c r="AH139" s="96">
        <f>AF139/AG139</f>
        <v>1.2215909090909092</v>
      </c>
    </row>
    <row r="140" spans="1:34" ht="15.75">
      <c r="A140" s="247" t="s">
        <v>184</v>
      </c>
      <c r="B140" s="536">
        <v>0.912</v>
      </c>
      <c r="C140" s="192">
        <f>80*8/1000</f>
        <v>0.64</v>
      </c>
      <c r="D140" s="536">
        <v>0.912</v>
      </c>
      <c r="E140" s="248">
        <f>53.46*1.095*1.5*1.13*1.08*8/1000</f>
        <v>0.8572875537599999</v>
      </c>
      <c r="N140" s="9" t="s">
        <v>184</v>
      </c>
      <c r="O140" s="3">
        <f>SUM(O161:O165)</f>
        <v>1060</v>
      </c>
      <c r="Q140" s="2" t="s">
        <v>159</v>
      </c>
      <c r="AB140" s="3" t="s">
        <v>184</v>
      </c>
      <c r="AC140" s="102">
        <f>W135+AA135</f>
        <v>385</v>
      </c>
      <c r="AD140" s="2">
        <f>EESM</f>
        <v>0.912</v>
      </c>
      <c r="AE140" s="3">
        <f>AD140*AC140</f>
        <v>351.12</v>
      </c>
      <c r="AF140" s="21">
        <f>AC140/220</f>
        <v>1.75</v>
      </c>
      <c r="AG140" s="5">
        <v>2</v>
      </c>
      <c r="AH140" s="96">
        <f>AF140/AG140</f>
        <v>0.875</v>
      </c>
    </row>
    <row r="141" spans="1:34" ht="15.75">
      <c r="A141" s="247" t="s">
        <v>185</v>
      </c>
      <c r="B141" s="536">
        <v>0.648</v>
      </c>
      <c r="C141" s="192">
        <f>80*8/1000</f>
        <v>0.64</v>
      </c>
      <c r="D141" s="536">
        <v>0.648</v>
      </c>
      <c r="E141" s="248">
        <f>39*1.095*1.5*1.13*1.08*8/1000</f>
        <v>0.625406184</v>
      </c>
      <c r="N141" s="9" t="s">
        <v>81</v>
      </c>
      <c r="O141" s="3">
        <f>SUM(O171:O173)</f>
        <v>420</v>
      </c>
      <c r="Q141" s="2" t="s">
        <v>159</v>
      </c>
      <c r="AB141" s="3" t="s">
        <v>185</v>
      </c>
      <c r="AC141" s="102">
        <f>X135+AB135</f>
        <v>1000</v>
      </c>
      <c r="AD141" s="2">
        <f>EETB</f>
        <v>0.648</v>
      </c>
      <c r="AE141" s="3">
        <f>AD141*AC141</f>
        <v>648</v>
      </c>
      <c r="AF141" s="21">
        <f>AC141/220</f>
        <v>4.545454545454546</v>
      </c>
      <c r="AG141" s="5">
        <v>2</v>
      </c>
      <c r="AH141" s="96">
        <f>AF141/AG141</f>
        <v>2.272727272727273</v>
      </c>
    </row>
    <row r="142" spans="1:34" ht="15.75">
      <c r="A142" s="247" t="s">
        <v>260</v>
      </c>
      <c r="B142" s="536">
        <v>1.33</v>
      </c>
      <c r="C142" s="192">
        <v>1.25</v>
      </c>
      <c r="D142" s="536">
        <v>1.33</v>
      </c>
      <c r="E142" s="248">
        <v>1.25</v>
      </c>
      <c r="N142" s="9" t="s">
        <v>185</v>
      </c>
      <c r="O142" s="3">
        <f>SUM(O166:O170)</f>
        <v>1060</v>
      </c>
      <c r="Q142" s="2" t="s">
        <v>159</v>
      </c>
      <c r="AB142" s="3" t="s">
        <v>243</v>
      </c>
      <c r="AC142" s="102">
        <f>U135</f>
        <v>988</v>
      </c>
      <c r="AD142" s="2">
        <f>DM</f>
        <v>0.856</v>
      </c>
      <c r="AE142" s="3">
        <f>AD142*AC142</f>
        <v>845.728</v>
      </c>
      <c r="AF142" s="21">
        <f>AC142/220</f>
        <v>4.490909090909091</v>
      </c>
      <c r="AG142" s="5">
        <v>3</v>
      </c>
      <c r="AH142" s="96">
        <f>AF142/AG142</f>
        <v>1.496969696969697</v>
      </c>
    </row>
    <row r="143" spans="1:34" s="31" customFormat="1" ht="15.75">
      <c r="A143" s="247" t="s">
        <v>243</v>
      </c>
      <c r="B143" s="536">
        <v>0.856</v>
      </c>
      <c r="C143" s="192"/>
      <c r="D143" s="536">
        <v>0.856</v>
      </c>
      <c r="E143" s="248">
        <f>51.7699*1.095*1.5*1.13*1.145*8/1000</f>
        <v>0.8801498544110999</v>
      </c>
      <c r="F143" s="1"/>
      <c r="G143" s="1"/>
      <c r="H143" s="1"/>
      <c r="I143" s="1"/>
      <c r="J143" s="1"/>
      <c r="K143" s="1"/>
      <c r="L143" s="1"/>
      <c r="M143" s="1"/>
      <c r="N143" s="3"/>
      <c r="O143" s="10"/>
      <c r="P143" s="2"/>
      <c r="Q143" s="2" t="s">
        <v>159</v>
      </c>
      <c r="R143" s="2"/>
      <c r="S143" s="2"/>
      <c r="T143" s="3"/>
      <c r="U143" s="3"/>
      <c r="V143" s="3"/>
      <c r="W143" s="3"/>
      <c r="X143" s="3"/>
      <c r="Y143" s="3"/>
      <c r="Z143" s="3"/>
      <c r="AA143" s="3"/>
      <c r="AB143" s="3"/>
      <c r="AC143" s="102" t="s">
        <v>35</v>
      </c>
      <c r="AD143" s="2"/>
      <c r="AE143" s="3"/>
      <c r="AF143" s="21"/>
      <c r="AH143" s="98"/>
    </row>
    <row r="144" spans="24:33" ht="15">
      <c r="X144" s="108"/>
      <c r="AB144" s="3" t="s">
        <v>186</v>
      </c>
      <c r="AC144" s="102">
        <f>Y135</f>
        <v>539</v>
      </c>
      <c r="AD144" s="2">
        <f>GA</f>
        <v>1.33</v>
      </c>
      <c r="AE144" s="3">
        <f>AC144*GA</f>
        <v>716.87</v>
      </c>
      <c r="AG144" s="5"/>
    </row>
    <row r="145" spans="28:33" ht="15">
      <c r="AB145" s="3" t="s">
        <v>177</v>
      </c>
      <c r="AC145" s="102">
        <f>SUM(Q135)</f>
        <v>1158.585</v>
      </c>
      <c r="AD145" s="2">
        <f>GA</f>
        <v>1.33</v>
      </c>
      <c r="AE145" s="3">
        <f>AC145*GA</f>
        <v>1540.9180500000002</v>
      </c>
      <c r="AG145" s="5"/>
    </row>
    <row r="148" ht="15">
      <c r="AC148" s="30">
        <f>SUM(AE139:AE145)</f>
        <v>5461.43605</v>
      </c>
    </row>
    <row r="149" spans="28:34" ht="15">
      <c r="AB149"/>
      <c r="AC149" s="109">
        <f>+AC148-AC135</f>
        <v>420.90700000000015</v>
      </c>
      <c r="AD149"/>
      <c r="AE149"/>
      <c r="AF149"/>
      <c r="AG149"/>
      <c r="AH149" s="97"/>
    </row>
    <row r="151" spans="1:22" ht="24">
      <c r="A151" s="249"/>
      <c r="B151" s="192" t="s">
        <v>42</v>
      </c>
      <c r="D151" s="192">
        <v>2001</v>
      </c>
      <c r="E151" s="3">
        <v>2002</v>
      </c>
      <c r="F151" s="10">
        <v>2003</v>
      </c>
      <c r="G151" s="10"/>
      <c r="H151" s="10"/>
      <c r="I151" s="10"/>
      <c r="J151" s="10"/>
      <c r="K151" s="10"/>
      <c r="L151" s="10"/>
      <c r="M151" s="10"/>
      <c r="N151" s="10">
        <v>2004</v>
      </c>
      <c r="O151" s="6" t="s">
        <v>43</v>
      </c>
      <c r="P151" s="8" t="s">
        <v>44</v>
      </c>
      <c r="Q151" s="6"/>
      <c r="R151" s="1"/>
      <c r="T151" s="9"/>
      <c r="U151" s="9"/>
      <c r="V151" s="5"/>
    </row>
    <row r="152" spans="1:20" ht="15">
      <c r="A152" s="249" t="s">
        <v>45</v>
      </c>
      <c r="B152" s="192">
        <f>EEEM</f>
        <v>1.264</v>
      </c>
      <c r="D152" s="192">
        <v>0</v>
      </c>
      <c r="E152" s="5"/>
      <c r="F152" s="1">
        <v>120</v>
      </c>
      <c r="N152" s="6">
        <f>D152</f>
        <v>0</v>
      </c>
      <c r="O152" s="10">
        <f>F152</f>
        <v>120</v>
      </c>
      <c r="P152" s="4">
        <f>O152*B152</f>
        <v>151.68</v>
      </c>
      <c r="Q152" s="6"/>
      <c r="R152" s="7"/>
      <c r="T152" s="9"/>
    </row>
    <row r="153" spans="1:20" ht="15">
      <c r="A153" s="249" t="s">
        <v>46</v>
      </c>
      <c r="B153" s="192">
        <f aca="true" t="shared" si="57" ref="B153:B160">EEEM</f>
        <v>1.264</v>
      </c>
      <c r="D153" s="192">
        <v>0</v>
      </c>
      <c r="E153" s="5"/>
      <c r="F153" s="1">
        <v>220</v>
      </c>
      <c r="N153" s="6">
        <f>D153</f>
        <v>0</v>
      </c>
      <c r="O153" s="10">
        <f aca="true" t="shared" si="58" ref="O153:O173">F153</f>
        <v>220</v>
      </c>
      <c r="P153" s="4">
        <v>200</v>
      </c>
      <c r="Q153" s="6"/>
      <c r="R153" s="7"/>
      <c r="T153" s="9"/>
    </row>
    <row r="154" spans="1:20" ht="15">
      <c r="A154" s="249" t="s">
        <v>47</v>
      </c>
      <c r="B154" s="192">
        <f t="shared" si="57"/>
        <v>1.264</v>
      </c>
      <c r="D154" s="192">
        <v>0</v>
      </c>
      <c r="E154" s="5"/>
      <c r="F154" s="1">
        <v>100</v>
      </c>
      <c r="N154" s="6">
        <f aca="true" t="shared" si="59" ref="N154:N173">D154</f>
        <v>0</v>
      </c>
      <c r="O154" s="10">
        <f t="shared" si="58"/>
        <v>100</v>
      </c>
      <c r="P154" s="4">
        <f>O154*B154</f>
        <v>126.4</v>
      </c>
      <c r="Q154" s="6"/>
      <c r="R154" s="7"/>
      <c r="T154" s="9"/>
    </row>
    <row r="155" spans="1:20" ht="15">
      <c r="A155" s="249" t="s">
        <v>48</v>
      </c>
      <c r="B155" s="192">
        <f t="shared" si="57"/>
        <v>1.264</v>
      </c>
      <c r="D155" s="192">
        <v>0</v>
      </c>
      <c r="E155" s="5"/>
      <c r="F155" s="1">
        <v>120</v>
      </c>
      <c r="N155" s="6">
        <f t="shared" si="59"/>
        <v>0</v>
      </c>
      <c r="O155" s="10">
        <f t="shared" si="58"/>
        <v>120</v>
      </c>
      <c r="P155" s="4">
        <v>120</v>
      </c>
      <c r="Q155" s="6"/>
      <c r="R155" s="7"/>
      <c r="T155" s="9"/>
    </row>
    <row r="156" spans="1:22" ht="15">
      <c r="A156" s="249" t="s">
        <v>49</v>
      </c>
      <c r="B156" s="192">
        <f t="shared" si="57"/>
        <v>1.264</v>
      </c>
      <c r="D156" s="192">
        <v>0</v>
      </c>
      <c r="E156" s="5"/>
      <c r="F156" s="1">
        <v>100</v>
      </c>
      <c r="N156" s="6">
        <f t="shared" si="59"/>
        <v>0</v>
      </c>
      <c r="O156" s="10">
        <f t="shared" si="58"/>
        <v>100</v>
      </c>
      <c r="P156" s="4">
        <v>100</v>
      </c>
      <c r="Q156" s="6"/>
      <c r="R156" s="7"/>
      <c r="T156" s="9"/>
      <c r="U156" s="9"/>
      <c r="V156" s="5"/>
    </row>
    <row r="157" spans="1:22" ht="15">
      <c r="A157" s="249" t="s">
        <v>50</v>
      </c>
      <c r="B157" s="192">
        <f t="shared" si="57"/>
        <v>1.264</v>
      </c>
      <c r="D157" s="192">
        <v>0</v>
      </c>
      <c r="E157" s="5"/>
      <c r="F157" s="1">
        <v>120</v>
      </c>
      <c r="N157" s="6">
        <f t="shared" si="59"/>
        <v>0</v>
      </c>
      <c r="O157" s="10">
        <f t="shared" si="58"/>
        <v>120</v>
      </c>
      <c r="P157" s="4">
        <f aca="true" t="shared" si="60" ref="P157:P173">O157*B157</f>
        <v>151.68</v>
      </c>
      <c r="Q157" s="6"/>
      <c r="R157" s="7"/>
      <c r="T157" s="9"/>
      <c r="U157" s="9"/>
      <c r="V157" s="5"/>
    </row>
    <row r="158" spans="1:22" ht="15">
      <c r="A158" s="249" t="s">
        <v>51</v>
      </c>
      <c r="B158" s="192">
        <f t="shared" si="57"/>
        <v>1.264</v>
      </c>
      <c r="D158" s="192">
        <v>0</v>
      </c>
      <c r="E158" s="5"/>
      <c r="F158" s="1">
        <v>80</v>
      </c>
      <c r="N158" s="6">
        <f t="shared" si="59"/>
        <v>0</v>
      </c>
      <c r="O158" s="10">
        <f t="shared" si="58"/>
        <v>80</v>
      </c>
      <c r="P158" s="4">
        <f t="shared" si="60"/>
        <v>101.12</v>
      </c>
      <c r="Q158" s="6"/>
      <c r="R158" s="7"/>
      <c r="T158" s="9"/>
      <c r="U158" s="9"/>
      <c r="V158" s="5"/>
    </row>
    <row r="159" spans="1:22" ht="15">
      <c r="A159" s="249" t="s">
        <v>52</v>
      </c>
      <c r="B159" s="192">
        <f t="shared" si="57"/>
        <v>1.264</v>
      </c>
      <c r="D159" s="192">
        <v>0</v>
      </c>
      <c r="E159" s="5"/>
      <c r="F159" s="1">
        <v>80</v>
      </c>
      <c r="N159" s="6">
        <f t="shared" si="59"/>
        <v>0</v>
      </c>
      <c r="O159" s="10">
        <f>F159</f>
        <v>80</v>
      </c>
      <c r="P159" s="4">
        <f t="shared" si="60"/>
        <v>101.12</v>
      </c>
      <c r="Q159" s="6"/>
      <c r="R159" s="7"/>
      <c r="T159" s="9"/>
      <c r="U159" s="9"/>
      <c r="V159" s="5"/>
    </row>
    <row r="160" spans="1:22" ht="15">
      <c r="A160" s="249" t="s">
        <v>53</v>
      </c>
      <c r="B160" s="192">
        <f t="shared" si="57"/>
        <v>1.264</v>
      </c>
      <c r="D160" s="192">
        <v>0</v>
      </c>
      <c r="E160" s="5"/>
      <c r="F160" s="1">
        <v>40</v>
      </c>
      <c r="N160" s="6">
        <f t="shared" si="59"/>
        <v>0</v>
      </c>
      <c r="O160" s="10">
        <f t="shared" si="58"/>
        <v>40</v>
      </c>
      <c r="P160" s="4">
        <f t="shared" si="60"/>
        <v>50.56</v>
      </c>
      <c r="Q160" s="6"/>
      <c r="R160" s="7"/>
      <c r="T160" s="9"/>
      <c r="U160" s="9"/>
      <c r="V160" s="5"/>
    </row>
    <row r="161" spans="1:22" ht="15">
      <c r="A161" s="250" t="s">
        <v>54</v>
      </c>
      <c r="B161" s="192">
        <f>EESM</f>
        <v>0.912</v>
      </c>
      <c r="D161" s="192">
        <v>0</v>
      </c>
      <c r="E161" s="5"/>
      <c r="F161" s="1">
        <v>220</v>
      </c>
      <c r="N161" s="6">
        <f t="shared" si="59"/>
        <v>0</v>
      </c>
      <c r="O161" s="10">
        <f>F161</f>
        <v>220</v>
      </c>
      <c r="P161" s="4">
        <f t="shared" si="60"/>
        <v>200.64000000000001</v>
      </c>
      <c r="Q161" s="6"/>
      <c r="R161" s="7"/>
      <c r="T161" s="9"/>
      <c r="U161" s="9"/>
      <c r="V161" s="5"/>
    </row>
    <row r="162" spans="1:22" ht="15">
      <c r="A162" s="250" t="s">
        <v>55</v>
      </c>
      <c r="B162" s="192">
        <f>EESM</f>
        <v>0.912</v>
      </c>
      <c r="D162" s="192">
        <v>0</v>
      </c>
      <c r="E162" s="5"/>
      <c r="F162" s="1">
        <v>220</v>
      </c>
      <c r="N162" s="6">
        <f t="shared" si="59"/>
        <v>0</v>
      </c>
      <c r="O162" s="10">
        <f t="shared" si="58"/>
        <v>220</v>
      </c>
      <c r="P162" s="4">
        <f t="shared" si="60"/>
        <v>200.64000000000001</v>
      </c>
      <c r="Q162" s="6"/>
      <c r="R162" s="7"/>
      <c r="T162" s="9"/>
      <c r="U162" s="9"/>
      <c r="V162" s="5"/>
    </row>
    <row r="163" spans="1:22" ht="15">
      <c r="A163" s="249" t="s">
        <v>56</v>
      </c>
      <c r="B163" s="192">
        <f>EESM</f>
        <v>0.912</v>
      </c>
      <c r="D163" s="192">
        <v>0</v>
      </c>
      <c r="E163" s="5"/>
      <c r="F163" s="1">
        <v>200</v>
      </c>
      <c r="N163" s="6">
        <f t="shared" si="59"/>
        <v>0</v>
      </c>
      <c r="O163" s="10">
        <f>F163</f>
        <v>200</v>
      </c>
      <c r="P163" s="4">
        <f t="shared" si="60"/>
        <v>182.4</v>
      </c>
      <c r="Q163" s="6"/>
      <c r="R163" s="7"/>
      <c r="T163" s="9"/>
      <c r="U163" s="9"/>
      <c r="V163" s="5"/>
    </row>
    <row r="164" spans="1:22" ht="15">
      <c r="A164" s="249" t="s">
        <v>57</v>
      </c>
      <c r="B164" s="192">
        <f>EESM</f>
        <v>0.912</v>
      </c>
      <c r="D164" s="192">
        <v>0</v>
      </c>
      <c r="E164" s="5"/>
      <c r="F164" s="1">
        <v>200</v>
      </c>
      <c r="N164" s="6">
        <f t="shared" si="59"/>
        <v>0</v>
      </c>
      <c r="O164" s="10">
        <f>F164</f>
        <v>200</v>
      </c>
      <c r="P164" s="4">
        <f t="shared" si="60"/>
        <v>182.4</v>
      </c>
      <c r="Q164" s="6"/>
      <c r="R164" s="7"/>
      <c r="T164" s="9"/>
      <c r="U164" s="9"/>
      <c r="V164" s="5"/>
    </row>
    <row r="165" spans="1:22" ht="15">
      <c r="A165" s="249" t="s">
        <v>58</v>
      </c>
      <c r="B165" s="192">
        <f>EESM</f>
        <v>0.912</v>
      </c>
      <c r="D165" s="192">
        <v>0</v>
      </c>
      <c r="E165" s="5"/>
      <c r="F165" s="1">
        <v>220</v>
      </c>
      <c r="N165" s="6">
        <f t="shared" si="59"/>
        <v>0</v>
      </c>
      <c r="O165" s="10">
        <f>F165</f>
        <v>220</v>
      </c>
      <c r="P165" s="4">
        <f t="shared" si="60"/>
        <v>200.64000000000001</v>
      </c>
      <c r="Q165" s="6"/>
      <c r="R165" s="7"/>
      <c r="T165" s="9"/>
      <c r="U165" s="9"/>
      <c r="V165" s="5"/>
    </row>
    <row r="166" spans="1:22" ht="15">
      <c r="A166" s="249" t="s">
        <v>59</v>
      </c>
      <c r="B166" s="192">
        <f>EETB</f>
        <v>0.648</v>
      </c>
      <c r="D166" s="192">
        <v>0</v>
      </c>
      <c r="E166" s="5"/>
      <c r="F166" s="1">
        <v>220</v>
      </c>
      <c r="N166" s="6">
        <f t="shared" si="59"/>
        <v>0</v>
      </c>
      <c r="O166" s="10">
        <f t="shared" si="58"/>
        <v>220</v>
      </c>
      <c r="P166" s="4">
        <f t="shared" si="60"/>
        <v>142.56</v>
      </c>
      <c r="Q166" s="6"/>
      <c r="R166" s="7"/>
      <c r="T166" s="9"/>
      <c r="U166" s="9"/>
      <c r="V166" s="5"/>
    </row>
    <row r="167" spans="1:22" ht="15">
      <c r="A167" s="250" t="s">
        <v>60</v>
      </c>
      <c r="B167" s="192">
        <f>EETB</f>
        <v>0.648</v>
      </c>
      <c r="D167" s="192">
        <v>0</v>
      </c>
      <c r="E167" s="5"/>
      <c r="F167" s="1">
        <v>220</v>
      </c>
      <c r="N167" s="6">
        <f t="shared" si="59"/>
        <v>0</v>
      </c>
      <c r="O167" s="10">
        <f t="shared" si="58"/>
        <v>220</v>
      </c>
      <c r="P167" s="4">
        <f t="shared" si="60"/>
        <v>142.56</v>
      </c>
      <c r="Q167" s="6"/>
      <c r="R167" s="7"/>
      <c r="T167" s="9"/>
      <c r="U167" s="9"/>
      <c r="V167" s="5"/>
    </row>
    <row r="168" spans="1:22" ht="15">
      <c r="A168" s="249" t="s">
        <v>61</v>
      </c>
      <c r="B168" s="192">
        <f>EETB</f>
        <v>0.648</v>
      </c>
      <c r="C168" s="192"/>
      <c r="D168" s="192">
        <v>0</v>
      </c>
      <c r="E168" s="5"/>
      <c r="F168" s="1">
        <v>220</v>
      </c>
      <c r="N168" s="6">
        <f t="shared" si="59"/>
        <v>0</v>
      </c>
      <c r="O168" s="10">
        <f t="shared" si="58"/>
        <v>220</v>
      </c>
      <c r="P168" s="4">
        <f t="shared" si="60"/>
        <v>142.56</v>
      </c>
      <c r="Q168" s="6"/>
      <c r="R168" s="7"/>
      <c r="T168" s="7"/>
      <c r="U168" s="7"/>
      <c r="V168" s="5"/>
    </row>
    <row r="169" spans="1:22" ht="15">
      <c r="A169" s="249" t="s">
        <v>62</v>
      </c>
      <c r="B169" s="192">
        <f>EETB</f>
        <v>0.648</v>
      </c>
      <c r="C169" s="192"/>
      <c r="D169" s="192">
        <v>0</v>
      </c>
      <c r="E169" s="5"/>
      <c r="F169" s="1">
        <v>200</v>
      </c>
      <c r="N169" s="6">
        <f t="shared" si="59"/>
        <v>0</v>
      </c>
      <c r="O169" s="10">
        <f t="shared" si="58"/>
        <v>200</v>
      </c>
      <c r="P169" s="4">
        <f t="shared" si="60"/>
        <v>129.6</v>
      </c>
      <c r="Q169" s="6"/>
      <c r="R169" s="7"/>
      <c r="T169" s="7"/>
      <c r="U169" s="7"/>
      <c r="V169" s="5"/>
    </row>
    <row r="170" spans="1:22" ht="15">
      <c r="A170" s="249" t="s">
        <v>63</v>
      </c>
      <c r="B170" s="192">
        <f>EESM</f>
        <v>0.912</v>
      </c>
      <c r="C170" s="192"/>
      <c r="D170" s="192">
        <v>0</v>
      </c>
      <c r="E170" s="5"/>
      <c r="F170" s="1">
        <v>200</v>
      </c>
      <c r="N170" s="6">
        <f t="shared" si="59"/>
        <v>0</v>
      </c>
      <c r="O170" s="10">
        <f t="shared" si="58"/>
        <v>200</v>
      </c>
      <c r="P170" s="4">
        <f t="shared" si="60"/>
        <v>182.4</v>
      </c>
      <c r="Q170" s="6"/>
      <c r="R170" s="7"/>
      <c r="T170" s="7"/>
      <c r="U170" s="7"/>
      <c r="V170" s="5"/>
    </row>
    <row r="171" spans="1:22" ht="15">
      <c r="A171" s="249" t="s">
        <v>64</v>
      </c>
      <c r="B171" s="192">
        <f>EESM</f>
        <v>0.912</v>
      </c>
      <c r="C171" s="192"/>
      <c r="D171" s="192">
        <v>0</v>
      </c>
      <c r="E171" s="5"/>
      <c r="F171" s="1">
        <v>220</v>
      </c>
      <c r="N171" s="6">
        <f t="shared" si="59"/>
        <v>0</v>
      </c>
      <c r="O171" s="10">
        <f t="shared" si="58"/>
        <v>220</v>
      </c>
      <c r="P171" s="4">
        <f t="shared" si="60"/>
        <v>200.64000000000001</v>
      </c>
      <c r="Q171" s="6"/>
      <c r="R171" s="7"/>
      <c r="T171" s="7"/>
      <c r="U171" s="7"/>
      <c r="V171" s="5"/>
    </row>
    <row r="172" spans="1:22" ht="15">
      <c r="A172" s="249" t="s">
        <v>65</v>
      </c>
      <c r="B172" s="192">
        <f>EESM</f>
        <v>0.912</v>
      </c>
      <c r="C172" s="192"/>
      <c r="D172" s="192">
        <v>0</v>
      </c>
      <c r="E172" s="5"/>
      <c r="F172" s="1">
        <v>100</v>
      </c>
      <c r="N172" s="6">
        <f t="shared" si="59"/>
        <v>0</v>
      </c>
      <c r="O172" s="10">
        <f>F172</f>
        <v>100</v>
      </c>
      <c r="P172" s="4">
        <f t="shared" si="60"/>
        <v>91.2</v>
      </c>
      <c r="Q172" s="6"/>
      <c r="R172" s="7"/>
      <c r="T172" s="7"/>
      <c r="U172" s="7"/>
      <c r="V172" s="5"/>
    </row>
    <row r="173" spans="1:22" ht="15">
      <c r="A173" s="249" t="s">
        <v>66</v>
      </c>
      <c r="B173" s="192">
        <f>EESM</f>
        <v>0.912</v>
      </c>
      <c r="C173" s="192"/>
      <c r="D173" s="192">
        <v>0</v>
      </c>
      <c r="E173" s="5"/>
      <c r="F173" s="1">
        <v>100</v>
      </c>
      <c r="N173" s="6">
        <f t="shared" si="59"/>
        <v>0</v>
      </c>
      <c r="O173" s="10">
        <f t="shared" si="58"/>
        <v>100</v>
      </c>
      <c r="P173" s="4">
        <f t="shared" si="60"/>
        <v>91.2</v>
      </c>
      <c r="Q173" s="6"/>
      <c r="R173" s="7"/>
      <c r="T173" s="7"/>
      <c r="U173" s="7"/>
      <c r="V173" s="5"/>
    </row>
    <row r="174" spans="1:4" ht="15">
      <c r="A174" s="251"/>
      <c r="B174" s="252"/>
      <c r="C174" s="252"/>
      <c r="D174" s="252"/>
    </row>
    <row r="175" spans="1:4" ht="15">
      <c r="A175" s="251"/>
      <c r="B175" s="252"/>
      <c r="C175" s="252"/>
      <c r="D175" s="252"/>
    </row>
    <row r="176" spans="1:4" ht="15">
      <c r="A176" s="251"/>
      <c r="B176" s="252"/>
      <c r="C176" s="252"/>
      <c r="D176" s="252"/>
    </row>
    <row r="177" spans="1:4" ht="15">
      <c r="A177" s="251"/>
      <c r="B177" s="252">
        <v>4.2</v>
      </c>
      <c r="C177" s="252" t="s">
        <v>219</v>
      </c>
      <c r="D177" s="252"/>
    </row>
    <row r="178" spans="1:14" ht="15">
      <c r="A178" s="251"/>
      <c r="B178" s="252">
        <v>2</v>
      </c>
      <c r="C178" s="252" t="s">
        <v>219</v>
      </c>
      <c r="D178" s="252"/>
      <c r="N178" t="s">
        <v>227</v>
      </c>
    </row>
    <row r="179" spans="1:14" ht="15">
      <c r="A179" s="251"/>
      <c r="B179" s="252"/>
      <c r="C179" s="252"/>
      <c r="D179" s="252"/>
      <c r="N179" t="s">
        <v>228</v>
      </c>
    </row>
    <row r="180" spans="1:34" ht="15">
      <c r="A180" s="251"/>
      <c r="B180" s="252"/>
      <c r="C180" s="252"/>
      <c r="D180" s="252"/>
      <c r="AC180" s="107"/>
      <c r="AH180" s="97"/>
    </row>
    <row r="181" spans="1:34" ht="15">
      <c r="A181" s="251"/>
      <c r="B181" s="252"/>
      <c r="C181" s="252"/>
      <c r="D181" s="252"/>
      <c r="Q181" s="68"/>
      <c r="R181" s="68"/>
      <c r="S181" s="68"/>
      <c r="T181" s="68"/>
      <c r="U181" s="68"/>
      <c r="V181" s="68"/>
      <c r="W181" s="68"/>
      <c r="AC181" s="107"/>
      <c r="AH181" s="97"/>
    </row>
    <row r="182" spans="1:34" ht="15">
      <c r="A182" s="93"/>
      <c r="B182" s="252"/>
      <c r="D182" s="252"/>
      <c r="Q182" s="68"/>
      <c r="AC182" s="107"/>
      <c r="AH182" s="97"/>
    </row>
    <row r="183" spans="1:17" ht="15">
      <c r="A183" s="93"/>
      <c r="B183" s="252"/>
      <c r="D183" s="252"/>
      <c r="E183"/>
      <c r="F183"/>
      <c r="G183"/>
      <c r="H183"/>
      <c r="I183"/>
      <c r="J183"/>
      <c r="K183"/>
      <c r="L183"/>
      <c r="M183"/>
      <c r="N183"/>
      <c r="O183"/>
      <c r="P183"/>
      <c r="Q183" s="68"/>
    </row>
    <row r="184" spans="1:17" ht="15">
      <c r="A184" s="93"/>
      <c r="B184" s="252"/>
      <c r="D184" s="252"/>
      <c r="E184"/>
      <c r="F184"/>
      <c r="G184"/>
      <c r="H184"/>
      <c r="I184"/>
      <c r="J184"/>
      <c r="K184"/>
      <c r="L184"/>
      <c r="M184"/>
      <c r="N184"/>
      <c r="O184"/>
      <c r="P184"/>
      <c r="Q184" s="68"/>
    </row>
    <row r="185" spans="1:17" ht="15">
      <c r="A185" s="93"/>
      <c r="B185" s="252"/>
      <c r="D185" s="252"/>
      <c r="E185"/>
      <c r="F185"/>
      <c r="G185"/>
      <c r="H185"/>
      <c r="I185"/>
      <c r="J185"/>
      <c r="K185"/>
      <c r="L185"/>
      <c r="M185"/>
      <c r="N185"/>
      <c r="O185"/>
      <c r="P185"/>
      <c r="Q185" s="68"/>
    </row>
    <row r="186" spans="3:17" ht="15">
      <c r="C186" s="252"/>
      <c r="D186" s="252"/>
      <c r="E186"/>
      <c r="F186"/>
      <c r="G186"/>
      <c r="H186"/>
      <c r="I186"/>
      <c r="J186"/>
      <c r="K186"/>
      <c r="L186"/>
      <c r="M186"/>
      <c r="N186"/>
      <c r="O186"/>
      <c r="P186"/>
      <c r="Q186" s="68"/>
    </row>
    <row r="187" spans="1:17" ht="15">
      <c r="A187" s="93" t="s">
        <v>241</v>
      </c>
      <c r="B187" s="252"/>
      <c r="C187" s="252"/>
      <c r="D187" s="252"/>
      <c r="E187"/>
      <c r="F187"/>
      <c r="G187"/>
      <c r="H187"/>
      <c r="I187"/>
      <c r="J187"/>
      <c r="K187"/>
      <c r="L187"/>
      <c r="M187"/>
      <c r="N187"/>
      <c r="O187"/>
      <c r="P187"/>
      <c r="Q187" s="68"/>
    </row>
    <row r="188" spans="1:17" ht="15">
      <c r="A188" s="191" t="s">
        <v>183</v>
      </c>
      <c r="B188" s="192">
        <f>131.3*8/1000</f>
        <v>1.0504</v>
      </c>
      <c r="C188" s="252"/>
      <c r="D188" s="252"/>
      <c r="E188"/>
      <c r="F188"/>
      <c r="G188"/>
      <c r="H188"/>
      <c r="I188"/>
      <c r="J188"/>
      <c r="K188"/>
      <c r="L188"/>
      <c r="M188"/>
      <c r="N188"/>
      <c r="O188"/>
      <c r="P188"/>
      <c r="Q188" s="68"/>
    </row>
    <row r="189" spans="1:23" ht="15">
      <c r="A189" s="191" t="s">
        <v>184</v>
      </c>
      <c r="B189" s="192">
        <f>88.6*8/1000</f>
        <v>0.7088</v>
      </c>
      <c r="R189" s="5"/>
      <c r="S189" s="5"/>
      <c r="T189" s="5"/>
      <c r="U189" s="5"/>
      <c r="V189" s="5"/>
      <c r="W189" s="5"/>
    </row>
    <row r="190" spans="1:23" ht="15">
      <c r="A190" s="191" t="s">
        <v>185</v>
      </c>
      <c r="B190" s="192">
        <f>65*8/1000</f>
        <v>0.52</v>
      </c>
      <c r="R190" s="5"/>
      <c r="S190" s="5"/>
      <c r="T190" s="5"/>
      <c r="U190" s="5"/>
      <c r="V190" s="5"/>
      <c r="W190" s="5"/>
    </row>
    <row r="191" spans="1:23" ht="15">
      <c r="A191" s="191" t="s">
        <v>149</v>
      </c>
      <c r="B191" s="192">
        <v>1.25</v>
      </c>
      <c r="R191" s="5"/>
      <c r="S191" s="5"/>
      <c r="T191" s="5"/>
      <c r="U191" s="5"/>
      <c r="V191" s="5"/>
      <c r="W191" s="5"/>
    </row>
  </sheetData>
  <mergeCells count="1">
    <mergeCell ref="A1:M1"/>
  </mergeCells>
  <printOptions gridLines="1" horizontalCentered="1" verticalCentered="1"/>
  <pageMargins left="0.71" right="0.2" top="0.4" bottom="0.34" header="0.26" footer="0.2"/>
  <pageSetup fitToHeight="4" horizontalDpi="300" verticalDpi="300" orientation="landscape" paperSize="9" scale="45" r:id="rId3"/>
  <headerFooter alignWithMargins="0">
    <oddFooter>&amp;R&amp;F              &amp;A      &amp;D  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zoomScale="75" zoomScaleNormal="75" workbookViewId="0" topLeftCell="A1">
      <selection activeCell="O25" sqref="O25"/>
    </sheetView>
  </sheetViews>
  <sheetFormatPr defaultColWidth="9.00390625" defaultRowHeight="12"/>
  <cols>
    <col min="1" max="1" width="14.25390625" style="288" customWidth="1"/>
    <col min="2" max="2" width="29.125" style="12" bestFit="1" customWidth="1"/>
    <col min="3" max="3" width="1.25" style="289" customWidth="1"/>
    <col min="4" max="4" width="13.25390625" style="290" customWidth="1"/>
    <col min="5" max="5" width="9.75390625" style="36" customWidth="1"/>
    <col min="6" max="6" width="9.75390625" style="291" customWidth="1"/>
    <col min="7" max="7" width="13.125" style="292" customWidth="1"/>
    <col min="8" max="8" width="2.75390625" style="404" customWidth="1"/>
    <col min="9" max="9" width="1.12109375" style="294" customWidth="1"/>
    <col min="10" max="10" width="13.875" style="295" customWidth="1"/>
    <col min="11" max="11" width="8.125" style="296" customWidth="1"/>
    <col min="12" max="12" width="9.125" style="296" customWidth="1"/>
    <col min="13" max="13" width="13.125" style="292" customWidth="1"/>
    <col min="14" max="14" width="4.00390625" style="297" customWidth="1"/>
    <col min="15" max="15" width="13.125" style="297" customWidth="1"/>
    <col min="16" max="16" width="13.125" style="298" hidden="1" customWidth="1"/>
    <col min="17" max="17" width="11.75390625" style="294" hidden="1" customWidth="1"/>
    <col min="18" max="18" width="5.875" style="294" hidden="1" customWidth="1"/>
    <col min="19" max="19" width="8.75390625" style="294" hidden="1" customWidth="1"/>
    <col min="20" max="20" width="10.375" style="299" hidden="1" customWidth="1"/>
    <col min="21" max="21" width="10.00390625" style="294" hidden="1" customWidth="1"/>
    <col min="22" max="22" width="6.00390625" style="294" hidden="1" customWidth="1"/>
    <col min="23" max="23" width="27.125" style="300" hidden="1" customWidth="1"/>
    <col min="24" max="25" width="11.375" style="293" hidden="1" customWidth="1"/>
    <col min="26" max="27" width="11.375" style="12" hidden="1" customWidth="1"/>
    <col min="28" max="16384" width="11.375" style="12" customWidth="1"/>
  </cols>
  <sheetData>
    <row r="1" spans="1:15" s="265" customFormat="1" ht="20.25">
      <c r="A1" s="253" t="s">
        <v>249</v>
      </c>
      <c r="B1" s="254"/>
      <c r="C1" s="254"/>
      <c r="D1" s="255"/>
      <c r="E1" s="256"/>
      <c r="F1" s="257"/>
      <c r="G1" s="258"/>
      <c r="H1" s="259"/>
      <c r="I1" s="260"/>
      <c r="J1" s="261"/>
      <c r="K1" s="262"/>
      <c r="L1" s="263"/>
      <c r="M1" s="258"/>
      <c r="N1" s="264"/>
      <c r="O1" s="264"/>
    </row>
    <row r="2" spans="1:15" s="275" customFormat="1" ht="18.75">
      <c r="A2" s="266" t="s">
        <v>251</v>
      </c>
      <c r="B2" s="267" t="s">
        <v>252</v>
      </c>
      <c r="C2" s="266">
        <v>21</v>
      </c>
      <c r="D2" s="266"/>
      <c r="E2" s="268"/>
      <c r="F2" s="269"/>
      <c r="G2" s="270"/>
      <c r="H2" s="271"/>
      <c r="I2" s="271"/>
      <c r="J2" s="272"/>
      <c r="K2" s="273"/>
      <c r="L2" s="274"/>
      <c r="M2" s="270"/>
      <c r="N2" s="270"/>
      <c r="O2" s="270"/>
    </row>
    <row r="3" spans="1:15" s="265" customFormat="1" ht="18">
      <c r="A3" s="276" t="s">
        <v>250</v>
      </c>
      <c r="B3" s="277" t="s">
        <v>253</v>
      </c>
      <c r="C3" s="278"/>
      <c r="D3" s="279"/>
      <c r="E3" s="280"/>
      <c r="F3" s="281"/>
      <c r="G3" s="282"/>
      <c r="H3" s="283"/>
      <c r="I3" s="284"/>
      <c r="J3" s="285"/>
      <c r="K3" s="286"/>
      <c r="L3" s="263"/>
      <c r="M3" s="282"/>
      <c r="N3" s="287"/>
      <c r="O3" s="287"/>
    </row>
    <row r="4" ht="18.75" thickBot="1">
      <c r="H4" s="293"/>
    </row>
    <row r="5" spans="1:26" s="289" customFormat="1" ht="19.5" thickBot="1">
      <c r="A5" s="301"/>
      <c r="B5" s="302"/>
      <c r="C5" s="303" t="s">
        <v>254</v>
      </c>
      <c r="D5" s="304"/>
      <c r="E5" s="305"/>
      <c r="F5" s="306"/>
      <c r="G5" s="307"/>
      <c r="H5" s="308"/>
      <c r="I5" s="309" t="s">
        <v>255</v>
      </c>
      <c r="J5" s="310"/>
      <c r="K5" s="306"/>
      <c r="L5" s="306"/>
      <c r="M5" s="307"/>
      <c r="N5" s="311" t="s">
        <v>159</v>
      </c>
      <c r="O5" s="312" t="s">
        <v>256</v>
      </c>
      <c r="P5" s="307" t="s">
        <v>159</v>
      </c>
      <c r="Q5" s="313"/>
      <c r="R5" s="313"/>
      <c r="S5" s="313"/>
      <c r="T5" s="314"/>
      <c r="U5" s="313"/>
      <c r="V5" s="313"/>
      <c r="W5" s="315"/>
      <c r="X5" s="316"/>
      <c r="Y5" s="316"/>
      <c r="Z5" s="289" t="s">
        <v>256</v>
      </c>
    </row>
    <row r="6" spans="1:23" ht="18.75" thickBot="1">
      <c r="A6" s="317"/>
      <c r="B6" s="15"/>
      <c r="C6" s="32" t="s">
        <v>247</v>
      </c>
      <c r="D6" s="318"/>
      <c r="E6" s="319" t="s">
        <v>76</v>
      </c>
      <c r="F6" s="320" t="s">
        <v>246</v>
      </c>
      <c r="G6" s="321" t="s">
        <v>248</v>
      </c>
      <c r="H6" s="322"/>
      <c r="I6" s="323" t="s">
        <v>245</v>
      </c>
      <c r="J6" s="324"/>
      <c r="K6" s="320" t="s">
        <v>76</v>
      </c>
      <c r="L6" s="320" t="s">
        <v>246</v>
      </c>
      <c r="M6" s="321" t="s">
        <v>248</v>
      </c>
      <c r="O6" s="325"/>
      <c r="P6" s="326" t="s">
        <v>248</v>
      </c>
      <c r="Q6" s="327"/>
      <c r="R6" s="328"/>
      <c r="S6" s="329" t="s">
        <v>75</v>
      </c>
      <c r="T6" s="330" t="s">
        <v>76</v>
      </c>
      <c r="U6" s="331" t="s">
        <v>216</v>
      </c>
      <c r="V6" s="332"/>
      <c r="W6" s="333" t="s">
        <v>191</v>
      </c>
    </row>
    <row r="7" spans="1:25" s="36" customFormat="1" ht="18.75">
      <c r="A7" s="317" t="s">
        <v>187</v>
      </c>
      <c r="B7" s="35"/>
      <c r="C7" s="334">
        <f>SUM(D8:D9)</f>
        <v>542</v>
      </c>
      <c r="D7" s="335"/>
      <c r="E7" s="336"/>
      <c r="F7" s="337"/>
      <c r="G7" s="338"/>
      <c r="H7" s="339"/>
      <c r="I7" s="340">
        <f>'[1]Main'!B4</f>
        <v>592.89560939504</v>
      </c>
      <c r="J7" s="341" t="s">
        <v>159</v>
      </c>
      <c r="K7" s="342"/>
      <c r="L7" s="342"/>
      <c r="M7" s="343"/>
      <c r="N7" s="344"/>
      <c r="O7" s="345"/>
      <c r="P7" s="346">
        <f>'[1]Main'!C4</f>
        <v>699.6168190861471</v>
      </c>
      <c r="Q7" s="347"/>
      <c r="R7" s="348" t="s">
        <v>159</v>
      </c>
      <c r="S7" s="349">
        <f>SUM(S8:S9)</f>
        <v>180.53531908614707</v>
      </c>
      <c r="T7" s="350">
        <f>S7/I7</f>
        <v>0.3044976488700194</v>
      </c>
      <c r="U7" s="351">
        <f>V8+V9</f>
        <v>190</v>
      </c>
      <c r="V7" s="352"/>
      <c r="W7" s="353"/>
      <c r="X7" s="291"/>
      <c r="Y7" s="291"/>
    </row>
    <row r="8" spans="1:23" ht="51.75">
      <c r="A8" s="317" t="s">
        <v>159</v>
      </c>
      <c r="B8" s="15" t="s">
        <v>206</v>
      </c>
      <c r="C8" s="354"/>
      <c r="D8" s="355">
        <v>499</v>
      </c>
      <c r="E8" s="356">
        <v>0.17</v>
      </c>
      <c r="F8" s="357">
        <f>+E8*D8</f>
        <v>84.83000000000001</v>
      </c>
      <c r="G8" s="358">
        <f>SUM(D8,F8)</f>
        <v>583.83</v>
      </c>
      <c r="H8" s="359"/>
      <c r="I8" s="360"/>
      <c r="J8" s="361">
        <f>SUM(Main!C5)</f>
        <v>475.7595</v>
      </c>
      <c r="K8" s="362">
        <f>+L8/J8</f>
        <v>0.18</v>
      </c>
      <c r="L8" s="363">
        <f>+M8-J8</f>
        <v>85.63671</v>
      </c>
      <c r="M8" s="364">
        <f>SUM(Main!D5)</f>
        <v>561.39621</v>
      </c>
      <c r="N8" s="365"/>
      <c r="O8" s="366">
        <f>+M8-G8</f>
        <v>-22.433790000000045</v>
      </c>
      <c r="P8" s="367"/>
      <c r="Q8" s="368"/>
      <c r="R8" s="369">
        <f>'[1]Main'!D5</f>
        <v>570.8273190877951</v>
      </c>
      <c r="S8" s="370">
        <f>R8-J8</f>
        <v>95.0678190877951</v>
      </c>
      <c r="T8" s="371">
        <f>S8/J8</f>
        <v>0.1998232701350054</v>
      </c>
      <c r="U8" s="372"/>
      <c r="V8" s="373">
        <v>169</v>
      </c>
      <c r="W8" s="333" t="s">
        <v>192</v>
      </c>
    </row>
    <row r="9" spans="1:23" ht="18">
      <c r="A9" s="317" t="s">
        <v>159</v>
      </c>
      <c r="B9" s="15" t="s">
        <v>207</v>
      </c>
      <c r="C9" s="354"/>
      <c r="D9" s="355">
        <v>43</v>
      </c>
      <c r="E9" s="356">
        <v>0.18</v>
      </c>
      <c r="F9" s="357">
        <f aca="true" t="shared" si="0" ref="F9:F27">+E9*D9</f>
        <v>7.739999999999999</v>
      </c>
      <c r="G9" s="358">
        <f aca="true" t="shared" si="1" ref="G9:G27">SUM(D9,F9)</f>
        <v>50.74</v>
      </c>
      <c r="H9" s="359"/>
      <c r="I9" s="360"/>
      <c r="J9" s="361">
        <f>SUM(Main!C16)</f>
        <v>43.321999999999996</v>
      </c>
      <c r="K9" s="362">
        <f>+L9/J9</f>
        <v>0.17999999999999994</v>
      </c>
      <c r="L9" s="363">
        <f>+M9-J9</f>
        <v>7.797959999999996</v>
      </c>
      <c r="M9" s="364">
        <f>SUM(Main!D16)</f>
        <v>51.11995999999999</v>
      </c>
      <c r="N9" s="365"/>
      <c r="O9" s="366">
        <f aca="true" t="shared" si="2" ref="O9:O31">+M9-G9</f>
        <v>0.37995999999998986</v>
      </c>
      <c r="P9" s="367"/>
      <c r="Q9" s="368"/>
      <c r="R9" s="369">
        <f>'[1]Main'!D16</f>
        <v>128.78949999835197</v>
      </c>
      <c r="S9" s="370">
        <f>R9-J9</f>
        <v>85.46749999835197</v>
      </c>
      <c r="T9" s="371">
        <f>S9/J9</f>
        <v>1.972842897335118</v>
      </c>
      <c r="U9" s="372"/>
      <c r="V9" s="373">
        <v>21</v>
      </c>
      <c r="W9" s="333" t="s">
        <v>201</v>
      </c>
    </row>
    <row r="10" spans="1:25" s="36" customFormat="1" ht="18">
      <c r="A10" s="317" t="s">
        <v>188</v>
      </c>
      <c r="B10" s="35"/>
      <c r="C10" s="374">
        <f>SUM(D11:D12)</f>
        <v>14.5</v>
      </c>
      <c r="D10" s="375"/>
      <c r="E10" s="356"/>
      <c r="F10" s="357"/>
      <c r="G10" s="358"/>
      <c r="H10" s="359"/>
      <c r="I10" s="376">
        <f>'[1]Main'!B18</f>
        <v>26.136740359999997</v>
      </c>
      <c r="J10" s="377" t="s">
        <v>159</v>
      </c>
      <c r="K10" s="362"/>
      <c r="L10" s="363"/>
      <c r="M10" s="364"/>
      <c r="N10" s="365"/>
      <c r="O10" s="366"/>
      <c r="P10" s="378">
        <f>'[1]Main'!C18</f>
        <v>30.841353624799996</v>
      </c>
      <c r="Q10" s="347"/>
      <c r="R10" s="348" t="s">
        <v>159</v>
      </c>
      <c r="S10" s="349">
        <f>SUM(S11:S12)</f>
        <v>30.841353624799996</v>
      </c>
      <c r="T10" s="350">
        <f>S10/I10</f>
        <v>1.18</v>
      </c>
      <c r="U10" s="351">
        <f>V11+V12</f>
        <v>41</v>
      </c>
      <c r="V10" s="352"/>
      <c r="W10" s="353"/>
      <c r="X10" s="291"/>
      <c r="Y10" s="291"/>
    </row>
    <row r="11" spans="1:23" ht="18">
      <c r="A11" s="317" t="s">
        <v>159</v>
      </c>
      <c r="B11" s="15" t="s">
        <v>208</v>
      </c>
      <c r="C11" s="354"/>
      <c r="D11" s="355">
        <v>0</v>
      </c>
      <c r="E11" s="356">
        <v>0</v>
      </c>
      <c r="F11" s="357">
        <f t="shared" si="0"/>
        <v>0</v>
      </c>
      <c r="G11" s="358">
        <f t="shared" si="1"/>
        <v>0</v>
      </c>
      <c r="H11" s="359"/>
      <c r="I11" s="360"/>
      <c r="J11" s="361">
        <f>SUM(Main!C19)</f>
        <v>0</v>
      </c>
      <c r="K11" s="362" t="e">
        <f>+L11/J11</f>
        <v>#DIV/0!</v>
      </c>
      <c r="L11" s="363">
        <f>+M11-J11</f>
        <v>0</v>
      </c>
      <c r="M11" s="364">
        <f>SUM(Main!D19)</f>
        <v>0</v>
      </c>
      <c r="N11" s="365"/>
      <c r="O11" s="366">
        <f t="shared" si="2"/>
        <v>0</v>
      </c>
      <c r="P11" s="367"/>
      <c r="Q11" s="368"/>
      <c r="R11" s="369">
        <f>'[1]Main'!D19</f>
        <v>0</v>
      </c>
      <c r="S11" s="370">
        <f>R11-J11</f>
        <v>0</v>
      </c>
      <c r="T11" s="371">
        <v>0</v>
      </c>
      <c r="U11" s="372"/>
      <c r="V11" s="373"/>
      <c r="W11" s="333" t="s">
        <v>194</v>
      </c>
    </row>
    <row r="12" spans="1:23" ht="18">
      <c r="A12" s="317" t="s">
        <v>159</v>
      </c>
      <c r="B12" s="15" t="s">
        <v>209</v>
      </c>
      <c r="C12" s="354"/>
      <c r="D12" s="355">
        <v>14.5</v>
      </c>
      <c r="E12" s="356">
        <v>0.18</v>
      </c>
      <c r="F12" s="357">
        <f t="shared" si="0"/>
        <v>2.61</v>
      </c>
      <c r="G12" s="358">
        <f t="shared" si="1"/>
        <v>17.11</v>
      </c>
      <c r="H12" s="359"/>
      <c r="I12" s="360"/>
      <c r="J12" s="361">
        <f>SUM(Main!C21)</f>
        <v>0</v>
      </c>
      <c r="K12" s="362" t="e">
        <f>+L12/J12</f>
        <v>#DIV/0!</v>
      </c>
      <c r="L12" s="363">
        <f>+M12-J12</f>
        <v>0</v>
      </c>
      <c r="M12" s="364">
        <f>SUM(Main!D21)</f>
        <v>0</v>
      </c>
      <c r="N12" s="365"/>
      <c r="O12" s="366">
        <f t="shared" si="2"/>
        <v>-17.11</v>
      </c>
      <c r="P12" s="367"/>
      <c r="Q12" s="368"/>
      <c r="R12" s="369">
        <f>'[1]Main'!D21</f>
        <v>30.841353624799996</v>
      </c>
      <c r="S12" s="370">
        <f>R12-J12</f>
        <v>30.841353624799996</v>
      </c>
      <c r="T12" s="371" t="e">
        <f>S12/J12</f>
        <v>#DIV/0!</v>
      </c>
      <c r="U12" s="372"/>
      <c r="V12" s="373">
        <v>41</v>
      </c>
      <c r="W12" s="333" t="s">
        <v>193</v>
      </c>
    </row>
    <row r="13" spans="1:25" s="36" customFormat="1" ht="18">
      <c r="A13" s="317" t="s">
        <v>189</v>
      </c>
      <c r="B13" s="35"/>
      <c r="C13" s="374">
        <f>SUM(D14:D16)</f>
        <v>2395.449</v>
      </c>
      <c r="D13" s="375"/>
      <c r="E13" s="356"/>
      <c r="F13" s="357"/>
      <c r="G13" s="358"/>
      <c r="H13" s="359"/>
      <c r="I13" s="376">
        <f>'[1]Main'!B23</f>
        <v>3119.71091260272</v>
      </c>
      <c r="J13" s="377" t="s">
        <v>159</v>
      </c>
      <c r="K13" s="362"/>
      <c r="L13" s="363"/>
      <c r="M13" s="364"/>
      <c r="N13" s="365"/>
      <c r="O13" s="366"/>
      <c r="P13" s="378">
        <f>'[1]Main'!C23</f>
        <v>3732.858876871209</v>
      </c>
      <c r="Q13" s="347"/>
      <c r="R13" s="348" t="s">
        <v>159</v>
      </c>
      <c r="S13" s="349">
        <f>SUM(S14:S16)</f>
        <v>1488.167926871209</v>
      </c>
      <c r="T13" s="350">
        <f>S13/I13</f>
        <v>0.477021098608671</v>
      </c>
      <c r="U13" s="351">
        <f>V14+V15+V16</f>
        <v>1154</v>
      </c>
      <c r="V13" s="352"/>
      <c r="W13" s="353"/>
      <c r="X13" s="291"/>
      <c r="Y13" s="291"/>
    </row>
    <row r="14" spans="1:23" ht="18">
      <c r="A14" s="317" t="s">
        <v>159</v>
      </c>
      <c r="B14" s="15" t="s">
        <v>210</v>
      </c>
      <c r="C14" s="354"/>
      <c r="D14" s="355">
        <v>365.479</v>
      </c>
      <c r="E14" s="356">
        <v>0.18</v>
      </c>
      <c r="F14" s="357">
        <f t="shared" si="0"/>
        <v>65.78622</v>
      </c>
      <c r="G14" s="358">
        <f t="shared" si="1"/>
        <v>431.26522</v>
      </c>
      <c r="H14" s="359"/>
      <c r="I14" s="360"/>
      <c r="J14" s="361">
        <f>SUM(Main!C24)</f>
        <v>324.926</v>
      </c>
      <c r="K14" s="362">
        <f>+L14/J14</f>
        <v>0.17999999999999994</v>
      </c>
      <c r="L14" s="363">
        <f>+M14-J14</f>
        <v>58.48667999999998</v>
      </c>
      <c r="M14" s="364">
        <f>SUM(Main!D24)</f>
        <v>383.41267999999997</v>
      </c>
      <c r="N14" s="365"/>
      <c r="O14" s="366">
        <f t="shared" si="2"/>
        <v>-47.85254000000003</v>
      </c>
      <c r="P14" s="367"/>
      <c r="Q14" s="368"/>
      <c r="R14" s="369">
        <f>'[1]Main'!D24</f>
        <v>456.38519027464315</v>
      </c>
      <c r="S14" s="370">
        <f>R14-J14</f>
        <v>131.45919027464316</v>
      </c>
      <c r="T14" s="371">
        <f>S14/J14</f>
        <v>0.40458193642442636</v>
      </c>
      <c r="U14" s="372"/>
      <c r="V14" s="373">
        <v>0</v>
      </c>
      <c r="W14" s="333" t="s">
        <v>194</v>
      </c>
    </row>
    <row r="15" spans="1:23" ht="18">
      <c r="A15" s="317" t="s">
        <v>159</v>
      </c>
      <c r="B15" s="15" t="s">
        <v>211</v>
      </c>
      <c r="C15" s="354"/>
      <c r="D15" s="355">
        <v>1311.1</v>
      </c>
      <c r="E15" s="356">
        <v>0.213</v>
      </c>
      <c r="F15" s="357">
        <f t="shared" si="0"/>
        <v>279.2643</v>
      </c>
      <c r="G15" s="358">
        <f t="shared" si="1"/>
        <v>1590.3643</v>
      </c>
      <c r="H15" s="359"/>
      <c r="I15" s="360"/>
      <c r="J15" s="361">
        <f>SUM(Main!C40)</f>
        <v>1387.9268000000002</v>
      </c>
      <c r="K15" s="362">
        <f>+L15/J15</f>
        <v>0.23854608470706085</v>
      </c>
      <c r="L15" s="363">
        <f>+M15-J15</f>
        <v>331.0845039999999</v>
      </c>
      <c r="M15" s="364">
        <f>SUM(Main!D40)</f>
        <v>1719.011304</v>
      </c>
      <c r="N15" s="365"/>
      <c r="O15" s="366">
        <f t="shared" si="2"/>
        <v>128.64700400000015</v>
      </c>
      <c r="P15" s="367"/>
      <c r="Q15" s="368"/>
      <c r="R15" s="369">
        <f>'[1]Main'!D40</f>
        <v>1916.3804689334336</v>
      </c>
      <c r="S15" s="370">
        <f>R15-J15</f>
        <v>528.4536689334334</v>
      </c>
      <c r="T15" s="371">
        <f>S15/J15</f>
        <v>0.38075038894949886</v>
      </c>
      <c r="U15" s="372"/>
      <c r="V15" s="373">
        <v>0</v>
      </c>
      <c r="W15" s="333" t="s">
        <v>194</v>
      </c>
    </row>
    <row r="16" spans="1:23" ht="26.25">
      <c r="A16" s="317" t="s">
        <v>159</v>
      </c>
      <c r="B16" s="15" t="s">
        <v>212</v>
      </c>
      <c r="C16" s="354"/>
      <c r="D16" s="355">
        <v>718.87</v>
      </c>
      <c r="E16" s="356">
        <v>0.18</v>
      </c>
      <c r="F16" s="357">
        <f t="shared" si="0"/>
        <v>129.3966</v>
      </c>
      <c r="G16" s="358">
        <f t="shared" si="1"/>
        <v>848.2666</v>
      </c>
      <c r="H16" s="359"/>
      <c r="I16" s="360"/>
      <c r="J16" s="361">
        <f>SUM(Main!C47)</f>
        <v>531.83815</v>
      </c>
      <c r="K16" s="362">
        <f>+L16/J16</f>
        <v>0.17999999999999997</v>
      </c>
      <c r="L16" s="363">
        <f>+M16-J16</f>
        <v>95.73086699999999</v>
      </c>
      <c r="M16" s="364">
        <f>SUM(Main!D47)</f>
        <v>627.569017</v>
      </c>
      <c r="N16" s="365"/>
      <c r="O16" s="366">
        <f t="shared" si="2"/>
        <v>-220.697583</v>
      </c>
      <c r="P16" s="367"/>
      <c r="Q16" s="368"/>
      <c r="R16" s="369">
        <f>'[1]Main'!D47</f>
        <v>1360.0932176631325</v>
      </c>
      <c r="S16" s="370">
        <f>R16-J16</f>
        <v>828.2550676631324</v>
      </c>
      <c r="T16" s="371">
        <f>S16/J16</f>
        <v>1.5573442177157324</v>
      </c>
      <c r="U16" s="372"/>
      <c r="V16" s="373">
        <v>1154</v>
      </c>
      <c r="W16" s="333" t="s">
        <v>202</v>
      </c>
    </row>
    <row r="17" spans="1:25" s="36" customFormat="1" ht="18">
      <c r="A17" s="317" t="s">
        <v>204</v>
      </c>
      <c r="B17" s="35"/>
      <c r="C17" s="374">
        <f>SUM(D18:D23)</f>
        <v>1623.9370000000001</v>
      </c>
      <c r="D17" s="375"/>
      <c r="E17" s="356"/>
      <c r="F17" s="357"/>
      <c r="G17" s="358"/>
      <c r="H17" s="359"/>
      <c r="I17" s="376">
        <f>'[1]Main'!B73</f>
        <v>1565.4259293092798</v>
      </c>
      <c r="J17" s="377" t="s">
        <v>159</v>
      </c>
      <c r="K17" s="362"/>
      <c r="L17" s="363"/>
      <c r="M17" s="364"/>
      <c r="N17" s="365"/>
      <c r="O17" s="366"/>
      <c r="P17" s="378">
        <f>'[1]Main'!C73</f>
        <v>1860.1072301245536</v>
      </c>
      <c r="Q17" s="347"/>
      <c r="R17" s="348" t="s">
        <v>159</v>
      </c>
      <c r="S17" s="349">
        <f>SUM(S18:S22)</f>
        <v>393.47163012455314</v>
      </c>
      <c r="T17" s="350">
        <f>S17/I17</f>
        <v>0.25135116440684385</v>
      </c>
      <c r="U17" s="351">
        <f>V18+V19+V20+V21+V22+V23</f>
        <v>727</v>
      </c>
      <c r="V17" s="352"/>
      <c r="W17" s="353"/>
      <c r="X17" s="291"/>
      <c r="Y17" s="291"/>
    </row>
    <row r="18" spans="1:23" ht="26.25">
      <c r="A18" s="317" t="s">
        <v>159</v>
      </c>
      <c r="B18" s="15" t="s">
        <v>7</v>
      </c>
      <c r="C18" s="354"/>
      <c r="D18" s="355">
        <v>584.74</v>
      </c>
      <c r="E18" s="356">
        <v>0.186</v>
      </c>
      <c r="F18" s="357">
        <f t="shared" si="0"/>
        <v>108.76164</v>
      </c>
      <c r="G18" s="358">
        <f t="shared" si="1"/>
        <v>693.50164</v>
      </c>
      <c r="H18" s="359"/>
      <c r="I18" s="360"/>
      <c r="J18" s="361">
        <f>SUM(Main!C67)</f>
        <v>611.8756000000001</v>
      </c>
      <c r="K18" s="362">
        <f>+L18/J18</f>
        <v>0.18588825571733847</v>
      </c>
      <c r="L18" s="363">
        <f>+M18-J18</f>
        <v>113.74048799999991</v>
      </c>
      <c r="M18" s="364">
        <f>SUM(Main!D67)</f>
        <v>725.616088</v>
      </c>
      <c r="N18" s="365"/>
      <c r="O18" s="366">
        <f t="shared" si="2"/>
        <v>32.11444800000004</v>
      </c>
      <c r="P18" s="367"/>
      <c r="Q18" s="368"/>
      <c r="R18" s="369">
        <f>'[1]Main'!D74</f>
        <v>679.1533811889664</v>
      </c>
      <c r="S18" s="370">
        <f aca="true" t="shared" si="3" ref="S18:S23">R18-J18</f>
        <v>67.27778118896629</v>
      </c>
      <c r="T18" s="371">
        <f aca="true" t="shared" si="4" ref="T18:T23">S18/J18</f>
        <v>0.10995336501237551</v>
      </c>
      <c r="U18" s="372"/>
      <c r="V18" s="373">
        <v>209</v>
      </c>
      <c r="W18" s="333" t="s">
        <v>195</v>
      </c>
    </row>
    <row r="19" spans="1:23" ht="26.25">
      <c r="A19" s="317" t="s">
        <v>159</v>
      </c>
      <c r="B19" s="15" t="s">
        <v>8</v>
      </c>
      <c r="C19" s="354"/>
      <c r="D19" s="355">
        <v>96.4</v>
      </c>
      <c r="E19" s="356">
        <v>0.18</v>
      </c>
      <c r="F19" s="357">
        <f t="shared" si="0"/>
        <v>17.352</v>
      </c>
      <c r="G19" s="358">
        <f t="shared" si="1"/>
        <v>113.75200000000001</v>
      </c>
      <c r="H19" s="359"/>
      <c r="I19" s="360"/>
      <c r="J19" s="361">
        <f>SUM(Main!C82)</f>
        <v>96.732</v>
      </c>
      <c r="K19" s="362">
        <f>+L19/J19</f>
        <v>0.17999999999999985</v>
      </c>
      <c r="L19" s="363">
        <f>+M19-J19</f>
        <v>17.411759999999987</v>
      </c>
      <c r="M19" s="364">
        <f>SUM(Main!D82)</f>
        <v>114.14375999999999</v>
      </c>
      <c r="N19" s="365"/>
      <c r="O19" s="366">
        <f t="shared" si="2"/>
        <v>0.39175999999997657</v>
      </c>
      <c r="P19" s="367"/>
      <c r="Q19" s="368"/>
      <c r="R19" s="369">
        <f>'[1]Main'!D89</f>
        <v>110.68579482191359</v>
      </c>
      <c r="S19" s="370">
        <f t="shared" si="3"/>
        <v>13.95379482191359</v>
      </c>
      <c r="T19" s="371">
        <f t="shared" si="4"/>
        <v>0.14425210707845998</v>
      </c>
      <c r="U19" s="372"/>
      <c r="V19" s="373">
        <v>50</v>
      </c>
      <c r="W19" s="333" t="s">
        <v>203</v>
      </c>
    </row>
    <row r="20" spans="1:23" ht="26.25">
      <c r="A20" s="317" t="s">
        <v>159</v>
      </c>
      <c r="B20" s="15" t="s">
        <v>27</v>
      </c>
      <c r="C20" s="354"/>
      <c r="D20" s="355">
        <v>39.63</v>
      </c>
      <c r="E20" s="356">
        <v>0.18</v>
      </c>
      <c r="F20" s="357">
        <f t="shared" si="0"/>
        <v>7.1334</v>
      </c>
      <c r="G20" s="358">
        <f t="shared" si="1"/>
        <v>46.763400000000004</v>
      </c>
      <c r="H20" s="359"/>
      <c r="I20" s="360"/>
      <c r="J20" s="361">
        <f>SUM(Main!C84)</f>
        <v>37.92</v>
      </c>
      <c r="K20" s="362">
        <f>+L20/J20</f>
        <v>0.18000000000000002</v>
      </c>
      <c r="L20" s="363">
        <f>+M20-J20</f>
        <v>6.825600000000001</v>
      </c>
      <c r="M20" s="364">
        <f>SUM(Main!D84)</f>
        <v>44.7456</v>
      </c>
      <c r="N20" s="365"/>
      <c r="O20" s="366">
        <f t="shared" si="2"/>
        <v>-2.017800000000001</v>
      </c>
      <c r="P20" s="367"/>
      <c r="Q20" s="368"/>
      <c r="R20" s="369">
        <f>'[1]Main'!D91</f>
        <v>44.017626691296</v>
      </c>
      <c r="S20" s="370">
        <f t="shared" si="3"/>
        <v>6.097626691296</v>
      </c>
      <c r="T20" s="371">
        <f t="shared" si="4"/>
        <v>0.16080239164810126</v>
      </c>
      <c r="U20" s="372"/>
      <c r="V20" s="373">
        <v>260</v>
      </c>
      <c r="W20" s="333" t="s">
        <v>196</v>
      </c>
    </row>
    <row r="21" spans="1:23" ht="26.25">
      <c r="A21" s="317" t="s">
        <v>159</v>
      </c>
      <c r="B21" s="15" t="s">
        <v>28</v>
      </c>
      <c r="C21" s="354"/>
      <c r="D21" s="355">
        <v>607.84</v>
      </c>
      <c r="E21" s="356">
        <v>0.12</v>
      </c>
      <c r="F21" s="357">
        <f t="shared" si="0"/>
        <v>72.9408</v>
      </c>
      <c r="G21" s="358">
        <f t="shared" si="1"/>
        <v>680.7808</v>
      </c>
      <c r="H21" s="359"/>
      <c r="I21" s="360"/>
      <c r="J21" s="361">
        <f>SUM(Main!C86)</f>
        <v>432.49800000000005</v>
      </c>
      <c r="K21" s="362">
        <f>+L21/J21</f>
        <v>0.17999999999999977</v>
      </c>
      <c r="L21" s="363">
        <f>+M21-J21</f>
        <v>77.84963999999991</v>
      </c>
      <c r="M21" s="364">
        <f>SUM(Main!D86)</f>
        <v>510.34763999999996</v>
      </c>
      <c r="N21" s="365"/>
      <c r="O21" s="366">
        <f t="shared" si="2"/>
        <v>-170.43316000000004</v>
      </c>
      <c r="P21" s="367"/>
      <c r="Q21" s="368"/>
      <c r="R21" s="369">
        <f>'[1]Main'!D93</f>
        <v>672.4143966149022</v>
      </c>
      <c r="S21" s="370">
        <f t="shared" si="3"/>
        <v>239.91639661490217</v>
      </c>
      <c r="T21" s="371">
        <f t="shared" si="4"/>
        <v>0.5547225573642008</v>
      </c>
      <c r="U21" s="372"/>
      <c r="V21" s="373">
        <v>128</v>
      </c>
      <c r="W21" s="333" t="s">
        <v>195</v>
      </c>
    </row>
    <row r="22" spans="1:23" ht="26.25">
      <c r="A22" s="317" t="s">
        <v>159</v>
      </c>
      <c r="B22" s="15" t="s">
        <v>29</v>
      </c>
      <c r="C22" s="354"/>
      <c r="D22" s="355">
        <v>236.8</v>
      </c>
      <c r="E22" s="356">
        <v>0.213</v>
      </c>
      <c r="F22" s="357">
        <f t="shared" si="0"/>
        <v>50.4384</v>
      </c>
      <c r="G22" s="358">
        <f t="shared" si="1"/>
        <v>287.2384</v>
      </c>
      <c r="H22" s="359"/>
      <c r="I22" s="360"/>
      <c r="J22" s="361">
        <f>SUM(Main!C91)</f>
        <v>287.61</v>
      </c>
      <c r="K22" s="362">
        <f>+L22/J22</f>
        <v>0.21236326970550407</v>
      </c>
      <c r="L22" s="363">
        <f>+M22-J22</f>
        <v>61.077800000000025</v>
      </c>
      <c r="M22" s="364">
        <f>SUM(Main!D91)</f>
        <v>348.68780000000004</v>
      </c>
      <c r="N22" s="365"/>
      <c r="O22" s="366">
        <f t="shared" si="2"/>
        <v>61.449400000000026</v>
      </c>
      <c r="P22" s="367"/>
      <c r="Q22" s="368"/>
      <c r="R22" s="369">
        <f>'[1]Main'!D98</f>
        <v>353.83603080747514</v>
      </c>
      <c r="S22" s="370">
        <f t="shared" si="3"/>
        <v>66.22603080747513</v>
      </c>
      <c r="T22" s="371">
        <f t="shared" si="4"/>
        <v>0.23026331075927514</v>
      </c>
      <c r="U22" s="372"/>
      <c r="V22" s="373">
        <v>80</v>
      </c>
      <c r="W22" s="333" t="s">
        <v>195</v>
      </c>
    </row>
    <row r="23" spans="1:23" ht="18">
      <c r="A23" s="317" t="s">
        <v>159</v>
      </c>
      <c r="B23" s="15" t="s">
        <v>30</v>
      </c>
      <c r="C23" s="354"/>
      <c r="D23" s="355">
        <v>58.527</v>
      </c>
      <c r="E23" s="356">
        <v>0.18</v>
      </c>
      <c r="F23" s="357">
        <f t="shared" si="0"/>
        <v>10.53486</v>
      </c>
      <c r="G23" s="358">
        <f t="shared" si="1"/>
        <v>69.06186</v>
      </c>
      <c r="H23" s="359"/>
      <c r="I23" s="360"/>
      <c r="J23" s="361">
        <f>SUM(Main!C94)</f>
        <v>166.64684</v>
      </c>
      <c r="K23" s="362"/>
      <c r="L23" s="363">
        <f>+K23*J23</f>
        <v>0</v>
      </c>
      <c r="M23" s="364">
        <f>SUM(Main!D94)</f>
        <v>198.02347120000002</v>
      </c>
      <c r="N23" s="365"/>
      <c r="O23" s="366">
        <f t="shared" si="2"/>
        <v>128.96161120000002</v>
      </c>
      <c r="P23" s="367"/>
      <c r="Q23" s="368"/>
      <c r="R23" s="369" t="e">
        <f>'[1]Main'!D101</f>
        <v>#REF!</v>
      </c>
      <c r="S23" s="370" t="e">
        <f t="shared" si="3"/>
        <v>#REF!</v>
      </c>
      <c r="T23" s="371" t="e">
        <f t="shared" si="4"/>
        <v>#REF!</v>
      </c>
      <c r="U23" s="372"/>
      <c r="V23" s="373"/>
      <c r="W23" s="333" t="s">
        <v>197</v>
      </c>
    </row>
    <row r="24" spans="1:23" ht="18">
      <c r="A24" s="317" t="s">
        <v>205</v>
      </c>
      <c r="B24" s="15"/>
      <c r="C24" s="354">
        <f>SUM(D25:D27)</f>
        <v>1011.0250000000001</v>
      </c>
      <c r="D24" s="355"/>
      <c r="E24" s="356"/>
      <c r="F24" s="357"/>
      <c r="G24" s="358"/>
      <c r="H24" s="359"/>
      <c r="I24" s="360">
        <f>'[1]Main'!B103</f>
        <v>998.2615762711999</v>
      </c>
      <c r="J24" s="361" t="s">
        <v>159</v>
      </c>
      <c r="K24" s="362"/>
      <c r="L24" s="363"/>
      <c r="M24" s="364"/>
      <c r="N24" s="365"/>
      <c r="O24" s="366"/>
      <c r="P24" s="367">
        <f>'[1]Main'!C103</f>
        <v>1218.8036072484701</v>
      </c>
      <c r="Q24" s="368"/>
      <c r="R24" s="369" t="s">
        <v>159</v>
      </c>
      <c r="S24" s="349">
        <f>SUM(S25:S27)</f>
        <v>463.2896072484699</v>
      </c>
      <c r="T24" s="350">
        <f>S24/I24</f>
        <v>0.46409640344867586</v>
      </c>
      <c r="U24" s="372">
        <f>V25+V26+V27</f>
        <v>784</v>
      </c>
      <c r="V24" s="373"/>
      <c r="W24" s="333"/>
    </row>
    <row r="25" spans="1:23" ht="26.25">
      <c r="A25" s="317" t="s">
        <v>159</v>
      </c>
      <c r="B25" s="15" t="s">
        <v>213</v>
      </c>
      <c r="C25" s="354"/>
      <c r="D25" s="355">
        <v>378.4</v>
      </c>
      <c r="E25" s="356">
        <v>0.18</v>
      </c>
      <c r="F25" s="357">
        <f t="shared" si="0"/>
        <v>68.112</v>
      </c>
      <c r="G25" s="358">
        <f t="shared" si="1"/>
        <v>446.51199999999994</v>
      </c>
      <c r="H25" s="359"/>
      <c r="I25" s="360"/>
      <c r="J25" s="361">
        <f>SUM(Main!C103)</f>
        <v>475.4160000000002</v>
      </c>
      <c r="K25" s="362">
        <f>+L25/J25</f>
        <v>0.1799999999999991</v>
      </c>
      <c r="L25" s="363">
        <f>+M25-J25</f>
        <v>85.57487999999961</v>
      </c>
      <c r="M25" s="364">
        <f>SUM(Main!D103)</f>
        <v>560.9908799999998</v>
      </c>
      <c r="N25" s="365"/>
      <c r="O25" s="366">
        <f>+M25-G25</f>
        <v>114.47887999999989</v>
      </c>
      <c r="P25" s="367"/>
      <c r="Q25" s="368"/>
      <c r="R25" s="369">
        <f>'[1]Main'!D104</f>
        <v>456.31833407196456</v>
      </c>
      <c r="S25" s="370">
        <f>R25-J25</f>
        <v>-19.097665928035667</v>
      </c>
      <c r="T25" s="371">
        <f>S25/J25</f>
        <v>-0.040170431638892376</v>
      </c>
      <c r="U25" s="372"/>
      <c r="V25" s="373">
        <v>784</v>
      </c>
      <c r="W25" s="333" t="s">
        <v>198</v>
      </c>
    </row>
    <row r="26" spans="1:23" ht="26.25">
      <c r="A26" s="317" t="s">
        <v>159</v>
      </c>
      <c r="B26" s="15" t="s">
        <v>106</v>
      </c>
      <c r="C26" s="354"/>
      <c r="D26" s="355">
        <v>466.935</v>
      </c>
      <c r="E26" s="356">
        <v>0.26</v>
      </c>
      <c r="F26" s="357">
        <f t="shared" si="0"/>
        <v>121.40310000000001</v>
      </c>
      <c r="G26" s="358">
        <f t="shared" si="1"/>
        <v>588.3381</v>
      </c>
      <c r="H26" s="359"/>
      <c r="I26" s="360"/>
      <c r="J26" s="361">
        <f>SUM(Main!C114)</f>
        <v>94.08800000000001</v>
      </c>
      <c r="K26" s="362">
        <f>+L26/J26</f>
        <v>0.25999999999999995</v>
      </c>
      <c r="L26" s="363">
        <f>+M26-J26</f>
        <v>24.46288</v>
      </c>
      <c r="M26" s="364">
        <f>SUM(Main!D114)</f>
        <v>118.55088</v>
      </c>
      <c r="N26" s="365"/>
      <c r="O26" s="366">
        <f t="shared" si="2"/>
        <v>-469.78722000000005</v>
      </c>
      <c r="P26" s="367"/>
      <c r="Q26" s="368"/>
      <c r="R26" s="369">
        <f>'[1]Main'!D115</f>
        <v>574.000563278016</v>
      </c>
      <c r="S26" s="370">
        <f>R26-J26</f>
        <v>479.91256327801597</v>
      </c>
      <c r="T26" s="371">
        <f>S26/J26</f>
        <v>5.100677698303885</v>
      </c>
      <c r="U26" s="372"/>
      <c r="V26" s="373">
        <v>0</v>
      </c>
      <c r="W26" s="333" t="s">
        <v>199</v>
      </c>
    </row>
    <row r="27" spans="1:25" s="380" customFormat="1" ht="18">
      <c r="A27" s="317" t="s">
        <v>159</v>
      </c>
      <c r="B27" s="15" t="s">
        <v>107</v>
      </c>
      <c r="C27" s="354"/>
      <c r="D27" s="355">
        <v>165.69</v>
      </c>
      <c r="E27" s="356">
        <v>0.18</v>
      </c>
      <c r="F27" s="357">
        <f t="shared" si="0"/>
        <v>29.824199999999998</v>
      </c>
      <c r="G27" s="358">
        <f t="shared" si="1"/>
        <v>195.5142</v>
      </c>
      <c r="H27" s="359"/>
      <c r="I27" s="360"/>
      <c r="J27" s="361">
        <f>SUM(Main!C122)</f>
        <v>186.01000000000002</v>
      </c>
      <c r="K27" s="362">
        <f>+L27/J27</f>
        <v>0.1799999999999998</v>
      </c>
      <c r="L27" s="363">
        <f>+M27-J27</f>
        <v>33.481799999999964</v>
      </c>
      <c r="M27" s="364">
        <f>SUM(Main!D122)</f>
        <v>219.49179999999998</v>
      </c>
      <c r="N27" s="365"/>
      <c r="O27" s="366">
        <f t="shared" si="2"/>
        <v>23.977599999999995</v>
      </c>
      <c r="P27" s="367"/>
      <c r="Q27" s="368"/>
      <c r="R27" s="369">
        <f>'[1]Main'!D118</f>
        <v>188.4847098984896</v>
      </c>
      <c r="S27" s="370">
        <f>R27-J27</f>
        <v>2.4747098984895786</v>
      </c>
      <c r="T27" s="371">
        <f>S27/J27</f>
        <v>0.013304176649048859</v>
      </c>
      <c r="U27" s="372"/>
      <c r="V27" s="373">
        <v>0</v>
      </c>
      <c r="W27" s="333" t="s">
        <v>200</v>
      </c>
      <c r="X27" s="379"/>
      <c r="Y27" s="379"/>
    </row>
    <row r="28" spans="1:23" ht="18">
      <c r="A28" s="317" t="s">
        <v>257</v>
      </c>
      <c r="B28" s="15"/>
      <c r="C28" s="354">
        <f>SUM(D29:D31)</f>
        <v>5586.911</v>
      </c>
      <c r="D28" s="355">
        <v>1E-05</v>
      </c>
      <c r="E28" s="356"/>
      <c r="F28" s="357"/>
      <c r="G28" s="358">
        <v>1E-06</v>
      </c>
      <c r="H28" s="359"/>
      <c r="I28" s="360" t="e">
        <f>'[1]Main'!B107</f>
        <v>#REF!</v>
      </c>
      <c r="J28" s="361">
        <f>SUM(Main!C117)</f>
        <v>54.607</v>
      </c>
      <c r="K28" s="362">
        <f>+L28/J28</f>
        <v>0.2600000000000001</v>
      </c>
      <c r="L28" s="363">
        <f>+M28-J28</f>
        <v>14.197820000000007</v>
      </c>
      <c r="M28" s="364">
        <f>SUM(Main!D117)</f>
        <v>68.80482</v>
      </c>
      <c r="N28" s="365"/>
      <c r="O28" s="366">
        <f t="shared" si="2"/>
        <v>68.80481900000001</v>
      </c>
      <c r="P28" s="367" t="e">
        <f>'[1]Main'!C107</f>
        <v>#REF!</v>
      </c>
      <c r="Q28" s="368"/>
      <c r="R28" s="369" t="s">
        <v>159</v>
      </c>
      <c r="S28" s="349" t="e">
        <f>SUM(S29:S31)</f>
        <v>#REF!</v>
      </c>
      <c r="T28" s="350" t="e">
        <f>S28/I28</f>
        <v>#REF!</v>
      </c>
      <c r="U28" s="372">
        <f>V29+V30+V31</f>
        <v>2896</v>
      </c>
      <c r="V28" s="373"/>
      <c r="W28" s="333"/>
    </row>
    <row r="29" spans="1:25" s="423" customFormat="1" ht="18">
      <c r="A29" s="422"/>
      <c r="C29" s="424"/>
      <c r="D29" s="425"/>
      <c r="E29" s="426"/>
      <c r="F29" s="427"/>
      <c r="G29" s="428"/>
      <c r="H29" s="429"/>
      <c r="I29" s="430"/>
      <c r="J29" s="431"/>
      <c r="K29" s="432"/>
      <c r="L29" s="433"/>
      <c r="M29" s="434"/>
      <c r="N29" s="365"/>
      <c r="O29" s="366"/>
      <c r="P29" s="435"/>
      <c r="Q29" s="436"/>
      <c r="R29" s="437"/>
      <c r="S29" s="438"/>
      <c r="T29" s="439"/>
      <c r="U29" s="440"/>
      <c r="V29" s="441"/>
      <c r="W29" s="442"/>
      <c r="X29" s="327"/>
      <c r="Y29" s="327"/>
    </row>
    <row r="30" spans="1:25" s="423" customFormat="1" ht="18">
      <c r="A30" s="422"/>
      <c r="C30" s="424"/>
      <c r="D30" s="425"/>
      <c r="E30" s="426"/>
      <c r="F30" s="427"/>
      <c r="G30" s="428"/>
      <c r="H30" s="429"/>
      <c r="I30" s="430"/>
      <c r="J30" s="431"/>
      <c r="K30" s="432"/>
      <c r="L30" s="433"/>
      <c r="M30" s="434"/>
      <c r="N30" s="365"/>
      <c r="O30" s="366"/>
      <c r="P30" s="435"/>
      <c r="Q30" s="436"/>
      <c r="R30" s="437"/>
      <c r="S30" s="438"/>
      <c r="T30" s="439"/>
      <c r="U30" s="440"/>
      <c r="V30" s="441"/>
      <c r="W30" s="442"/>
      <c r="X30" s="327"/>
      <c r="Y30" s="327"/>
    </row>
    <row r="31" spans="1:22" ht="24" thickBot="1">
      <c r="A31" s="381"/>
      <c r="B31" s="382" t="str">
        <f>'[1]Main'!B131</f>
        <v> </v>
      </c>
      <c r="C31" s="383"/>
      <c r="D31" s="384">
        <f>SUM(C7:C27)</f>
        <v>5586.911</v>
      </c>
      <c r="E31" s="385"/>
      <c r="F31" s="386">
        <f>SUM(F8:F27)</f>
        <v>1056.12752</v>
      </c>
      <c r="G31" s="387">
        <f>SUM(G8:G28)</f>
        <v>6643.038521</v>
      </c>
      <c r="H31" s="388"/>
      <c r="I31" s="389"/>
      <c r="J31" s="390">
        <f>SUM(J8:J28)</f>
        <v>5207.17589</v>
      </c>
      <c r="K31" s="391"/>
      <c r="L31" s="392">
        <f>SUM(L8:L28)</f>
        <v>1013.3593889999994</v>
      </c>
      <c r="M31" s="393">
        <f>SUM(M8:M28)</f>
        <v>6251.911910199999</v>
      </c>
      <c r="N31" s="394"/>
      <c r="O31" s="395">
        <f t="shared" si="2"/>
        <v>-391.1266108000018</v>
      </c>
      <c r="P31" s="396">
        <f aca="true" t="shared" si="5" ref="P31:V31">SUM(P7:P27)</f>
        <v>7542.227886955179</v>
      </c>
      <c r="Q31" s="397"/>
      <c r="R31" s="398" t="e">
        <f t="shared" si="5"/>
        <v>#REF!</v>
      </c>
      <c r="S31" s="399" t="e">
        <f>R31-#REF!</f>
        <v>#REF!</v>
      </c>
      <c r="T31" s="400" t="e">
        <f>S31/#REF!</f>
        <v>#REF!</v>
      </c>
      <c r="U31" s="401">
        <f t="shared" si="5"/>
        <v>2896</v>
      </c>
      <c r="V31" s="402">
        <f t="shared" si="5"/>
        <v>2896</v>
      </c>
    </row>
    <row r="32" spans="5:9" ht="18">
      <c r="E32" s="403"/>
      <c r="I32" s="405"/>
    </row>
    <row r="33" ht="18">
      <c r="E33" s="406"/>
    </row>
    <row r="34" spans="13:15" ht="18">
      <c r="M34" s="292">
        <f>+J31+L31</f>
        <v>6220.535279</v>
      </c>
      <c r="O34" s="297">
        <f>SUM(O8:O28)</f>
        <v>-391.1266108000001</v>
      </c>
    </row>
    <row r="37" ht="18">
      <c r="F37" s="407"/>
    </row>
    <row r="42" spans="9:22" ht="18">
      <c r="I42" s="408"/>
      <c r="V42" s="294" t="s">
        <v>159</v>
      </c>
    </row>
    <row r="43" spans="1:13" ht="18">
      <c r="A43" s="409" t="str">
        <f>A7</f>
        <v>41- AC Power</v>
      </c>
      <c r="B43" s="14">
        <f>P7</f>
        <v>699.6168190861471</v>
      </c>
      <c r="C43" s="410"/>
      <c r="D43" s="411"/>
      <c r="E43" s="412"/>
      <c r="F43" s="413"/>
      <c r="G43" s="414"/>
      <c r="H43" s="322"/>
      <c r="I43" s="408"/>
      <c r="M43" s="414"/>
    </row>
    <row r="44" spans="1:13" ht="18">
      <c r="A44" s="409" t="str">
        <f>A10</f>
        <v>42 - AC/DC Converters</v>
      </c>
      <c r="B44" s="14">
        <f>P10</f>
        <v>30.841353624799996</v>
      </c>
      <c r="C44" s="410"/>
      <c r="D44" s="411"/>
      <c r="E44" s="412"/>
      <c r="F44" s="413"/>
      <c r="G44" s="414"/>
      <c r="H44" s="322"/>
      <c r="I44" s="408"/>
      <c r="M44" s="414"/>
    </row>
    <row r="45" spans="1:13" ht="18">
      <c r="A45" s="409" t="str">
        <f>A13</f>
        <v>43 - DC Systems</v>
      </c>
      <c r="B45" s="14">
        <f>P13</f>
        <v>3732.858876871209</v>
      </c>
      <c r="C45" s="410"/>
      <c r="D45" s="411"/>
      <c r="E45" s="412"/>
      <c r="F45" s="413"/>
      <c r="G45" s="414"/>
      <c r="H45" s="322"/>
      <c r="I45" s="408"/>
      <c r="M45" s="414"/>
    </row>
    <row r="46" spans="1:13" ht="18">
      <c r="A46" s="415" t="str">
        <f>A17</f>
        <v>44 - Control &amp; Protection Systems</v>
      </c>
      <c r="B46" s="37">
        <f>P17</f>
        <v>1860.1072301245536</v>
      </c>
      <c r="C46" s="410"/>
      <c r="D46" s="411"/>
      <c r="E46" s="412"/>
      <c r="F46" s="413"/>
      <c r="G46" s="414"/>
      <c r="H46" s="322"/>
      <c r="I46" s="408"/>
      <c r="M46" s="414"/>
    </row>
    <row r="47" spans="1:13" ht="18.75" thickBot="1">
      <c r="A47" s="416" t="str">
        <f>A24</f>
        <v>45 - System Design and Integration</v>
      </c>
      <c r="B47" s="38">
        <f>P24</f>
        <v>1218.8036072484701</v>
      </c>
      <c r="C47" s="410"/>
      <c r="D47" s="411"/>
      <c r="E47" s="412"/>
      <c r="F47" s="413"/>
      <c r="G47" s="414"/>
      <c r="H47" s="322"/>
      <c r="I47" s="408"/>
      <c r="M47" s="414"/>
    </row>
    <row r="48" spans="1:13" ht="18.75" thickBot="1">
      <c r="A48" s="417" t="s">
        <v>77</v>
      </c>
      <c r="B48" s="39">
        <f>SUM(B43:B47)</f>
        <v>7542.227886955179</v>
      </c>
      <c r="C48" s="410"/>
      <c r="D48" s="418"/>
      <c r="E48" s="419"/>
      <c r="F48" s="420"/>
      <c r="G48" s="414"/>
      <c r="H48" s="421"/>
      <c r="M48" s="414"/>
    </row>
  </sheetData>
  <printOptions/>
  <pageMargins left="0.75" right="0.75" top="1" bottom="1" header="0.5" footer="0.5"/>
  <pageSetup fitToHeight="1" fitToWidth="1" horizontalDpi="600" verticalDpi="600" orientation="landscape" scale="73" r:id="rId2"/>
  <headerFooter alignWithMargins="0">
    <oddFooter>&amp;R&amp;F                   &amp;A              &amp;D   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selection activeCell="M29" sqref="M29"/>
    </sheetView>
  </sheetViews>
  <sheetFormatPr defaultColWidth="9.00390625" defaultRowHeight="12"/>
  <cols>
    <col min="1" max="1" width="30.00390625" style="467" bestFit="1" customWidth="1"/>
    <col min="2" max="2" width="29.00390625" style="12" bestFit="1" customWidth="1"/>
    <col min="3" max="3" width="9.875" style="33" bestFit="1" customWidth="1"/>
    <col min="4" max="4" width="5.875" style="33" bestFit="1" customWidth="1"/>
    <col min="5" max="5" width="11.625" style="33" bestFit="1" customWidth="1"/>
    <col min="6" max="6" width="5.875" style="33" customWidth="1"/>
    <col min="7" max="7" width="8.625" style="33" bestFit="1" customWidth="1"/>
    <col min="8" max="8" width="8.625" style="34" bestFit="1" customWidth="1"/>
    <col min="9" max="9" width="9.875" style="33" bestFit="1" customWidth="1"/>
    <col min="10" max="10" width="5.875" style="33" bestFit="1" customWidth="1"/>
    <col min="11" max="11" width="27.125" style="13" customWidth="1"/>
    <col min="12" max="16384" width="11.375" style="12" customWidth="1"/>
  </cols>
  <sheetData>
    <row r="1" spans="1:11" ht="12.75">
      <c r="A1" s="477"/>
      <c r="B1" s="443"/>
      <c r="C1" s="444" t="s">
        <v>214</v>
      </c>
      <c r="D1" s="445"/>
      <c r="E1" s="444" t="s">
        <v>215</v>
      </c>
      <c r="F1" s="446"/>
      <c r="G1" s="447" t="s">
        <v>75</v>
      </c>
      <c r="H1" s="448" t="s">
        <v>76</v>
      </c>
      <c r="I1" s="444" t="s">
        <v>216</v>
      </c>
      <c r="J1" s="445"/>
      <c r="K1" s="449" t="s">
        <v>191</v>
      </c>
    </row>
    <row r="2" spans="1:11" s="36" customFormat="1" ht="12.75">
      <c r="A2" s="481" t="str">
        <f>Main!A4</f>
        <v>41- AC Power</v>
      </c>
      <c r="B2" s="450" t="s">
        <v>159</v>
      </c>
      <c r="C2" s="451">
        <f>Main!B4</f>
        <v>519.0815</v>
      </c>
      <c r="D2" s="452" t="s">
        <v>159</v>
      </c>
      <c r="E2" s="451">
        <f>Main!C4</f>
        <v>612.51617</v>
      </c>
      <c r="F2" s="453" t="s">
        <v>159</v>
      </c>
      <c r="G2" s="454">
        <f>SUM(G3:G4)</f>
        <v>93.43466999999998</v>
      </c>
      <c r="H2" s="455">
        <f>G2/C2</f>
        <v>0.17999999999999997</v>
      </c>
      <c r="I2" s="451">
        <f>J3+J4</f>
        <v>190</v>
      </c>
      <c r="J2" s="452"/>
      <c r="K2" s="456"/>
    </row>
    <row r="3" spans="1:11" ht="51">
      <c r="A3" s="477" t="s">
        <v>159</v>
      </c>
      <c r="B3" s="443" t="str">
        <f>Main!B5</f>
        <v>411 - Auxiliary AC Power</v>
      </c>
      <c r="C3" s="457"/>
      <c r="D3" s="458">
        <f>Main!C5</f>
        <v>475.7595</v>
      </c>
      <c r="E3" s="457"/>
      <c r="F3" s="459">
        <f>Main!D5</f>
        <v>561.39621</v>
      </c>
      <c r="G3" s="460">
        <f>F3-D3</f>
        <v>85.63671</v>
      </c>
      <c r="H3" s="461">
        <f>G3/D3</f>
        <v>0.18</v>
      </c>
      <c r="I3" s="457"/>
      <c r="J3" s="458">
        <v>169</v>
      </c>
      <c r="K3" s="449" t="s">
        <v>192</v>
      </c>
    </row>
    <row r="4" spans="1:11" ht="12.75">
      <c r="A4" s="477" t="s">
        <v>159</v>
      </c>
      <c r="B4" s="443" t="str">
        <f>Main!B16</f>
        <v>412 - Experimental AC Power</v>
      </c>
      <c r="C4" s="457"/>
      <c r="D4" s="458">
        <f>Main!C16</f>
        <v>43.321999999999996</v>
      </c>
      <c r="E4" s="457"/>
      <c r="F4" s="459">
        <f>Main!D16</f>
        <v>51.11995999999999</v>
      </c>
      <c r="G4" s="460">
        <f>F4-D4</f>
        <v>7.797959999999996</v>
      </c>
      <c r="H4" s="461">
        <f>G4/D4</f>
        <v>0.17999999999999994</v>
      </c>
      <c r="I4" s="457"/>
      <c r="J4" s="458">
        <v>21</v>
      </c>
      <c r="K4" s="449" t="s">
        <v>201</v>
      </c>
    </row>
    <row r="5" spans="1:11" s="36" customFormat="1" ht="12.75">
      <c r="A5" s="481" t="str">
        <f>Main!A18</f>
        <v>42 - AC/DC Converters</v>
      </c>
      <c r="B5" s="450" t="s">
        <v>159</v>
      </c>
      <c r="C5" s="451">
        <f>Main!B18</f>
        <v>0</v>
      </c>
      <c r="D5" s="452" t="s">
        <v>159</v>
      </c>
      <c r="E5" s="451">
        <f>Main!C18</f>
        <v>0</v>
      </c>
      <c r="F5" s="453" t="s">
        <v>159</v>
      </c>
      <c r="G5" s="454">
        <f>SUM(G6:G7)</f>
        <v>0</v>
      </c>
      <c r="H5" s="455" t="e">
        <f>G5/C5</f>
        <v>#DIV/0!</v>
      </c>
      <c r="I5" s="451">
        <f>J6+J7</f>
        <v>41</v>
      </c>
      <c r="J5" s="452"/>
      <c r="K5" s="456"/>
    </row>
    <row r="6" spans="1:11" ht="12.75">
      <c r="A6" s="477" t="str">
        <f>Main!A19</f>
        <v> </v>
      </c>
      <c r="B6" s="443" t="str">
        <f>Main!B19</f>
        <v>421 - C-site AC/DC Converters</v>
      </c>
      <c r="C6" s="457"/>
      <c r="D6" s="458">
        <f>Main!C19</f>
        <v>0</v>
      </c>
      <c r="E6" s="457"/>
      <c r="F6" s="459">
        <f>Main!D19</f>
        <v>0</v>
      </c>
      <c r="G6" s="460">
        <f>F6-D6</f>
        <v>0</v>
      </c>
      <c r="H6" s="461" t="e">
        <f>G6/D6</f>
        <v>#DIV/0!</v>
      </c>
      <c r="I6" s="457"/>
      <c r="J6" s="458"/>
      <c r="K6" s="449" t="s">
        <v>194</v>
      </c>
    </row>
    <row r="7" spans="1:11" ht="12.75">
      <c r="A7" s="477" t="str">
        <f>Main!A21</f>
        <v> </v>
      </c>
      <c r="B7" s="443" t="str">
        <f>Main!B21</f>
        <v>422 - D-site AC/DC Converters</v>
      </c>
      <c r="C7" s="457"/>
      <c r="D7" s="458">
        <f>Main!C21</f>
        <v>0</v>
      </c>
      <c r="E7" s="457"/>
      <c r="F7" s="459">
        <f>Main!D21</f>
        <v>0</v>
      </c>
      <c r="G7" s="460">
        <f>F7-D7</f>
        <v>0</v>
      </c>
      <c r="H7" s="461" t="e">
        <f>G7/D7</f>
        <v>#DIV/0!</v>
      </c>
      <c r="I7" s="457"/>
      <c r="J7" s="458">
        <v>41</v>
      </c>
      <c r="K7" s="449" t="s">
        <v>193</v>
      </c>
    </row>
    <row r="8" spans="1:11" s="36" customFormat="1" ht="12.75">
      <c r="A8" s="481" t="str">
        <f>Main!A23</f>
        <v>43 - DC Systems</v>
      </c>
      <c r="B8" s="450" t="s">
        <v>159</v>
      </c>
      <c r="C8" s="451">
        <f>Main!B23</f>
        <v>2244.69095</v>
      </c>
      <c r="D8" s="452" t="s">
        <v>159</v>
      </c>
      <c r="E8" s="451">
        <f>Main!C23</f>
        <v>2729.993001</v>
      </c>
      <c r="F8" s="453" t="s">
        <v>159</v>
      </c>
      <c r="G8" s="454">
        <f>SUM(G9:G11)</f>
        <v>485.3020509999999</v>
      </c>
      <c r="H8" s="455">
        <f>G8/C8</f>
        <v>0.216199941020834</v>
      </c>
      <c r="I8" s="451">
        <f>J9+J10+J11</f>
        <v>1154</v>
      </c>
      <c r="J8" s="452"/>
      <c r="K8" s="456"/>
    </row>
    <row r="9" spans="1:11" ht="12.75">
      <c r="A9" s="477" t="s">
        <v>159</v>
      </c>
      <c r="B9" s="443" t="str">
        <f>Main!B24</f>
        <v>431 - C-site DC Systems</v>
      </c>
      <c r="C9" s="457"/>
      <c r="D9" s="458">
        <f>Main!C24</f>
        <v>324.926</v>
      </c>
      <c r="E9" s="457"/>
      <c r="F9" s="459">
        <f>Main!D24</f>
        <v>383.41267999999997</v>
      </c>
      <c r="G9" s="460">
        <f>F9-D9</f>
        <v>58.48667999999998</v>
      </c>
      <c r="H9" s="461">
        <f>G9/D9</f>
        <v>0.17999999999999994</v>
      </c>
      <c r="I9" s="457"/>
      <c r="J9" s="458">
        <v>0</v>
      </c>
      <c r="K9" s="449" t="s">
        <v>194</v>
      </c>
    </row>
    <row r="10" spans="1:11" ht="12.75">
      <c r="A10" s="477" t="s">
        <v>159</v>
      </c>
      <c r="B10" s="443" t="str">
        <f>Main!B40</f>
        <v>432 - D-to-C-Site DC Systems</v>
      </c>
      <c r="C10" s="457"/>
      <c r="D10" s="458">
        <f>Main!C40</f>
        <v>1387.9268000000002</v>
      </c>
      <c r="E10" s="457"/>
      <c r="F10" s="459">
        <f>Main!D40</f>
        <v>1719.011304</v>
      </c>
      <c r="G10" s="460">
        <f>F10-D10</f>
        <v>331.0845039999999</v>
      </c>
      <c r="H10" s="461">
        <f>G10/D10</f>
        <v>0.23854608470706085</v>
      </c>
      <c r="I10" s="457"/>
      <c r="J10" s="458">
        <v>0</v>
      </c>
      <c r="K10" s="449" t="s">
        <v>194</v>
      </c>
    </row>
    <row r="11" spans="1:11" ht="25.5">
      <c r="A11" s="477" t="s">
        <v>159</v>
      </c>
      <c r="B11" s="443" t="str">
        <f>Main!B47</f>
        <v>433 - D-site DC Systems</v>
      </c>
      <c r="C11" s="457"/>
      <c r="D11" s="458">
        <f>Main!C47</f>
        <v>531.83815</v>
      </c>
      <c r="E11" s="457"/>
      <c r="F11" s="459">
        <f>Main!D47</f>
        <v>627.569017</v>
      </c>
      <c r="G11" s="460">
        <f>F11-D11</f>
        <v>95.73086699999999</v>
      </c>
      <c r="H11" s="461">
        <f>G11/D11</f>
        <v>0.17999999999999997</v>
      </c>
      <c r="I11" s="457"/>
      <c r="J11" s="458">
        <v>1154</v>
      </c>
      <c r="K11" s="449" t="s">
        <v>202</v>
      </c>
    </row>
    <row r="12" spans="1:11" s="36" customFormat="1" ht="12.75">
      <c r="A12" s="481" t="str">
        <f>Main!A66</f>
        <v>44 - Control &amp; Protection Systems</v>
      </c>
      <c r="B12" s="450" t="s">
        <v>159</v>
      </c>
      <c r="C12" s="451">
        <f>Main!B66</f>
        <v>1633.28244</v>
      </c>
      <c r="D12" s="452" t="s">
        <v>159</v>
      </c>
      <c r="E12" s="451">
        <f>Main!C66</f>
        <v>1941.5643592000001</v>
      </c>
      <c r="F12" s="453" t="s">
        <v>159</v>
      </c>
      <c r="G12" s="454">
        <f>SUM(G13:G17)</f>
        <v>276.9052879999998</v>
      </c>
      <c r="H12" s="455">
        <f>G12/C12</f>
        <v>0.16953913249688757</v>
      </c>
      <c r="I12" s="451">
        <f>J13+J14+J15+J16+J17+J18</f>
        <v>727</v>
      </c>
      <c r="J12" s="452"/>
      <c r="K12" s="456"/>
    </row>
    <row r="13" spans="1:11" ht="25.5">
      <c r="A13" s="477" t="s">
        <v>159</v>
      </c>
      <c r="B13" s="443" t="str">
        <f>Main!B67</f>
        <v>441 - Electrical Interlocks</v>
      </c>
      <c r="C13" s="457"/>
      <c r="D13" s="458">
        <f>Main!C67</f>
        <v>611.8756000000001</v>
      </c>
      <c r="E13" s="457"/>
      <c r="F13" s="459">
        <f>Main!D67</f>
        <v>725.616088</v>
      </c>
      <c r="G13" s="460">
        <f aca="true" t="shared" si="0" ref="G13:G18">F13-D13</f>
        <v>113.74048799999991</v>
      </c>
      <c r="H13" s="461">
        <f aca="true" t="shared" si="1" ref="H13:H18">G13/D13</f>
        <v>0.18588825571733847</v>
      </c>
      <c r="I13" s="457"/>
      <c r="J13" s="458">
        <v>209</v>
      </c>
      <c r="K13" s="449" t="s">
        <v>195</v>
      </c>
    </row>
    <row r="14" spans="1:11" ht="25.5">
      <c r="A14" s="477" t="s">
        <v>159</v>
      </c>
      <c r="B14" s="443" t="str">
        <f>Main!B82</f>
        <v>442 - Kirk Key Interlocks</v>
      </c>
      <c r="C14" s="457"/>
      <c r="D14" s="458">
        <f>Main!C82</f>
        <v>96.732</v>
      </c>
      <c r="E14" s="457"/>
      <c r="F14" s="459">
        <f>Main!D82</f>
        <v>114.14375999999999</v>
      </c>
      <c r="G14" s="460">
        <f t="shared" si="0"/>
        <v>17.411759999999987</v>
      </c>
      <c r="H14" s="461">
        <f t="shared" si="1"/>
        <v>0.17999999999999985</v>
      </c>
      <c r="I14" s="457"/>
      <c r="J14" s="458">
        <v>50</v>
      </c>
      <c r="K14" s="449" t="s">
        <v>203</v>
      </c>
    </row>
    <row r="15" spans="1:11" ht="25.5">
      <c r="A15" s="477" t="s">
        <v>159</v>
      </c>
      <c r="B15" s="443" t="str">
        <f>Main!B84</f>
        <v>443 - Real Time Control</v>
      </c>
      <c r="C15" s="457"/>
      <c r="D15" s="458">
        <f>Main!C84</f>
        <v>37.92</v>
      </c>
      <c r="E15" s="457"/>
      <c r="F15" s="459">
        <f>Main!D84</f>
        <v>44.7456</v>
      </c>
      <c r="G15" s="460">
        <f t="shared" si="0"/>
        <v>6.825600000000001</v>
      </c>
      <c r="H15" s="461">
        <f t="shared" si="1"/>
        <v>0.18000000000000002</v>
      </c>
      <c r="I15" s="457"/>
      <c r="J15" s="458">
        <v>260</v>
      </c>
      <c r="K15" s="449" t="s">
        <v>196</v>
      </c>
    </row>
    <row r="16" spans="1:11" ht="25.5">
      <c r="A16" s="477" t="s">
        <v>159</v>
      </c>
      <c r="B16" s="443" t="str">
        <f>Main!B86</f>
        <v>444 - Instrumentation</v>
      </c>
      <c r="C16" s="457"/>
      <c r="D16" s="458">
        <f>Main!C86</f>
        <v>432.49800000000005</v>
      </c>
      <c r="E16" s="457"/>
      <c r="F16" s="459">
        <f>Main!D86</f>
        <v>510.34763999999996</v>
      </c>
      <c r="G16" s="460">
        <f t="shared" si="0"/>
        <v>77.84963999999991</v>
      </c>
      <c r="H16" s="461">
        <f t="shared" si="1"/>
        <v>0.17999999999999977</v>
      </c>
      <c r="I16" s="457"/>
      <c r="J16" s="458">
        <v>128</v>
      </c>
      <c r="K16" s="449" t="s">
        <v>195</v>
      </c>
    </row>
    <row r="17" spans="1:11" ht="25.5">
      <c r="A17" s="477" t="s">
        <v>159</v>
      </c>
      <c r="B17" s="443" t="str">
        <f>Main!B91</f>
        <v>445 - Coil Protection</v>
      </c>
      <c r="C17" s="457"/>
      <c r="D17" s="458">
        <f>Main!C91</f>
        <v>287.61</v>
      </c>
      <c r="E17" s="457"/>
      <c r="F17" s="459">
        <f>Main!D91</f>
        <v>348.68780000000004</v>
      </c>
      <c r="G17" s="460">
        <f t="shared" si="0"/>
        <v>61.077800000000025</v>
      </c>
      <c r="H17" s="461">
        <f t="shared" si="1"/>
        <v>0.21236326970550407</v>
      </c>
      <c r="I17" s="457"/>
      <c r="J17" s="458">
        <v>80</v>
      </c>
      <c r="K17" s="449" t="s">
        <v>195</v>
      </c>
    </row>
    <row r="18" spans="1:11" ht="12.75">
      <c r="A18" s="477" t="s">
        <v>159</v>
      </c>
      <c r="B18" s="443" t="str">
        <f>Main!B94</f>
        <v>446 - Ground Fault Monitor</v>
      </c>
      <c r="C18" s="457"/>
      <c r="D18" s="458">
        <f>Main!C94</f>
        <v>166.64684</v>
      </c>
      <c r="E18" s="457"/>
      <c r="F18" s="459">
        <f>Main!D94</f>
        <v>198.02347120000002</v>
      </c>
      <c r="G18" s="460">
        <f t="shared" si="0"/>
        <v>31.37663120000002</v>
      </c>
      <c r="H18" s="461">
        <f t="shared" si="1"/>
        <v>0.1882821852487573</v>
      </c>
      <c r="I18" s="457"/>
      <c r="J18" s="458"/>
      <c r="K18" s="449" t="s">
        <v>197</v>
      </c>
    </row>
    <row r="19" spans="1:11" ht="12.75">
      <c r="A19" s="477" t="str">
        <f>Main!A102</f>
        <v>45 - System Design and Integration</v>
      </c>
      <c r="B19" s="443" t="s">
        <v>159</v>
      </c>
      <c r="C19" s="457">
        <f>Main!B102</f>
        <v>810.1210000000002</v>
      </c>
      <c r="D19" s="458" t="s">
        <v>159</v>
      </c>
      <c r="E19" s="457">
        <f>Main!C102</f>
        <v>967.8383799999999</v>
      </c>
      <c r="F19" s="459" t="s">
        <v>159</v>
      </c>
      <c r="G19" s="454">
        <f>SUM(G20:G22)</f>
        <v>133.25449999999958</v>
      </c>
      <c r="H19" s="455">
        <f>G19/C19</f>
        <v>0.16448715685681467</v>
      </c>
      <c r="I19" s="457">
        <f>J20+J21+J22</f>
        <v>784</v>
      </c>
      <c r="J19" s="458"/>
      <c r="K19" s="449"/>
    </row>
    <row r="20" spans="1:11" ht="25.5">
      <c r="A20" s="477" t="s">
        <v>159</v>
      </c>
      <c r="B20" s="443" t="str">
        <f>Main!B103</f>
        <v>451 - System Design</v>
      </c>
      <c r="C20" s="457"/>
      <c r="D20" s="458">
        <f>Main!C103</f>
        <v>475.4160000000002</v>
      </c>
      <c r="E20" s="457"/>
      <c r="F20" s="459">
        <f>Main!D103</f>
        <v>560.9908799999998</v>
      </c>
      <c r="G20" s="460">
        <f>F20-D20</f>
        <v>85.57487999999961</v>
      </c>
      <c r="H20" s="461">
        <f>G20/D20</f>
        <v>0.1799999999999991</v>
      </c>
      <c r="I20" s="457"/>
      <c r="J20" s="458">
        <v>784</v>
      </c>
      <c r="K20" s="449" t="s">
        <v>198</v>
      </c>
    </row>
    <row r="21" spans="1:11" ht="25.5">
      <c r="A21" s="477" t="s">
        <v>159</v>
      </c>
      <c r="B21" s="443" t="str">
        <f>Main!B117</f>
        <v>46- FCPCBuilding Modifications</v>
      </c>
      <c r="C21" s="457"/>
      <c r="D21" s="458">
        <f>Main!C117</f>
        <v>54.607</v>
      </c>
      <c r="E21" s="457"/>
      <c r="F21" s="459">
        <f>Main!D117</f>
        <v>68.80482</v>
      </c>
      <c r="G21" s="460">
        <f>F21-D21</f>
        <v>14.197820000000007</v>
      </c>
      <c r="H21" s="461">
        <f>G21/D21</f>
        <v>0.2600000000000001</v>
      </c>
      <c r="I21" s="457"/>
      <c r="J21" s="458">
        <v>0</v>
      </c>
      <c r="K21" s="449" t="s">
        <v>199</v>
      </c>
    </row>
    <row r="22" spans="1:11" ht="13.5" thickBot="1">
      <c r="A22" s="477" t="s">
        <v>159</v>
      </c>
      <c r="B22" s="443" t="str">
        <f>Main!B122</f>
        <v>453 - System Testing</v>
      </c>
      <c r="C22" s="462"/>
      <c r="D22" s="463">
        <f>Main!C122</f>
        <v>186.01000000000002</v>
      </c>
      <c r="E22" s="462"/>
      <c r="F22" s="464">
        <f>Main!D122</f>
        <v>219.49179999999998</v>
      </c>
      <c r="G22" s="465">
        <f>F22-D22</f>
        <v>33.481799999999964</v>
      </c>
      <c r="H22" s="466">
        <f>G22/D22</f>
        <v>0.1799999999999998</v>
      </c>
      <c r="I22" s="462"/>
      <c r="J22" s="463">
        <v>0</v>
      </c>
      <c r="K22" s="449" t="s">
        <v>200</v>
      </c>
    </row>
    <row r="23" spans="2:11" ht="13.5" thickBot="1">
      <c r="B23" s="467" t="str">
        <f>Main!B135</f>
        <v> </v>
      </c>
      <c r="C23" s="468">
        <f aca="true" t="shared" si="2" ref="C23:J23">SUM(C2:C22)</f>
        <v>5207.17589</v>
      </c>
      <c r="D23" s="469">
        <f t="shared" si="2"/>
        <v>5113.087890000001</v>
      </c>
      <c r="E23" s="468">
        <f t="shared" si="2"/>
        <v>6251.9119101999995</v>
      </c>
      <c r="F23" s="470">
        <f t="shared" si="2"/>
        <v>6133.361030199999</v>
      </c>
      <c r="G23" s="471">
        <f>F23-D23</f>
        <v>1020.2731401999981</v>
      </c>
      <c r="H23" s="472">
        <f>G23/D23</f>
        <v>0.19954148298436505</v>
      </c>
      <c r="I23" s="468">
        <f t="shared" si="2"/>
        <v>2896</v>
      </c>
      <c r="J23" s="469">
        <f t="shared" si="2"/>
        <v>2896</v>
      </c>
      <c r="K23" s="473"/>
    </row>
    <row r="24" spans="2:11" ht="12.75">
      <c r="B24" s="467"/>
      <c r="C24" s="474"/>
      <c r="D24" s="474"/>
      <c r="E24" s="474"/>
      <c r="F24" s="474"/>
      <c r="G24" s="474"/>
      <c r="H24" s="475"/>
      <c r="I24" s="474"/>
      <c r="J24" s="474"/>
      <c r="K24" s="473"/>
    </row>
    <row r="25" spans="2:11" ht="12.75">
      <c r="B25" s="467"/>
      <c r="C25" s="476"/>
      <c r="D25" s="474"/>
      <c r="E25" s="474"/>
      <c r="F25" s="474"/>
      <c r="G25" s="474"/>
      <c r="H25" s="475"/>
      <c r="I25" s="474"/>
      <c r="J25" s="474" t="s">
        <v>159</v>
      </c>
      <c r="K25" s="473"/>
    </row>
    <row r="26" spans="1:11" ht="12.75">
      <c r="A26" s="477" t="str">
        <f>A2</f>
        <v>41- AC Power</v>
      </c>
      <c r="B26" s="477">
        <f>E2</f>
        <v>612.51617</v>
      </c>
      <c r="C26" s="476"/>
      <c r="D26" s="474"/>
      <c r="E26" s="474"/>
      <c r="F26" s="474"/>
      <c r="G26" s="474"/>
      <c r="H26" s="475"/>
      <c r="I26" s="474"/>
      <c r="J26" s="474"/>
      <c r="K26" s="473"/>
    </row>
    <row r="27" spans="1:11" ht="12.75">
      <c r="A27" s="477" t="str">
        <f>A5</f>
        <v>42 - AC/DC Converters</v>
      </c>
      <c r="B27" s="477">
        <f>E5</f>
        <v>0</v>
      </c>
      <c r="C27" s="476"/>
      <c r="D27" s="474"/>
      <c r="E27" s="474"/>
      <c r="F27" s="474"/>
      <c r="G27" s="474"/>
      <c r="H27" s="475"/>
      <c r="I27" s="474"/>
      <c r="J27" s="474"/>
      <c r="K27" s="473"/>
    </row>
    <row r="28" spans="1:11" ht="12.75">
      <c r="A28" s="477" t="str">
        <f>A8</f>
        <v>43 - DC Systems</v>
      </c>
      <c r="B28" s="477">
        <f>E8</f>
        <v>2729.993001</v>
      </c>
      <c r="C28" s="476"/>
      <c r="D28" s="474"/>
      <c r="E28" s="474"/>
      <c r="F28" s="474"/>
      <c r="G28" s="474"/>
      <c r="H28" s="475"/>
      <c r="I28" s="474"/>
      <c r="J28" s="474"/>
      <c r="K28" s="473"/>
    </row>
    <row r="29" spans="1:11" ht="12.75">
      <c r="A29" s="478" t="str">
        <f>A12</f>
        <v>44 - Control &amp; Protection Systems</v>
      </c>
      <c r="B29" s="478">
        <f>E12</f>
        <v>1941.5643592000001</v>
      </c>
      <c r="C29" s="476"/>
      <c r="D29" s="474"/>
      <c r="E29" s="474"/>
      <c r="F29" s="474"/>
      <c r="G29" s="474"/>
      <c r="H29" s="475"/>
      <c r="I29" s="474"/>
      <c r="J29" s="474"/>
      <c r="K29" s="473"/>
    </row>
    <row r="30" spans="1:11" ht="13.5" thickBot="1">
      <c r="A30" s="482" t="str">
        <f>A19</f>
        <v>45 - System Design and Integration</v>
      </c>
      <c r="B30" s="479">
        <f>E19</f>
        <v>967.8383799999999</v>
      </c>
      <c r="C30" s="476"/>
      <c r="D30" s="474"/>
      <c r="E30" s="474"/>
      <c r="F30" s="474"/>
      <c r="G30" s="474"/>
      <c r="H30" s="475"/>
      <c r="I30" s="474"/>
      <c r="J30" s="474"/>
      <c r="K30" s="473"/>
    </row>
    <row r="31" spans="1:11" ht="13.5" thickBot="1">
      <c r="A31" s="483" t="s">
        <v>77</v>
      </c>
      <c r="B31" s="480">
        <f>SUM(B26:B30)</f>
        <v>6251.9119101999995</v>
      </c>
      <c r="C31" s="474"/>
      <c r="D31" s="474"/>
      <c r="E31" s="474"/>
      <c r="F31" s="474"/>
      <c r="G31" s="474"/>
      <c r="H31" s="475"/>
      <c r="I31" s="474"/>
      <c r="J31" s="474"/>
      <c r="K31" s="473"/>
    </row>
    <row r="32" spans="2:11" ht="12.75">
      <c r="B32" s="467"/>
      <c r="C32" s="474"/>
      <c r="D32" s="474"/>
      <c r="E32" s="474"/>
      <c r="F32" s="474"/>
      <c r="G32" s="474"/>
      <c r="H32" s="475"/>
      <c r="I32" s="474"/>
      <c r="J32" s="474"/>
      <c r="K32" s="473"/>
    </row>
    <row r="33" spans="2:11" ht="12.75">
      <c r="B33" s="467"/>
      <c r="C33" s="474"/>
      <c r="D33" s="474"/>
      <c r="E33" s="474"/>
      <c r="F33" s="474"/>
      <c r="G33" s="474"/>
      <c r="H33" s="475"/>
      <c r="I33" s="474"/>
      <c r="J33" s="474"/>
      <c r="K33" s="473"/>
    </row>
    <row r="34" spans="2:11" ht="12.75">
      <c r="B34" s="467"/>
      <c r="C34" s="474"/>
      <c r="D34" s="474"/>
      <c r="E34" s="474"/>
      <c r="F34" s="474"/>
      <c r="G34" s="474"/>
      <c r="H34" s="475"/>
      <c r="I34" s="474"/>
      <c r="J34" s="474"/>
      <c r="K34" s="473"/>
    </row>
    <row r="35" spans="2:11" ht="12.75">
      <c r="B35" s="467"/>
      <c r="C35" s="474"/>
      <c r="D35" s="474"/>
      <c r="E35" s="474"/>
      <c r="F35" s="474"/>
      <c r="G35" s="474"/>
      <c r="H35" s="475"/>
      <c r="I35" s="474"/>
      <c r="J35" s="474"/>
      <c r="K35" s="473"/>
    </row>
    <row r="36" spans="2:11" ht="12.75">
      <c r="B36" s="467"/>
      <c r="C36" s="474"/>
      <c r="D36" s="474"/>
      <c r="E36" s="474"/>
      <c r="F36" s="474"/>
      <c r="G36" s="474"/>
      <c r="H36" s="475"/>
      <c r="I36" s="474"/>
      <c r="J36" s="474"/>
      <c r="K36" s="473"/>
    </row>
    <row r="37" spans="2:11" ht="12.75">
      <c r="B37" s="467"/>
      <c r="C37" s="474"/>
      <c r="D37" s="474"/>
      <c r="E37" s="474"/>
      <c r="F37" s="474"/>
      <c r="G37" s="474"/>
      <c r="H37" s="475"/>
      <c r="I37" s="474"/>
      <c r="J37" s="474"/>
      <c r="K37" s="473"/>
    </row>
    <row r="38" spans="2:11" ht="12.75">
      <c r="B38" s="467"/>
      <c r="C38" s="474"/>
      <c r="D38" s="474"/>
      <c r="E38" s="474"/>
      <c r="F38" s="474"/>
      <c r="G38" s="474"/>
      <c r="H38" s="475"/>
      <c r="I38" s="474"/>
      <c r="J38" s="474"/>
      <c r="K38" s="473"/>
    </row>
    <row r="39" spans="2:11" ht="12.75">
      <c r="B39" s="467"/>
      <c r="C39" s="474"/>
      <c r="D39" s="474"/>
      <c r="E39" s="474"/>
      <c r="F39" s="474"/>
      <c r="G39" s="474"/>
      <c r="H39" s="475"/>
      <c r="I39" s="474"/>
      <c r="J39" s="474"/>
      <c r="K39" s="473"/>
    </row>
    <row r="40" spans="2:11" ht="12.75">
      <c r="B40" s="467"/>
      <c r="C40" s="474"/>
      <c r="D40" s="474"/>
      <c r="E40" s="474"/>
      <c r="F40" s="474"/>
      <c r="G40" s="474"/>
      <c r="H40" s="475"/>
      <c r="I40" s="474"/>
      <c r="J40" s="474"/>
      <c r="K40" s="473"/>
    </row>
    <row r="41" spans="2:11" ht="12.75">
      <c r="B41" s="467"/>
      <c r="C41" s="474"/>
      <c r="D41" s="474"/>
      <c r="E41" s="474"/>
      <c r="F41" s="474"/>
      <c r="G41" s="474"/>
      <c r="H41" s="475"/>
      <c r="I41" s="474"/>
      <c r="J41" s="474"/>
      <c r="K41" s="473"/>
    </row>
    <row r="42" spans="2:11" ht="12.75">
      <c r="B42" s="467"/>
      <c r="C42" s="474"/>
      <c r="D42" s="474"/>
      <c r="E42" s="474"/>
      <c r="F42" s="474"/>
      <c r="G42" s="474"/>
      <c r="H42" s="475"/>
      <c r="I42" s="474"/>
      <c r="J42" s="474"/>
      <c r="K42" s="473"/>
    </row>
    <row r="43" spans="2:11" ht="12.75">
      <c r="B43" s="467"/>
      <c r="C43" s="474"/>
      <c r="D43" s="474"/>
      <c r="E43" s="474"/>
      <c r="F43" s="474"/>
      <c r="G43" s="474"/>
      <c r="H43" s="475"/>
      <c r="I43" s="474"/>
      <c r="J43" s="474"/>
      <c r="K43" s="473"/>
    </row>
    <row r="44" spans="2:11" ht="12.75">
      <c r="B44" s="467"/>
      <c r="C44" s="474"/>
      <c r="D44" s="474"/>
      <c r="E44" s="474"/>
      <c r="F44" s="474"/>
      <c r="G44" s="474"/>
      <c r="H44" s="475"/>
      <c r="I44" s="474"/>
      <c r="J44" s="474"/>
      <c r="K44" s="473"/>
    </row>
    <row r="45" spans="2:11" ht="12.75">
      <c r="B45" s="467"/>
      <c r="C45" s="474"/>
      <c r="D45" s="474"/>
      <c r="E45" s="474"/>
      <c r="F45" s="474"/>
      <c r="G45" s="474"/>
      <c r="H45" s="475"/>
      <c r="I45" s="474"/>
      <c r="J45" s="474"/>
      <c r="K45" s="473"/>
    </row>
    <row r="46" spans="2:11" ht="12.75">
      <c r="B46" s="467"/>
      <c r="C46" s="474"/>
      <c r="D46" s="474"/>
      <c r="E46" s="474"/>
      <c r="F46" s="474"/>
      <c r="G46" s="474"/>
      <c r="H46" s="475"/>
      <c r="I46" s="474"/>
      <c r="J46" s="474"/>
      <c r="K46" s="473"/>
    </row>
    <row r="47" spans="2:11" ht="12.75">
      <c r="B47" s="467"/>
      <c r="C47" s="474"/>
      <c r="D47" s="474"/>
      <c r="E47" s="474"/>
      <c r="F47" s="474"/>
      <c r="G47" s="474"/>
      <c r="H47" s="475"/>
      <c r="I47" s="474"/>
      <c r="J47" s="474"/>
      <c r="K47" s="473"/>
    </row>
    <row r="48" spans="2:11" ht="12.75">
      <c r="B48" s="467"/>
      <c r="C48" s="474"/>
      <c r="D48" s="474"/>
      <c r="E48" s="474"/>
      <c r="F48" s="474"/>
      <c r="G48" s="474"/>
      <c r="H48" s="475"/>
      <c r="I48" s="474"/>
      <c r="J48" s="474"/>
      <c r="K48" s="473"/>
    </row>
    <row r="49" spans="2:11" ht="12.75">
      <c r="B49" s="467"/>
      <c r="C49" s="474"/>
      <c r="D49" s="474"/>
      <c r="E49" s="474"/>
      <c r="F49" s="474"/>
      <c r="G49" s="474"/>
      <c r="H49" s="475"/>
      <c r="I49" s="474"/>
      <c r="J49" s="474"/>
      <c r="K49" s="473"/>
    </row>
    <row r="50" spans="2:11" ht="12.75">
      <c r="B50" s="467"/>
      <c r="C50" s="474"/>
      <c r="D50" s="474"/>
      <c r="E50" s="474"/>
      <c r="F50" s="474"/>
      <c r="G50" s="474"/>
      <c r="H50" s="475"/>
      <c r="I50" s="474"/>
      <c r="J50" s="474"/>
      <c r="K50" s="473"/>
    </row>
    <row r="51" spans="2:11" ht="12.75">
      <c r="B51" s="467"/>
      <c r="C51" s="474"/>
      <c r="D51" s="474"/>
      <c r="E51" s="474"/>
      <c r="F51" s="474"/>
      <c r="G51" s="474"/>
      <c r="H51" s="475"/>
      <c r="I51" s="474"/>
      <c r="J51" s="474"/>
      <c r="K51" s="473"/>
    </row>
    <row r="52" spans="2:11" ht="12.75">
      <c r="B52" s="467"/>
      <c r="C52" s="474"/>
      <c r="D52" s="474"/>
      <c r="E52" s="474"/>
      <c r="F52" s="474"/>
      <c r="G52" s="474"/>
      <c r="H52" s="475"/>
      <c r="I52" s="474"/>
      <c r="J52" s="474"/>
      <c r="K52" s="473"/>
    </row>
    <row r="53" spans="2:11" ht="12.75">
      <c r="B53" s="467"/>
      <c r="C53" s="474"/>
      <c r="D53" s="474"/>
      <c r="E53" s="474"/>
      <c r="F53" s="474"/>
      <c r="G53" s="474"/>
      <c r="H53" s="475"/>
      <c r="I53" s="474"/>
      <c r="J53" s="474"/>
      <c r="K53" s="473"/>
    </row>
    <row r="54" spans="2:11" ht="12.75">
      <c r="B54" s="467"/>
      <c r="C54" s="474"/>
      <c r="D54" s="474"/>
      <c r="E54" s="474"/>
      <c r="F54" s="474"/>
      <c r="G54" s="474"/>
      <c r="H54" s="475"/>
      <c r="I54" s="474"/>
      <c r="J54" s="474"/>
      <c r="K54" s="473"/>
    </row>
    <row r="55" spans="2:11" ht="12.75">
      <c r="B55" s="467"/>
      <c r="C55" s="474"/>
      <c r="D55" s="474"/>
      <c r="E55" s="474"/>
      <c r="F55" s="474"/>
      <c r="G55" s="474"/>
      <c r="H55" s="475"/>
      <c r="I55" s="474"/>
      <c r="J55" s="474"/>
      <c r="K55" s="473"/>
    </row>
    <row r="56" spans="2:11" ht="12.75">
      <c r="B56" s="467"/>
      <c r="C56" s="474"/>
      <c r="D56" s="474"/>
      <c r="E56" s="474"/>
      <c r="F56" s="474"/>
      <c r="G56" s="474"/>
      <c r="H56" s="475"/>
      <c r="I56" s="474"/>
      <c r="J56" s="474"/>
      <c r="K56" s="473"/>
    </row>
    <row r="57" spans="2:11" ht="12.75">
      <c r="B57" s="467"/>
      <c r="C57" s="474"/>
      <c r="D57" s="474"/>
      <c r="E57" s="474"/>
      <c r="F57" s="474"/>
      <c r="G57" s="474"/>
      <c r="H57" s="475"/>
      <c r="I57" s="474"/>
      <c r="J57" s="474"/>
      <c r="K57" s="473"/>
    </row>
    <row r="58" spans="2:11" ht="12.75">
      <c r="B58" s="467"/>
      <c r="C58" s="474"/>
      <c r="D58" s="474"/>
      <c r="E58" s="474"/>
      <c r="F58" s="474"/>
      <c r="G58" s="474"/>
      <c r="H58" s="475"/>
      <c r="I58" s="474"/>
      <c r="J58" s="474"/>
      <c r="K58" s="473"/>
    </row>
    <row r="59" spans="2:11" ht="12.75">
      <c r="B59" s="467"/>
      <c r="C59" s="474"/>
      <c r="D59" s="474"/>
      <c r="E59" s="474"/>
      <c r="F59" s="474"/>
      <c r="G59" s="474"/>
      <c r="H59" s="475"/>
      <c r="I59" s="474"/>
      <c r="J59" s="474"/>
      <c r="K59" s="473"/>
    </row>
    <row r="60" spans="2:11" ht="12.75">
      <c r="B60" s="467"/>
      <c r="C60" s="474"/>
      <c r="D60" s="474"/>
      <c r="E60" s="474"/>
      <c r="F60" s="474"/>
      <c r="G60" s="474"/>
      <c r="H60" s="475"/>
      <c r="I60" s="474"/>
      <c r="J60" s="474"/>
      <c r="K60" s="473"/>
    </row>
    <row r="61" spans="2:11" ht="12.75">
      <c r="B61" s="467"/>
      <c r="C61" s="474"/>
      <c r="D61" s="474"/>
      <c r="E61" s="474"/>
      <c r="F61" s="474"/>
      <c r="G61" s="474"/>
      <c r="H61" s="475"/>
      <c r="I61" s="474"/>
      <c r="J61" s="474"/>
      <c r="K61" s="473"/>
    </row>
    <row r="62" spans="2:11" ht="12.75">
      <c r="B62" s="467"/>
      <c r="C62" s="474"/>
      <c r="D62" s="474"/>
      <c r="E62" s="474"/>
      <c r="F62" s="474"/>
      <c r="G62" s="474"/>
      <c r="H62" s="475"/>
      <c r="I62" s="474"/>
      <c r="J62" s="474"/>
      <c r="K62" s="473"/>
    </row>
    <row r="63" spans="2:11" ht="12.75">
      <c r="B63" s="467"/>
      <c r="C63" s="474"/>
      <c r="D63" s="474"/>
      <c r="E63" s="474"/>
      <c r="F63" s="474"/>
      <c r="G63" s="474"/>
      <c r="H63" s="475"/>
      <c r="I63" s="474"/>
      <c r="J63" s="474"/>
      <c r="K63" s="473"/>
    </row>
    <row r="64" spans="2:11" ht="12.75">
      <c r="B64" s="467"/>
      <c r="C64" s="474"/>
      <c r="D64" s="474"/>
      <c r="E64" s="474"/>
      <c r="F64" s="474"/>
      <c r="G64" s="474"/>
      <c r="H64" s="475"/>
      <c r="I64" s="474"/>
      <c r="J64" s="474"/>
      <c r="K64" s="473"/>
    </row>
    <row r="65" spans="2:11" ht="12.75">
      <c r="B65" s="467"/>
      <c r="C65" s="474"/>
      <c r="D65" s="474"/>
      <c r="E65" s="474"/>
      <c r="F65" s="474"/>
      <c r="G65" s="474"/>
      <c r="H65" s="475"/>
      <c r="I65" s="474"/>
      <c r="J65" s="474"/>
      <c r="K65" s="473"/>
    </row>
    <row r="66" spans="2:11" ht="12.75">
      <c r="B66" s="467"/>
      <c r="C66" s="474"/>
      <c r="D66" s="474"/>
      <c r="E66" s="474"/>
      <c r="F66" s="474"/>
      <c r="G66" s="474"/>
      <c r="H66" s="475"/>
      <c r="I66" s="474"/>
      <c r="J66" s="474"/>
      <c r="K66" s="473"/>
    </row>
    <row r="67" spans="2:11" ht="12.75">
      <c r="B67" s="467"/>
      <c r="C67" s="474"/>
      <c r="D67" s="474"/>
      <c r="E67" s="474"/>
      <c r="F67" s="474"/>
      <c r="G67" s="474"/>
      <c r="H67" s="475"/>
      <c r="I67" s="474"/>
      <c r="J67" s="474"/>
      <c r="K67" s="473"/>
    </row>
    <row r="68" spans="2:11" ht="12.75">
      <c r="B68" s="467"/>
      <c r="C68" s="474"/>
      <c r="D68" s="474"/>
      <c r="E68" s="474"/>
      <c r="F68" s="474"/>
      <c r="G68" s="474"/>
      <c r="H68" s="475"/>
      <c r="I68" s="474"/>
      <c r="J68" s="474"/>
      <c r="K68" s="473"/>
    </row>
    <row r="69" spans="2:11" ht="12.75">
      <c r="B69" s="467"/>
      <c r="C69" s="474"/>
      <c r="D69" s="474"/>
      <c r="E69" s="474"/>
      <c r="F69" s="474"/>
      <c r="G69" s="474"/>
      <c r="H69" s="475"/>
      <c r="I69" s="474"/>
      <c r="J69" s="474"/>
      <c r="K69" s="473"/>
    </row>
    <row r="70" spans="2:11" ht="12.75">
      <c r="B70" s="467"/>
      <c r="C70" s="474"/>
      <c r="D70" s="474"/>
      <c r="E70" s="474"/>
      <c r="F70" s="474"/>
      <c r="G70" s="474"/>
      <c r="H70" s="475"/>
      <c r="I70" s="474"/>
      <c r="J70" s="474"/>
      <c r="K70" s="473"/>
    </row>
    <row r="71" spans="2:11" ht="12.75">
      <c r="B71" s="467"/>
      <c r="C71" s="474"/>
      <c r="D71" s="474"/>
      <c r="E71" s="474"/>
      <c r="F71" s="474"/>
      <c r="G71" s="474"/>
      <c r="H71" s="475"/>
      <c r="I71" s="474"/>
      <c r="J71" s="474"/>
      <c r="K71" s="473"/>
    </row>
    <row r="72" spans="2:11" ht="12.75">
      <c r="B72" s="467"/>
      <c r="C72" s="474"/>
      <c r="D72" s="474"/>
      <c r="E72" s="474"/>
      <c r="F72" s="474"/>
      <c r="G72" s="474"/>
      <c r="H72" s="475"/>
      <c r="I72" s="474"/>
      <c r="J72" s="474"/>
      <c r="K72" s="473"/>
    </row>
    <row r="73" spans="2:11" ht="12.75">
      <c r="B73" s="467"/>
      <c r="C73" s="474"/>
      <c r="D73" s="474"/>
      <c r="E73" s="474"/>
      <c r="F73" s="474"/>
      <c r="G73" s="474"/>
      <c r="H73" s="475"/>
      <c r="I73" s="474"/>
      <c r="J73" s="474"/>
      <c r="K73" s="473"/>
    </row>
    <row r="74" spans="2:11" ht="12.75">
      <c r="B74" s="467"/>
      <c r="C74" s="474"/>
      <c r="D74" s="474"/>
      <c r="E74" s="474"/>
      <c r="F74" s="474"/>
      <c r="G74" s="474"/>
      <c r="H74" s="475"/>
      <c r="I74" s="474"/>
      <c r="J74" s="474"/>
      <c r="K74" s="473"/>
    </row>
    <row r="75" spans="2:11" ht="12.75">
      <c r="B75" s="467"/>
      <c r="C75" s="474"/>
      <c r="D75" s="474"/>
      <c r="E75" s="474"/>
      <c r="F75" s="474"/>
      <c r="G75" s="474"/>
      <c r="H75" s="475"/>
      <c r="I75" s="474"/>
      <c r="J75" s="474"/>
      <c r="K75" s="473"/>
    </row>
    <row r="76" spans="2:11" ht="12.75">
      <c r="B76" s="467"/>
      <c r="C76" s="474"/>
      <c r="D76" s="474"/>
      <c r="E76" s="474"/>
      <c r="F76" s="474"/>
      <c r="G76" s="474"/>
      <c r="H76" s="475"/>
      <c r="I76" s="474"/>
      <c r="J76" s="474"/>
      <c r="K76" s="473"/>
    </row>
    <row r="77" spans="2:11" ht="12.75">
      <c r="B77" s="467"/>
      <c r="C77" s="474"/>
      <c r="D77" s="474"/>
      <c r="E77" s="474"/>
      <c r="F77" s="474"/>
      <c r="G77" s="474"/>
      <c r="H77" s="475"/>
      <c r="I77" s="474"/>
      <c r="J77" s="474"/>
      <c r="K77" s="473"/>
    </row>
    <row r="78" spans="2:11" ht="12.75">
      <c r="B78" s="467"/>
      <c r="C78" s="474"/>
      <c r="D78" s="474"/>
      <c r="E78" s="474"/>
      <c r="F78" s="474"/>
      <c r="G78" s="474"/>
      <c r="H78" s="475"/>
      <c r="I78" s="474"/>
      <c r="J78" s="474"/>
      <c r="K78" s="473"/>
    </row>
    <row r="79" spans="2:11" ht="12.75">
      <c r="B79" s="467"/>
      <c r="C79" s="474"/>
      <c r="D79" s="474"/>
      <c r="E79" s="474"/>
      <c r="F79" s="474"/>
      <c r="G79" s="474"/>
      <c r="H79" s="475"/>
      <c r="I79" s="474"/>
      <c r="J79" s="474"/>
      <c r="K79" s="473"/>
    </row>
    <row r="80" spans="2:11" ht="12.75">
      <c r="B80" s="467"/>
      <c r="C80" s="474"/>
      <c r="D80" s="474"/>
      <c r="E80" s="474"/>
      <c r="F80" s="474"/>
      <c r="G80" s="474"/>
      <c r="H80" s="475"/>
      <c r="I80" s="474"/>
      <c r="J80" s="474"/>
      <c r="K80" s="473"/>
    </row>
    <row r="81" spans="2:11" ht="12.75">
      <c r="B81" s="467"/>
      <c r="C81" s="474"/>
      <c r="D81" s="474"/>
      <c r="E81" s="474"/>
      <c r="F81" s="474"/>
      <c r="G81" s="474"/>
      <c r="H81" s="475"/>
      <c r="I81" s="474"/>
      <c r="J81" s="474"/>
      <c r="K81" s="473"/>
    </row>
    <row r="82" spans="2:11" ht="12.75">
      <c r="B82" s="467"/>
      <c r="C82" s="474"/>
      <c r="D82" s="474"/>
      <c r="E82" s="474"/>
      <c r="F82" s="474"/>
      <c r="G82" s="474"/>
      <c r="H82" s="475"/>
      <c r="I82" s="474"/>
      <c r="J82" s="474"/>
      <c r="K82" s="473"/>
    </row>
    <row r="83" spans="2:11" ht="12.75">
      <c r="B83" s="467"/>
      <c r="C83" s="474"/>
      <c r="D83" s="474"/>
      <c r="E83" s="474"/>
      <c r="F83" s="474"/>
      <c r="G83" s="474"/>
      <c r="H83" s="475"/>
      <c r="I83" s="474"/>
      <c r="J83" s="474"/>
      <c r="K83" s="473"/>
    </row>
  </sheetData>
  <printOptions/>
  <pageMargins left="0.75" right="0.75" top="1" bottom="1" header="0.5" footer="0.5"/>
  <pageSetup orientation="landscape" scale="90" r:id="rId2"/>
  <headerFooter alignWithMargins="0">
    <oddHeader>&amp;C&amp;"Geneva,Bold"&amp;14NCSX Power Systems Costs</oddHeader>
    <oddFooter>&amp;L&amp;"Geneva,Bold"&amp;10 2/9/01&amp;"Geneva,Regular"&amp;9
&amp;C&amp;"Geneva,Bold Italic"&amp;10&amp;P</oddFooter>
  </headerFooter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Robert Simmons</cp:lastModifiedBy>
  <cp:lastPrinted>2004-02-25T18:44:56Z</cp:lastPrinted>
  <dcterms:created xsi:type="dcterms:W3CDTF">2000-12-15T17:35:23Z</dcterms:created>
  <dcterms:modified xsi:type="dcterms:W3CDTF">2004-02-27T14:10:36Z</dcterms:modified>
  <cp:category/>
  <cp:version/>
  <cp:contentType/>
  <cp:contentStatus/>
</cp:coreProperties>
</file>