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300" windowWidth="16965" windowHeight="14160" activeTab="0"/>
  </bookViews>
  <sheets>
    <sheet name="Hutch mods" sheetId="1" r:id="rId1"/>
    <sheet name="Ron 0813" sheetId="2" r:id="rId2"/>
  </sheets>
  <definedNames>
    <definedName name="_xlnm.Print_Area" localSheetId="1">'Ron 0813'!$A$1:$L$152,'Ron 0813'!$A$154:$L$183</definedName>
  </definedNames>
  <calcPr fullCalcOnLoad="1"/>
</workbook>
</file>

<file path=xl/comments1.xml><?xml version="1.0" encoding="utf-8"?>
<comments xmlns="http://schemas.openxmlformats.org/spreadsheetml/2006/main">
  <authors>
    <author>Hutch Neilson</author>
  </authors>
  <commentList>
    <comment ref="E34" authorId="0">
      <text>
        <r>
          <rPr>
            <b/>
            <sz val="9"/>
            <rFont val="Geneva"/>
            <family val="0"/>
          </rPr>
          <t>Hutch Neilson:</t>
        </r>
        <r>
          <rPr>
            <sz val="9"/>
            <rFont val="Geneva"/>
            <family val="0"/>
          </rPr>
          <t xml:space="preserve">
Elbow for the TVPS.</t>
        </r>
      </text>
    </comment>
    <comment ref="E35" authorId="0">
      <text>
        <r>
          <rPr>
            <b/>
            <sz val="9"/>
            <rFont val="Geneva"/>
            <family val="0"/>
          </rPr>
          <t>Hutch Neilson:</t>
        </r>
        <r>
          <rPr>
            <sz val="9"/>
            <rFont val="Geneva"/>
            <family val="0"/>
          </rPr>
          <t xml:space="preserve">
Dudek found more savings.</t>
        </r>
      </text>
    </comment>
    <comment ref="E37" authorId="0">
      <text>
        <r>
          <rPr>
            <b/>
            <sz val="9"/>
            <rFont val="Geneva"/>
            <family val="0"/>
          </rPr>
          <t>Hutch Neilson:</t>
        </r>
        <r>
          <rPr>
            <sz val="9"/>
            <rFont val="Geneva"/>
            <family val="0"/>
          </rPr>
          <t xml:space="preserve">
Raki found a lot more savings. Corrected spreadsheet error.</t>
        </r>
      </text>
    </comment>
    <comment ref="E38" authorId="0">
      <text>
        <r>
          <rPr>
            <b/>
            <sz val="9"/>
            <rFont val="Geneva"/>
            <family val="0"/>
          </rPr>
          <t>Hutch Neilson:</t>
        </r>
        <r>
          <rPr>
            <sz val="9"/>
            <rFont val="Geneva"/>
            <family val="0"/>
          </rPr>
          <t xml:space="preserve">
Add WBS 52 Eng. Data Acquisition System.</t>
        </r>
      </text>
    </comment>
    <comment ref="E39" authorId="0">
      <text>
        <r>
          <rPr>
            <b/>
            <sz val="9"/>
            <rFont val="Geneva"/>
            <family val="0"/>
          </rPr>
          <t>Hutch Neilson:</t>
        </r>
        <r>
          <rPr>
            <sz val="9"/>
            <rFont val="Geneva"/>
            <family val="0"/>
          </rPr>
          <t xml:space="preserve">
Placeholder for anticipated contract savings.</t>
        </r>
      </text>
    </comment>
    <comment ref="E36" authorId="0">
      <text>
        <r>
          <rPr>
            <b/>
            <sz val="9"/>
            <rFont val="Geneva"/>
            <family val="0"/>
          </rPr>
          <t>Hutch Neilson:</t>
        </r>
        <r>
          <rPr>
            <sz val="9"/>
            <rFont val="Geneva"/>
            <family val="0"/>
          </rPr>
          <t xml:space="preserve"> Restore 150C bake.</t>
        </r>
      </text>
    </comment>
  </commentList>
</comments>
</file>

<file path=xl/sharedStrings.xml><?xml version="1.0" encoding="utf-8"?>
<sst xmlns="http://schemas.openxmlformats.org/spreadsheetml/2006/main" count="375" uniqueCount="194">
  <si>
    <t>2) Mod Coil Contract cost growth 185% (from $4.8m to $8.9m.</t>
  </si>
  <si>
    <t>Changes week of 8/16</t>
  </si>
  <si>
    <t>WBS 4 c-site only</t>
  </si>
  <si>
    <t xml:space="preserve">1) Vac Vsl Contract cost growth 50% (from $3.2m to $4.8). </t>
  </si>
  <si>
    <t>WBS 622 Cryogenic cooling supply</t>
  </si>
  <si>
    <t>Scenario 3 CD-3</t>
  </si>
  <si>
    <t>Used to Have:</t>
  </si>
  <si>
    <t>WBS 121 NB ports</t>
  </si>
  <si>
    <t>B///CB</t>
  </si>
  <si>
    <t>Had:</t>
  </si>
  <si>
    <t>EA//EM   - PPPL Analysis engineer</t>
  </si>
  <si>
    <t>EA//EM</t>
  </si>
  <si>
    <t>EA//SM   - PPPL Designer</t>
  </si>
  <si>
    <t>EA//SM</t>
  </si>
  <si>
    <t>EC//EM   - PPPL Comuter Engineer</t>
  </si>
  <si>
    <t>EC//EM</t>
  </si>
  <si>
    <t>WBS 121 VVSA improvement</t>
  </si>
  <si>
    <t>WBS 14 MCWF improvement</t>
  </si>
  <si>
    <t>EC//SM   - PPPL Computer Senior Tech</t>
  </si>
  <si>
    <t>EC//SM</t>
  </si>
  <si>
    <t>EE//AM   -</t>
  </si>
  <si>
    <t>Nelson</t>
  </si>
  <si>
    <t>EE//AM</t>
  </si>
  <si>
    <t>EE//EM   - PPPL Electrical engineer</t>
  </si>
  <si>
    <t>EE//EM</t>
  </si>
  <si>
    <t>EE//SM   - PPPL Electrical Senior Tech</t>
  </si>
  <si>
    <t>EE//SM</t>
  </si>
  <si>
    <t>EE//TB   - PPPL Electrical Technician</t>
  </si>
  <si>
    <t>EE//TB</t>
  </si>
  <si>
    <t>EM//EM   - PPPL FO&amp;M Engineer</t>
  </si>
  <si>
    <t>EM//EM</t>
  </si>
  <si>
    <t>EM//SM   - PPPL FO&amp;M Senior Tech</t>
  </si>
  <si>
    <t>EM//SM</t>
  </si>
  <si>
    <t>EM//TB   - PPPL FO&amp;M Technician</t>
  </si>
  <si>
    <t>EM//TB</t>
  </si>
  <si>
    <t>FC//AM   - PPPL P&amp;CO am</t>
  </si>
  <si>
    <t>FC//AM</t>
  </si>
  <si>
    <t>FC//EM   - PPPL P&amp;CO em</t>
  </si>
  <si>
    <t>FC//EM</t>
  </si>
  <si>
    <t>R///RM2  - PPPL Scientist pdg2</t>
  </si>
  <si>
    <t>R///RM2</t>
  </si>
  <si>
    <t>R///RM3  - PPPL Scientist pdg3</t>
  </si>
  <si>
    <t>R///RM3</t>
  </si>
  <si>
    <t>SH//TB   - HP Techs</t>
  </si>
  <si>
    <t>SH//TB</t>
  </si>
  <si>
    <t>NCSX Impact Analysis</t>
  </si>
  <si>
    <t>Assumptions;</t>
  </si>
  <si>
    <t>Results;</t>
  </si>
  <si>
    <t>Baseline</t>
  </si>
  <si>
    <t>New</t>
  </si>
  <si>
    <t>BCWR (est as of 8/1)</t>
  </si>
  <si>
    <t>BCWP (est as of 8/1)</t>
  </si>
  <si>
    <t>FY03</t>
  </si>
  <si>
    <t>FY04</t>
  </si>
  <si>
    <t>FY05</t>
  </si>
  <si>
    <t>FY06</t>
  </si>
  <si>
    <t>FY07</t>
  </si>
  <si>
    <t>FY08</t>
  </si>
  <si>
    <t>FY09</t>
  </si>
  <si>
    <t>Total</t>
  </si>
  <si>
    <t>Delivery of VVSA</t>
  </si>
  <si>
    <t>Delivery of First MCWF</t>
  </si>
  <si>
    <t>Delivery of Last MCWF</t>
  </si>
  <si>
    <t>Award TF</t>
  </si>
  <si>
    <t>Award PF</t>
  </si>
  <si>
    <t>Award CS suptr struct</t>
  </si>
  <si>
    <t>Award Structure</t>
  </si>
  <si>
    <t>Manpower Impact in FY05 (relative to FWP</t>
  </si>
  <si>
    <t>EA Engr</t>
  </si>
  <si>
    <t>EE Engr</t>
  </si>
  <si>
    <t>makes undercoverage  worst. 4.1 to 6.2</t>
  </si>
  <si>
    <t>better fit</t>
  </si>
  <si>
    <t>EM Engr</t>
  </si>
  <si>
    <t>helps undercoverage</t>
  </si>
  <si>
    <t>EM Techs</t>
  </si>
  <si>
    <t>makes undercoverage worst 1 to 4.2</t>
  </si>
  <si>
    <t>Plan cumulative</t>
  </si>
  <si>
    <t>Cost</t>
  </si>
  <si>
    <t>Schedule</t>
  </si>
  <si>
    <t>CD-3 Baseline =</t>
  </si>
  <si>
    <t>Cost Reductions</t>
  </si>
  <si>
    <t>WBS 4 c/d site hybrid</t>
  </si>
  <si>
    <t>Increases</t>
  </si>
  <si>
    <t>Remaining risk=</t>
  </si>
  <si>
    <t>less VVSA =</t>
  </si>
  <si>
    <t>less MCWF =</t>
  </si>
  <si>
    <t>Contingency balance =</t>
  </si>
  <si>
    <t>Scope</t>
  </si>
  <si>
    <t>Contingency</t>
  </si>
  <si>
    <t xml:space="preserve"> TEC</t>
  </si>
  <si>
    <t>BA Funding Profile cumulative (MIE &amp; RP)</t>
  </si>
  <si>
    <t>BA Funding Profile (MIE &amp; RP)</t>
  </si>
  <si>
    <t>Res Prep =</t>
  </si>
  <si>
    <t>Total MIE &amp; RP =</t>
  </si>
  <si>
    <t>MIE Planned scope =</t>
  </si>
  <si>
    <t>MIE Contingency =</t>
  </si>
  <si>
    <t>MIE Total =</t>
  </si>
  <si>
    <t>Current (ECP 11)=</t>
  </si>
  <si>
    <t>Last Field Period Assembled</t>
  </si>
  <si>
    <t>Begin Pumpdown</t>
  </si>
  <si>
    <t>First Plasma</t>
  </si>
  <si>
    <t>mo. Slip</t>
  </si>
  <si>
    <t>Milestone impact</t>
  </si>
  <si>
    <t>Alternate Contingency Assessment</t>
  </si>
  <si>
    <t>Have;</t>
  </si>
  <si>
    <t>Should have</t>
  </si>
  <si>
    <t>Bottoms up scope remaining x risk %</t>
  </si>
  <si>
    <t>TEC =</t>
  </si>
  <si>
    <t>WBS 25 NBI</t>
  </si>
  <si>
    <t>D. Johnson</t>
  </si>
  <si>
    <t>WBS 4 Adopt All-C-site Design</t>
  </si>
  <si>
    <t>Ramakrishnan</t>
  </si>
  <si>
    <t>WBS 5 cuts as documented by G.O.
Add T/C &amp; strain gauge data aq.</t>
  </si>
  <si>
    <t>Oliaro</t>
  </si>
  <si>
    <t>Gettelfinger</t>
  </si>
  <si>
    <t>Dudek</t>
  </si>
  <si>
    <t>Gentile</t>
  </si>
  <si>
    <t>WBS 85 startup TBD
(estimate to be updated)</t>
  </si>
  <si>
    <t>Responsible</t>
  </si>
  <si>
    <t>Scope item</t>
  </si>
  <si>
    <t>∆cost ($M)</t>
  </si>
  <si>
    <t>WBS 121 port extensions</t>
  </si>
  <si>
    <t>x</t>
  </si>
  <si>
    <t>p3 "00X3"</t>
  </si>
  <si>
    <t>WBS 39 diag integration</t>
  </si>
  <si>
    <r>
      <t>% Cont</t>
    </r>
    <r>
      <rPr>
        <vertAlign val="subscript"/>
        <sz val="10"/>
        <rFont val="Arial"/>
        <family val="2"/>
      </rPr>
      <t xml:space="preserve">A </t>
    </r>
    <r>
      <rPr>
        <sz val="10"/>
        <rFont val="Arial"/>
        <family val="0"/>
      </rPr>
      <t>=</t>
    </r>
  </si>
  <si>
    <r>
      <t>% Cont</t>
    </r>
    <r>
      <rPr>
        <vertAlign val="subscript"/>
        <sz val="11"/>
        <rFont val="Arial"/>
        <family val="2"/>
      </rPr>
      <t>B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0"/>
      </rPr>
      <t>=</t>
    </r>
  </si>
  <si>
    <t>B</t>
  </si>
  <si>
    <t>A</t>
  </si>
  <si>
    <t>WBS 84 Project physics</t>
  </si>
  <si>
    <t>WBS 13 Trim Coils Dsn/Fab</t>
  </si>
  <si>
    <t>WBS 18 laser based GPS syst</t>
  </si>
  <si>
    <t>WBS 25 NBI TBD</t>
  </si>
  <si>
    <t>?</t>
  </si>
  <si>
    <t>WBS 85 startup TBD</t>
  </si>
  <si>
    <t>BA Funding Profile (MIE ONLY)</t>
  </si>
  <si>
    <t>Stretched out VV fabrication due to BA</t>
  </si>
  <si>
    <t>EIO Proposal</t>
  </si>
  <si>
    <t>RESOURCE DESCRIPTION</t>
  </si>
  <si>
    <t xml:space="preserve">  FY  2005</t>
  </si>
  <si>
    <t>PPPL Project Clerical</t>
  </si>
  <si>
    <t>PPPL Analysis engineer</t>
  </si>
  <si>
    <t>PPPL Designer</t>
  </si>
  <si>
    <t>PPPL Comuter Engineer</t>
  </si>
  <si>
    <t>PPPL Computer Senior Tech</t>
  </si>
  <si>
    <t>PPPL Electrical engineer</t>
  </si>
  <si>
    <t>PPPL Electrical Senior Tech</t>
  </si>
  <si>
    <t>PPPL Electrical Technician</t>
  </si>
  <si>
    <t>PPPL FO&amp;M Engineer</t>
  </si>
  <si>
    <t>PPPL FO&amp;M Senior Tech</t>
  </si>
  <si>
    <t>PPPL FO&amp;M Technician</t>
  </si>
  <si>
    <t>PPPL P&amp;CO am</t>
  </si>
  <si>
    <t>PPPL P&amp;CO em</t>
  </si>
  <si>
    <t>PPPL Scientist pdg2</t>
  </si>
  <si>
    <t>PPPL Scientist pdg3</t>
  </si>
  <si>
    <t>HP Techs</t>
  </si>
  <si>
    <t>ORNL</t>
  </si>
  <si>
    <t>First Plasma MAY 2008 with 4.5 month float</t>
  </si>
  <si>
    <t>WBS 4 add'l TBD c-site onlt?</t>
  </si>
  <si>
    <t>WBS 14 Prototype maching JPP=</t>
  </si>
  <si>
    <t>WBS 14 Prototype maching EIO=</t>
  </si>
  <si>
    <t>WBS 64 Heating/Cooling system</t>
  </si>
  <si>
    <t>WBS 121 VVSA increase</t>
  </si>
  <si>
    <t>WBS 14 MCWF Increase=</t>
  </si>
  <si>
    <t>WBS 14 Pre-proposal casting JPP =</t>
  </si>
  <si>
    <t>WBS 14 Pre-proposal casting EIO =</t>
  </si>
  <si>
    <t>WBS 14 Title 3 on casting fab</t>
  </si>
  <si>
    <t>WBS 5 plasma cntrl &amp; cntrl rm</t>
  </si>
  <si>
    <t>Escalation due to rescheduling</t>
  </si>
  <si>
    <t>MIE cum plan</t>
  </si>
  <si>
    <t>MIE cum funding</t>
  </si>
  <si>
    <t>Includes cost of VVSA &amp; MCWF @ 10% conting</t>
  </si>
  <si>
    <t>Major Budgets re-scheduled</t>
  </si>
  <si>
    <t>VVSA</t>
  </si>
  <si>
    <t>CD-3 Plan</t>
  </si>
  <si>
    <t>Summar of major drivers</t>
  </si>
  <si>
    <t>MCWF</t>
  </si>
  <si>
    <t>TF Procurement</t>
  </si>
  <si>
    <t>PF Procurement</t>
  </si>
  <si>
    <t>Winding/Assy Ops (labor $)</t>
  </si>
  <si>
    <t>Deleted Scope</t>
  </si>
  <si>
    <t>MC Winding Component Procurement &amp; Fab</t>
  </si>
  <si>
    <t>Structure</t>
  </si>
  <si>
    <t>Contingency on VVSA &amp; MCWF</t>
  </si>
  <si>
    <t>Contingency on All Other Scope</t>
  </si>
  <si>
    <t xml:space="preserve">RES </t>
  </si>
  <si>
    <t>None</t>
  </si>
  <si>
    <t>RESOURCE</t>
  </si>
  <si>
    <t xml:space="preserve">  FY  2004</t>
  </si>
  <si>
    <t xml:space="preserve">  FY  2006</t>
  </si>
  <si>
    <t xml:space="preserve">  FY  2007</t>
  </si>
  <si>
    <t xml:space="preserve">  FY  2008</t>
  </si>
  <si>
    <t xml:space="preserve">  FY  2009</t>
  </si>
  <si>
    <t>B///CB   - PPPL Project Clerical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</si>
</sst>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%"/>
    <numFmt numFmtId="166" formatCode="[$-409]dddd\,\ mmmm\ dd\,\ yyyy"/>
    <numFmt numFmtId="167" formatCode="mmm/yyyy"/>
    <numFmt numFmtId="168" formatCode="mmm\-yyyy"/>
    <numFmt numFmtId="169" formatCode="0.0"/>
    <numFmt numFmtId="170" formatCode="0.000"/>
    <numFmt numFmtId="171" formatCode="0.00000"/>
    <numFmt numFmtId="172" formatCode="0.0000"/>
    <numFmt numFmtId="173" formatCode="&quot;$&quot;#,##0.00"/>
    <numFmt numFmtId="174" formatCode="&quot;$&quot;#,##0.0"/>
  </numFmts>
  <fonts count="28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i/>
      <u val="single"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u val="single"/>
      <sz val="9"/>
      <name val="Arial"/>
      <family val="2"/>
    </font>
    <font>
      <vertAlign val="subscript"/>
      <sz val="10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Geneva"/>
      <family val="0"/>
    </font>
    <font>
      <b/>
      <sz val="9"/>
      <name val="Geneva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Fill="1" applyAlignment="1">
      <alignment/>
    </xf>
    <xf numFmtId="0" fontId="5" fillId="0" borderId="0" xfId="0" applyFont="1" applyFill="1" applyAlignment="1">
      <alignment/>
    </xf>
    <xf numFmtId="165" fontId="0" fillId="0" borderId="0" xfId="21" applyNumberFormat="1" applyFill="1" applyAlignment="1">
      <alignment/>
    </xf>
    <xf numFmtId="1" fontId="0" fillId="0" borderId="0" xfId="0" applyNumberFormat="1" applyFill="1" applyAlignment="1">
      <alignment/>
    </xf>
    <xf numFmtId="169" fontId="11" fillId="0" borderId="1" xfId="0" applyNumberFormat="1" applyFont="1" applyFill="1" applyBorder="1" applyAlignment="1">
      <alignment/>
    </xf>
    <xf numFmtId="165" fontId="11" fillId="0" borderId="1" xfId="21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1" fillId="0" borderId="8" xfId="0" applyFont="1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12" fillId="2" borderId="11" xfId="0" applyFont="1" applyFill="1" applyBorder="1" applyAlignment="1">
      <alignment/>
    </xf>
    <xf numFmtId="0" fontId="3" fillId="2" borderId="12" xfId="0" applyFont="1" applyFill="1" applyBorder="1" applyAlignment="1">
      <alignment/>
    </xf>
    <xf numFmtId="2" fontId="3" fillId="2" borderId="12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5" fontId="13" fillId="2" borderId="12" xfId="21" applyNumberFormat="1" applyFont="1" applyFill="1" applyBorder="1" applyAlignment="1">
      <alignment/>
    </xf>
    <xf numFmtId="0" fontId="13" fillId="2" borderId="13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14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2" fontId="13" fillId="2" borderId="12" xfId="0" applyNumberFormat="1" applyFont="1" applyFill="1" applyBorder="1" applyAlignment="1">
      <alignment/>
    </xf>
    <xf numFmtId="165" fontId="11" fillId="0" borderId="14" xfId="21" applyNumberFormat="1" applyFont="1" applyFill="1" applyBorder="1" applyAlignment="1">
      <alignment/>
    </xf>
    <xf numFmtId="165" fontId="11" fillId="0" borderId="0" xfId="21" applyNumberFormat="1" applyFont="1" applyFill="1" applyBorder="1" applyAlignment="1">
      <alignment/>
    </xf>
    <xf numFmtId="172" fontId="13" fillId="0" borderId="0" xfId="0" applyNumberFormat="1" applyFont="1" applyFill="1" applyBorder="1" applyAlignment="1">
      <alignment horizontal="right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74" fontId="0" fillId="0" borderId="0" xfId="0" applyNumberFormat="1" applyFill="1" applyAlignment="1">
      <alignment horizontal="right"/>
    </xf>
    <xf numFmtId="0" fontId="6" fillId="0" borderId="2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165" fontId="1" fillId="0" borderId="0" xfId="21" applyNumberFormat="1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6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0" fillId="0" borderId="16" xfId="0" applyFill="1" applyBorder="1" applyAlignment="1">
      <alignment/>
    </xf>
    <xf numFmtId="0" fontId="19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0" fillId="2" borderId="17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0" borderId="0" xfId="0" applyFill="1" applyBorder="1" applyAlignment="1">
      <alignment horizontal="right"/>
    </xf>
    <xf numFmtId="2" fontId="0" fillId="0" borderId="0" xfId="0" applyNumberForma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 horizontal="right"/>
    </xf>
    <xf numFmtId="170" fontId="14" fillId="0" borderId="0" xfId="0" applyNumberFormat="1" applyFont="1" applyFill="1" applyBorder="1" applyAlignment="1">
      <alignment/>
    </xf>
    <xf numFmtId="2" fontId="13" fillId="2" borderId="18" xfId="0" applyNumberFormat="1" applyFont="1" applyFill="1" applyBorder="1" applyAlignment="1">
      <alignment horizontal="left"/>
    </xf>
    <xf numFmtId="2" fontId="13" fillId="0" borderId="16" xfId="0" applyNumberFormat="1" applyFont="1" applyFill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9" fontId="0" fillId="0" borderId="16" xfId="0" applyNumberForma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70" fontId="2" fillId="0" borderId="16" xfId="0" applyNumberFormat="1" applyFont="1" applyFill="1" applyBorder="1" applyAlignment="1">
      <alignment/>
    </xf>
    <xf numFmtId="169" fontId="0" fillId="0" borderId="0" xfId="0" applyNumberFormat="1" applyFill="1" applyBorder="1" applyAlignment="1">
      <alignment/>
    </xf>
    <xf numFmtId="0" fontId="13" fillId="5" borderId="0" xfId="0" applyFont="1" applyFill="1" applyBorder="1" applyAlignment="1">
      <alignment/>
    </xf>
    <xf numFmtId="169" fontId="13" fillId="5" borderId="0" xfId="0" applyNumberFormat="1" applyFont="1" applyFill="1" applyBorder="1" applyAlignment="1">
      <alignment/>
    </xf>
    <xf numFmtId="169" fontId="1" fillId="4" borderId="0" xfId="0" applyNumberFormat="1" applyFont="1" applyFill="1" applyBorder="1" applyAlignment="1">
      <alignment/>
    </xf>
    <xf numFmtId="169" fontId="10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3" fillId="5" borderId="0" xfId="0" applyFont="1" applyFill="1" applyBorder="1" applyAlignment="1">
      <alignment/>
    </xf>
    <xf numFmtId="169" fontId="3" fillId="5" borderId="0" xfId="0" applyNumberFormat="1" applyFont="1" applyFill="1" applyBorder="1" applyAlignment="1">
      <alignment/>
    </xf>
    <xf numFmtId="0" fontId="6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0" fillId="6" borderId="6" xfId="0" applyFill="1" applyBorder="1" applyAlignment="1">
      <alignment/>
    </xf>
    <xf numFmtId="2" fontId="0" fillId="6" borderId="6" xfId="0" applyNumberFormat="1" applyFill="1" applyBorder="1" applyAlignment="1">
      <alignment/>
    </xf>
    <xf numFmtId="169" fontId="3" fillId="0" borderId="6" xfId="0" applyNumberFormat="1" applyFont="1" applyFill="1" applyBorder="1" applyAlignment="1">
      <alignment/>
    </xf>
    <xf numFmtId="169" fontId="0" fillId="0" borderId="7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167" fontId="0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43" fontId="0" fillId="0" borderId="0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167" fontId="0" fillId="0" borderId="6" xfId="0" applyNumberFormat="1" applyFont="1" applyFill="1" applyBorder="1" applyAlignment="1">
      <alignment/>
    </xf>
    <xf numFmtId="167" fontId="4" fillId="0" borderId="6" xfId="0" applyNumberFormat="1" applyFont="1" applyFill="1" applyBorder="1" applyAlignment="1">
      <alignment/>
    </xf>
    <xf numFmtId="1" fontId="0" fillId="0" borderId="6" xfId="0" applyNumberFormat="1" applyFill="1" applyBorder="1" applyAlignment="1">
      <alignment/>
    </xf>
    <xf numFmtId="0" fontId="6" fillId="0" borderId="3" xfId="0" applyFont="1" applyFill="1" applyBorder="1" applyAlignment="1">
      <alignment/>
    </xf>
    <xf numFmtId="1" fontId="0" fillId="0" borderId="3" xfId="0" applyNumberForma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174" fontId="0" fillId="0" borderId="0" xfId="0" applyNumberFormat="1" applyFill="1" applyBorder="1" applyAlignment="1">
      <alignment horizontal="right"/>
    </xf>
    <xf numFmtId="174" fontId="0" fillId="0" borderId="0" xfId="0" applyNumberFormat="1" applyFill="1" applyBorder="1" applyAlignment="1">
      <alignment/>
    </xf>
    <xf numFmtId="174" fontId="0" fillId="0" borderId="6" xfId="0" applyNumberFormat="1" applyFill="1" applyBorder="1" applyAlignment="1">
      <alignment horizontal="right"/>
    </xf>
    <xf numFmtId="0" fontId="9" fillId="0" borderId="3" xfId="0" applyFont="1" applyFill="1" applyBorder="1" applyAlignment="1">
      <alignment/>
    </xf>
    <xf numFmtId="9" fontId="0" fillId="0" borderId="0" xfId="21" applyFill="1" applyBorder="1" applyAlignment="1">
      <alignment/>
    </xf>
    <xf numFmtId="0" fontId="16" fillId="0" borderId="0" xfId="0" applyFont="1" applyFill="1" applyBorder="1" applyAlignment="1">
      <alignment/>
    </xf>
    <xf numFmtId="169" fontId="0" fillId="0" borderId="0" xfId="0" applyNumberFormat="1" applyFill="1" applyAlignment="1">
      <alignment/>
    </xf>
    <xf numFmtId="9" fontId="0" fillId="0" borderId="0" xfId="21" applyFill="1" applyAlignment="1">
      <alignment/>
    </xf>
    <xf numFmtId="165" fontId="0" fillId="0" borderId="0" xfId="21" applyNumberForma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2" fontId="0" fillId="0" borderId="19" xfId="0" applyNumberFormat="1" applyFill="1" applyBorder="1" applyAlignment="1">
      <alignment/>
    </xf>
    <xf numFmtId="9" fontId="0" fillId="0" borderId="20" xfId="21" applyFill="1" applyBorder="1" applyAlignment="1">
      <alignment/>
    </xf>
    <xf numFmtId="0" fontId="16" fillId="0" borderId="12" xfId="0" applyFont="1" applyFill="1" applyBorder="1" applyAlignment="1">
      <alignment/>
    </xf>
    <xf numFmtId="9" fontId="0" fillId="0" borderId="21" xfId="21" applyFill="1" applyBorder="1" applyAlignment="1">
      <alignment/>
    </xf>
    <xf numFmtId="0" fontId="16" fillId="0" borderId="13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169" fontId="0" fillId="0" borderId="22" xfId="0" applyNumberFormat="1" applyFill="1" applyBorder="1" applyAlignment="1">
      <alignment/>
    </xf>
    <xf numFmtId="9" fontId="0" fillId="0" borderId="23" xfId="21" applyFill="1" applyBorder="1" applyAlignment="1">
      <alignment/>
    </xf>
    <xf numFmtId="170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left" vertical="center" wrapText="1"/>
    </xf>
    <xf numFmtId="0" fontId="0" fillId="0" borderId="19" xfId="0" applyFill="1" applyBorder="1" applyAlignment="1">
      <alignment horizontal="left" vertical="center"/>
    </xf>
    <xf numFmtId="170" fontId="0" fillId="0" borderId="19" xfId="0" applyNumberFormat="1" applyFill="1" applyBorder="1" applyAlignment="1">
      <alignment/>
    </xf>
    <xf numFmtId="170" fontId="4" fillId="0" borderId="0" xfId="0" applyNumberFormat="1" applyFont="1" applyFill="1" applyBorder="1" applyAlignment="1">
      <alignment/>
    </xf>
    <xf numFmtId="170" fontId="2" fillId="0" borderId="0" xfId="0" applyNumberFormat="1" applyFont="1" applyFill="1" applyBorder="1" applyAlignment="1">
      <alignment/>
    </xf>
    <xf numFmtId="170" fontId="0" fillId="0" borderId="11" xfId="0" applyNumberFormat="1" applyFill="1" applyBorder="1" applyAlignment="1">
      <alignment/>
    </xf>
    <xf numFmtId="170" fontId="4" fillId="0" borderId="20" xfId="0" applyNumberFormat="1" applyFont="1" applyFill="1" applyBorder="1" applyAlignment="1">
      <alignment/>
    </xf>
    <xf numFmtId="170" fontId="0" fillId="0" borderId="13" xfId="0" applyNumberFormat="1" applyFill="1" applyBorder="1" applyAlignment="1">
      <alignment/>
    </xf>
    <xf numFmtId="170" fontId="4" fillId="0" borderId="23" xfId="0" applyNumberFormat="1" applyFont="1" applyFill="1" applyBorder="1" applyAlignment="1">
      <alignment/>
    </xf>
    <xf numFmtId="170" fontId="1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9"/>
  <sheetViews>
    <sheetView tabSelected="1" workbookViewId="0" topLeftCell="A8">
      <selection activeCell="I44" sqref="I11:I44"/>
    </sheetView>
  </sheetViews>
  <sheetFormatPr defaultColWidth="9.140625" defaultRowHeight="12.75"/>
  <cols>
    <col min="1" max="1" width="1.421875" style="3" customWidth="1"/>
    <col min="2" max="2" width="5.28125" style="2" customWidth="1"/>
    <col min="3" max="3" width="5.28125" style="3" customWidth="1"/>
    <col min="4" max="4" width="31.7109375" style="5" customWidth="1"/>
    <col min="5" max="5" width="11.421875" style="5" bestFit="1" customWidth="1"/>
    <col min="6" max="6" width="12.00390625" style="5" customWidth="1"/>
    <col min="7" max="7" width="14.421875" style="5" bestFit="1" customWidth="1"/>
    <col min="8" max="8" width="11.421875" style="5" customWidth="1"/>
    <col min="9" max="9" width="11.8515625" style="5" customWidth="1"/>
    <col min="10" max="11" width="9.7109375" style="5" bestFit="1" customWidth="1"/>
    <col min="12" max="12" width="28.421875" style="5" customWidth="1"/>
    <col min="13" max="13" width="24.00390625" style="5" customWidth="1"/>
    <col min="14" max="14" width="10.8515625" style="5" customWidth="1"/>
    <col min="15" max="15" width="13.421875" style="5" customWidth="1"/>
    <col min="16" max="16" width="8.8515625" style="5" customWidth="1"/>
    <col min="17" max="17" width="17.140625" style="5" customWidth="1"/>
    <col min="18" max="18" width="18.421875" style="5" customWidth="1"/>
    <col min="19" max="19" width="16.8515625" style="5" customWidth="1"/>
    <col min="20" max="20" width="15.28125" style="5" customWidth="1"/>
    <col min="21" max="16384" width="9.140625" style="5" customWidth="1"/>
  </cols>
  <sheetData>
    <row r="1" spans="1:4" ht="18">
      <c r="A1" s="1" t="s">
        <v>45</v>
      </c>
      <c r="D1" s="4"/>
    </row>
    <row r="2" spans="1:4" ht="18">
      <c r="A2" s="1" t="s">
        <v>5</v>
      </c>
      <c r="D2" s="4"/>
    </row>
    <row r="3" spans="2:3" ht="16.5" thickBot="1">
      <c r="B3" s="6" t="s">
        <v>46</v>
      </c>
      <c r="C3" s="7"/>
    </row>
    <row r="4" spans="4:10" ht="15">
      <c r="D4" s="12" t="s">
        <v>3</v>
      </c>
      <c r="E4" s="13"/>
      <c r="F4" s="13"/>
      <c r="G4" s="13"/>
      <c r="H4" s="13"/>
      <c r="I4" s="13"/>
      <c r="J4" s="14"/>
    </row>
    <row r="5" spans="4:10" ht="16.5" thickBot="1">
      <c r="D5" s="15" t="s">
        <v>0</v>
      </c>
      <c r="E5" s="16"/>
      <c r="F5" s="16"/>
      <c r="G5" s="16"/>
      <c r="H5" s="16"/>
      <c r="I5" s="28"/>
      <c r="J5" s="17"/>
    </row>
    <row r="6" ht="16.5" thickBot="1">
      <c r="B6" s="6" t="s">
        <v>47</v>
      </c>
    </row>
    <row r="7" spans="1:13" ht="15">
      <c r="A7" s="42"/>
      <c r="B7" s="43"/>
      <c r="C7" s="44" t="s">
        <v>77</v>
      </c>
      <c r="D7" s="13"/>
      <c r="E7" s="13" t="s">
        <v>87</v>
      </c>
      <c r="F7" s="13" t="s">
        <v>88</v>
      </c>
      <c r="G7" s="13" t="s">
        <v>89</v>
      </c>
      <c r="H7" s="13" t="s">
        <v>51</v>
      </c>
      <c r="I7" s="13" t="s">
        <v>50</v>
      </c>
      <c r="J7" s="13"/>
      <c r="K7" s="45"/>
      <c r="L7" s="46"/>
      <c r="M7" s="34"/>
    </row>
    <row r="8" spans="1:19" ht="15">
      <c r="A8" s="47"/>
      <c r="B8" s="48"/>
      <c r="C8" s="49"/>
      <c r="D8" s="50" t="s">
        <v>97</v>
      </c>
      <c r="E8" s="50">
        <v>73.605</v>
      </c>
      <c r="F8" s="50">
        <v>12.695</v>
      </c>
      <c r="G8" s="50">
        <f>SUM(E8:F8)</f>
        <v>86.30000000000001</v>
      </c>
      <c r="H8" s="50">
        <v>16.8</v>
      </c>
      <c r="I8" s="51">
        <f>+E8-H8</f>
        <v>56.80500000000001</v>
      </c>
      <c r="J8" s="27"/>
      <c r="K8" s="52">
        <f>+F8/I8</f>
        <v>0.22348384825279463</v>
      </c>
      <c r="L8" s="53"/>
      <c r="M8" s="34"/>
      <c r="S8" s="118"/>
    </row>
    <row r="9" spans="1:13" ht="15">
      <c r="A9" s="47"/>
      <c r="B9" s="48"/>
      <c r="C9" s="49"/>
      <c r="D9" s="27"/>
      <c r="E9" s="27"/>
      <c r="F9" s="27"/>
      <c r="G9" s="27"/>
      <c r="H9" s="27"/>
      <c r="I9" s="27"/>
      <c r="J9" s="27"/>
      <c r="K9" s="35"/>
      <c r="L9" s="53"/>
      <c r="M9" s="34"/>
    </row>
    <row r="10" spans="1:13" ht="15">
      <c r="A10" s="47"/>
      <c r="B10" s="48"/>
      <c r="C10" s="54" t="s">
        <v>123</v>
      </c>
      <c r="D10" s="55" t="s">
        <v>82</v>
      </c>
      <c r="E10" s="27"/>
      <c r="F10" s="27"/>
      <c r="G10" s="27"/>
      <c r="H10" s="27"/>
      <c r="I10" s="27"/>
      <c r="J10" s="27"/>
      <c r="K10" s="35"/>
      <c r="L10" s="53"/>
      <c r="M10" s="34"/>
    </row>
    <row r="11" spans="1:13" ht="15">
      <c r="A11" s="47"/>
      <c r="B11" s="48"/>
      <c r="C11" s="56" t="s">
        <v>122</v>
      </c>
      <c r="D11" s="27" t="s">
        <v>162</v>
      </c>
      <c r="E11" s="65">
        <v>1.889</v>
      </c>
      <c r="F11" s="137">
        <f>-E11</f>
        <v>-1.889</v>
      </c>
      <c r="G11" s="27">
        <f>SUM(E11:F11)</f>
        <v>0</v>
      </c>
      <c r="H11" s="27"/>
      <c r="I11" s="65">
        <f>+E11</f>
        <v>1.889</v>
      </c>
      <c r="J11" s="27"/>
      <c r="K11" s="35"/>
      <c r="L11" s="53"/>
      <c r="M11" s="34"/>
    </row>
    <row r="12" spans="1:13" ht="15">
      <c r="A12" s="47"/>
      <c r="B12" s="57"/>
      <c r="C12" s="56" t="s">
        <v>122</v>
      </c>
      <c r="D12" s="27" t="s">
        <v>163</v>
      </c>
      <c r="E12" s="65">
        <v>4.053</v>
      </c>
      <c r="F12" s="137">
        <f>-E12</f>
        <v>-4.053</v>
      </c>
      <c r="G12" s="27">
        <f>SUM(E12:F12)</f>
        <v>0</v>
      </c>
      <c r="H12" s="27"/>
      <c r="I12" s="65">
        <f>+E12</f>
        <v>4.053</v>
      </c>
      <c r="J12" s="27"/>
      <c r="K12" s="35"/>
      <c r="L12" s="53"/>
      <c r="M12" s="34"/>
    </row>
    <row r="13" spans="1:13" ht="15">
      <c r="A13" s="47"/>
      <c r="B13" s="57"/>
      <c r="C13" s="56" t="s">
        <v>122</v>
      </c>
      <c r="D13" s="27" t="s">
        <v>164</v>
      </c>
      <c r="E13" s="65">
        <v>0.02</v>
      </c>
      <c r="F13" s="65">
        <f>-E13</f>
        <v>-0.02</v>
      </c>
      <c r="G13" s="27">
        <f>SUM(E13:F13)</f>
        <v>0</v>
      </c>
      <c r="H13" s="27"/>
      <c r="I13" s="65">
        <f>+E13</f>
        <v>0.02</v>
      </c>
      <c r="J13" s="27"/>
      <c r="K13" s="35"/>
      <c r="L13" s="53"/>
      <c r="M13" s="34"/>
    </row>
    <row r="14" spans="1:13" ht="15">
      <c r="A14" s="47"/>
      <c r="B14" s="57"/>
      <c r="C14" s="56" t="s">
        <v>122</v>
      </c>
      <c r="D14" s="27" t="s">
        <v>165</v>
      </c>
      <c r="E14" s="64">
        <v>0.329</v>
      </c>
      <c r="F14" s="64">
        <f>-E14</f>
        <v>-0.329</v>
      </c>
      <c r="G14" s="59">
        <f>SUM(E14:F14)</f>
        <v>0</v>
      </c>
      <c r="H14" s="27"/>
      <c r="I14" s="138">
        <f>+E14</f>
        <v>0.329</v>
      </c>
      <c r="J14" s="27"/>
      <c r="K14" s="35"/>
      <c r="L14" s="53">
        <v>-0.35</v>
      </c>
      <c r="M14" s="34"/>
    </row>
    <row r="15" spans="1:13" ht="15">
      <c r="A15" s="47"/>
      <c r="B15" s="57"/>
      <c r="C15" s="56" t="s">
        <v>122</v>
      </c>
      <c r="D15" s="27" t="s">
        <v>168</v>
      </c>
      <c r="E15" s="138">
        <v>0.057</v>
      </c>
      <c r="F15" s="64">
        <f>-E15</f>
        <v>-0.057</v>
      </c>
      <c r="G15" s="59"/>
      <c r="H15" s="27"/>
      <c r="I15" s="138">
        <f>+E15</f>
        <v>0.057</v>
      </c>
      <c r="J15" s="27"/>
      <c r="K15" s="35"/>
      <c r="L15" s="53"/>
      <c r="M15" s="34"/>
    </row>
    <row r="16" spans="1:13" ht="15">
      <c r="A16" s="47"/>
      <c r="B16" s="57"/>
      <c r="C16" s="56"/>
      <c r="D16" s="27"/>
      <c r="E16" s="137">
        <f>SUM(E11:E15)</f>
        <v>6.348</v>
      </c>
      <c r="F16" s="137">
        <f>SUM(F11:F15)</f>
        <v>-6.348</v>
      </c>
      <c r="G16" s="50">
        <f aca="true" t="shared" si="0" ref="G16:G44">SUM(E16:F16)</f>
        <v>0</v>
      </c>
      <c r="H16" s="50"/>
      <c r="I16" s="137">
        <f>SUM(I11:I15)</f>
        <v>6.348</v>
      </c>
      <c r="J16" s="27"/>
      <c r="K16" s="35"/>
      <c r="L16" s="53">
        <v>-0.5</v>
      </c>
      <c r="M16" s="34"/>
    </row>
    <row r="17" spans="1:13" ht="15">
      <c r="A17" s="47"/>
      <c r="B17" s="57"/>
      <c r="C17" s="56"/>
      <c r="D17" s="55" t="s">
        <v>80</v>
      </c>
      <c r="E17" s="65"/>
      <c r="F17" s="65"/>
      <c r="G17" s="27">
        <f t="shared" si="0"/>
        <v>0</v>
      </c>
      <c r="H17" s="27"/>
      <c r="I17" s="65"/>
      <c r="J17" s="27"/>
      <c r="K17" s="35"/>
      <c r="L17" s="53">
        <v>-0.8</v>
      </c>
      <c r="M17" s="34"/>
    </row>
    <row r="18" spans="1:13" ht="15">
      <c r="A18" s="47"/>
      <c r="B18" s="57"/>
      <c r="C18" s="56" t="s">
        <v>122</v>
      </c>
      <c r="D18" s="27" t="s">
        <v>7</v>
      </c>
      <c r="E18" s="64">
        <v>-0.15</v>
      </c>
      <c r="F18" s="65">
        <f aca="true" t="shared" si="1" ref="F18:F32">-E18</f>
        <v>0.15</v>
      </c>
      <c r="G18" s="58">
        <f t="shared" si="0"/>
        <v>0</v>
      </c>
      <c r="H18" s="27"/>
      <c r="I18" s="64">
        <f aca="true" t="shared" si="2" ref="I18:I43">+E18</f>
        <v>-0.15</v>
      </c>
      <c r="J18" s="60">
        <f>+I18*0.2</f>
        <v>-0.03</v>
      </c>
      <c r="K18" s="40"/>
      <c r="L18" s="53"/>
      <c r="M18" s="34"/>
    </row>
    <row r="19" spans="1:13" ht="15">
      <c r="A19" s="47"/>
      <c r="B19" s="57"/>
      <c r="C19" s="56" t="s">
        <v>122</v>
      </c>
      <c r="D19" s="27" t="s">
        <v>121</v>
      </c>
      <c r="E19" s="64">
        <v>-0.15</v>
      </c>
      <c r="F19" s="65">
        <f t="shared" si="1"/>
        <v>0.15</v>
      </c>
      <c r="G19" s="58">
        <f t="shared" si="0"/>
        <v>0</v>
      </c>
      <c r="H19" s="27"/>
      <c r="I19" s="64">
        <f t="shared" si="2"/>
        <v>-0.15</v>
      </c>
      <c r="J19" s="60">
        <f>+I19*0.2</f>
        <v>-0.03</v>
      </c>
      <c r="K19" s="40"/>
      <c r="L19" s="53"/>
      <c r="M19" s="34"/>
    </row>
    <row r="20" spans="1:13" ht="15">
      <c r="A20" s="47"/>
      <c r="B20" s="57"/>
      <c r="C20" s="56" t="s">
        <v>122</v>
      </c>
      <c r="D20" s="27" t="s">
        <v>160</v>
      </c>
      <c r="E20" s="65">
        <v>-0.118</v>
      </c>
      <c r="F20" s="65">
        <f t="shared" si="1"/>
        <v>0.118</v>
      </c>
      <c r="G20" s="27">
        <f t="shared" si="0"/>
        <v>0</v>
      </c>
      <c r="H20" s="27"/>
      <c r="I20" s="65">
        <f t="shared" si="2"/>
        <v>-0.118</v>
      </c>
      <c r="J20" s="40"/>
      <c r="K20" s="40"/>
      <c r="L20" s="53"/>
      <c r="M20" s="34"/>
    </row>
    <row r="21" spans="1:13" ht="15">
      <c r="A21" s="47"/>
      <c r="B21" s="57"/>
      <c r="C21" s="56" t="s">
        <v>122</v>
      </c>
      <c r="D21" s="27" t="s">
        <v>159</v>
      </c>
      <c r="E21" s="65">
        <v>-0.196</v>
      </c>
      <c r="F21" s="65">
        <f t="shared" si="1"/>
        <v>0.196</v>
      </c>
      <c r="G21" s="27">
        <f t="shared" si="0"/>
        <v>0</v>
      </c>
      <c r="H21" s="27"/>
      <c r="I21" s="65">
        <f t="shared" si="2"/>
        <v>-0.196</v>
      </c>
      <c r="J21" s="40"/>
      <c r="K21" s="40"/>
      <c r="L21" s="53">
        <v>-0.4</v>
      </c>
      <c r="M21" s="34"/>
    </row>
    <row r="22" spans="1:13" ht="15">
      <c r="A22" s="47"/>
      <c r="B22" s="57"/>
      <c r="C22" s="56" t="s">
        <v>122</v>
      </c>
      <c r="D22" s="27" t="s">
        <v>166</v>
      </c>
      <c r="E22" s="64">
        <v>-0.15</v>
      </c>
      <c r="F22" s="65">
        <f t="shared" si="1"/>
        <v>0.15</v>
      </c>
      <c r="G22" s="58">
        <f t="shared" si="0"/>
        <v>0</v>
      </c>
      <c r="H22" s="27"/>
      <c r="I22" s="64">
        <f t="shared" si="2"/>
        <v>-0.15</v>
      </c>
      <c r="J22" s="60">
        <f aca="true" t="shared" si="3" ref="J22:J43">+I22*0.2</f>
        <v>-0.03</v>
      </c>
      <c r="K22" s="40"/>
      <c r="L22" s="53"/>
      <c r="M22" s="34"/>
    </row>
    <row r="23" spans="1:12" ht="15">
      <c r="A23" s="47"/>
      <c r="B23" s="57"/>
      <c r="C23" s="56" t="s">
        <v>122</v>
      </c>
      <c r="D23" s="27" t="s">
        <v>131</v>
      </c>
      <c r="E23" s="64">
        <v>-0.129</v>
      </c>
      <c r="F23" s="65">
        <f t="shared" si="1"/>
        <v>0.129</v>
      </c>
      <c r="G23" s="58">
        <f t="shared" si="0"/>
        <v>0</v>
      </c>
      <c r="H23" s="27"/>
      <c r="I23" s="64">
        <f t="shared" si="2"/>
        <v>-0.129</v>
      </c>
      <c r="J23" s="60">
        <f t="shared" si="3"/>
        <v>-0.025800000000000003</v>
      </c>
      <c r="K23" s="39"/>
      <c r="L23" s="61"/>
    </row>
    <row r="24" spans="1:12" ht="15">
      <c r="A24" s="47"/>
      <c r="B24" s="57"/>
      <c r="C24" s="56" t="s">
        <v>122</v>
      </c>
      <c r="D24" s="27" t="s">
        <v>132</v>
      </c>
      <c r="E24" s="64">
        <v>-0.833</v>
      </c>
      <c r="F24" s="65">
        <f t="shared" si="1"/>
        <v>0.833</v>
      </c>
      <c r="G24" s="58">
        <f t="shared" si="0"/>
        <v>0</v>
      </c>
      <c r="H24" s="27"/>
      <c r="I24" s="64">
        <f t="shared" si="2"/>
        <v>-0.833</v>
      </c>
      <c r="J24" s="60">
        <f t="shared" si="3"/>
        <v>-0.1666</v>
      </c>
      <c r="K24" s="39"/>
      <c r="L24" s="61"/>
    </row>
    <row r="25" spans="1:13" ht="15">
      <c r="A25" s="47"/>
      <c r="B25" s="57"/>
      <c r="C25" s="56" t="s">
        <v>122</v>
      </c>
      <c r="D25" s="27" t="s">
        <v>124</v>
      </c>
      <c r="E25" s="64">
        <v>-0.481</v>
      </c>
      <c r="F25" s="65">
        <f t="shared" si="1"/>
        <v>0.481</v>
      </c>
      <c r="G25" s="58">
        <f t="shared" si="0"/>
        <v>0</v>
      </c>
      <c r="H25" s="27"/>
      <c r="I25" s="64">
        <f t="shared" si="2"/>
        <v>-0.481</v>
      </c>
      <c r="J25" s="60">
        <f t="shared" si="3"/>
        <v>-0.09620000000000001</v>
      </c>
      <c r="K25" s="40"/>
      <c r="L25" s="53"/>
      <c r="M25" s="34"/>
    </row>
    <row r="26" spans="1:12" ht="15">
      <c r="A26" s="47"/>
      <c r="B26" s="57"/>
      <c r="C26" s="62" t="s">
        <v>133</v>
      </c>
      <c r="D26" s="50" t="s">
        <v>158</v>
      </c>
      <c r="E26" s="64">
        <v>-0.4</v>
      </c>
      <c r="F26" s="65">
        <f t="shared" si="1"/>
        <v>0.4</v>
      </c>
      <c r="G26" s="58">
        <f t="shared" si="0"/>
        <v>0</v>
      </c>
      <c r="H26" s="27"/>
      <c r="I26" s="64">
        <f t="shared" si="2"/>
        <v>-0.4</v>
      </c>
      <c r="J26" s="60">
        <f t="shared" si="3"/>
        <v>-0.08000000000000002</v>
      </c>
      <c r="K26" s="39"/>
      <c r="L26" s="61"/>
    </row>
    <row r="27" spans="1:13" ht="15">
      <c r="A27" s="47"/>
      <c r="B27" s="57"/>
      <c r="C27" s="63" t="s">
        <v>122</v>
      </c>
      <c r="D27" s="50" t="s">
        <v>81</v>
      </c>
      <c r="E27" s="65">
        <v>-0.3</v>
      </c>
      <c r="F27" s="65">
        <f t="shared" si="1"/>
        <v>0.3</v>
      </c>
      <c r="G27" s="27">
        <f t="shared" si="0"/>
        <v>0</v>
      </c>
      <c r="H27" s="27"/>
      <c r="I27" s="65">
        <f t="shared" si="2"/>
        <v>-0.3</v>
      </c>
      <c r="J27" s="60">
        <f t="shared" si="3"/>
        <v>-0.06</v>
      </c>
      <c r="K27" s="40"/>
      <c r="L27" s="53"/>
      <c r="M27" s="34"/>
    </row>
    <row r="28" spans="1:12" ht="15">
      <c r="A28" s="47"/>
      <c r="B28" s="57"/>
      <c r="C28" s="56" t="s">
        <v>122</v>
      </c>
      <c r="D28" s="27" t="s">
        <v>167</v>
      </c>
      <c r="E28" s="64">
        <v>-0.478</v>
      </c>
      <c r="F28" s="65">
        <f t="shared" si="1"/>
        <v>0.478</v>
      </c>
      <c r="G28" s="58">
        <f t="shared" si="0"/>
        <v>0</v>
      </c>
      <c r="H28" s="27"/>
      <c r="I28" s="64">
        <f t="shared" si="2"/>
        <v>-0.478</v>
      </c>
      <c r="J28" s="60">
        <f t="shared" si="3"/>
        <v>-0.0956</v>
      </c>
      <c r="K28" s="39"/>
      <c r="L28" s="61"/>
    </row>
    <row r="29" spans="1:13" ht="15">
      <c r="A29" s="47"/>
      <c r="B29" s="57"/>
      <c r="C29" s="56" t="s">
        <v>122</v>
      </c>
      <c r="D29" s="27" t="s">
        <v>4</v>
      </c>
      <c r="E29" s="64">
        <v>-0.387</v>
      </c>
      <c r="F29" s="65">
        <f t="shared" si="1"/>
        <v>0.387</v>
      </c>
      <c r="G29" s="58">
        <f t="shared" si="0"/>
        <v>0</v>
      </c>
      <c r="H29" s="27"/>
      <c r="I29" s="64">
        <f t="shared" si="2"/>
        <v>-0.387</v>
      </c>
      <c r="J29" s="60">
        <f t="shared" si="3"/>
        <v>-0.07740000000000001</v>
      </c>
      <c r="K29" s="40"/>
      <c r="L29" s="53"/>
      <c r="M29" s="34"/>
    </row>
    <row r="30" spans="1:12" ht="15">
      <c r="A30" s="47"/>
      <c r="B30" s="57"/>
      <c r="C30" s="56" t="s">
        <v>122</v>
      </c>
      <c r="D30" s="27" t="s">
        <v>161</v>
      </c>
      <c r="E30" s="64">
        <v>-0.122</v>
      </c>
      <c r="F30" s="65">
        <f t="shared" si="1"/>
        <v>0.122</v>
      </c>
      <c r="G30" s="58">
        <f t="shared" si="0"/>
        <v>0</v>
      </c>
      <c r="H30" s="27"/>
      <c r="I30" s="64">
        <f t="shared" si="2"/>
        <v>-0.122</v>
      </c>
      <c r="J30" s="60">
        <f t="shared" si="3"/>
        <v>-0.0244</v>
      </c>
      <c r="K30" s="39"/>
      <c r="L30" s="61"/>
    </row>
    <row r="31" spans="1:13" ht="15">
      <c r="A31" s="47"/>
      <c r="B31" s="57"/>
      <c r="C31" s="56" t="s">
        <v>122</v>
      </c>
      <c r="D31" s="27" t="s">
        <v>129</v>
      </c>
      <c r="E31" s="64">
        <v>-0.095</v>
      </c>
      <c r="F31" s="65">
        <f t="shared" si="1"/>
        <v>0.095</v>
      </c>
      <c r="G31" s="58">
        <f t="shared" si="0"/>
        <v>0</v>
      </c>
      <c r="H31" s="27"/>
      <c r="I31" s="64">
        <f t="shared" si="2"/>
        <v>-0.095</v>
      </c>
      <c r="J31" s="60">
        <f t="shared" si="3"/>
        <v>-0.019000000000000003</v>
      </c>
      <c r="K31" s="40"/>
      <c r="L31" s="53">
        <f>SUM(F16,F22,F24:F43)</f>
        <v>-1.790999999999999</v>
      </c>
      <c r="M31" s="34"/>
    </row>
    <row r="32" spans="1:15" ht="15">
      <c r="A32" s="47"/>
      <c r="B32" s="57"/>
      <c r="C32" s="56" t="s">
        <v>122</v>
      </c>
      <c r="D32" s="27" t="s">
        <v>134</v>
      </c>
      <c r="E32" s="64">
        <v>-0.099</v>
      </c>
      <c r="F32" s="65">
        <f t="shared" si="1"/>
        <v>0.099</v>
      </c>
      <c r="G32" s="58">
        <f t="shared" si="0"/>
        <v>0</v>
      </c>
      <c r="H32" s="27"/>
      <c r="I32" s="64">
        <f t="shared" si="2"/>
        <v>-0.099</v>
      </c>
      <c r="J32" s="60">
        <f t="shared" si="3"/>
        <v>-0.0198</v>
      </c>
      <c r="K32" s="39"/>
      <c r="L32" s="61"/>
      <c r="N32" s="5" t="s">
        <v>130</v>
      </c>
      <c r="O32" s="29">
        <v>-0.372</v>
      </c>
    </row>
    <row r="33" spans="1:15" ht="15">
      <c r="A33" s="47"/>
      <c r="B33" s="57"/>
      <c r="C33" s="56"/>
      <c r="D33" s="59" t="s">
        <v>1</v>
      </c>
      <c r="E33" s="64"/>
      <c r="F33" s="65"/>
      <c r="G33" s="58"/>
      <c r="H33" s="27"/>
      <c r="I33" s="64"/>
      <c r="J33" s="60"/>
      <c r="K33" s="39"/>
      <c r="L33" s="61"/>
      <c r="O33" s="29"/>
    </row>
    <row r="34" spans="1:15" ht="15">
      <c r="A34" s="47"/>
      <c r="B34" s="57"/>
      <c r="C34" s="56"/>
      <c r="D34" s="27" t="s">
        <v>7</v>
      </c>
      <c r="E34" s="64">
        <v>0.025</v>
      </c>
      <c r="F34" s="65">
        <f>-E34</f>
        <v>-0.025</v>
      </c>
      <c r="G34" s="58">
        <f t="shared" si="0"/>
        <v>0</v>
      </c>
      <c r="H34" s="27"/>
      <c r="I34" s="64">
        <f aca="true" t="shared" si="4" ref="I34:I40">+E34</f>
        <v>0.025</v>
      </c>
      <c r="J34" s="60">
        <f>+I34*0.2</f>
        <v>0.005000000000000001</v>
      </c>
      <c r="K34" s="39"/>
      <c r="L34" s="61"/>
      <c r="O34" s="29"/>
    </row>
    <row r="35" spans="1:12" ht="15">
      <c r="A35" s="47"/>
      <c r="B35" s="57"/>
      <c r="C35" s="56"/>
      <c r="D35" s="27" t="s">
        <v>161</v>
      </c>
      <c r="E35" s="64">
        <v>-0.037</v>
      </c>
      <c r="F35" s="65">
        <f>-E35</f>
        <v>0.037</v>
      </c>
      <c r="G35" s="58">
        <f aca="true" t="shared" si="5" ref="G35:G40">SUM(E35:F35)</f>
        <v>0</v>
      </c>
      <c r="H35" s="27"/>
      <c r="I35" s="64">
        <f t="shared" si="4"/>
        <v>-0.037</v>
      </c>
      <c r="J35" s="60">
        <f t="shared" si="3"/>
        <v>-0.0074</v>
      </c>
      <c r="K35" s="39"/>
      <c r="L35" s="61"/>
    </row>
    <row r="36" spans="1:12" ht="15">
      <c r="A36" s="47"/>
      <c r="B36" s="57"/>
      <c r="C36" s="56"/>
      <c r="D36" s="27" t="s">
        <v>161</v>
      </c>
      <c r="E36" s="64">
        <v>0.045</v>
      </c>
      <c r="F36" s="65">
        <f>-E36</f>
        <v>-0.045</v>
      </c>
      <c r="G36" s="58">
        <f t="shared" si="5"/>
        <v>0</v>
      </c>
      <c r="H36" s="27"/>
      <c r="I36" s="64">
        <f t="shared" si="4"/>
        <v>0.045</v>
      </c>
      <c r="J36" s="60">
        <f t="shared" si="3"/>
        <v>0.009</v>
      </c>
      <c r="K36" s="39"/>
      <c r="L36" s="61"/>
    </row>
    <row r="37" spans="1:13" ht="15">
      <c r="A37" s="47"/>
      <c r="B37" s="57"/>
      <c r="C37" s="63"/>
      <c r="D37" s="50" t="s">
        <v>2</v>
      </c>
      <c r="E37" s="65">
        <v>-1.3</v>
      </c>
      <c r="F37" s="65">
        <f>-E37</f>
        <v>1.3</v>
      </c>
      <c r="G37" s="27">
        <f t="shared" si="5"/>
        <v>0</v>
      </c>
      <c r="H37" s="27"/>
      <c r="I37" s="65">
        <f t="shared" si="4"/>
        <v>-1.3</v>
      </c>
      <c r="J37" s="60">
        <f t="shared" si="3"/>
        <v>-0.26</v>
      </c>
      <c r="K37" s="40"/>
      <c r="L37" s="53"/>
      <c r="M37" s="34"/>
    </row>
    <row r="38" spans="1:12" ht="15">
      <c r="A38" s="47"/>
      <c r="B38" s="57"/>
      <c r="C38" s="56"/>
      <c r="D38" s="27" t="s">
        <v>167</v>
      </c>
      <c r="E38" s="64">
        <v>0.055</v>
      </c>
      <c r="F38" s="65">
        <f>-E38</f>
        <v>-0.055</v>
      </c>
      <c r="G38" s="58">
        <f t="shared" si="5"/>
        <v>0</v>
      </c>
      <c r="H38" s="27"/>
      <c r="I38" s="64">
        <f t="shared" si="4"/>
        <v>0.055</v>
      </c>
      <c r="J38" s="60">
        <f t="shared" si="3"/>
        <v>0.011000000000000001</v>
      </c>
      <c r="K38" s="39"/>
      <c r="L38" s="61"/>
    </row>
    <row r="39" spans="1:13" ht="15">
      <c r="A39" s="47"/>
      <c r="B39" s="48"/>
      <c r="C39" s="56"/>
      <c r="D39" s="27" t="s">
        <v>16</v>
      </c>
      <c r="E39" s="139"/>
      <c r="F39" s="140"/>
      <c r="G39" s="27">
        <f t="shared" si="5"/>
        <v>0</v>
      </c>
      <c r="H39" s="27"/>
      <c r="I39" s="65">
        <f t="shared" si="4"/>
        <v>0</v>
      </c>
      <c r="J39" s="27"/>
      <c r="K39" s="35"/>
      <c r="L39" s="53"/>
      <c r="M39" s="34"/>
    </row>
    <row r="40" spans="1:13" ht="15">
      <c r="A40" s="47"/>
      <c r="B40" s="57"/>
      <c r="C40" s="56"/>
      <c r="D40" s="27" t="s">
        <v>17</v>
      </c>
      <c r="E40" s="141"/>
      <c r="F40" s="142"/>
      <c r="G40" s="27">
        <f t="shared" si="5"/>
        <v>0</v>
      </c>
      <c r="H40" s="27"/>
      <c r="I40" s="65">
        <f t="shared" si="4"/>
        <v>0</v>
      </c>
      <c r="J40" s="27"/>
      <c r="K40" s="35"/>
      <c r="L40" s="53"/>
      <c r="M40" s="34"/>
    </row>
    <row r="41" spans="1:12" ht="15">
      <c r="A41" s="47"/>
      <c r="B41" s="57"/>
      <c r="C41" s="56"/>
      <c r="D41" s="27"/>
      <c r="E41" s="64"/>
      <c r="F41" s="65"/>
      <c r="G41" s="58"/>
      <c r="H41" s="27"/>
      <c r="I41" s="64"/>
      <c r="J41" s="60"/>
      <c r="K41" s="39"/>
      <c r="L41" s="61"/>
    </row>
    <row r="42" spans="1:15" ht="15">
      <c r="A42" s="47"/>
      <c r="B42" s="57"/>
      <c r="C42" s="56"/>
      <c r="D42" s="27"/>
      <c r="E42" s="64"/>
      <c r="F42" s="65"/>
      <c r="G42" s="58"/>
      <c r="H42" s="27"/>
      <c r="I42" s="64"/>
      <c r="J42" s="60"/>
      <c r="K42" s="39"/>
      <c r="L42" s="61"/>
      <c r="O42" s="29"/>
    </row>
    <row r="43" spans="1:12" ht="15">
      <c r="A43" s="47"/>
      <c r="B43" s="57"/>
      <c r="C43" s="56"/>
      <c r="D43" s="27"/>
      <c r="E43" s="138"/>
      <c r="F43" s="138"/>
      <c r="G43" s="59">
        <f t="shared" si="0"/>
        <v>0</v>
      </c>
      <c r="H43" s="59"/>
      <c r="I43" s="138">
        <f t="shared" si="2"/>
        <v>0</v>
      </c>
      <c r="J43" s="60">
        <f t="shared" si="3"/>
        <v>0</v>
      </c>
      <c r="K43" s="40">
        <f>SUM(J18:J43)</f>
        <v>-0.9972</v>
      </c>
      <c r="L43" s="61"/>
    </row>
    <row r="44" spans="1:12" ht="15">
      <c r="A44" s="47"/>
      <c r="B44" s="48"/>
      <c r="C44" s="49"/>
      <c r="D44" s="27"/>
      <c r="E44" s="143">
        <f>SUM(E18:E43)</f>
        <v>-5.3</v>
      </c>
      <c r="F44" s="143">
        <f>SUM(F18:F43)</f>
        <v>5.3</v>
      </c>
      <c r="G44" s="55">
        <f t="shared" si="0"/>
        <v>0</v>
      </c>
      <c r="H44" s="55"/>
      <c r="I44" s="143">
        <f>SUM(I18:I43)</f>
        <v>-5.3</v>
      </c>
      <c r="J44" s="60"/>
      <c r="K44" s="21" t="s">
        <v>103</v>
      </c>
      <c r="L44" s="66"/>
    </row>
    <row r="45" spans="1:12" ht="15.75" thickBot="1">
      <c r="A45" s="47"/>
      <c r="B45" s="48"/>
      <c r="C45" s="49"/>
      <c r="D45" s="27"/>
      <c r="E45" s="65"/>
      <c r="F45" s="65"/>
      <c r="G45" s="27"/>
      <c r="H45" s="27"/>
      <c r="I45" s="27"/>
      <c r="J45" s="67"/>
      <c r="K45" s="22" t="s">
        <v>106</v>
      </c>
      <c r="L45" s="68"/>
    </row>
    <row r="46" spans="1:12" ht="18.75" thickBot="1">
      <c r="A46" s="47"/>
      <c r="B46" s="48"/>
      <c r="C46" s="49"/>
      <c r="D46" s="50" t="s">
        <v>79</v>
      </c>
      <c r="E46" s="137">
        <f>SUM(E8,E16,E44)</f>
        <v>74.653</v>
      </c>
      <c r="F46" s="137">
        <f>SUM(F8,F16,F44)</f>
        <v>11.647</v>
      </c>
      <c r="G46" s="10">
        <f>SUM(G8,G16,G44)</f>
        <v>86.30000000000001</v>
      </c>
      <c r="H46" s="50">
        <f>+H8</f>
        <v>16.8</v>
      </c>
      <c r="I46" s="51">
        <f>SUM(I8,I16,I44)</f>
        <v>57.85300000000001</v>
      </c>
      <c r="J46" s="67" t="s">
        <v>127</v>
      </c>
      <c r="K46" s="22" t="s">
        <v>171</v>
      </c>
      <c r="L46" s="68"/>
    </row>
    <row r="47" spans="1:12" ht="15">
      <c r="A47" s="47"/>
      <c r="B47" s="48"/>
      <c r="C47" s="49"/>
      <c r="D47" s="27"/>
      <c r="E47" s="27"/>
      <c r="F47" s="27"/>
      <c r="G47" s="27"/>
      <c r="H47" s="27"/>
      <c r="I47" s="27"/>
      <c r="J47" s="67"/>
      <c r="K47" s="23">
        <f>+I46</f>
        <v>57.85300000000001</v>
      </c>
      <c r="L47" s="68"/>
    </row>
    <row r="48" spans="1:12" ht="15">
      <c r="A48" s="47"/>
      <c r="B48" s="48"/>
      <c r="C48" s="49"/>
      <c r="D48" s="27"/>
      <c r="E48" s="27"/>
      <c r="F48" s="27"/>
      <c r="G48" s="27"/>
      <c r="H48" s="69" t="s">
        <v>84</v>
      </c>
      <c r="I48" s="27">
        <f>-4.8-E39</f>
        <v>-4.8</v>
      </c>
      <c r="J48" s="67"/>
      <c r="K48" s="24"/>
      <c r="L48" s="68"/>
    </row>
    <row r="49" spans="1:12" ht="15">
      <c r="A49" s="47"/>
      <c r="B49" s="48"/>
      <c r="C49" s="49"/>
      <c r="D49" s="27"/>
      <c r="E49" s="27"/>
      <c r="F49" s="27"/>
      <c r="G49" s="27"/>
      <c r="H49" s="69" t="s">
        <v>85</v>
      </c>
      <c r="I49" s="27">
        <f>-8.9-E40</f>
        <v>-8.9</v>
      </c>
      <c r="J49" s="67"/>
      <c r="K49" s="24"/>
      <c r="L49" s="68"/>
    </row>
    <row r="50" spans="1:12" ht="15">
      <c r="A50" s="47"/>
      <c r="B50" s="48"/>
      <c r="C50" s="49"/>
      <c r="D50" s="27"/>
      <c r="E50" s="27"/>
      <c r="F50" s="27"/>
      <c r="G50" s="27"/>
      <c r="H50" s="69" t="s">
        <v>83</v>
      </c>
      <c r="I50" s="70">
        <f>SUM(I46:I49)</f>
        <v>44.15300000000001</v>
      </c>
      <c r="J50" s="67" t="s">
        <v>128</v>
      </c>
      <c r="K50" s="30">
        <f>12.65-0.3+K43</f>
        <v>11.3528</v>
      </c>
      <c r="L50" s="68"/>
    </row>
    <row r="51" spans="1:12" ht="16.5" thickBot="1">
      <c r="A51" s="47"/>
      <c r="B51" s="119"/>
      <c r="C51" s="120"/>
      <c r="D51" s="121" t="s">
        <v>183</v>
      </c>
      <c r="E51" s="122">
        <f>F51*-(I48+I49)</f>
        <v>1.37</v>
      </c>
      <c r="F51" s="123">
        <v>0.1</v>
      </c>
      <c r="G51" s="71"/>
      <c r="H51" s="72" t="s">
        <v>86</v>
      </c>
      <c r="I51" s="73">
        <f>SUM(F46)</f>
        <v>11.647</v>
      </c>
      <c r="J51" s="67"/>
      <c r="K51" s="23"/>
      <c r="L51" s="68"/>
    </row>
    <row r="52" spans="1:12" ht="19.5" thickBot="1">
      <c r="A52" s="47"/>
      <c r="B52" s="124" t="s">
        <v>104</v>
      </c>
      <c r="C52" s="49"/>
      <c r="D52" s="27" t="s">
        <v>184</v>
      </c>
      <c r="E52" s="70">
        <f>I51-E51</f>
        <v>10.277000000000001</v>
      </c>
      <c r="F52" s="125">
        <f>E52/(I46+I48+I49)</f>
        <v>0.23275881593549697</v>
      </c>
      <c r="G52" s="27"/>
      <c r="H52" s="69" t="s">
        <v>125</v>
      </c>
      <c r="I52" s="11">
        <f>+I51/I50</f>
        <v>0.2637872851221887</v>
      </c>
      <c r="J52" s="67"/>
      <c r="K52" s="25">
        <f>+K50/K47</f>
        <v>0.19623528598344075</v>
      </c>
      <c r="L52" s="68"/>
    </row>
    <row r="53" spans="1:12" ht="20.25" thickBot="1">
      <c r="A53" s="47"/>
      <c r="B53" s="124" t="s">
        <v>105</v>
      </c>
      <c r="C53" s="49"/>
      <c r="D53" s="27" t="s">
        <v>184</v>
      </c>
      <c r="E53" s="70">
        <f>K50-E51</f>
        <v>9.982800000000001</v>
      </c>
      <c r="F53" s="125">
        <f>E53/(I46+I48+I49)</f>
        <v>0.22609562204153733</v>
      </c>
      <c r="G53" s="27"/>
      <c r="H53" s="69" t="s">
        <v>126</v>
      </c>
      <c r="I53" s="11">
        <f>+I51/I46</f>
        <v>0.20132058838781047</v>
      </c>
      <c r="J53" s="27"/>
      <c r="K53" s="26" t="s">
        <v>107</v>
      </c>
      <c r="L53" s="74">
        <f>+K50+H46+K47</f>
        <v>86.00580000000001</v>
      </c>
    </row>
    <row r="54" spans="1:12" ht="18">
      <c r="A54" s="47"/>
      <c r="B54" s="126" t="s">
        <v>6</v>
      </c>
      <c r="C54" s="127"/>
      <c r="D54" s="128" t="s">
        <v>184</v>
      </c>
      <c r="E54" s="129">
        <f>F8-0.4*-(I48+I49-F11-F12)</f>
        <v>9.5918</v>
      </c>
      <c r="F54" s="130">
        <f>E54/(I8--(I48+I49-F11-F12))</f>
        <v>0.19556343915020283</v>
      </c>
      <c r="G54" s="27"/>
      <c r="H54" s="69"/>
      <c r="I54" s="32"/>
      <c r="J54" s="27"/>
      <c r="K54" s="33">
        <f>+L53-G46</f>
        <v>-0.29420000000000357</v>
      </c>
      <c r="L54" s="75"/>
    </row>
    <row r="57" spans="1:13" ht="15">
      <c r="A57" s="47"/>
      <c r="B57" s="57"/>
      <c r="C57" s="56"/>
      <c r="D57" s="27"/>
      <c r="E57" s="58">
        <v>-0.15</v>
      </c>
      <c r="F57" s="27">
        <f>-E57</f>
        <v>0.15</v>
      </c>
      <c r="G57" s="58">
        <f>SUM(E57:F57)</f>
        <v>0</v>
      </c>
      <c r="H57" s="27"/>
      <c r="I57" s="58">
        <f>+E57</f>
        <v>-0.15</v>
      </c>
      <c r="J57" s="60">
        <f>+I57*0.2</f>
        <v>-0.03</v>
      </c>
      <c r="K57" s="40"/>
      <c r="L57" s="53"/>
      <c r="M57" s="34"/>
    </row>
    <row r="58" spans="4:6" ht="15">
      <c r="D58" s="5" t="s">
        <v>119</v>
      </c>
      <c r="E58" s="132" t="s">
        <v>120</v>
      </c>
      <c r="F58" s="5" t="s">
        <v>118</v>
      </c>
    </row>
    <row r="59" spans="4:6" ht="15">
      <c r="D59" s="133" t="s">
        <v>7</v>
      </c>
      <c r="E59" s="131">
        <v>-0.125</v>
      </c>
      <c r="F59" s="132" t="s">
        <v>21</v>
      </c>
    </row>
    <row r="60" spans="4:6" ht="15">
      <c r="D60" s="133" t="s">
        <v>121</v>
      </c>
      <c r="E60" s="131">
        <v>-0.15</v>
      </c>
      <c r="F60" s="132" t="s">
        <v>21</v>
      </c>
    </row>
    <row r="61" spans="4:6" ht="15">
      <c r="D61" s="133" t="s">
        <v>160</v>
      </c>
      <c r="E61" s="131">
        <v>-0.118</v>
      </c>
      <c r="F61" s="132" t="s">
        <v>21</v>
      </c>
    </row>
    <row r="62" spans="4:6" ht="15">
      <c r="D62" s="133" t="s">
        <v>159</v>
      </c>
      <c r="E62" s="131">
        <v>-0.196</v>
      </c>
      <c r="F62" s="132" t="s">
        <v>21</v>
      </c>
    </row>
    <row r="63" spans="4:6" ht="15">
      <c r="D63" s="133" t="s">
        <v>166</v>
      </c>
      <c r="E63" s="131">
        <v>-0.15</v>
      </c>
      <c r="F63" s="132" t="s">
        <v>21</v>
      </c>
    </row>
    <row r="64" spans="4:6" ht="15">
      <c r="D64" s="133" t="s">
        <v>131</v>
      </c>
      <c r="E64" s="131">
        <v>-0.129</v>
      </c>
      <c r="F64" s="132" t="s">
        <v>21</v>
      </c>
    </row>
    <row r="65" spans="4:5" ht="15">
      <c r="D65" s="133" t="s">
        <v>108</v>
      </c>
      <c r="E65" s="131">
        <v>-0.833</v>
      </c>
    </row>
    <row r="66" spans="4:6" ht="15">
      <c r="D66" s="133" t="s">
        <v>124</v>
      </c>
      <c r="E66" s="131">
        <v>-0.481</v>
      </c>
      <c r="F66" s="132" t="s">
        <v>109</v>
      </c>
    </row>
    <row r="67" spans="4:6" ht="15">
      <c r="D67" s="133" t="s">
        <v>110</v>
      </c>
      <c r="E67" s="131">
        <v>-2</v>
      </c>
      <c r="F67" s="132" t="s">
        <v>111</v>
      </c>
    </row>
    <row r="68" spans="4:6" ht="38.25">
      <c r="D68" s="134" t="s">
        <v>112</v>
      </c>
      <c r="E68" s="131">
        <v>-0.423</v>
      </c>
      <c r="F68" s="132" t="s">
        <v>113</v>
      </c>
    </row>
    <row r="69" spans="4:6" ht="15">
      <c r="D69" s="133" t="s">
        <v>4</v>
      </c>
      <c r="E69" s="131">
        <v>-0.387</v>
      </c>
      <c r="F69" s="132" t="s">
        <v>114</v>
      </c>
    </row>
    <row r="70" spans="4:6" ht="15">
      <c r="D70" s="133" t="s">
        <v>161</v>
      </c>
      <c r="E70" s="131">
        <f>-0.159+0.045</f>
        <v>-0.114</v>
      </c>
      <c r="F70" s="132" t="s">
        <v>115</v>
      </c>
    </row>
    <row r="71" spans="4:5" ht="15">
      <c r="D71" s="133" t="s">
        <v>129</v>
      </c>
      <c r="E71" s="131">
        <v>-0.095</v>
      </c>
    </row>
    <row r="72" spans="4:6" ht="25.5">
      <c r="D72" s="134" t="s">
        <v>117</v>
      </c>
      <c r="E72" s="131">
        <v>-0.099</v>
      </c>
      <c r="F72" s="132" t="s">
        <v>116</v>
      </c>
    </row>
    <row r="73" spans="4:6" ht="15">
      <c r="D73" s="135" t="s">
        <v>59</v>
      </c>
      <c r="E73" s="136">
        <f>SUM(E59:E72)</f>
        <v>-5.300000000000001</v>
      </c>
      <c r="F73" s="121"/>
    </row>
    <row r="74" ht="15">
      <c r="E74" s="131"/>
    </row>
    <row r="75" ht="15">
      <c r="E75" s="131"/>
    </row>
    <row r="76" ht="15">
      <c r="E76" s="131"/>
    </row>
    <row r="77" ht="15">
      <c r="E77" s="131"/>
    </row>
    <row r="78" ht="15">
      <c r="E78" s="131"/>
    </row>
    <row r="79" ht="15">
      <c r="E79" s="131"/>
    </row>
  </sheetData>
  <printOptions gridLines="1" headings="1"/>
  <pageMargins left="0.4" right="0.38" top="0.3" bottom="0.31" header="0.15" footer="0.14"/>
  <pageSetup cellComments="asDisplayed" fitToHeight="1" fitToWidth="1" horizontalDpi="600" verticalDpi="600" orientation="landscape" scale="49" r:id="rId3"/>
  <headerFooter alignWithMargins="0">
    <oddFooter>&amp;R&amp;F        &amp;D       &amp;T    RLS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0"/>
  <sheetViews>
    <sheetView workbookViewId="0" topLeftCell="C1">
      <selection activeCell="K8" sqref="K8"/>
    </sheetView>
  </sheetViews>
  <sheetFormatPr defaultColWidth="9.140625" defaultRowHeight="12.75"/>
  <cols>
    <col min="1" max="1" width="1.421875" style="3" customWidth="1"/>
    <col min="2" max="2" width="2.421875" style="2" customWidth="1"/>
    <col min="3" max="3" width="5.28125" style="3" customWidth="1"/>
    <col min="4" max="4" width="31.7109375" style="5" customWidth="1"/>
    <col min="5" max="5" width="11.421875" style="5" bestFit="1" customWidth="1"/>
    <col min="6" max="6" width="12.00390625" style="5" customWidth="1"/>
    <col min="7" max="7" width="14.421875" style="5" bestFit="1" customWidth="1"/>
    <col min="8" max="8" width="11.421875" style="5" customWidth="1"/>
    <col min="9" max="9" width="11.8515625" style="5" customWidth="1"/>
    <col min="10" max="11" width="9.7109375" style="5" bestFit="1" customWidth="1"/>
    <col min="12" max="12" width="28.421875" style="5" customWidth="1"/>
    <col min="13" max="13" width="24.00390625" style="5" customWidth="1"/>
    <col min="14" max="14" width="10.8515625" style="5" customWidth="1"/>
    <col min="15" max="15" width="13.421875" style="5" customWidth="1"/>
    <col min="16" max="16" width="8.8515625" style="5" customWidth="1"/>
    <col min="17" max="17" width="17.140625" style="5" customWidth="1"/>
    <col min="18" max="18" width="18.421875" style="5" customWidth="1"/>
    <col min="19" max="19" width="16.8515625" style="5" customWidth="1"/>
    <col min="20" max="20" width="15.28125" style="5" customWidth="1"/>
    <col min="21" max="16384" width="9.140625" style="5" customWidth="1"/>
  </cols>
  <sheetData>
    <row r="1" spans="1:4" ht="18">
      <c r="A1" s="1" t="s">
        <v>45</v>
      </c>
      <c r="D1" s="4"/>
    </row>
    <row r="2" spans="1:4" ht="18">
      <c r="A2" s="1" t="s">
        <v>5</v>
      </c>
      <c r="D2" s="4"/>
    </row>
    <row r="3" spans="2:3" ht="16.5" thickBot="1">
      <c r="B3" s="6" t="s">
        <v>46</v>
      </c>
      <c r="C3" s="7"/>
    </row>
    <row r="4" spans="4:10" ht="15">
      <c r="D4" s="12" t="s">
        <v>3</v>
      </c>
      <c r="E4" s="13"/>
      <c r="F4" s="13"/>
      <c r="G4" s="13"/>
      <c r="H4" s="13"/>
      <c r="I4" s="13"/>
      <c r="J4" s="14"/>
    </row>
    <row r="5" spans="4:10" ht="16.5" thickBot="1">
      <c r="D5" s="15" t="s">
        <v>0</v>
      </c>
      <c r="E5" s="16"/>
      <c r="F5" s="16"/>
      <c r="G5" s="16"/>
      <c r="H5" s="16"/>
      <c r="I5" s="28"/>
      <c r="J5" s="17"/>
    </row>
    <row r="6" ht="16.5" thickBot="1">
      <c r="B6" s="6" t="s">
        <v>47</v>
      </c>
    </row>
    <row r="7" spans="1:13" ht="15.75">
      <c r="A7" s="42"/>
      <c r="B7" s="43"/>
      <c r="C7" s="44" t="s">
        <v>77</v>
      </c>
      <c r="D7" s="13"/>
      <c r="E7" s="13" t="s">
        <v>87</v>
      </c>
      <c r="F7" s="13" t="s">
        <v>88</v>
      </c>
      <c r="G7" s="13" t="s">
        <v>89</v>
      </c>
      <c r="H7" s="13" t="s">
        <v>51</v>
      </c>
      <c r="I7" s="13" t="s">
        <v>50</v>
      </c>
      <c r="J7" s="13"/>
      <c r="K7" s="45"/>
      <c r="L7" s="46"/>
      <c r="M7" s="34"/>
    </row>
    <row r="8" spans="1:19" ht="15">
      <c r="A8" s="47"/>
      <c r="B8" s="48"/>
      <c r="C8" s="49"/>
      <c r="D8" s="50" t="s">
        <v>97</v>
      </c>
      <c r="E8" s="50">
        <v>73.605</v>
      </c>
      <c r="F8" s="50">
        <v>12.695</v>
      </c>
      <c r="G8" s="50">
        <f>SUM(E8:F8)</f>
        <v>86.30000000000001</v>
      </c>
      <c r="H8" s="50">
        <v>16.8</v>
      </c>
      <c r="I8" s="51">
        <f>+E8-H8</f>
        <v>56.80500000000001</v>
      </c>
      <c r="J8" s="27"/>
      <c r="K8" s="52">
        <f>+F8/I8</f>
        <v>0.22348384825279463</v>
      </c>
      <c r="L8" s="53"/>
      <c r="M8" s="34"/>
      <c r="S8" s="8"/>
    </row>
    <row r="9" spans="1:13" ht="15">
      <c r="A9" s="47"/>
      <c r="B9" s="48"/>
      <c r="C9" s="49"/>
      <c r="D9" s="27"/>
      <c r="E9" s="27"/>
      <c r="F9" s="27"/>
      <c r="G9" s="27"/>
      <c r="H9" s="27"/>
      <c r="I9" s="27"/>
      <c r="J9" s="27"/>
      <c r="K9" s="35"/>
      <c r="L9" s="53"/>
      <c r="M9" s="34"/>
    </row>
    <row r="10" spans="1:13" ht="15">
      <c r="A10" s="47"/>
      <c r="B10" s="48"/>
      <c r="C10" s="54" t="s">
        <v>123</v>
      </c>
      <c r="D10" s="55" t="s">
        <v>82</v>
      </c>
      <c r="E10" s="27"/>
      <c r="F10" s="27"/>
      <c r="G10" s="27"/>
      <c r="H10" s="27"/>
      <c r="I10" s="27"/>
      <c r="J10" s="27"/>
      <c r="K10" s="35"/>
      <c r="L10" s="53"/>
      <c r="M10" s="34"/>
    </row>
    <row r="11" spans="1:13" ht="15">
      <c r="A11" s="47"/>
      <c r="B11" s="48"/>
      <c r="C11" s="56" t="s">
        <v>122</v>
      </c>
      <c r="D11" s="27" t="s">
        <v>162</v>
      </c>
      <c r="E11" s="27">
        <v>1.889</v>
      </c>
      <c r="F11" s="50">
        <f>-E11</f>
        <v>-1.889</v>
      </c>
      <c r="G11" s="27">
        <f>SUM(E11:F11)</f>
        <v>0</v>
      </c>
      <c r="H11" s="27"/>
      <c r="I11" s="27">
        <f>+E11</f>
        <v>1.889</v>
      </c>
      <c r="J11" s="27"/>
      <c r="K11" s="35"/>
      <c r="L11" s="53"/>
      <c r="M11" s="34"/>
    </row>
    <row r="12" spans="1:13" ht="15">
      <c r="A12" s="47"/>
      <c r="B12" s="57"/>
      <c r="C12" s="56" t="s">
        <v>122</v>
      </c>
      <c r="D12" s="27" t="s">
        <v>163</v>
      </c>
      <c r="E12" s="27">
        <v>4.053</v>
      </c>
      <c r="F12" s="50">
        <f>-E12</f>
        <v>-4.053</v>
      </c>
      <c r="G12" s="27">
        <f>SUM(E12:F12)</f>
        <v>0</v>
      </c>
      <c r="H12" s="27"/>
      <c r="I12" s="27">
        <f>+E12</f>
        <v>4.053</v>
      </c>
      <c r="J12" s="27"/>
      <c r="K12" s="35"/>
      <c r="L12" s="53"/>
      <c r="M12" s="34"/>
    </row>
    <row r="13" spans="1:13" ht="15">
      <c r="A13" s="47"/>
      <c r="B13" s="57"/>
      <c r="C13" s="56" t="s">
        <v>122</v>
      </c>
      <c r="D13" s="27" t="s">
        <v>164</v>
      </c>
      <c r="E13" s="27">
        <v>0.02</v>
      </c>
      <c r="F13" s="27">
        <f>-E13</f>
        <v>-0.02</v>
      </c>
      <c r="G13" s="27">
        <f>SUM(E13:F13)</f>
        <v>0</v>
      </c>
      <c r="H13" s="27"/>
      <c r="I13" s="27">
        <f>+E13</f>
        <v>0.02</v>
      </c>
      <c r="J13" s="27"/>
      <c r="K13" s="35"/>
      <c r="L13" s="53"/>
      <c r="M13" s="34"/>
    </row>
    <row r="14" spans="1:13" ht="15">
      <c r="A14" s="47"/>
      <c r="B14" s="57"/>
      <c r="C14" s="56" t="s">
        <v>122</v>
      </c>
      <c r="D14" s="27" t="s">
        <v>165</v>
      </c>
      <c r="E14" s="58">
        <v>0.329</v>
      </c>
      <c r="F14" s="58">
        <f>-E14</f>
        <v>-0.329</v>
      </c>
      <c r="G14" s="59">
        <f>SUM(E14:F14)</f>
        <v>0</v>
      </c>
      <c r="H14" s="27"/>
      <c r="I14" s="59">
        <f>+E14</f>
        <v>0.329</v>
      </c>
      <c r="J14" s="27"/>
      <c r="K14" s="35"/>
      <c r="L14" s="53">
        <v>-0.35</v>
      </c>
      <c r="M14" s="34"/>
    </row>
    <row r="15" spans="1:13" ht="15">
      <c r="A15" s="47"/>
      <c r="B15" s="57"/>
      <c r="C15" s="56" t="s">
        <v>122</v>
      </c>
      <c r="D15" s="27" t="s">
        <v>168</v>
      </c>
      <c r="E15" s="59">
        <v>0.057</v>
      </c>
      <c r="F15" s="58">
        <f>-E15</f>
        <v>-0.057</v>
      </c>
      <c r="G15" s="59"/>
      <c r="H15" s="27"/>
      <c r="I15" s="59">
        <f>+E15</f>
        <v>0.057</v>
      </c>
      <c r="J15" s="27"/>
      <c r="K15" s="35"/>
      <c r="L15" s="53"/>
      <c r="M15" s="34"/>
    </row>
    <row r="16" spans="1:13" ht="15">
      <c r="A16" s="47"/>
      <c r="B16" s="57"/>
      <c r="C16" s="56"/>
      <c r="D16" s="27"/>
      <c r="E16" s="50">
        <f>SUM(E11:E15)</f>
        <v>6.348</v>
      </c>
      <c r="F16" s="50">
        <f>SUM(F11:F15)</f>
        <v>-6.348</v>
      </c>
      <c r="G16" s="50">
        <f>SUM(E16:F16)</f>
        <v>0</v>
      </c>
      <c r="H16" s="50"/>
      <c r="I16" s="50">
        <f>SUM(I11:I15)</f>
        <v>6.348</v>
      </c>
      <c r="J16" s="27"/>
      <c r="K16" s="35"/>
      <c r="L16" s="53">
        <v>-0.5</v>
      </c>
      <c r="M16" s="34"/>
    </row>
    <row r="17" spans="1:13" ht="15">
      <c r="A17" s="47"/>
      <c r="B17" s="57"/>
      <c r="C17" s="56"/>
      <c r="D17" s="55" t="s">
        <v>80</v>
      </c>
      <c r="E17" s="27"/>
      <c r="F17" s="27"/>
      <c r="G17" s="27">
        <f>SUM(E17:F17)</f>
        <v>0</v>
      </c>
      <c r="H17" s="27"/>
      <c r="I17" s="27"/>
      <c r="J17" s="27"/>
      <c r="K17" s="35"/>
      <c r="L17" s="53">
        <v>-0.8</v>
      </c>
      <c r="M17" s="34"/>
    </row>
    <row r="18" spans="1:13" ht="15">
      <c r="A18" s="47"/>
      <c r="B18" s="57"/>
      <c r="C18" s="56" t="s">
        <v>122</v>
      </c>
      <c r="D18" s="27" t="s">
        <v>7</v>
      </c>
      <c r="E18" s="58">
        <v>-0.15</v>
      </c>
      <c r="F18" s="27">
        <f aca="true" t="shared" si="0" ref="F18:F32">-E18</f>
        <v>0.15</v>
      </c>
      <c r="G18" s="58">
        <f aca="true" t="shared" si="1" ref="G18:G32">SUM(E18:F18)</f>
        <v>0</v>
      </c>
      <c r="H18" s="27"/>
      <c r="I18" s="58">
        <f aca="true" t="shared" si="2" ref="I18:I32">+E18</f>
        <v>-0.15</v>
      </c>
      <c r="J18" s="60">
        <f>+I18*0.2</f>
        <v>-0.03</v>
      </c>
      <c r="K18" s="40"/>
      <c r="L18" s="53"/>
      <c r="M18" s="34"/>
    </row>
    <row r="19" spans="1:13" ht="15">
      <c r="A19" s="47"/>
      <c r="B19" s="57"/>
      <c r="C19" s="56" t="s">
        <v>122</v>
      </c>
      <c r="D19" s="27" t="s">
        <v>121</v>
      </c>
      <c r="E19" s="58">
        <v>-0.15</v>
      </c>
      <c r="F19" s="27">
        <f t="shared" si="0"/>
        <v>0.15</v>
      </c>
      <c r="G19" s="58">
        <f t="shared" si="1"/>
        <v>0</v>
      </c>
      <c r="H19" s="27"/>
      <c r="I19" s="58">
        <f t="shared" si="2"/>
        <v>-0.15</v>
      </c>
      <c r="J19" s="60">
        <f>+I19*0.2</f>
        <v>-0.03</v>
      </c>
      <c r="K19" s="40"/>
      <c r="L19" s="53"/>
      <c r="M19" s="34"/>
    </row>
    <row r="20" spans="1:13" ht="15">
      <c r="A20" s="47"/>
      <c r="B20" s="57"/>
      <c r="C20" s="56" t="s">
        <v>122</v>
      </c>
      <c r="D20" s="27" t="s">
        <v>160</v>
      </c>
      <c r="E20" s="27">
        <v>-0.118</v>
      </c>
      <c r="F20" s="27">
        <f t="shared" si="0"/>
        <v>0.118</v>
      </c>
      <c r="G20" s="27">
        <f t="shared" si="1"/>
        <v>0</v>
      </c>
      <c r="H20" s="27"/>
      <c r="I20" s="27">
        <f t="shared" si="2"/>
        <v>-0.118</v>
      </c>
      <c r="J20" s="40"/>
      <c r="K20" s="40"/>
      <c r="L20" s="53"/>
      <c r="M20" s="34"/>
    </row>
    <row r="21" spans="1:13" ht="15">
      <c r="A21" s="47"/>
      <c r="B21" s="57"/>
      <c r="C21" s="56" t="s">
        <v>122</v>
      </c>
      <c r="D21" s="27" t="s">
        <v>159</v>
      </c>
      <c r="E21" s="27">
        <v>-0.196</v>
      </c>
      <c r="F21" s="27">
        <f t="shared" si="0"/>
        <v>0.196</v>
      </c>
      <c r="G21" s="27">
        <f t="shared" si="1"/>
        <v>0</v>
      </c>
      <c r="H21" s="27"/>
      <c r="I21" s="27">
        <f t="shared" si="2"/>
        <v>-0.196</v>
      </c>
      <c r="J21" s="40"/>
      <c r="K21" s="40"/>
      <c r="L21" s="53">
        <v>-0.4</v>
      </c>
      <c r="M21" s="34"/>
    </row>
    <row r="22" spans="1:13" ht="15">
      <c r="A22" s="47"/>
      <c r="B22" s="57"/>
      <c r="C22" s="56" t="s">
        <v>122</v>
      </c>
      <c r="D22" s="27" t="s">
        <v>166</v>
      </c>
      <c r="E22" s="58">
        <v>-0.15</v>
      </c>
      <c r="F22" s="27">
        <f t="shared" si="0"/>
        <v>0.15</v>
      </c>
      <c r="G22" s="58">
        <f t="shared" si="1"/>
        <v>0</v>
      </c>
      <c r="H22" s="27"/>
      <c r="I22" s="58">
        <f t="shared" si="2"/>
        <v>-0.15</v>
      </c>
      <c r="J22" s="60">
        <f aca="true" t="shared" si="3" ref="J22:J32">+I22*0.2</f>
        <v>-0.03</v>
      </c>
      <c r="K22" s="40"/>
      <c r="L22" s="53"/>
      <c r="M22" s="34"/>
    </row>
    <row r="23" spans="1:12" ht="15">
      <c r="A23" s="47"/>
      <c r="B23" s="57"/>
      <c r="C23" s="56" t="s">
        <v>122</v>
      </c>
      <c r="D23" s="27" t="s">
        <v>131</v>
      </c>
      <c r="E23" s="58">
        <v>-0.129</v>
      </c>
      <c r="F23" s="27">
        <f t="shared" si="0"/>
        <v>0.129</v>
      </c>
      <c r="G23" s="58">
        <f t="shared" si="1"/>
        <v>0</v>
      </c>
      <c r="H23" s="27"/>
      <c r="I23" s="58">
        <f t="shared" si="2"/>
        <v>-0.129</v>
      </c>
      <c r="J23" s="60">
        <f t="shared" si="3"/>
        <v>-0.025800000000000003</v>
      </c>
      <c r="K23" s="39"/>
      <c r="L23" s="61"/>
    </row>
    <row r="24" spans="1:12" ht="15">
      <c r="A24" s="47"/>
      <c r="B24" s="57"/>
      <c r="C24" s="56" t="s">
        <v>122</v>
      </c>
      <c r="D24" s="27" t="s">
        <v>132</v>
      </c>
      <c r="E24" s="58">
        <v>-0.833</v>
      </c>
      <c r="F24" s="27">
        <f t="shared" si="0"/>
        <v>0.833</v>
      </c>
      <c r="G24" s="58">
        <f t="shared" si="1"/>
        <v>0</v>
      </c>
      <c r="H24" s="27"/>
      <c r="I24" s="58">
        <f t="shared" si="2"/>
        <v>-0.833</v>
      </c>
      <c r="J24" s="60">
        <f t="shared" si="3"/>
        <v>-0.1666</v>
      </c>
      <c r="K24" s="39"/>
      <c r="L24" s="61"/>
    </row>
    <row r="25" spans="1:13" ht="15">
      <c r="A25" s="47"/>
      <c r="B25" s="57"/>
      <c r="C25" s="56" t="s">
        <v>122</v>
      </c>
      <c r="D25" s="27" t="s">
        <v>124</v>
      </c>
      <c r="E25" s="58">
        <v>-0.481</v>
      </c>
      <c r="F25" s="27">
        <f t="shared" si="0"/>
        <v>0.481</v>
      </c>
      <c r="G25" s="58">
        <f t="shared" si="1"/>
        <v>0</v>
      </c>
      <c r="H25" s="27"/>
      <c r="I25" s="58">
        <f t="shared" si="2"/>
        <v>-0.481</v>
      </c>
      <c r="J25" s="60">
        <f t="shared" si="3"/>
        <v>-0.09620000000000001</v>
      </c>
      <c r="K25" s="40"/>
      <c r="L25" s="53"/>
      <c r="M25" s="34"/>
    </row>
    <row r="26" spans="1:12" ht="15.75">
      <c r="A26" s="47"/>
      <c r="B26" s="57"/>
      <c r="C26" s="62" t="s">
        <v>133</v>
      </c>
      <c r="D26" s="50" t="s">
        <v>158</v>
      </c>
      <c r="E26" s="58">
        <v>-0.4</v>
      </c>
      <c r="F26" s="27">
        <f t="shared" si="0"/>
        <v>0.4</v>
      </c>
      <c r="G26" s="58">
        <f t="shared" si="1"/>
        <v>0</v>
      </c>
      <c r="H26" s="27"/>
      <c r="I26" s="58">
        <f t="shared" si="2"/>
        <v>-0.4</v>
      </c>
      <c r="J26" s="60">
        <f t="shared" si="3"/>
        <v>-0.08000000000000002</v>
      </c>
      <c r="K26" s="39"/>
      <c r="L26" s="61"/>
    </row>
    <row r="27" spans="1:13" ht="15">
      <c r="A27" s="47"/>
      <c r="B27" s="57"/>
      <c r="C27" s="63" t="s">
        <v>122</v>
      </c>
      <c r="D27" s="50" t="s">
        <v>81</v>
      </c>
      <c r="E27" s="27">
        <v>-0.3</v>
      </c>
      <c r="F27" s="27">
        <f t="shared" si="0"/>
        <v>0.3</v>
      </c>
      <c r="G27" s="27">
        <f t="shared" si="1"/>
        <v>0</v>
      </c>
      <c r="H27" s="27"/>
      <c r="I27" s="27">
        <f t="shared" si="2"/>
        <v>-0.3</v>
      </c>
      <c r="J27" s="60">
        <f t="shared" si="3"/>
        <v>-0.06</v>
      </c>
      <c r="K27" s="40"/>
      <c r="L27" s="53"/>
      <c r="M27" s="34"/>
    </row>
    <row r="28" spans="1:12" ht="15">
      <c r="A28" s="47"/>
      <c r="B28" s="57"/>
      <c r="C28" s="56" t="s">
        <v>122</v>
      </c>
      <c r="D28" s="27" t="s">
        <v>167</v>
      </c>
      <c r="E28" s="58">
        <v>-0.478</v>
      </c>
      <c r="F28" s="27">
        <f t="shared" si="0"/>
        <v>0.478</v>
      </c>
      <c r="G28" s="58">
        <f t="shared" si="1"/>
        <v>0</v>
      </c>
      <c r="H28" s="27"/>
      <c r="I28" s="58">
        <f t="shared" si="2"/>
        <v>-0.478</v>
      </c>
      <c r="J28" s="60">
        <f t="shared" si="3"/>
        <v>-0.0956</v>
      </c>
      <c r="K28" s="39"/>
      <c r="L28" s="61"/>
    </row>
    <row r="29" spans="1:13" ht="15">
      <c r="A29" s="47"/>
      <c r="B29" s="57"/>
      <c r="C29" s="56" t="s">
        <v>122</v>
      </c>
      <c r="D29" s="27" t="s">
        <v>4</v>
      </c>
      <c r="E29" s="58">
        <v>-0.387</v>
      </c>
      <c r="F29" s="27">
        <f t="shared" si="0"/>
        <v>0.387</v>
      </c>
      <c r="G29" s="58">
        <f t="shared" si="1"/>
        <v>0</v>
      </c>
      <c r="H29" s="27"/>
      <c r="I29" s="58">
        <f t="shared" si="2"/>
        <v>-0.387</v>
      </c>
      <c r="J29" s="60">
        <f t="shared" si="3"/>
        <v>-0.07740000000000001</v>
      </c>
      <c r="K29" s="40"/>
      <c r="L29" s="53"/>
      <c r="M29" s="34"/>
    </row>
    <row r="30" spans="1:12" ht="15">
      <c r="A30" s="47"/>
      <c r="B30" s="57"/>
      <c r="C30" s="56" t="s">
        <v>122</v>
      </c>
      <c r="D30" s="27" t="s">
        <v>161</v>
      </c>
      <c r="E30" s="64">
        <v>-0.122</v>
      </c>
      <c r="F30" s="65">
        <f t="shared" si="0"/>
        <v>0.122</v>
      </c>
      <c r="G30" s="58">
        <f t="shared" si="1"/>
        <v>0</v>
      </c>
      <c r="H30" s="27"/>
      <c r="I30" s="58">
        <f t="shared" si="2"/>
        <v>-0.122</v>
      </c>
      <c r="J30" s="60">
        <f t="shared" si="3"/>
        <v>-0.0244</v>
      </c>
      <c r="K30" s="39"/>
      <c r="L30" s="61"/>
    </row>
    <row r="31" spans="1:13" ht="15">
      <c r="A31" s="47"/>
      <c r="B31" s="57"/>
      <c r="C31" s="56" t="s">
        <v>122</v>
      </c>
      <c r="D31" s="27" t="s">
        <v>129</v>
      </c>
      <c r="E31" s="58">
        <v>-0.095</v>
      </c>
      <c r="F31" s="27">
        <f t="shared" si="0"/>
        <v>0.095</v>
      </c>
      <c r="G31" s="58">
        <f t="shared" si="1"/>
        <v>0</v>
      </c>
      <c r="H31" s="27"/>
      <c r="I31" s="58">
        <f t="shared" si="2"/>
        <v>-0.095</v>
      </c>
      <c r="J31" s="60">
        <f t="shared" si="3"/>
        <v>-0.019000000000000003</v>
      </c>
      <c r="K31" s="40"/>
      <c r="L31" s="53">
        <f>SUM(F16,F22,F24:F33)</f>
        <v>-3.0029999999999992</v>
      </c>
      <c r="M31" s="34"/>
    </row>
    <row r="32" spans="1:15" ht="15">
      <c r="A32" s="47"/>
      <c r="B32" s="57"/>
      <c r="C32" s="56" t="s">
        <v>122</v>
      </c>
      <c r="D32" s="27" t="s">
        <v>134</v>
      </c>
      <c r="E32" s="58">
        <v>-0.099</v>
      </c>
      <c r="F32" s="27">
        <f t="shared" si="0"/>
        <v>0.099</v>
      </c>
      <c r="G32" s="58">
        <f t="shared" si="1"/>
        <v>0</v>
      </c>
      <c r="H32" s="27"/>
      <c r="I32" s="58">
        <f t="shared" si="2"/>
        <v>-0.099</v>
      </c>
      <c r="J32" s="60">
        <f t="shared" si="3"/>
        <v>-0.0198</v>
      </c>
      <c r="K32" s="39"/>
      <c r="L32" s="61"/>
      <c r="N32" s="5" t="s">
        <v>130</v>
      </c>
      <c r="O32" s="29">
        <v>-0.372</v>
      </c>
    </row>
    <row r="33" spans="1:12" ht="15">
      <c r="A33" s="47"/>
      <c r="B33" s="57"/>
      <c r="C33" s="56"/>
      <c r="D33" s="27"/>
      <c r="E33" s="59"/>
      <c r="F33" s="59"/>
      <c r="G33" s="59">
        <f>SUM(E33:F33)</f>
        <v>0</v>
      </c>
      <c r="H33" s="59"/>
      <c r="I33" s="59">
        <f>+E33</f>
        <v>0</v>
      </c>
      <c r="J33" s="60">
        <f>+I33*0.2</f>
        <v>0</v>
      </c>
      <c r="K33" s="40">
        <f>SUM(J18:J33)</f>
        <v>-0.7548</v>
      </c>
      <c r="L33" s="61"/>
    </row>
    <row r="34" spans="1:12" ht="15">
      <c r="A34" s="47"/>
      <c r="B34" s="48"/>
      <c r="C34" s="49"/>
      <c r="D34" s="27"/>
      <c r="E34" s="55">
        <f>SUM(E18:E33)</f>
        <v>-4.088</v>
      </c>
      <c r="F34" s="55">
        <f>SUM(F18:F33)</f>
        <v>4.088</v>
      </c>
      <c r="G34" s="55">
        <f>SUM(E34:F34)</f>
        <v>0</v>
      </c>
      <c r="H34" s="55"/>
      <c r="I34" s="55">
        <f>SUM(I18:I33)</f>
        <v>-4.088</v>
      </c>
      <c r="J34" s="60"/>
      <c r="K34" s="21" t="s">
        <v>103</v>
      </c>
      <c r="L34" s="66"/>
    </row>
    <row r="35" spans="1:12" ht="15.75" thickBot="1">
      <c r="A35" s="47"/>
      <c r="B35" s="48"/>
      <c r="C35" s="49"/>
      <c r="D35" s="27"/>
      <c r="E35" s="27"/>
      <c r="F35" s="27"/>
      <c r="G35" s="27"/>
      <c r="H35" s="27"/>
      <c r="I35" s="27"/>
      <c r="J35" s="67"/>
      <c r="K35" s="22" t="s">
        <v>106</v>
      </c>
      <c r="L35" s="68"/>
    </row>
    <row r="36" spans="1:12" ht="18.75" thickBot="1">
      <c r="A36" s="47"/>
      <c r="B36" s="48"/>
      <c r="C36" s="49"/>
      <c r="D36" s="50" t="s">
        <v>79</v>
      </c>
      <c r="E36" s="50">
        <f>SUM(E8,E16,E34)</f>
        <v>75.86500000000001</v>
      </c>
      <c r="F36" s="50">
        <f>SUM(F8,F16,F34)</f>
        <v>10.435</v>
      </c>
      <c r="G36" s="10">
        <f>SUM(G8,G16,G34)</f>
        <v>86.30000000000001</v>
      </c>
      <c r="H36" s="50">
        <f>+H8</f>
        <v>16.8</v>
      </c>
      <c r="I36" s="51">
        <f>SUM(I8,I16,I34)</f>
        <v>59.065000000000005</v>
      </c>
      <c r="J36" s="67" t="s">
        <v>127</v>
      </c>
      <c r="K36" s="22" t="s">
        <v>171</v>
      </c>
      <c r="L36" s="68"/>
    </row>
    <row r="37" spans="1:12" ht="15">
      <c r="A37" s="47"/>
      <c r="B37" s="48"/>
      <c r="C37" s="49"/>
      <c r="D37" s="27"/>
      <c r="E37" s="27"/>
      <c r="F37" s="27"/>
      <c r="G37" s="27"/>
      <c r="H37" s="27"/>
      <c r="I37" s="27"/>
      <c r="J37" s="67"/>
      <c r="K37" s="23">
        <f>+I36</f>
        <v>59.065000000000005</v>
      </c>
      <c r="L37" s="68"/>
    </row>
    <row r="38" spans="1:12" ht="15">
      <c r="A38" s="47"/>
      <c r="B38" s="48"/>
      <c r="C38" s="49"/>
      <c r="D38" s="27"/>
      <c r="E38" s="27"/>
      <c r="F38" s="27"/>
      <c r="G38" s="27"/>
      <c r="H38" s="69" t="s">
        <v>84</v>
      </c>
      <c r="I38" s="27">
        <v>-4.8</v>
      </c>
      <c r="J38" s="67"/>
      <c r="K38" s="24"/>
      <c r="L38" s="68"/>
    </row>
    <row r="39" spans="1:12" ht="15">
      <c r="A39" s="47"/>
      <c r="B39" s="48"/>
      <c r="C39" s="49"/>
      <c r="D39" s="27"/>
      <c r="E39" s="27"/>
      <c r="F39" s="27"/>
      <c r="G39" s="27"/>
      <c r="H39" s="69" t="s">
        <v>85</v>
      </c>
      <c r="I39" s="27">
        <v>-8.9</v>
      </c>
      <c r="J39" s="67"/>
      <c r="K39" s="24"/>
      <c r="L39" s="68"/>
    </row>
    <row r="40" spans="1:12" ht="15">
      <c r="A40" s="47"/>
      <c r="B40" s="48"/>
      <c r="C40" s="49"/>
      <c r="D40" s="27"/>
      <c r="E40" s="27"/>
      <c r="F40" s="27"/>
      <c r="G40" s="27"/>
      <c r="H40" s="69" t="s">
        <v>83</v>
      </c>
      <c r="I40" s="70">
        <f>SUM(I36:I39)</f>
        <v>45.36500000000001</v>
      </c>
      <c r="J40" s="67" t="s">
        <v>128</v>
      </c>
      <c r="K40" s="30">
        <f>12.65-0.3+K33</f>
        <v>11.5952</v>
      </c>
      <c r="L40" s="68"/>
    </row>
    <row r="41" spans="1:12" ht="16.5" thickBot="1">
      <c r="A41" s="47"/>
      <c r="B41" s="48"/>
      <c r="C41" s="49"/>
      <c r="D41" s="27" t="s">
        <v>183</v>
      </c>
      <c r="E41" s="70">
        <f>F41*-(I38+I39)</f>
        <v>1.37</v>
      </c>
      <c r="F41" s="114">
        <v>0.1</v>
      </c>
      <c r="G41" s="71"/>
      <c r="H41" s="72" t="s">
        <v>86</v>
      </c>
      <c r="I41" s="73">
        <f>SUM(F36)</f>
        <v>10.435</v>
      </c>
      <c r="J41" s="67"/>
      <c r="K41" s="23"/>
      <c r="L41" s="68"/>
    </row>
    <row r="42" spans="1:12" ht="19.5" thickBot="1">
      <c r="A42" s="47"/>
      <c r="B42" s="48" t="s">
        <v>104</v>
      </c>
      <c r="C42" s="49"/>
      <c r="D42" s="27" t="s">
        <v>184</v>
      </c>
      <c r="E42" s="70">
        <f>I41-E41</f>
        <v>9.065000000000001</v>
      </c>
      <c r="F42" s="114">
        <f>E42/(I36+I38+I39)</f>
        <v>0.19982365259561335</v>
      </c>
      <c r="G42" s="27"/>
      <c r="H42" s="69" t="s">
        <v>125</v>
      </c>
      <c r="I42" s="11">
        <f>+I41/I40</f>
        <v>0.2300231455968257</v>
      </c>
      <c r="J42" s="67"/>
      <c r="K42" s="25">
        <f>+K40/K37</f>
        <v>0.1963125370354694</v>
      </c>
      <c r="L42" s="68"/>
    </row>
    <row r="43" spans="1:12" ht="19.5">
      <c r="A43" s="47"/>
      <c r="B43" s="115" t="s">
        <v>105</v>
      </c>
      <c r="C43" s="49"/>
      <c r="D43" s="27" t="s">
        <v>184</v>
      </c>
      <c r="E43" s="70">
        <f>K40-E41</f>
        <v>10.225200000000001</v>
      </c>
      <c r="F43" s="114">
        <f>E43/(I36+I38+I39)</f>
        <v>0.22539843491678604</v>
      </c>
      <c r="G43" s="27"/>
      <c r="H43" s="69" t="s">
        <v>126</v>
      </c>
      <c r="I43" s="31">
        <f>+I41/I36</f>
        <v>0.17666977059172098</v>
      </c>
      <c r="J43" s="27"/>
      <c r="K43" s="26" t="s">
        <v>107</v>
      </c>
      <c r="L43" s="74">
        <f>+K40+H36+K37</f>
        <v>87.46020000000001</v>
      </c>
    </row>
    <row r="44" spans="1:12" ht="18">
      <c r="A44" s="47"/>
      <c r="B44" s="2" t="s">
        <v>9</v>
      </c>
      <c r="D44" s="27" t="s">
        <v>184</v>
      </c>
      <c r="E44" s="116">
        <f>F8-0.4*-(I38+I39-F11-F12)</f>
        <v>9.5918</v>
      </c>
      <c r="F44" s="117">
        <f>E44/(I8--(I38+I39-F11-F12))</f>
        <v>0.19556343915020283</v>
      </c>
      <c r="G44" s="27"/>
      <c r="H44" s="69"/>
      <c r="I44" s="32"/>
      <c r="J44" s="27"/>
      <c r="K44" s="33">
        <f>+L43-G36</f>
        <v>1.1602000000000032</v>
      </c>
      <c r="L44" s="75"/>
    </row>
    <row r="45" spans="1:12" ht="15">
      <c r="A45" s="47"/>
      <c r="B45" s="48"/>
      <c r="C45" s="49"/>
      <c r="D45" s="27"/>
      <c r="E45" s="27" t="s">
        <v>52</v>
      </c>
      <c r="F45" s="27" t="s">
        <v>53</v>
      </c>
      <c r="G45" s="27" t="s">
        <v>54</v>
      </c>
      <c r="H45" s="27" t="s">
        <v>55</v>
      </c>
      <c r="I45" s="27" t="s">
        <v>56</v>
      </c>
      <c r="J45" s="27" t="s">
        <v>57</v>
      </c>
      <c r="K45" s="27" t="s">
        <v>58</v>
      </c>
      <c r="L45" s="61" t="s">
        <v>59</v>
      </c>
    </row>
    <row r="46" spans="1:12" ht="15">
      <c r="A46" s="47"/>
      <c r="B46" s="48"/>
      <c r="C46" s="49"/>
      <c r="D46" s="27" t="s">
        <v>94</v>
      </c>
      <c r="E46" s="76">
        <v>5.9447</v>
      </c>
      <c r="F46" s="76">
        <v>15.4515</v>
      </c>
      <c r="G46" s="76">
        <f>17.1985-0.2</f>
        <v>16.9985</v>
      </c>
      <c r="H46" s="76">
        <f>20.9477-0.2</f>
        <v>20.747700000000002</v>
      </c>
      <c r="I46" s="76">
        <v>14.593600000000004</v>
      </c>
      <c r="J46" s="76">
        <v>2.1117</v>
      </c>
      <c r="K46" s="77">
        <v>0</v>
      </c>
      <c r="L46" s="78">
        <f>SUM(E46:K46)</f>
        <v>75.8477</v>
      </c>
    </row>
    <row r="47" spans="1:12" ht="15">
      <c r="A47" s="47"/>
      <c r="B47" s="48"/>
      <c r="C47" s="49"/>
      <c r="D47" s="27" t="s">
        <v>95</v>
      </c>
      <c r="E47" s="79"/>
      <c r="F47" s="79"/>
      <c r="G47" s="79">
        <v>1.3</v>
      </c>
      <c r="H47" s="79">
        <v>1.4</v>
      </c>
      <c r="I47" s="79">
        <v>4.8</v>
      </c>
      <c r="J47" s="79">
        <v>2.95</v>
      </c>
      <c r="K47" s="79"/>
      <c r="L47" s="80">
        <f>SUM(E47:K47)</f>
        <v>10.45</v>
      </c>
    </row>
    <row r="48" spans="1:12" ht="15">
      <c r="A48" s="47"/>
      <c r="B48" s="48"/>
      <c r="C48" s="49"/>
      <c r="D48" s="27" t="s">
        <v>96</v>
      </c>
      <c r="E48" s="81">
        <f aca="true" t="shared" si="4" ref="E48:J48">SUM(E46:E47)</f>
        <v>5.9447</v>
      </c>
      <c r="F48" s="81">
        <f t="shared" si="4"/>
        <v>15.4515</v>
      </c>
      <c r="G48" s="81">
        <f t="shared" si="4"/>
        <v>18.2985</v>
      </c>
      <c r="H48" s="81">
        <f t="shared" si="4"/>
        <v>22.1477</v>
      </c>
      <c r="I48" s="81">
        <f t="shared" si="4"/>
        <v>19.393600000000003</v>
      </c>
      <c r="J48" s="81">
        <f t="shared" si="4"/>
        <v>5.0617</v>
      </c>
      <c r="K48" s="81"/>
      <c r="L48" s="78">
        <f>SUM(E48:K48)</f>
        <v>86.2977</v>
      </c>
    </row>
    <row r="49" spans="1:12" ht="15">
      <c r="A49" s="47"/>
      <c r="B49" s="48"/>
      <c r="C49" s="49"/>
      <c r="D49" s="82" t="s">
        <v>135</v>
      </c>
      <c r="E49" s="83">
        <v>5.9</v>
      </c>
      <c r="F49" s="83">
        <v>17.9</v>
      </c>
      <c r="G49" s="83">
        <v>15.9</v>
      </c>
      <c r="H49" s="83">
        <v>22.1</v>
      </c>
      <c r="I49" s="83">
        <v>19.4</v>
      </c>
      <c r="J49" s="83">
        <v>5.1</v>
      </c>
      <c r="K49" s="81"/>
      <c r="L49" s="78"/>
    </row>
    <row r="50" spans="1:12" ht="15">
      <c r="A50" s="47"/>
      <c r="B50" s="48"/>
      <c r="C50" s="49"/>
      <c r="D50" s="38" t="s">
        <v>169</v>
      </c>
      <c r="E50" s="84">
        <f>SUM(E48)</f>
        <v>5.9447</v>
      </c>
      <c r="F50" s="84">
        <f aca="true" t="shared" si="5" ref="F50:J51">+E50+F48</f>
        <v>21.3962</v>
      </c>
      <c r="G50" s="84">
        <f t="shared" si="5"/>
        <v>39.6947</v>
      </c>
      <c r="H50" s="84">
        <f t="shared" si="5"/>
        <v>61.8424</v>
      </c>
      <c r="I50" s="84">
        <f t="shared" si="5"/>
        <v>81.236</v>
      </c>
      <c r="J50" s="84">
        <f t="shared" si="5"/>
        <v>86.2977</v>
      </c>
      <c r="K50" s="81"/>
      <c r="L50" s="78"/>
    </row>
    <row r="51" spans="1:12" ht="15">
      <c r="A51" s="47"/>
      <c r="B51" s="48"/>
      <c r="C51" s="49"/>
      <c r="D51" s="38" t="s">
        <v>170</v>
      </c>
      <c r="E51" s="84">
        <f>SUM(E49)</f>
        <v>5.9</v>
      </c>
      <c r="F51" s="84">
        <f t="shared" si="5"/>
        <v>23.799999999999997</v>
      </c>
      <c r="G51" s="84">
        <f t="shared" si="5"/>
        <v>39.699999999999996</v>
      </c>
      <c r="H51" s="84">
        <f t="shared" si="5"/>
        <v>61.8</v>
      </c>
      <c r="I51" s="84">
        <f t="shared" si="5"/>
        <v>81.19999999999999</v>
      </c>
      <c r="J51" s="84">
        <f t="shared" si="5"/>
        <v>86.29999999999998</v>
      </c>
      <c r="K51" s="81"/>
      <c r="L51" s="78"/>
    </row>
    <row r="52" spans="1:12" ht="15">
      <c r="A52" s="47"/>
      <c r="B52" s="48"/>
      <c r="C52" s="49"/>
      <c r="D52" s="27"/>
      <c r="E52" s="27"/>
      <c r="F52" s="27"/>
      <c r="G52" s="27"/>
      <c r="H52" s="27"/>
      <c r="I52" s="27"/>
      <c r="J52" s="27"/>
      <c r="K52" s="79"/>
      <c r="L52" s="78"/>
    </row>
    <row r="53" spans="1:12" ht="15">
      <c r="A53" s="47"/>
      <c r="B53" s="48"/>
      <c r="C53" s="49"/>
      <c r="D53" s="27" t="s">
        <v>92</v>
      </c>
      <c r="E53" s="79">
        <v>0.8</v>
      </c>
      <c r="F53" s="79">
        <v>0.8</v>
      </c>
      <c r="G53" s="79">
        <v>0.8</v>
      </c>
      <c r="H53" s="79">
        <v>1.7</v>
      </c>
      <c r="I53" s="85">
        <v>7.6</v>
      </c>
      <c r="J53" s="79">
        <f>7.2+15.5</f>
        <v>22.7</v>
      </c>
      <c r="K53" s="81"/>
      <c r="L53" s="78"/>
    </row>
    <row r="54" spans="1:12" ht="15">
      <c r="A54" s="47"/>
      <c r="B54" s="48"/>
      <c r="C54" s="49"/>
      <c r="D54" s="27" t="s">
        <v>93</v>
      </c>
      <c r="E54" s="81">
        <f aca="true" t="shared" si="6" ref="E54:J54">SUM(E53,E48)</f>
        <v>6.7447</v>
      </c>
      <c r="F54" s="81">
        <f t="shared" si="6"/>
        <v>16.2515</v>
      </c>
      <c r="G54" s="81">
        <f t="shared" si="6"/>
        <v>19.0985</v>
      </c>
      <c r="H54" s="81">
        <f t="shared" si="6"/>
        <v>23.8477</v>
      </c>
      <c r="I54" s="81">
        <f t="shared" si="6"/>
        <v>26.9936</v>
      </c>
      <c r="J54" s="81">
        <f t="shared" si="6"/>
        <v>27.761699999999998</v>
      </c>
      <c r="K54" s="81"/>
      <c r="L54" s="78"/>
    </row>
    <row r="55" spans="1:12" ht="15">
      <c r="A55" s="47"/>
      <c r="B55" s="48"/>
      <c r="C55" s="49"/>
      <c r="D55" s="82" t="s">
        <v>91</v>
      </c>
      <c r="E55" s="83">
        <f>5.9+0.8</f>
        <v>6.7</v>
      </c>
      <c r="F55" s="83">
        <v>18.7</v>
      </c>
      <c r="G55" s="83">
        <v>16.7</v>
      </c>
      <c r="H55" s="83">
        <v>23.8</v>
      </c>
      <c r="I55" s="83">
        <v>27</v>
      </c>
      <c r="J55" s="83">
        <v>27.8</v>
      </c>
      <c r="K55" s="81"/>
      <c r="L55" s="78"/>
    </row>
    <row r="56" spans="1:12" ht="15">
      <c r="A56" s="47"/>
      <c r="B56" s="48"/>
      <c r="C56" s="49"/>
      <c r="D56" s="27"/>
      <c r="E56" s="27"/>
      <c r="F56" s="27"/>
      <c r="G56" s="27"/>
      <c r="H56" s="27"/>
      <c r="I56" s="27"/>
      <c r="J56" s="27"/>
      <c r="K56" s="81"/>
      <c r="L56" s="78"/>
    </row>
    <row r="57" spans="1:12" ht="15">
      <c r="A57" s="47"/>
      <c r="B57" s="48"/>
      <c r="C57" s="49"/>
      <c r="D57" s="67" t="s">
        <v>76</v>
      </c>
      <c r="E57" s="86"/>
      <c r="F57" s="86">
        <f>SUM(E48:F53)</f>
        <v>103.83709999999999</v>
      </c>
      <c r="G57" s="86">
        <f>SUM(E54:G54)</f>
        <v>42.0947</v>
      </c>
      <c r="H57" s="86">
        <f>SUM(E54:H54)</f>
        <v>65.9424</v>
      </c>
      <c r="I57" s="86">
        <f>SUM(E54:I54)</f>
        <v>92.936</v>
      </c>
      <c r="J57" s="86">
        <f>SUM(E54:J54)</f>
        <v>120.6977</v>
      </c>
      <c r="K57" s="81"/>
      <c r="L57" s="78"/>
    </row>
    <row r="58" spans="1:12" ht="15">
      <c r="A58" s="47"/>
      <c r="B58" s="48"/>
      <c r="C58" s="49"/>
      <c r="D58" s="87" t="s">
        <v>90</v>
      </c>
      <c r="E58" s="88"/>
      <c r="F58" s="88">
        <f>SUM(E55:F55)</f>
        <v>25.4</v>
      </c>
      <c r="G58" s="88">
        <f>SUM(E55:G55)</f>
        <v>42.099999999999994</v>
      </c>
      <c r="H58" s="88">
        <f>SUM(E55:H55)</f>
        <v>65.89999999999999</v>
      </c>
      <c r="I58" s="88">
        <f>SUM(E55:I55)</f>
        <v>92.89999999999999</v>
      </c>
      <c r="J58" s="88">
        <f>SUM(E55:J55)</f>
        <v>120.69999999999999</v>
      </c>
      <c r="K58" s="86"/>
      <c r="L58" s="78"/>
    </row>
    <row r="59" spans="1:12" ht="15.75" thickBot="1">
      <c r="A59" s="89"/>
      <c r="B59" s="90"/>
      <c r="C59" s="91"/>
      <c r="D59" s="92" t="s">
        <v>156</v>
      </c>
      <c r="E59" s="92"/>
      <c r="F59" s="92"/>
      <c r="G59" s="93">
        <v>2</v>
      </c>
      <c r="H59" s="93">
        <v>1.65</v>
      </c>
      <c r="I59" s="93">
        <v>1.19</v>
      </c>
      <c r="J59" s="93">
        <v>0.5</v>
      </c>
      <c r="K59" s="94"/>
      <c r="L59" s="95"/>
    </row>
    <row r="60" spans="1:12" ht="16.5" thickBot="1">
      <c r="A60" s="42"/>
      <c r="B60" s="43"/>
      <c r="C60" s="44" t="s">
        <v>78</v>
      </c>
      <c r="D60" s="13"/>
      <c r="E60" s="13"/>
      <c r="F60" s="13"/>
      <c r="G60" s="13"/>
      <c r="H60" s="13"/>
      <c r="I60" s="13"/>
      <c r="J60" s="13"/>
      <c r="K60" s="13"/>
      <c r="L60" s="14"/>
    </row>
    <row r="61" spans="1:12" ht="18.75" thickBot="1">
      <c r="A61" s="47"/>
      <c r="B61" s="48"/>
      <c r="C61" s="49"/>
      <c r="D61" s="18" t="s">
        <v>157</v>
      </c>
      <c r="E61" s="19"/>
      <c r="F61" s="19"/>
      <c r="G61" s="20"/>
      <c r="H61" s="27"/>
      <c r="I61" s="27"/>
      <c r="J61" s="27"/>
      <c r="K61" s="27"/>
      <c r="L61" s="61"/>
    </row>
    <row r="62" spans="1:12" ht="15">
      <c r="A62" s="47"/>
      <c r="B62" s="48"/>
      <c r="C62" s="49"/>
      <c r="D62" s="27" t="s">
        <v>102</v>
      </c>
      <c r="E62" s="27"/>
      <c r="F62" s="27"/>
      <c r="G62" s="27"/>
      <c r="H62" s="27"/>
      <c r="I62" s="27"/>
      <c r="J62" s="27"/>
      <c r="K62" s="27"/>
      <c r="L62" s="61"/>
    </row>
    <row r="63" spans="1:12" ht="15">
      <c r="A63" s="47"/>
      <c r="B63" s="48"/>
      <c r="C63" s="49"/>
      <c r="D63" s="27"/>
      <c r="E63" s="27" t="s">
        <v>48</v>
      </c>
      <c r="F63" s="27" t="s">
        <v>49</v>
      </c>
      <c r="G63" s="27" t="s">
        <v>101</v>
      </c>
      <c r="H63" s="27"/>
      <c r="I63" s="27"/>
      <c r="J63" s="27"/>
      <c r="K63" s="27"/>
      <c r="L63" s="61"/>
    </row>
    <row r="64" spans="1:12" ht="15">
      <c r="A64" s="47"/>
      <c r="B64" s="48"/>
      <c r="C64" s="49"/>
      <c r="D64" s="27" t="s">
        <v>60</v>
      </c>
      <c r="E64" s="96">
        <v>38657</v>
      </c>
      <c r="F64" s="97">
        <v>38718</v>
      </c>
      <c r="G64" s="98">
        <f>(+F64-E64)/30</f>
        <v>2.033333333333333</v>
      </c>
      <c r="H64" s="27" t="s">
        <v>136</v>
      </c>
      <c r="I64" s="27"/>
      <c r="J64" s="27"/>
      <c r="K64" s="27"/>
      <c r="L64" s="61"/>
    </row>
    <row r="65" spans="1:12" ht="15">
      <c r="A65" s="47"/>
      <c r="B65" s="48"/>
      <c r="C65" s="49"/>
      <c r="D65" s="27" t="s">
        <v>61</v>
      </c>
      <c r="E65" s="96">
        <v>38357</v>
      </c>
      <c r="F65" s="97">
        <v>38487</v>
      </c>
      <c r="G65" s="98">
        <f aca="true" t="shared" si="7" ref="G65:G125">(+F65-E65)/30</f>
        <v>4.333333333333333</v>
      </c>
      <c r="H65" s="27" t="s">
        <v>137</v>
      </c>
      <c r="I65" s="27"/>
      <c r="J65" s="27"/>
      <c r="K65" s="27"/>
      <c r="L65" s="61"/>
    </row>
    <row r="66" spans="1:12" ht="15">
      <c r="A66" s="47"/>
      <c r="B66" s="48"/>
      <c r="C66" s="49"/>
      <c r="D66" s="27" t="s">
        <v>62</v>
      </c>
      <c r="E66" s="96">
        <v>38838</v>
      </c>
      <c r="F66" s="97">
        <v>38975</v>
      </c>
      <c r="G66" s="98">
        <f t="shared" si="7"/>
        <v>4.566666666666666</v>
      </c>
      <c r="H66" s="27" t="s">
        <v>137</v>
      </c>
      <c r="I66" s="27"/>
      <c r="J66" s="27"/>
      <c r="K66" s="27"/>
      <c r="L66" s="61"/>
    </row>
    <row r="67" spans="1:12" ht="15">
      <c r="A67" s="47"/>
      <c r="B67" s="48"/>
      <c r="C67" s="49"/>
      <c r="D67" s="27" t="s">
        <v>63</v>
      </c>
      <c r="E67" s="96">
        <v>38353</v>
      </c>
      <c r="F67" s="97">
        <v>38473</v>
      </c>
      <c r="G67" s="98">
        <f t="shared" si="7"/>
        <v>4</v>
      </c>
      <c r="H67" s="27"/>
      <c r="I67" s="27"/>
      <c r="J67" s="27"/>
      <c r="K67" s="27"/>
      <c r="L67" s="61"/>
    </row>
    <row r="68" spans="1:12" ht="15">
      <c r="A68" s="47"/>
      <c r="B68" s="48"/>
      <c r="C68" s="49"/>
      <c r="D68" s="27" t="s">
        <v>64</v>
      </c>
      <c r="E68" s="96">
        <v>38808</v>
      </c>
      <c r="F68" s="97">
        <v>38961</v>
      </c>
      <c r="G68" s="98">
        <f t="shared" si="7"/>
        <v>5.1</v>
      </c>
      <c r="H68" s="27"/>
      <c r="I68" s="27"/>
      <c r="J68" s="27"/>
      <c r="K68" s="27"/>
      <c r="L68" s="61"/>
    </row>
    <row r="69" spans="1:12" ht="15">
      <c r="A69" s="47"/>
      <c r="B69" s="48"/>
      <c r="C69" s="49"/>
      <c r="D69" s="27" t="s">
        <v>65</v>
      </c>
      <c r="E69" s="96">
        <v>38777</v>
      </c>
      <c r="F69" s="97">
        <v>38899</v>
      </c>
      <c r="G69" s="98">
        <f t="shared" si="7"/>
        <v>4.066666666666666</v>
      </c>
      <c r="H69" s="27"/>
      <c r="I69" s="27"/>
      <c r="J69" s="27"/>
      <c r="K69" s="27"/>
      <c r="L69" s="61"/>
    </row>
    <row r="70" spans="1:12" ht="15">
      <c r="A70" s="47"/>
      <c r="B70" s="48"/>
      <c r="C70" s="49"/>
      <c r="D70" s="27" t="s">
        <v>66</v>
      </c>
      <c r="E70" s="96">
        <v>38565</v>
      </c>
      <c r="F70" s="97">
        <v>39052</v>
      </c>
      <c r="G70" s="98">
        <f t="shared" si="7"/>
        <v>16.233333333333334</v>
      </c>
      <c r="H70" s="27"/>
      <c r="I70" s="27"/>
      <c r="J70" s="27"/>
      <c r="K70" s="27"/>
      <c r="L70" s="61"/>
    </row>
    <row r="71" spans="1:12" ht="15">
      <c r="A71" s="47"/>
      <c r="B71" s="48"/>
      <c r="C71" s="49"/>
      <c r="D71" s="27" t="s">
        <v>98</v>
      </c>
      <c r="E71" s="99">
        <v>39083</v>
      </c>
      <c r="F71" s="97">
        <v>39198</v>
      </c>
      <c r="G71" s="98">
        <f t="shared" si="7"/>
        <v>3.8333333333333335</v>
      </c>
      <c r="H71" s="27"/>
      <c r="I71" s="27"/>
      <c r="J71" s="27"/>
      <c r="K71" s="27"/>
      <c r="L71" s="61"/>
    </row>
    <row r="72" spans="1:12" ht="15.75" hidden="1">
      <c r="A72" s="47"/>
      <c r="B72" s="48"/>
      <c r="C72" s="100" t="s">
        <v>67</v>
      </c>
      <c r="D72" s="27"/>
      <c r="E72" s="101"/>
      <c r="F72" s="50"/>
      <c r="G72" s="98">
        <f t="shared" si="7"/>
        <v>0</v>
      </c>
      <c r="H72" s="27"/>
      <c r="I72" s="27"/>
      <c r="J72" s="27"/>
      <c r="K72" s="27"/>
      <c r="L72" s="61"/>
    </row>
    <row r="73" spans="1:12" ht="15" hidden="1">
      <c r="A73" s="47"/>
      <c r="B73" s="48"/>
      <c r="C73" s="49"/>
      <c r="D73" s="27" t="s">
        <v>68</v>
      </c>
      <c r="E73" s="102">
        <v>-2.1</v>
      </c>
      <c r="F73" s="103" t="s">
        <v>70</v>
      </c>
      <c r="G73" s="98" t="e">
        <f t="shared" si="7"/>
        <v>#VALUE!</v>
      </c>
      <c r="H73" s="27"/>
      <c r="I73" s="27"/>
      <c r="J73" s="27"/>
      <c r="K73" s="27"/>
      <c r="L73" s="61"/>
    </row>
    <row r="74" spans="1:12" ht="15" hidden="1">
      <c r="A74" s="47"/>
      <c r="B74" s="48"/>
      <c r="C74" s="49"/>
      <c r="D74" s="27" t="s">
        <v>69</v>
      </c>
      <c r="E74" s="102">
        <v>-0.8</v>
      </c>
      <c r="F74" s="103" t="s">
        <v>71</v>
      </c>
      <c r="G74" s="98" t="e">
        <f t="shared" si="7"/>
        <v>#VALUE!</v>
      </c>
      <c r="H74" s="27"/>
      <c r="I74" s="27"/>
      <c r="J74" s="27"/>
      <c r="K74" s="27"/>
      <c r="L74" s="61"/>
    </row>
    <row r="75" spans="1:12" ht="15" hidden="1">
      <c r="A75" s="47"/>
      <c r="B75" s="48"/>
      <c r="C75" s="49"/>
      <c r="D75" s="27" t="s">
        <v>72</v>
      </c>
      <c r="E75" s="102">
        <v>0.6</v>
      </c>
      <c r="F75" s="103" t="s">
        <v>73</v>
      </c>
      <c r="G75" s="98" t="e">
        <f t="shared" si="7"/>
        <v>#VALUE!</v>
      </c>
      <c r="H75" s="27"/>
      <c r="I75" s="27"/>
      <c r="J75" s="27"/>
      <c r="K75" s="27"/>
      <c r="L75" s="61"/>
    </row>
    <row r="76" spans="1:12" ht="15" hidden="1">
      <c r="A76" s="47"/>
      <c r="B76" s="48"/>
      <c r="C76" s="49"/>
      <c r="D76" s="27" t="s">
        <v>74</v>
      </c>
      <c r="E76" s="102">
        <v>-3.2</v>
      </c>
      <c r="F76" s="103" t="s">
        <v>75</v>
      </c>
      <c r="G76" s="98" t="e">
        <f t="shared" si="7"/>
        <v>#VALUE!</v>
      </c>
      <c r="H76" s="27"/>
      <c r="I76" s="27"/>
      <c r="J76" s="27"/>
      <c r="K76" s="27"/>
      <c r="L76" s="61"/>
    </row>
    <row r="77" spans="1:12" ht="15" hidden="1">
      <c r="A77" s="47"/>
      <c r="B77" s="48"/>
      <c r="C77" s="49"/>
      <c r="D77" s="27"/>
      <c r="E77" s="102"/>
      <c r="F77" s="103"/>
      <c r="G77" s="98">
        <f t="shared" si="7"/>
        <v>0</v>
      </c>
      <c r="H77" s="27"/>
      <c r="I77" s="27"/>
      <c r="J77" s="27"/>
      <c r="K77" s="27"/>
      <c r="L77" s="61"/>
    </row>
    <row r="78" spans="1:12" ht="15" hidden="1">
      <c r="A78" s="47"/>
      <c r="B78" s="48"/>
      <c r="C78" s="49"/>
      <c r="D78" s="27"/>
      <c r="E78" s="101"/>
      <c r="F78" s="50"/>
      <c r="G78" s="98">
        <f t="shared" si="7"/>
        <v>0</v>
      </c>
      <c r="H78" s="27"/>
      <c r="I78" s="27"/>
      <c r="J78" s="27"/>
      <c r="K78" s="27"/>
      <c r="L78" s="61"/>
    </row>
    <row r="79" spans="1:12" ht="15" hidden="1">
      <c r="A79" s="47"/>
      <c r="B79" s="48" t="s">
        <v>185</v>
      </c>
      <c r="C79" s="49"/>
      <c r="D79" s="27" t="s">
        <v>186</v>
      </c>
      <c r="E79" s="101" t="s">
        <v>187</v>
      </c>
      <c r="F79" s="50" t="s">
        <v>188</v>
      </c>
      <c r="G79" s="98" t="e">
        <f t="shared" si="7"/>
        <v>#VALUE!</v>
      </c>
      <c r="H79" s="27" t="s">
        <v>189</v>
      </c>
      <c r="I79" s="27" t="s">
        <v>190</v>
      </c>
      <c r="J79" s="27" t="s">
        <v>191</v>
      </c>
      <c r="K79" s="27" t="s">
        <v>192</v>
      </c>
      <c r="L79" s="61"/>
    </row>
    <row r="80" spans="1:12" ht="15" hidden="1">
      <c r="A80" s="47"/>
      <c r="B80" s="48"/>
      <c r="C80" s="49"/>
      <c r="D80" s="27" t="s">
        <v>193</v>
      </c>
      <c r="E80" s="101" t="s">
        <v>8</v>
      </c>
      <c r="F80" s="50">
        <v>0.3</v>
      </c>
      <c r="G80" s="98" t="e">
        <f t="shared" si="7"/>
        <v>#VALUE!</v>
      </c>
      <c r="H80" s="27">
        <v>0.2</v>
      </c>
      <c r="I80" s="27">
        <v>0</v>
      </c>
      <c r="J80" s="27"/>
      <c r="K80" s="27"/>
      <c r="L80" s="61"/>
    </row>
    <row r="81" spans="1:12" ht="15" hidden="1">
      <c r="A81" s="47"/>
      <c r="B81" s="48"/>
      <c r="C81" s="49"/>
      <c r="D81" s="27" t="s">
        <v>10</v>
      </c>
      <c r="E81" s="101" t="s">
        <v>11</v>
      </c>
      <c r="F81" s="50">
        <v>7</v>
      </c>
      <c r="G81" s="98" t="e">
        <f t="shared" si="7"/>
        <v>#VALUE!</v>
      </c>
      <c r="H81" s="27">
        <v>3.6</v>
      </c>
      <c r="I81" s="27">
        <v>2.6</v>
      </c>
      <c r="J81" s="27">
        <v>0.6</v>
      </c>
      <c r="K81" s="27"/>
      <c r="L81" s="61"/>
    </row>
    <row r="82" spans="1:12" ht="15" hidden="1">
      <c r="A82" s="47"/>
      <c r="B82" s="48"/>
      <c r="C82" s="49"/>
      <c r="D82" s="27" t="s">
        <v>12</v>
      </c>
      <c r="E82" s="101" t="s">
        <v>13</v>
      </c>
      <c r="F82" s="50">
        <v>3.4</v>
      </c>
      <c r="G82" s="98" t="e">
        <f t="shared" si="7"/>
        <v>#VALUE!</v>
      </c>
      <c r="H82" s="27">
        <v>3.6</v>
      </c>
      <c r="I82" s="27">
        <v>1.7</v>
      </c>
      <c r="J82" s="27">
        <v>0</v>
      </c>
      <c r="K82" s="27"/>
      <c r="L82" s="61"/>
    </row>
    <row r="83" spans="1:12" ht="15" hidden="1">
      <c r="A83" s="47"/>
      <c r="B83" s="48"/>
      <c r="C83" s="49"/>
      <c r="D83" s="27" t="s">
        <v>14</v>
      </c>
      <c r="E83" s="101" t="s">
        <v>15</v>
      </c>
      <c r="F83" s="50">
        <v>0</v>
      </c>
      <c r="G83" s="98" t="e">
        <f t="shared" si="7"/>
        <v>#VALUE!</v>
      </c>
      <c r="H83" s="27">
        <v>1.5</v>
      </c>
      <c r="I83" s="27">
        <v>3.3</v>
      </c>
      <c r="J83" s="27">
        <v>0.3</v>
      </c>
      <c r="K83" s="27"/>
      <c r="L83" s="61"/>
    </row>
    <row r="84" spans="1:12" ht="15" hidden="1">
      <c r="A84" s="47"/>
      <c r="B84" s="48"/>
      <c r="C84" s="49"/>
      <c r="D84" s="27" t="s">
        <v>18</v>
      </c>
      <c r="E84" s="101" t="s">
        <v>19</v>
      </c>
      <c r="F84" s="50"/>
      <c r="G84" s="98" t="e">
        <f t="shared" si="7"/>
        <v>#VALUE!</v>
      </c>
      <c r="H84" s="27">
        <v>0</v>
      </c>
      <c r="I84" s="27">
        <v>1.5</v>
      </c>
      <c r="J84" s="27"/>
      <c r="K84" s="27"/>
      <c r="L84" s="61"/>
    </row>
    <row r="85" spans="1:12" ht="15" hidden="1">
      <c r="A85" s="47"/>
      <c r="B85" s="48"/>
      <c r="C85" s="49"/>
      <c r="D85" s="27" t="s">
        <v>20</v>
      </c>
      <c r="E85" s="101" t="s">
        <v>22</v>
      </c>
      <c r="F85" s="50">
        <v>0</v>
      </c>
      <c r="G85" s="98" t="e">
        <f t="shared" si="7"/>
        <v>#VALUE!</v>
      </c>
      <c r="H85" s="27">
        <v>0.2</v>
      </c>
      <c r="I85" s="27">
        <v>0.2</v>
      </c>
      <c r="J85" s="27">
        <v>0.1</v>
      </c>
      <c r="K85" s="27"/>
      <c r="L85" s="61"/>
    </row>
    <row r="86" spans="1:12" ht="15" hidden="1">
      <c r="A86" s="47"/>
      <c r="B86" s="48"/>
      <c r="C86" s="49"/>
      <c r="D86" s="27" t="s">
        <v>23</v>
      </c>
      <c r="E86" s="101" t="s">
        <v>24</v>
      </c>
      <c r="F86" s="50">
        <v>1.1</v>
      </c>
      <c r="G86" s="98" t="e">
        <f t="shared" si="7"/>
        <v>#VALUE!</v>
      </c>
      <c r="H86" s="27">
        <v>2.6</v>
      </c>
      <c r="I86" s="27">
        <v>1.2</v>
      </c>
      <c r="J86" s="27">
        <v>0.2</v>
      </c>
      <c r="K86" s="27"/>
      <c r="L86" s="61"/>
    </row>
    <row r="87" spans="1:12" ht="15" hidden="1">
      <c r="A87" s="47"/>
      <c r="B87" s="48"/>
      <c r="C87" s="49"/>
      <c r="D87" s="27" t="s">
        <v>25</v>
      </c>
      <c r="E87" s="101" t="s">
        <v>26</v>
      </c>
      <c r="F87" s="50">
        <v>0.9</v>
      </c>
      <c r="G87" s="98" t="e">
        <f t="shared" si="7"/>
        <v>#VALUE!</v>
      </c>
      <c r="H87" s="27">
        <v>1.9</v>
      </c>
      <c r="I87" s="27">
        <v>3.4</v>
      </c>
      <c r="J87" s="27">
        <v>0.6</v>
      </c>
      <c r="K87" s="27"/>
      <c r="L87" s="61"/>
    </row>
    <row r="88" spans="1:12" ht="15" hidden="1">
      <c r="A88" s="47"/>
      <c r="B88" s="48"/>
      <c r="C88" s="49"/>
      <c r="D88" s="27" t="s">
        <v>27</v>
      </c>
      <c r="E88" s="101" t="s">
        <v>28</v>
      </c>
      <c r="F88" s="50">
        <v>0.7</v>
      </c>
      <c r="G88" s="98" t="e">
        <f t="shared" si="7"/>
        <v>#VALUE!</v>
      </c>
      <c r="H88" s="27">
        <v>2.5</v>
      </c>
      <c r="I88" s="27">
        <v>1.9</v>
      </c>
      <c r="J88" s="27"/>
      <c r="K88" s="27"/>
      <c r="L88" s="61"/>
    </row>
    <row r="89" spans="1:12" ht="15" hidden="1">
      <c r="A89" s="47"/>
      <c r="B89" s="48"/>
      <c r="C89" s="49"/>
      <c r="D89" s="27" t="s">
        <v>29</v>
      </c>
      <c r="E89" s="101" t="s">
        <v>30</v>
      </c>
      <c r="F89" s="50">
        <v>2.9</v>
      </c>
      <c r="G89" s="98" t="e">
        <f t="shared" si="7"/>
        <v>#VALUE!</v>
      </c>
      <c r="H89" s="27">
        <v>4.1</v>
      </c>
      <c r="I89" s="27">
        <v>2.6</v>
      </c>
      <c r="J89" s="27">
        <v>1.7</v>
      </c>
      <c r="K89" s="27"/>
      <c r="L89" s="61"/>
    </row>
    <row r="90" spans="1:12" ht="15" hidden="1">
      <c r="A90" s="47"/>
      <c r="B90" s="48"/>
      <c r="C90" s="49"/>
      <c r="D90" s="27" t="s">
        <v>31</v>
      </c>
      <c r="E90" s="101" t="s">
        <v>32</v>
      </c>
      <c r="F90" s="50">
        <v>3.7</v>
      </c>
      <c r="G90" s="98" t="e">
        <f t="shared" si="7"/>
        <v>#VALUE!</v>
      </c>
      <c r="H90" s="27">
        <v>4.6</v>
      </c>
      <c r="I90" s="27">
        <v>5.9</v>
      </c>
      <c r="J90" s="27">
        <v>1.8</v>
      </c>
      <c r="K90" s="27"/>
      <c r="L90" s="61"/>
    </row>
    <row r="91" spans="1:12" ht="15" hidden="1">
      <c r="A91" s="47"/>
      <c r="B91" s="48"/>
      <c r="C91" s="49"/>
      <c r="D91" s="27" t="s">
        <v>33</v>
      </c>
      <c r="E91" s="101" t="s">
        <v>34</v>
      </c>
      <c r="F91" s="50">
        <v>8.5</v>
      </c>
      <c r="G91" s="98" t="e">
        <f t="shared" si="7"/>
        <v>#VALUE!</v>
      </c>
      <c r="H91" s="27">
        <v>14.8</v>
      </c>
      <c r="I91" s="27">
        <v>21.2</v>
      </c>
      <c r="J91" s="27">
        <v>4.2</v>
      </c>
      <c r="K91" s="27"/>
      <c r="L91" s="61"/>
    </row>
    <row r="92" spans="1:12" ht="15" hidden="1">
      <c r="A92" s="47"/>
      <c r="B92" s="48"/>
      <c r="C92" s="49"/>
      <c r="D92" s="27" t="s">
        <v>35</v>
      </c>
      <c r="E92" s="101" t="s">
        <v>36</v>
      </c>
      <c r="F92" s="50">
        <v>0.5</v>
      </c>
      <c r="G92" s="98" t="e">
        <f t="shared" si="7"/>
        <v>#VALUE!</v>
      </c>
      <c r="H92" s="27">
        <v>0.5</v>
      </c>
      <c r="I92" s="27">
        <v>0.5</v>
      </c>
      <c r="J92" s="27">
        <v>0.3</v>
      </c>
      <c r="K92" s="27"/>
      <c r="L92" s="61"/>
    </row>
    <row r="93" spans="1:12" ht="15" hidden="1">
      <c r="A93" s="47"/>
      <c r="B93" s="48"/>
      <c r="C93" s="49"/>
      <c r="D93" s="27" t="s">
        <v>37</v>
      </c>
      <c r="E93" s="101" t="s">
        <v>38</v>
      </c>
      <c r="F93" s="50">
        <v>0.7</v>
      </c>
      <c r="G93" s="98" t="e">
        <f t="shared" si="7"/>
        <v>#VALUE!</v>
      </c>
      <c r="H93" s="27">
        <v>0.5</v>
      </c>
      <c r="I93" s="27">
        <v>0.5</v>
      </c>
      <c r="J93" s="27">
        <v>0.2</v>
      </c>
      <c r="K93" s="27"/>
      <c r="L93" s="61"/>
    </row>
    <row r="94" spans="1:12" ht="15" hidden="1">
      <c r="A94" s="47"/>
      <c r="B94" s="48"/>
      <c r="C94" s="49"/>
      <c r="D94" s="27" t="s">
        <v>39</v>
      </c>
      <c r="E94" s="101" t="s">
        <v>40</v>
      </c>
      <c r="F94" s="50">
        <v>0.5</v>
      </c>
      <c r="G94" s="98" t="e">
        <f t="shared" si="7"/>
        <v>#VALUE!</v>
      </c>
      <c r="H94" s="27">
        <v>0.3</v>
      </c>
      <c r="I94" s="27">
        <v>0.2</v>
      </c>
      <c r="J94" s="27">
        <v>0.5</v>
      </c>
      <c r="K94" s="27"/>
      <c r="L94" s="61"/>
    </row>
    <row r="95" spans="1:12" ht="15" hidden="1">
      <c r="A95" s="47"/>
      <c r="B95" s="48"/>
      <c r="C95" s="49"/>
      <c r="D95" s="27" t="s">
        <v>41</v>
      </c>
      <c r="E95" s="101" t="s">
        <v>42</v>
      </c>
      <c r="F95" s="50">
        <v>1.4</v>
      </c>
      <c r="G95" s="98" t="e">
        <f t="shared" si="7"/>
        <v>#VALUE!</v>
      </c>
      <c r="H95" s="27">
        <v>1</v>
      </c>
      <c r="I95" s="27">
        <v>0.9</v>
      </c>
      <c r="J95" s="27">
        <v>0.6</v>
      </c>
      <c r="K95" s="27"/>
      <c r="L95" s="61"/>
    </row>
    <row r="96" spans="1:12" ht="15" hidden="1">
      <c r="A96" s="47"/>
      <c r="B96" s="48"/>
      <c r="C96" s="49"/>
      <c r="D96" s="27" t="s">
        <v>43</v>
      </c>
      <c r="E96" s="101" t="s">
        <v>44</v>
      </c>
      <c r="F96" s="50">
        <v>0.7</v>
      </c>
      <c r="G96" s="98" t="e">
        <f t="shared" si="7"/>
        <v>#VALUE!</v>
      </c>
      <c r="H96" s="27">
        <v>0.7</v>
      </c>
      <c r="I96" s="27">
        <v>0</v>
      </c>
      <c r="J96" s="27"/>
      <c r="K96" s="27"/>
      <c r="L96" s="61"/>
    </row>
    <row r="97" spans="1:12" ht="15" hidden="1">
      <c r="A97" s="47"/>
      <c r="B97" s="48"/>
      <c r="C97" s="49"/>
      <c r="D97" s="27"/>
      <c r="E97" s="101"/>
      <c r="F97" s="50"/>
      <c r="G97" s="98">
        <f t="shared" si="7"/>
        <v>0</v>
      </c>
      <c r="H97" s="27"/>
      <c r="I97" s="27"/>
      <c r="J97" s="27"/>
      <c r="K97" s="27"/>
      <c r="L97" s="61"/>
    </row>
    <row r="98" spans="1:12" ht="15" hidden="1">
      <c r="A98" s="47"/>
      <c r="B98" s="48"/>
      <c r="C98" s="49"/>
      <c r="D98" s="27"/>
      <c r="E98" s="101"/>
      <c r="F98" s="50">
        <f aca="true" t="shared" si="8" ref="F98:K98">SUM(F80:F96)</f>
        <v>32.3</v>
      </c>
      <c r="G98" s="98">
        <f t="shared" si="7"/>
        <v>1.0766666666666667</v>
      </c>
      <c r="H98" s="27">
        <f t="shared" si="8"/>
        <v>42.60000000000001</v>
      </c>
      <c r="I98" s="27">
        <f t="shared" si="8"/>
        <v>47.6</v>
      </c>
      <c r="J98" s="27">
        <f t="shared" si="8"/>
        <v>11.1</v>
      </c>
      <c r="K98" s="27">
        <f t="shared" si="8"/>
        <v>0</v>
      </c>
      <c r="L98" s="61"/>
    </row>
    <row r="99" spans="1:12" ht="15" hidden="1">
      <c r="A99" s="47"/>
      <c r="B99" s="48"/>
      <c r="C99" s="49"/>
      <c r="D99" s="27"/>
      <c r="E99" s="101"/>
      <c r="F99" s="50"/>
      <c r="G99" s="98">
        <f t="shared" si="7"/>
        <v>0</v>
      </c>
      <c r="H99" s="27"/>
      <c r="I99" s="27"/>
      <c r="J99" s="27"/>
      <c r="K99" s="27"/>
      <c r="L99" s="61"/>
    </row>
    <row r="100" spans="1:12" ht="15" hidden="1">
      <c r="A100" s="47"/>
      <c r="B100" s="48"/>
      <c r="C100" s="49"/>
      <c r="D100" s="27"/>
      <c r="E100" s="101"/>
      <c r="F100" s="50"/>
      <c r="G100" s="98">
        <f t="shared" si="7"/>
        <v>0</v>
      </c>
      <c r="H100" s="27"/>
      <c r="I100" s="27"/>
      <c r="J100" s="27"/>
      <c r="K100" s="27"/>
      <c r="L100" s="61"/>
    </row>
    <row r="101" spans="1:12" ht="15" hidden="1">
      <c r="A101" s="47"/>
      <c r="B101" s="48"/>
      <c r="C101" s="49"/>
      <c r="D101" s="27"/>
      <c r="E101" s="101"/>
      <c r="F101" s="50"/>
      <c r="G101" s="98">
        <f t="shared" si="7"/>
        <v>0</v>
      </c>
      <c r="H101" s="27"/>
      <c r="I101" s="27"/>
      <c r="J101" s="27"/>
      <c r="K101" s="27"/>
      <c r="L101" s="61"/>
    </row>
    <row r="102" spans="1:12" ht="15" hidden="1">
      <c r="A102" s="47"/>
      <c r="B102" s="48"/>
      <c r="C102" s="49"/>
      <c r="D102" s="27"/>
      <c r="E102" s="101"/>
      <c r="F102" s="50"/>
      <c r="G102" s="98">
        <f t="shared" si="7"/>
        <v>0</v>
      </c>
      <c r="H102" s="27"/>
      <c r="I102" s="27"/>
      <c r="J102" s="27"/>
      <c r="K102" s="27"/>
      <c r="L102" s="61"/>
    </row>
    <row r="103" spans="1:12" ht="15" hidden="1">
      <c r="A103" s="47"/>
      <c r="B103" s="48"/>
      <c r="C103" s="49"/>
      <c r="D103" s="27"/>
      <c r="E103" s="101"/>
      <c r="F103" s="50"/>
      <c r="G103" s="98">
        <f t="shared" si="7"/>
        <v>0</v>
      </c>
      <c r="H103" s="27"/>
      <c r="I103" s="27"/>
      <c r="J103" s="27"/>
      <c r="K103" s="27"/>
      <c r="L103" s="61"/>
    </row>
    <row r="104" spans="1:12" ht="15" hidden="1">
      <c r="A104" s="47"/>
      <c r="B104" s="48"/>
      <c r="C104" s="49"/>
      <c r="D104" s="27"/>
      <c r="E104" s="101"/>
      <c r="F104" s="50"/>
      <c r="G104" s="98">
        <f t="shared" si="7"/>
        <v>0</v>
      </c>
      <c r="H104" s="27"/>
      <c r="I104" s="27"/>
      <c r="J104" s="27"/>
      <c r="K104" s="27"/>
      <c r="L104" s="61"/>
    </row>
    <row r="105" spans="1:12" ht="15" hidden="1">
      <c r="A105" s="47"/>
      <c r="B105" s="48"/>
      <c r="C105" s="49"/>
      <c r="D105" s="27"/>
      <c r="E105" s="101"/>
      <c r="F105" s="50"/>
      <c r="G105" s="98">
        <f t="shared" si="7"/>
        <v>0</v>
      </c>
      <c r="H105" s="27"/>
      <c r="I105" s="27"/>
      <c r="J105" s="27"/>
      <c r="K105" s="27"/>
      <c r="L105" s="61"/>
    </row>
    <row r="106" spans="1:12" ht="15" hidden="1">
      <c r="A106" s="47"/>
      <c r="B106" s="48"/>
      <c r="C106" s="49"/>
      <c r="D106" s="27"/>
      <c r="E106" s="101"/>
      <c r="F106" s="50"/>
      <c r="G106" s="98">
        <f t="shared" si="7"/>
        <v>0</v>
      </c>
      <c r="H106" s="27"/>
      <c r="I106" s="27"/>
      <c r="J106" s="27"/>
      <c r="K106" s="27"/>
      <c r="L106" s="61"/>
    </row>
    <row r="107" spans="1:12" ht="15" hidden="1">
      <c r="A107" s="47"/>
      <c r="B107" s="48"/>
      <c r="C107" s="49"/>
      <c r="D107" s="27"/>
      <c r="E107" s="101"/>
      <c r="F107" s="50"/>
      <c r="G107" s="98">
        <f t="shared" si="7"/>
        <v>0</v>
      </c>
      <c r="H107" s="27"/>
      <c r="I107" s="27"/>
      <c r="J107" s="27"/>
      <c r="K107" s="27"/>
      <c r="L107" s="61"/>
    </row>
    <row r="108" spans="1:12" ht="15" hidden="1">
      <c r="A108" s="47"/>
      <c r="B108" s="48"/>
      <c r="C108" s="49"/>
      <c r="D108" s="27"/>
      <c r="E108" s="101"/>
      <c r="F108" s="50"/>
      <c r="G108" s="98">
        <f t="shared" si="7"/>
        <v>0</v>
      </c>
      <c r="H108" s="27"/>
      <c r="I108" s="27"/>
      <c r="J108" s="27"/>
      <c r="K108" s="27"/>
      <c r="L108" s="61"/>
    </row>
    <row r="109" spans="1:12" ht="15" hidden="1">
      <c r="A109" s="47"/>
      <c r="B109" s="48"/>
      <c r="C109" s="49"/>
      <c r="D109" s="27"/>
      <c r="E109" s="101"/>
      <c r="F109" s="50"/>
      <c r="G109" s="98">
        <f t="shared" si="7"/>
        <v>0</v>
      </c>
      <c r="H109" s="27"/>
      <c r="I109" s="27"/>
      <c r="J109" s="27"/>
      <c r="K109" s="27"/>
      <c r="L109" s="61"/>
    </row>
    <row r="110" spans="1:12" ht="15" hidden="1">
      <c r="A110" s="47"/>
      <c r="B110" s="48"/>
      <c r="C110" s="49"/>
      <c r="D110" s="27"/>
      <c r="E110" s="101"/>
      <c r="F110" s="50"/>
      <c r="G110" s="98">
        <f t="shared" si="7"/>
        <v>0</v>
      </c>
      <c r="H110" s="27"/>
      <c r="I110" s="27"/>
      <c r="J110" s="27"/>
      <c r="K110" s="27"/>
      <c r="L110" s="61"/>
    </row>
    <row r="111" spans="1:12" ht="15" hidden="1">
      <c r="A111" s="47"/>
      <c r="B111" s="48"/>
      <c r="C111" s="49"/>
      <c r="D111" s="27"/>
      <c r="E111" s="101"/>
      <c r="F111" s="50"/>
      <c r="G111" s="98">
        <f t="shared" si="7"/>
        <v>0</v>
      </c>
      <c r="H111" s="27"/>
      <c r="I111" s="27"/>
      <c r="J111" s="27"/>
      <c r="K111" s="27"/>
      <c r="L111" s="61"/>
    </row>
    <row r="112" spans="1:12" ht="15" hidden="1">
      <c r="A112" s="47"/>
      <c r="B112" s="48"/>
      <c r="C112" s="49"/>
      <c r="D112" s="27"/>
      <c r="E112" s="101"/>
      <c r="F112" s="50"/>
      <c r="G112" s="98">
        <f t="shared" si="7"/>
        <v>0</v>
      </c>
      <c r="H112" s="27"/>
      <c r="I112" s="27"/>
      <c r="J112" s="27"/>
      <c r="K112" s="27"/>
      <c r="L112" s="61"/>
    </row>
    <row r="113" spans="1:12" ht="15" hidden="1">
      <c r="A113" s="47"/>
      <c r="B113" s="48"/>
      <c r="C113" s="49"/>
      <c r="D113" s="27"/>
      <c r="E113" s="101"/>
      <c r="F113" s="50"/>
      <c r="G113" s="98">
        <f t="shared" si="7"/>
        <v>0</v>
      </c>
      <c r="H113" s="27"/>
      <c r="I113" s="27"/>
      <c r="J113" s="27"/>
      <c r="K113" s="27"/>
      <c r="L113" s="61"/>
    </row>
    <row r="114" spans="1:12" ht="15" hidden="1">
      <c r="A114" s="47"/>
      <c r="B114" s="48"/>
      <c r="C114" s="49"/>
      <c r="D114" s="27"/>
      <c r="E114" s="101"/>
      <c r="F114" s="50"/>
      <c r="G114" s="98">
        <f t="shared" si="7"/>
        <v>0</v>
      </c>
      <c r="H114" s="27"/>
      <c r="I114" s="27"/>
      <c r="J114" s="27"/>
      <c r="K114" s="27"/>
      <c r="L114" s="61"/>
    </row>
    <row r="115" spans="1:12" ht="15" hidden="1">
      <c r="A115" s="47"/>
      <c r="B115" s="48"/>
      <c r="C115" s="49"/>
      <c r="D115" s="27"/>
      <c r="E115" s="101"/>
      <c r="F115" s="50"/>
      <c r="G115" s="98">
        <f t="shared" si="7"/>
        <v>0</v>
      </c>
      <c r="H115" s="27"/>
      <c r="I115" s="27"/>
      <c r="J115" s="27"/>
      <c r="K115" s="27"/>
      <c r="L115" s="61"/>
    </row>
    <row r="116" spans="1:12" ht="15" hidden="1">
      <c r="A116" s="47"/>
      <c r="B116" s="48"/>
      <c r="C116" s="49"/>
      <c r="D116" s="27"/>
      <c r="E116" s="101"/>
      <c r="F116" s="50"/>
      <c r="G116" s="98">
        <f t="shared" si="7"/>
        <v>0</v>
      </c>
      <c r="H116" s="27"/>
      <c r="I116" s="27"/>
      <c r="J116" s="27"/>
      <c r="K116" s="27"/>
      <c r="L116" s="61"/>
    </row>
    <row r="117" spans="1:12" ht="15" hidden="1">
      <c r="A117" s="47"/>
      <c r="B117" s="48"/>
      <c r="C117" s="49"/>
      <c r="D117" s="27"/>
      <c r="E117" s="101"/>
      <c r="F117" s="50"/>
      <c r="G117" s="98">
        <f t="shared" si="7"/>
        <v>0</v>
      </c>
      <c r="H117" s="27"/>
      <c r="I117" s="27"/>
      <c r="J117" s="27"/>
      <c r="K117" s="27"/>
      <c r="L117" s="61"/>
    </row>
    <row r="118" spans="1:12" ht="15" hidden="1">
      <c r="A118" s="47"/>
      <c r="B118" s="48"/>
      <c r="C118" s="49"/>
      <c r="D118" s="27"/>
      <c r="E118" s="101"/>
      <c r="F118" s="50"/>
      <c r="G118" s="98">
        <f t="shared" si="7"/>
        <v>0</v>
      </c>
      <c r="H118" s="27"/>
      <c r="I118" s="27"/>
      <c r="J118" s="27"/>
      <c r="K118" s="27"/>
      <c r="L118" s="61"/>
    </row>
    <row r="119" spans="1:12" ht="15" hidden="1">
      <c r="A119" s="47"/>
      <c r="B119" s="48"/>
      <c r="C119" s="49"/>
      <c r="D119" s="27"/>
      <c r="E119" s="101"/>
      <c r="F119" s="50"/>
      <c r="G119" s="98">
        <f t="shared" si="7"/>
        <v>0</v>
      </c>
      <c r="H119" s="27"/>
      <c r="I119" s="27"/>
      <c r="J119" s="27"/>
      <c r="K119" s="27"/>
      <c r="L119" s="61"/>
    </row>
    <row r="120" spans="1:12" ht="15" hidden="1">
      <c r="A120" s="47"/>
      <c r="B120" s="48"/>
      <c r="C120" s="49"/>
      <c r="D120" s="27"/>
      <c r="E120" s="101"/>
      <c r="F120" s="50"/>
      <c r="G120" s="98">
        <f t="shared" si="7"/>
        <v>0</v>
      </c>
      <c r="H120" s="27"/>
      <c r="I120" s="27"/>
      <c r="J120" s="27"/>
      <c r="K120" s="27"/>
      <c r="L120" s="61"/>
    </row>
    <row r="121" spans="1:12" ht="15" hidden="1">
      <c r="A121" s="47"/>
      <c r="B121" s="48"/>
      <c r="C121" s="49"/>
      <c r="D121" s="27"/>
      <c r="E121" s="101"/>
      <c r="F121" s="50"/>
      <c r="G121" s="98">
        <f t="shared" si="7"/>
        <v>0</v>
      </c>
      <c r="H121" s="27"/>
      <c r="I121" s="27"/>
      <c r="J121" s="27"/>
      <c r="K121" s="27"/>
      <c r="L121" s="61"/>
    </row>
    <row r="122" spans="1:12" ht="15" hidden="1">
      <c r="A122" s="47"/>
      <c r="B122" s="48"/>
      <c r="C122" s="49"/>
      <c r="D122" s="27"/>
      <c r="E122" s="101"/>
      <c r="F122" s="50"/>
      <c r="G122" s="98">
        <f t="shared" si="7"/>
        <v>0</v>
      </c>
      <c r="H122" s="27"/>
      <c r="I122" s="27"/>
      <c r="J122" s="27"/>
      <c r="K122" s="27"/>
      <c r="L122" s="61"/>
    </row>
    <row r="123" spans="1:12" ht="15" hidden="1">
      <c r="A123" s="47"/>
      <c r="B123" s="48"/>
      <c r="C123" s="49"/>
      <c r="D123" s="27"/>
      <c r="E123" s="101"/>
      <c r="F123" s="50"/>
      <c r="G123" s="98">
        <f t="shared" si="7"/>
        <v>0</v>
      </c>
      <c r="H123" s="27"/>
      <c r="I123" s="27"/>
      <c r="J123" s="27"/>
      <c r="K123" s="27"/>
      <c r="L123" s="61"/>
    </row>
    <row r="124" spans="1:12" ht="15" hidden="1">
      <c r="A124" s="47"/>
      <c r="B124" s="48"/>
      <c r="C124" s="49"/>
      <c r="D124" s="27"/>
      <c r="E124" s="101"/>
      <c r="F124" s="50"/>
      <c r="G124" s="98">
        <f t="shared" si="7"/>
        <v>0</v>
      </c>
      <c r="H124" s="27"/>
      <c r="I124" s="27"/>
      <c r="J124" s="27"/>
      <c r="K124" s="27"/>
      <c r="L124" s="61"/>
    </row>
    <row r="125" spans="1:12" ht="15" hidden="1">
      <c r="A125" s="47"/>
      <c r="B125" s="48"/>
      <c r="C125" s="49"/>
      <c r="D125" s="27"/>
      <c r="E125" s="101"/>
      <c r="F125" s="50"/>
      <c r="G125" s="98">
        <f t="shared" si="7"/>
        <v>0</v>
      </c>
      <c r="H125" s="27"/>
      <c r="I125" s="27"/>
      <c r="J125" s="27"/>
      <c r="K125" s="27"/>
      <c r="L125" s="61"/>
    </row>
    <row r="126" spans="1:12" ht="15" hidden="1">
      <c r="A126" s="47"/>
      <c r="B126" s="48"/>
      <c r="C126" s="49"/>
      <c r="D126" s="27"/>
      <c r="E126" s="101"/>
      <c r="F126" s="50"/>
      <c r="G126" s="98">
        <f aca="true" t="shared" si="9" ref="G126:G152">(+F126-E126)/30</f>
        <v>0</v>
      </c>
      <c r="H126" s="27"/>
      <c r="I126" s="27"/>
      <c r="J126" s="27"/>
      <c r="K126" s="27"/>
      <c r="L126" s="61"/>
    </row>
    <row r="127" spans="1:12" ht="15" hidden="1">
      <c r="A127" s="47"/>
      <c r="B127" s="48"/>
      <c r="C127" s="49"/>
      <c r="D127" s="27"/>
      <c r="E127" s="101"/>
      <c r="F127" s="50"/>
      <c r="G127" s="98">
        <f t="shared" si="9"/>
        <v>0</v>
      </c>
      <c r="H127" s="27"/>
      <c r="I127" s="27"/>
      <c r="J127" s="27"/>
      <c r="K127" s="27"/>
      <c r="L127" s="61"/>
    </row>
    <row r="128" spans="1:12" ht="15" hidden="1">
      <c r="A128" s="47"/>
      <c r="B128" s="48"/>
      <c r="C128" s="49"/>
      <c r="D128" s="27"/>
      <c r="E128" s="101"/>
      <c r="F128" s="50"/>
      <c r="G128" s="98">
        <f t="shared" si="9"/>
        <v>0</v>
      </c>
      <c r="H128" s="27"/>
      <c r="I128" s="27"/>
      <c r="J128" s="27"/>
      <c r="K128" s="27"/>
      <c r="L128" s="61"/>
    </row>
    <row r="129" spans="1:12" ht="15" hidden="1">
      <c r="A129" s="47"/>
      <c r="B129" s="48"/>
      <c r="C129" s="49"/>
      <c r="D129" s="27"/>
      <c r="E129" s="101"/>
      <c r="F129" s="50"/>
      <c r="G129" s="98">
        <f t="shared" si="9"/>
        <v>0</v>
      </c>
      <c r="H129" s="27"/>
      <c r="I129" s="27"/>
      <c r="J129" s="27"/>
      <c r="K129" s="27"/>
      <c r="L129" s="61"/>
    </row>
    <row r="130" spans="1:12" ht="15" hidden="1">
      <c r="A130" s="47"/>
      <c r="B130" s="48"/>
      <c r="C130" s="49"/>
      <c r="D130" s="27"/>
      <c r="E130" s="101"/>
      <c r="F130" s="50"/>
      <c r="G130" s="98">
        <f t="shared" si="9"/>
        <v>0</v>
      </c>
      <c r="H130" s="27"/>
      <c r="I130" s="27"/>
      <c r="J130" s="27"/>
      <c r="K130" s="27"/>
      <c r="L130" s="61"/>
    </row>
    <row r="131" spans="1:12" ht="15" hidden="1">
      <c r="A131" s="47"/>
      <c r="B131" s="48"/>
      <c r="C131" s="49"/>
      <c r="D131" s="27"/>
      <c r="E131" s="101"/>
      <c r="F131" s="50"/>
      <c r="G131" s="98">
        <f t="shared" si="9"/>
        <v>0</v>
      </c>
      <c r="H131" s="27"/>
      <c r="I131" s="27"/>
      <c r="J131" s="27"/>
      <c r="K131" s="27"/>
      <c r="L131" s="61"/>
    </row>
    <row r="132" spans="1:12" ht="15" hidden="1">
      <c r="A132" s="47"/>
      <c r="B132" s="48"/>
      <c r="C132" s="49"/>
      <c r="D132" s="27"/>
      <c r="E132" s="101"/>
      <c r="F132" s="50"/>
      <c r="G132" s="98">
        <f t="shared" si="9"/>
        <v>0</v>
      </c>
      <c r="H132" s="27"/>
      <c r="I132" s="27"/>
      <c r="J132" s="27"/>
      <c r="K132" s="27"/>
      <c r="L132" s="61"/>
    </row>
    <row r="133" spans="1:12" ht="15" hidden="1">
      <c r="A133" s="47"/>
      <c r="B133" s="48"/>
      <c r="C133" s="49"/>
      <c r="D133" s="27"/>
      <c r="E133" s="101"/>
      <c r="F133" s="50"/>
      <c r="G133" s="98">
        <f t="shared" si="9"/>
        <v>0</v>
      </c>
      <c r="H133" s="27"/>
      <c r="I133" s="27"/>
      <c r="J133" s="27"/>
      <c r="K133" s="27"/>
      <c r="L133" s="61"/>
    </row>
    <row r="134" spans="1:12" ht="15" hidden="1">
      <c r="A134" s="47"/>
      <c r="B134" s="48"/>
      <c r="C134" s="49"/>
      <c r="D134" s="27"/>
      <c r="E134" s="101"/>
      <c r="F134" s="50"/>
      <c r="G134" s="98">
        <f t="shared" si="9"/>
        <v>0</v>
      </c>
      <c r="H134" s="27"/>
      <c r="I134" s="27"/>
      <c r="J134" s="27"/>
      <c r="K134" s="27"/>
      <c r="L134" s="61"/>
    </row>
    <row r="135" spans="1:12" ht="15" hidden="1">
      <c r="A135" s="47"/>
      <c r="B135" s="48"/>
      <c r="C135" s="49"/>
      <c r="D135" s="27"/>
      <c r="E135" s="101"/>
      <c r="F135" s="50"/>
      <c r="G135" s="98">
        <f t="shared" si="9"/>
        <v>0</v>
      </c>
      <c r="H135" s="27"/>
      <c r="I135" s="27"/>
      <c r="J135" s="27"/>
      <c r="K135" s="27"/>
      <c r="L135" s="61"/>
    </row>
    <row r="136" spans="1:12" ht="15" hidden="1">
      <c r="A136" s="47"/>
      <c r="B136" s="48"/>
      <c r="C136" s="49"/>
      <c r="D136" s="27"/>
      <c r="E136" s="101"/>
      <c r="F136" s="50"/>
      <c r="G136" s="98">
        <f t="shared" si="9"/>
        <v>0</v>
      </c>
      <c r="H136" s="27"/>
      <c r="I136" s="27"/>
      <c r="J136" s="27"/>
      <c r="K136" s="27"/>
      <c r="L136" s="61"/>
    </row>
    <row r="137" spans="1:12" ht="15" hidden="1">
      <c r="A137" s="47"/>
      <c r="B137" s="48"/>
      <c r="C137" s="49"/>
      <c r="D137" s="27"/>
      <c r="E137" s="101"/>
      <c r="F137" s="50"/>
      <c r="G137" s="98">
        <f t="shared" si="9"/>
        <v>0</v>
      </c>
      <c r="H137" s="27"/>
      <c r="I137" s="27"/>
      <c r="J137" s="27"/>
      <c r="K137" s="27"/>
      <c r="L137" s="61"/>
    </row>
    <row r="138" spans="1:12" ht="15" hidden="1">
      <c r="A138" s="47"/>
      <c r="B138" s="48"/>
      <c r="C138" s="49"/>
      <c r="D138" s="27"/>
      <c r="E138" s="101"/>
      <c r="F138" s="50"/>
      <c r="G138" s="98">
        <f t="shared" si="9"/>
        <v>0</v>
      </c>
      <c r="H138" s="27"/>
      <c r="I138" s="27"/>
      <c r="J138" s="27"/>
      <c r="K138" s="27"/>
      <c r="L138" s="61"/>
    </row>
    <row r="139" spans="1:12" ht="15" hidden="1">
      <c r="A139" s="47"/>
      <c r="B139" s="48"/>
      <c r="C139" s="49"/>
      <c r="D139" s="27"/>
      <c r="E139" s="101"/>
      <c r="F139" s="50"/>
      <c r="G139" s="98">
        <f t="shared" si="9"/>
        <v>0</v>
      </c>
      <c r="H139" s="27"/>
      <c r="I139" s="27"/>
      <c r="J139" s="27"/>
      <c r="K139" s="27"/>
      <c r="L139" s="61"/>
    </row>
    <row r="140" spans="1:12" ht="15" hidden="1">
      <c r="A140" s="47"/>
      <c r="B140" s="48"/>
      <c r="C140" s="49"/>
      <c r="D140" s="27"/>
      <c r="E140" s="101"/>
      <c r="F140" s="50"/>
      <c r="G140" s="98">
        <f t="shared" si="9"/>
        <v>0</v>
      </c>
      <c r="H140" s="27"/>
      <c r="I140" s="27"/>
      <c r="J140" s="27"/>
      <c r="K140" s="27"/>
      <c r="L140" s="61"/>
    </row>
    <row r="141" spans="1:12" ht="15" hidden="1">
      <c r="A141" s="47"/>
      <c r="B141" s="48"/>
      <c r="C141" s="49"/>
      <c r="D141" s="27"/>
      <c r="E141" s="101"/>
      <c r="F141" s="50"/>
      <c r="G141" s="98">
        <f t="shared" si="9"/>
        <v>0</v>
      </c>
      <c r="H141" s="27"/>
      <c r="I141" s="27"/>
      <c r="J141" s="27"/>
      <c r="K141" s="27"/>
      <c r="L141" s="61"/>
    </row>
    <row r="142" spans="1:12" ht="15" hidden="1">
      <c r="A142" s="47"/>
      <c r="B142" s="48"/>
      <c r="C142" s="49"/>
      <c r="D142" s="27"/>
      <c r="E142" s="101"/>
      <c r="F142" s="50"/>
      <c r="G142" s="98">
        <f t="shared" si="9"/>
        <v>0</v>
      </c>
      <c r="H142" s="27"/>
      <c r="I142" s="27"/>
      <c r="J142" s="27"/>
      <c r="K142" s="27"/>
      <c r="L142" s="61"/>
    </row>
    <row r="143" spans="1:12" ht="15" hidden="1">
      <c r="A143" s="47"/>
      <c r="B143" s="48"/>
      <c r="C143" s="49"/>
      <c r="D143" s="27"/>
      <c r="E143" s="101"/>
      <c r="F143" s="50"/>
      <c r="G143" s="98">
        <f t="shared" si="9"/>
        <v>0</v>
      </c>
      <c r="H143" s="27"/>
      <c r="I143" s="27"/>
      <c r="J143" s="27"/>
      <c r="K143" s="27"/>
      <c r="L143" s="61"/>
    </row>
    <row r="144" spans="1:12" ht="15" hidden="1">
      <c r="A144" s="47"/>
      <c r="B144" s="48"/>
      <c r="C144" s="49"/>
      <c r="D144" s="27"/>
      <c r="E144" s="101"/>
      <c r="F144" s="50"/>
      <c r="G144" s="98">
        <f t="shared" si="9"/>
        <v>0</v>
      </c>
      <c r="H144" s="27"/>
      <c r="I144" s="27"/>
      <c r="J144" s="27"/>
      <c r="K144" s="27"/>
      <c r="L144" s="61"/>
    </row>
    <row r="145" spans="1:12" ht="15" hidden="1">
      <c r="A145" s="47"/>
      <c r="B145" s="48"/>
      <c r="C145" s="49"/>
      <c r="D145" s="27"/>
      <c r="E145" s="101"/>
      <c r="F145" s="50"/>
      <c r="G145" s="98">
        <f t="shared" si="9"/>
        <v>0</v>
      </c>
      <c r="H145" s="27"/>
      <c r="I145" s="27"/>
      <c r="J145" s="27"/>
      <c r="K145" s="27"/>
      <c r="L145" s="61"/>
    </row>
    <row r="146" spans="1:12" ht="15" hidden="1">
      <c r="A146" s="47"/>
      <c r="B146" s="48"/>
      <c r="C146" s="49"/>
      <c r="D146" s="27"/>
      <c r="E146" s="101"/>
      <c r="F146" s="50"/>
      <c r="G146" s="98">
        <f t="shared" si="9"/>
        <v>0</v>
      </c>
      <c r="H146" s="27"/>
      <c r="I146" s="27"/>
      <c r="J146" s="27"/>
      <c r="K146" s="27"/>
      <c r="L146" s="61"/>
    </row>
    <row r="147" spans="1:12" ht="15" hidden="1">
      <c r="A147" s="47"/>
      <c r="B147" s="48"/>
      <c r="C147" s="49"/>
      <c r="D147" s="27"/>
      <c r="E147" s="101"/>
      <c r="F147" s="50"/>
      <c r="G147" s="98">
        <f t="shared" si="9"/>
        <v>0</v>
      </c>
      <c r="H147" s="27"/>
      <c r="I147" s="27"/>
      <c r="J147" s="27"/>
      <c r="K147" s="27"/>
      <c r="L147" s="61"/>
    </row>
    <row r="148" spans="1:12" ht="15" hidden="1">
      <c r="A148" s="47"/>
      <c r="B148" s="48"/>
      <c r="C148" s="49"/>
      <c r="D148" s="27"/>
      <c r="E148" s="101"/>
      <c r="F148" s="50"/>
      <c r="G148" s="98">
        <f t="shared" si="9"/>
        <v>0</v>
      </c>
      <c r="H148" s="27"/>
      <c r="I148" s="27"/>
      <c r="J148" s="27"/>
      <c r="K148" s="27"/>
      <c r="L148" s="61"/>
    </row>
    <row r="149" spans="1:12" ht="15" hidden="1">
      <c r="A149" s="47"/>
      <c r="B149" s="48"/>
      <c r="C149" s="49"/>
      <c r="D149" s="27"/>
      <c r="E149" s="101"/>
      <c r="F149" s="50"/>
      <c r="G149" s="98">
        <f t="shared" si="9"/>
        <v>0</v>
      </c>
      <c r="H149" s="27"/>
      <c r="I149" s="27"/>
      <c r="J149" s="27"/>
      <c r="K149" s="27"/>
      <c r="L149" s="61"/>
    </row>
    <row r="150" spans="1:12" ht="15" hidden="1">
      <c r="A150" s="47"/>
      <c r="B150" s="48"/>
      <c r="C150" s="49"/>
      <c r="D150" s="27"/>
      <c r="E150" s="101"/>
      <c r="F150" s="50"/>
      <c r="G150" s="98">
        <f t="shared" si="9"/>
        <v>0</v>
      </c>
      <c r="H150" s="27"/>
      <c r="I150" s="27"/>
      <c r="J150" s="27"/>
      <c r="K150" s="27"/>
      <c r="L150" s="61"/>
    </row>
    <row r="151" spans="1:12" ht="15">
      <c r="A151" s="47"/>
      <c r="B151" s="48"/>
      <c r="C151" s="49"/>
      <c r="D151" s="27" t="s">
        <v>99</v>
      </c>
      <c r="E151" s="99">
        <v>39142</v>
      </c>
      <c r="F151" s="97">
        <v>39264</v>
      </c>
      <c r="G151" s="98">
        <f t="shared" si="9"/>
        <v>4.066666666666666</v>
      </c>
      <c r="H151" s="27"/>
      <c r="I151" s="27"/>
      <c r="J151" s="27"/>
      <c r="K151" s="27"/>
      <c r="L151" s="61"/>
    </row>
    <row r="152" spans="1:12" ht="15.75" thickBot="1">
      <c r="A152" s="89"/>
      <c r="B152" s="90"/>
      <c r="C152" s="91"/>
      <c r="D152" s="16" t="s">
        <v>100</v>
      </c>
      <c r="E152" s="104">
        <v>39596</v>
      </c>
      <c r="F152" s="105">
        <f>+E152</f>
        <v>39596</v>
      </c>
      <c r="G152" s="106">
        <f t="shared" si="9"/>
        <v>0</v>
      </c>
      <c r="H152" s="16"/>
      <c r="I152" s="16"/>
      <c r="J152" s="16"/>
      <c r="K152" s="16"/>
      <c r="L152" s="17"/>
    </row>
    <row r="153" ht="15.75" thickBot="1">
      <c r="G153" s="9"/>
    </row>
    <row r="154" spans="1:12" ht="18">
      <c r="A154" s="42"/>
      <c r="B154" s="43"/>
      <c r="C154" s="107"/>
      <c r="D154" s="13"/>
      <c r="E154" s="113" t="s">
        <v>172</v>
      </c>
      <c r="F154" s="13"/>
      <c r="G154" s="108"/>
      <c r="H154" s="13"/>
      <c r="I154" s="13"/>
      <c r="J154" s="13"/>
      <c r="K154" s="13"/>
      <c r="L154" s="14"/>
    </row>
    <row r="155" spans="1:12" ht="15">
      <c r="A155" s="47"/>
      <c r="B155" s="48"/>
      <c r="C155" s="49"/>
      <c r="D155" s="27"/>
      <c r="E155" s="27"/>
      <c r="F155" s="50" t="s">
        <v>53</v>
      </c>
      <c r="G155" s="50" t="s">
        <v>54</v>
      </c>
      <c r="H155" s="50" t="s">
        <v>55</v>
      </c>
      <c r="I155" s="50" t="s">
        <v>56</v>
      </c>
      <c r="J155" s="50" t="s">
        <v>57</v>
      </c>
      <c r="K155" s="50" t="s">
        <v>59</v>
      </c>
      <c r="L155" s="61"/>
    </row>
    <row r="156" spans="1:12" ht="15">
      <c r="A156" s="47"/>
      <c r="B156" s="48"/>
      <c r="C156" s="49"/>
      <c r="D156" s="109" t="s">
        <v>173</v>
      </c>
      <c r="E156" s="27" t="s">
        <v>48</v>
      </c>
      <c r="F156" s="110">
        <v>0.4</v>
      </c>
      <c r="G156" s="110">
        <v>2.3</v>
      </c>
      <c r="H156" s="110">
        <v>0.3</v>
      </c>
      <c r="I156" s="110"/>
      <c r="J156" s="110"/>
      <c r="K156" s="111">
        <f>SUM(F156:J156)</f>
        <v>2.9999999999999996</v>
      </c>
      <c r="L156" s="61"/>
    </row>
    <row r="157" spans="1:12" ht="15">
      <c r="A157" s="47"/>
      <c r="B157" s="48"/>
      <c r="C157" s="49"/>
      <c r="D157" s="27"/>
      <c r="E157" s="27" t="s">
        <v>174</v>
      </c>
      <c r="F157" s="110">
        <v>0.4</v>
      </c>
      <c r="G157" s="110">
        <v>3.04</v>
      </c>
      <c r="H157" s="110">
        <v>1.4</v>
      </c>
      <c r="I157" s="110"/>
      <c r="J157" s="110"/>
      <c r="K157" s="111">
        <f>SUM(F157:J157)</f>
        <v>4.84</v>
      </c>
      <c r="L157" s="61"/>
    </row>
    <row r="158" spans="1:12" ht="15">
      <c r="A158" s="47"/>
      <c r="B158" s="48"/>
      <c r="C158" s="49"/>
      <c r="D158" s="27"/>
      <c r="E158" s="27"/>
      <c r="F158" s="110"/>
      <c r="G158" s="110"/>
      <c r="H158" s="110"/>
      <c r="I158" s="110"/>
      <c r="J158" s="110"/>
      <c r="K158" s="111"/>
      <c r="L158" s="61"/>
    </row>
    <row r="159" spans="1:12" ht="15">
      <c r="A159" s="47"/>
      <c r="B159" s="48"/>
      <c r="C159" s="49"/>
      <c r="D159" s="109" t="s">
        <v>176</v>
      </c>
      <c r="E159" s="27" t="s">
        <v>48</v>
      </c>
      <c r="F159" s="110"/>
      <c r="G159" s="110">
        <v>2.8</v>
      </c>
      <c r="H159" s="110">
        <v>2.1</v>
      </c>
      <c r="I159" s="110"/>
      <c r="J159" s="110"/>
      <c r="K159" s="111">
        <f>SUM(F159:J159)</f>
        <v>4.9</v>
      </c>
      <c r="L159" s="61"/>
    </row>
    <row r="160" spans="1:12" ht="15">
      <c r="A160" s="47"/>
      <c r="B160" s="48"/>
      <c r="C160" s="49"/>
      <c r="D160" s="27"/>
      <c r="E160" s="27" t="s">
        <v>174</v>
      </c>
      <c r="F160" s="110"/>
      <c r="G160" s="110">
        <v>4.7</v>
      </c>
      <c r="H160" s="110">
        <v>4.2</v>
      </c>
      <c r="I160" s="110"/>
      <c r="J160" s="110"/>
      <c r="K160" s="111">
        <f>SUM(F160:J160)</f>
        <v>8.9</v>
      </c>
      <c r="L160" s="61"/>
    </row>
    <row r="161" spans="1:12" ht="15">
      <c r="A161" s="47"/>
      <c r="B161" s="48"/>
      <c r="C161" s="49"/>
      <c r="D161" s="27"/>
      <c r="E161" s="27"/>
      <c r="F161" s="110"/>
      <c r="G161" s="110"/>
      <c r="H161" s="110"/>
      <c r="I161" s="110"/>
      <c r="J161" s="110"/>
      <c r="K161" s="111"/>
      <c r="L161" s="61"/>
    </row>
    <row r="162" spans="1:12" ht="15">
      <c r="A162" s="47"/>
      <c r="B162" s="48"/>
      <c r="C162" s="49"/>
      <c r="D162" s="109" t="s">
        <v>177</v>
      </c>
      <c r="E162" s="27" t="s">
        <v>48</v>
      </c>
      <c r="F162" s="110"/>
      <c r="G162" s="110">
        <v>0.4</v>
      </c>
      <c r="H162" s="110">
        <v>0.7</v>
      </c>
      <c r="I162" s="110"/>
      <c r="J162" s="110"/>
      <c r="K162" s="111">
        <f>SUM(F162:J162)</f>
        <v>1.1</v>
      </c>
      <c r="L162" s="61"/>
    </row>
    <row r="163" spans="1:12" ht="15">
      <c r="A163" s="47"/>
      <c r="B163" s="48"/>
      <c r="C163" s="49"/>
      <c r="D163" s="27"/>
      <c r="E163" s="27" t="s">
        <v>174</v>
      </c>
      <c r="F163" s="110"/>
      <c r="G163" s="110">
        <v>0.2</v>
      </c>
      <c r="H163" s="110">
        <v>0.68</v>
      </c>
      <c r="I163" s="110">
        <v>0.25</v>
      </c>
      <c r="J163" s="110"/>
      <c r="K163" s="111">
        <f>SUM(F163:J163)</f>
        <v>1.1300000000000001</v>
      </c>
      <c r="L163" s="61"/>
    </row>
    <row r="164" spans="1:12" ht="15">
      <c r="A164" s="47"/>
      <c r="B164" s="48"/>
      <c r="C164" s="49"/>
      <c r="D164" s="27"/>
      <c r="E164" s="27"/>
      <c r="F164" s="110"/>
      <c r="G164" s="110"/>
      <c r="H164" s="110"/>
      <c r="I164" s="110"/>
      <c r="J164" s="110"/>
      <c r="K164" s="111"/>
      <c r="L164" s="61"/>
    </row>
    <row r="165" spans="1:12" ht="15">
      <c r="A165" s="47"/>
      <c r="B165" s="48"/>
      <c r="C165" s="49"/>
      <c r="D165" s="109" t="s">
        <v>178</v>
      </c>
      <c r="E165" s="27" t="s">
        <v>48</v>
      </c>
      <c r="F165" s="110"/>
      <c r="G165" s="110"/>
      <c r="H165" s="110">
        <v>1.2</v>
      </c>
      <c r="I165" s="110">
        <v>0.6</v>
      </c>
      <c r="J165" s="110"/>
      <c r="K165" s="111">
        <f>SUM(F165:J165)</f>
        <v>1.7999999999999998</v>
      </c>
      <c r="L165" s="61"/>
    </row>
    <row r="166" spans="1:12" ht="15">
      <c r="A166" s="47"/>
      <c r="B166" s="48"/>
      <c r="C166" s="49"/>
      <c r="D166" s="27"/>
      <c r="E166" s="27" t="s">
        <v>174</v>
      </c>
      <c r="F166" s="110"/>
      <c r="G166" s="110"/>
      <c r="H166" s="110">
        <v>0.15</v>
      </c>
      <c r="I166" s="110">
        <v>1.7</v>
      </c>
      <c r="J166" s="110"/>
      <c r="K166" s="111">
        <f>SUM(F166:J166)</f>
        <v>1.8499999999999999</v>
      </c>
      <c r="L166" s="61"/>
    </row>
    <row r="167" spans="1:12" ht="15">
      <c r="A167" s="47"/>
      <c r="B167" s="48"/>
      <c r="C167" s="49"/>
      <c r="D167" s="27"/>
      <c r="E167" s="27"/>
      <c r="F167" s="110"/>
      <c r="G167" s="110"/>
      <c r="H167" s="110"/>
      <c r="I167" s="110"/>
      <c r="J167" s="110"/>
      <c r="K167" s="111"/>
      <c r="L167" s="61"/>
    </row>
    <row r="168" spans="1:12" ht="15">
      <c r="A168" s="47"/>
      <c r="B168" s="48"/>
      <c r="C168" s="49"/>
      <c r="D168" s="109" t="s">
        <v>182</v>
      </c>
      <c r="E168" s="27" t="s">
        <v>48</v>
      </c>
      <c r="F168" s="110"/>
      <c r="G168" s="110">
        <v>0.17</v>
      </c>
      <c r="H168" s="110">
        <v>0.98</v>
      </c>
      <c r="I168" s="110"/>
      <c r="J168" s="110"/>
      <c r="K168" s="111">
        <f>SUM(F168:J168)</f>
        <v>1.15</v>
      </c>
      <c r="L168" s="61"/>
    </row>
    <row r="169" spans="1:12" ht="15">
      <c r="A169" s="47"/>
      <c r="B169" s="48"/>
      <c r="C169" s="49"/>
      <c r="D169" s="27"/>
      <c r="E169" s="27" t="s">
        <v>174</v>
      </c>
      <c r="F169" s="110"/>
      <c r="G169" s="110"/>
      <c r="H169" s="110">
        <v>0.93</v>
      </c>
      <c r="I169" s="110">
        <v>0.24</v>
      </c>
      <c r="J169" s="110"/>
      <c r="K169" s="111">
        <f>SUM(F169:J169)</f>
        <v>1.17</v>
      </c>
      <c r="L169" s="61"/>
    </row>
    <row r="170" spans="1:12" ht="15">
      <c r="A170" s="47"/>
      <c r="B170" s="48"/>
      <c r="C170" s="49"/>
      <c r="D170" s="27"/>
      <c r="E170" s="27"/>
      <c r="F170" s="110"/>
      <c r="G170" s="110"/>
      <c r="H170" s="110"/>
      <c r="I170" s="110"/>
      <c r="J170" s="110"/>
      <c r="K170" s="111"/>
      <c r="L170" s="61"/>
    </row>
    <row r="171" spans="1:12" ht="15">
      <c r="A171" s="47"/>
      <c r="B171" s="48"/>
      <c r="C171" s="49"/>
      <c r="D171" s="109" t="s">
        <v>179</v>
      </c>
      <c r="E171" s="27" t="s">
        <v>48</v>
      </c>
      <c r="F171" s="110"/>
      <c r="G171" s="110">
        <v>1.7</v>
      </c>
      <c r="H171" s="110">
        <v>2.5</v>
      </c>
      <c r="I171" s="110"/>
      <c r="J171" s="110"/>
      <c r="K171" s="111">
        <f>SUM(F171:J171)</f>
        <v>4.2</v>
      </c>
      <c r="L171" s="61"/>
    </row>
    <row r="172" spans="1:12" ht="15">
      <c r="A172" s="47"/>
      <c r="B172" s="48"/>
      <c r="C172" s="49"/>
      <c r="D172" s="27"/>
      <c r="E172" s="27" t="s">
        <v>174</v>
      </c>
      <c r="F172" s="110"/>
      <c r="G172" s="110">
        <v>0.88</v>
      </c>
      <c r="H172" s="110">
        <v>2.61</v>
      </c>
      <c r="I172" s="110">
        <v>0.66</v>
      </c>
      <c r="J172" s="110"/>
      <c r="K172" s="111">
        <f>SUM(F172:J172)</f>
        <v>4.1499999999999995</v>
      </c>
      <c r="L172" s="61"/>
    </row>
    <row r="173" spans="1:12" ht="15">
      <c r="A173" s="47"/>
      <c r="B173" s="48"/>
      <c r="C173" s="49"/>
      <c r="D173" s="27"/>
      <c r="E173" s="27"/>
      <c r="F173" s="110"/>
      <c r="G173" s="110"/>
      <c r="H173" s="110"/>
      <c r="I173" s="110"/>
      <c r="J173" s="110"/>
      <c r="K173" s="111"/>
      <c r="L173" s="61"/>
    </row>
    <row r="174" spans="1:12" ht="15">
      <c r="A174" s="47"/>
      <c r="B174" s="48"/>
      <c r="C174" s="49"/>
      <c r="D174" s="109" t="s">
        <v>181</v>
      </c>
      <c r="E174" s="27" t="s">
        <v>48</v>
      </c>
      <c r="F174" s="110"/>
      <c r="G174" s="110">
        <v>1</v>
      </c>
      <c r="H174" s="110">
        <v>0.3</v>
      </c>
      <c r="I174" s="110"/>
      <c r="J174" s="110"/>
      <c r="K174" s="111">
        <f>SUM(F174:J174)</f>
        <v>1.3</v>
      </c>
      <c r="L174" s="61"/>
    </row>
    <row r="175" spans="1:12" ht="15">
      <c r="A175" s="47"/>
      <c r="B175" s="48"/>
      <c r="C175" s="49"/>
      <c r="D175" s="27"/>
      <c r="E175" s="27" t="s">
        <v>174</v>
      </c>
      <c r="F175" s="110"/>
      <c r="G175" s="110">
        <v>0.43</v>
      </c>
      <c r="H175" s="110">
        <v>0.9</v>
      </c>
      <c r="I175" s="110"/>
      <c r="J175" s="110"/>
      <c r="K175" s="111">
        <f>SUM(F175:J175)</f>
        <v>1.33</v>
      </c>
      <c r="L175" s="61"/>
    </row>
    <row r="176" spans="1:12" ht="15">
      <c r="A176" s="47"/>
      <c r="B176" s="48"/>
      <c r="C176" s="49"/>
      <c r="D176" s="27"/>
      <c r="E176" s="27"/>
      <c r="F176" s="110"/>
      <c r="G176" s="110"/>
      <c r="H176" s="110"/>
      <c r="I176" s="110"/>
      <c r="J176" s="110"/>
      <c r="K176" s="111"/>
      <c r="L176" s="61"/>
    </row>
    <row r="177" spans="1:12" ht="15">
      <c r="A177" s="47"/>
      <c r="B177" s="48"/>
      <c r="C177" s="49"/>
      <c r="D177" s="109" t="s">
        <v>180</v>
      </c>
      <c r="E177" s="27" t="s">
        <v>48</v>
      </c>
      <c r="F177" s="110">
        <v>0.1</v>
      </c>
      <c r="G177" s="110">
        <v>1.03</v>
      </c>
      <c r="H177" s="110">
        <v>1.2</v>
      </c>
      <c r="I177" s="110">
        <v>1.8</v>
      </c>
      <c r="J177" s="110"/>
      <c r="K177" s="111">
        <f>SUM(F177:J177)</f>
        <v>4.13</v>
      </c>
      <c r="L177" s="61"/>
    </row>
    <row r="178" spans="1:12" ht="15">
      <c r="A178" s="47"/>
      <c r="B178" s="48"/>
      <c r="C178" s="49"/>
      <c r="D178" s="27"/>
      <c r="E178" s="27" t="s">
        <v>174</v>
      </c>
      <c r="F178" s="110">
        <v>0</v>
      </c>
      <c r="G178" s="110">
        <v>0</v>
      </c>
      <c r="H178" s="110">
        <v>0</v>
      </c>
      <c r="I178" s="110">
        <v>0</v>
      </c>
      <c r="J178" s="110"/>
      <c r="K178" s="111">
        <f>SUM(F178:J178)</f>
        <v>0</v>
      </c>
      <c r="L178" s="61"/>
    </row>
    <row r="179" spans="1:12" ht="15">
      <c r="A179" s="47"/>
      <c r="B179" s="48"/>
      <c r="C179" s="49"/>
      <c r="D179" s="109"/>
      <c r="E179" s="27"/>
      <c r="F179" s="27"/>
      <c r="G179" s="98"/>
      <c r="H179" s="27"/>
      <c r="I179" s="27"/>
      <c r="J179" s="27"/>
      <c r="K179" s="27"/>
      <c r="L179" s="61"/>
    </row>
    <row r="180" spans="1:12" ht="15">
      <c r="A180" s="47"/>
      <c r="B180" s="48"/>
      <c r="C180" s="49"/>
      <c r="D180" s="109" t="s">
        <v>175</v>
      </c>
      <c r="E180" s="27" t="s">
        <v>48</v>
      </c>
      <c r="F180" s="111">
        <f aca="true" t="shared" si="10" ref="F180:K181">SUM(F156,F159,F162,F165,F168,F171,F174,F177)</f>
        <v>0.5</v>
      </c>
      <c r="G180" s="111">
        <f t="shared" si="10"/>
        <v>9.4</v>
      </c>
      <c r="H180" s="111">
        <f t="shared" si="10"/>
        <v>9.28</v>
      </c>
      <c r="I180" s="111">
        <f t="shared" si="10"/>
        <v>2.4</v>
      </c>
      <c r="J180" s="111">
        <f t="shared" si="10"/>
        <v>0</v>
      </c>
      <c r="K180" s="111">
        <f t="shared" si="10"/>
        <v>21.580000000000002</v>
      </c>
      <c r="L180" s="61"/>
    </row>
    <row r="181" spans="1:12" ht="15">
      <c r="A181" s="47"/>
      <c r="B181" s="48"/>
      <c r="C181" s="49"/>
      <c r="D181" s="27"/>
      <c r="E181" s="27" t="s">
        <v>174</v>
      </c>
      <c r="F181" s="111">
        <f t="shared" si="10"/>
        <v>0.4</v>
      </c>
      <c r="G181" s="111">
        <f t="shared" si="10"/>
        <v>9.25</v>
      </c>
      <c r="H181" s="111">
        <f t="shared" si="10"/>
        <v>10.87</v>
      </c>
      <c r="I181" s="111">
        <f t="shared" si="10"/>
        <v>2.85</v>
      </c>
      <c r="J181" s="111">
        <f t="shared" si="10"/>
        <v>0</v>
      </c>
      <c r="K181" s="111">
        <f t="shared" si="10"/>
        <v>23.369999999999997</v>
      </c>
      <c r="L181" s="61"/>
    </row>
    <row r="182" spans="1:12" ht="15">
      <c r="A182" s="47"/>
      <c r="B182" s="48"/>
      <c r="C182" s="49"/>
      <c r="D182" s="109"/>
      <c r="E182" s="27"/>
      <c r="F182" s="27"/>
      <c r="G182" s="98"/>
      <c r="H182" s="27"/>
      <c r="I182" s="27"/>
      <c r="J182" s="27"/>
      <c r="K182" s="27"/>
      <c r="L182" s="61"/>
    </row>
    <row r="183" spans="1:12" ht="15.75" thickBot="1">
      <c r="A183" s="89"/>
      <c r="B183" s="90"/>
      <c r="C183" s="91"/>
      <c r="D183" s="16"/>
      <c r="E183" s="16"/>
      <c r="F183" s="112"/>
      <c r="G183" s="112"/>
      <c r="H183" s="112"/>
      <c r="I183" s="112"/>
      <c r="J183" s="112"/>
      <c r="K183" s="16"/>
      <c r="L183" s="17"/>
    </row>
    <row r="184" spans="6:10" ht="15">
      <c r="F184" s="41"/>
      <c r="G184" s="41"/>
      <c r="H184" s="41"/>
      <c r="I184" s="41"/>
      <c r="J184" s="41"/>
    </row>
    <row r="192" spans="5:12" ht="15">
      <c r="E192" t="s">
        <v>186</v>
      </c>
      <c r="F192" t="s">
        <v>187</v>
      </c>
      <c r="G192" t="s">
        <v>138</v>
      </c>
      <c r="H192" t="s">
        <v>188</v>
      </c>
      <c r="I192" s="36" t="s">
        <v>139</v>
      </c>
      <c r="J192" s="37" t="s">
        <v>189</v>
      </c>
      <c r="K192" t="s">
        <v>190</v>
      </c>
      <c r="L192" t="s">
        <v>191</v>
      </c>
    </row>
    <row r="193" spans="5:12" ht="15">
      <c r="E193" t="s">
        <v>193</v>
      </c>
      <c r="F193" t="s">
        <v>8</v>
      </c>
      <c r="G193" t="s">
        <v>140</v>
      </c>
      <c r="H193">
        <v>0.3</v>
      </c>
      <c r="I193" s="36">
        <v>0.3</v>
      </c>
      <c r="J193" s="37">
        <v>0.2</v>
      </c>
      <c r="K193">
        <v>0</v>
      </c>
      <c r="L193"/>
    </row>
    <row r="194" spans="5:12" ht="15">
      <c r="E194" t="s">
        <v>10</v>
      </c>
      <c r="F194" t="s">
        <v>11</v>
      </c>
      <c r="G194" t="s">
        <v>141</v>
      </c>
      <c r="H194">
        <v>7</v>
      </c>
      <c r="I194" s="36">
        <v>5</v>
      </c>
      <c r="J194" s="37">
        <v>4.7</v>
      </c>
      <c r="K194">
        <v>2.7</v>
      </c>
      <c r="L194">
        <v>0.6</v>
      </c>
    </row>
    <row r="195" spans="5:12" ht="15">
      <c r="E195" t="s">
        <v>12</v>
      </c>
      <c r="F195" t="s">
        <v>13</v>
      </c>
      <c r="G195" t="s">
        <v>142</v>
      </c>
      <c r="H195">
        <v>3.4</v>
      </c>
      <c r="I195" s="36">
        <v>3</v>
      </c>
      <c r="J195" s="37">
        <v>4</v>
      </c>
      <c r="K195">
        <v>1.6</v>
      </c>
      <c r="L195"/>
    </row>
    <row r="196" spans="5:12" ht="15">
      <c r="E196" t="s">
        <v>14</v>
      </c>
      <c r="F196" t="s">
        <v>15</v>
      </c>
      <c r="G196" t="s">
        <v>143</v>
      </c>
      <c r="H196">
        <v>0</v>
      </c>
      <c r="I196" s="36">
        <v>0</v>
      </c>
      <c r="J196" s="37">
        <v>0.3</v>
      </c>
      <c r="K196">
        <v>4.4</v>
      </c>
      <c r="L196">
        <v>0.4</v>
      </c>
    </row>
    <row r="197" spans="5:12" ht="15">
      <c r="E197" t="s">
        <v>18</v>
      </c>
      <c r="F197" t="s">
        <v>19</v>
      </c>
      <c r="G197" t="s">
        <v>144</v>
      </c>
      <c r="H197"/>
      <c r="I197" s="36"/>
      <c r="J197" s="37"/>
      <c r="K197">
        <v>1.5</v>
      </c>
      <c r="L197">
        <v>0</v>
      </c>
    </row>
    <row r="198" spans="5:12" ht="15">
      <c r="E198" t="s">
        <v>20</v>
      </c>
      <c r="F198" t="s">
        <v>22</v>
      </c>
      <c r="G198" t="s">
        <v>22</v>
      </c>
      <c r="H198">
        <v>0</v>
      </c>
      <c r="I198" s="36">
        <v>0.1</v>
      </c>
      <c r="J198" s="37">
        <v>0.2</v>
      </c>
      <c r="K198">
        <v>0.2</v>
      </c>
      <c r="L198">
        <v>0.1</v>
      </c>
    </row>
    <row r="199" spans="5:12" ht="15">
      <c r="E199" t="s">
        <v>23</v>
      </c>
      <c r="F199" t="s">
        <v>24</v>
      </c>
      <c r="G199" t="s">
        <v>145</v>
      </c>
      <c r="H199">
        <v>1.1</v>
      </c>
      <c r="I199" s="36">
        <v>0.9</v>
      </c>
      <c r="J199" s="37">
        <v>2.5</v>
      </c>
      <c r="K199">
        <v>1.2</v>
      </c>
      <c r="L199">
        <v>0.2</v>
      </c>
    </row>
    <row r="200" spans="5:12" ht="15">
      <c r="E200" t="s">
        <v>25</v>
      </c>
      <c r="F200" t="s">
        <v>26</v>
      </c>
      <c r="G200" t="s">
        <v>146</v>
      </c>
      <c r="H200">
        <v>0.9</v>
      </c>
      <c r="I200" s="36">
        <v>0.2</v>
      </c>
      <c r="J200" s="37">
        <v>1.7</v>
      </c>
      <c r="K200">
        <v>3.7</v>
      </c>
      <c r="L200">
        <v>0.6</v>
      </c>
    </row>
    <row r="201" spans="5:12" ht="15">
      <c r="E201" t="s">
        <v>27</v>
      </c>
      <c r="F201" t="s">
        <v>28</v>
      </c>
      <c r="G201" t="s">
        <v>147</v>
      </c>
      <c r="H201">
        <v>0.7</v>
      </c>
      <c r="I201" s="36">
        <v>0.2</v>
      </c>
      <c r="J201" s="37">
        <v>2.4</v>
      </c>
      <c r="K201">
        <v>2.2</v>
      </c>
      <c r="L201"/>
    </row>
    <row r="202" spans="5:12" ht="15">
      <c r="E202" t="s">
        <v>29</v>
      </c>
      <c r="F202" t="s">
        <v>30</v>
      </c>
      <c r="G202" t="s">
        <v>148</v>
      </c>
      <c r="H202">
        <v>2.9</v>
      </c>
      <c r="I202" s="36">
        <v>2.4</v>
      </c>
      <c r="J202" s="37">
        <v>3.5</v>
      </c>
      <c r="K202">
        <v>2.5</v>
      </c>
      <c r="L202">
        <v>1.7</v>
      </c>
    </row>
    <row r="203" spans="5:12" ht="15">
      <c r="E203" t="s">
        <v>31</v>
      </c>
      <c r="F203" t="s">
        <v>32</v>
      </c>
      <c r="G203" t="s">
        <v>149</v>
      </c>
      <c r="H203">
        <v>3.9</v>
      </c>
      <c r="I203" s="36">
        <v>2.1</v>
      </c>
      <c r="J203" s="37">
        <v>5.3</v>
      </c>
      <c r="K203">
        <v>6.7</v>
      </c>
      <c r="L203">
        <v>1.1</v>
      </c>
    </row>
    <row r="204" spans="5:12" ht="15">
      <c r="E204" t="s">
        <v>33</v>
      </c>
      <c r="F204" t="s">
        <v>34</v>
      </c>
      <c r="G204" t="s">
        <v>150</v>
      </c>
      <c r="H204">
        <v>8.6</v>
      </c>
      <c r="I204" s="36">
        <v>6.8</v>
      </c>
      <c r="J204" s="37">
        <v>18.8</v>
      </c>
      <c r="K204">
        <v>20.5</v>
      </c>
      <c r="L204">
        <v>1.6</v>
      </c>
    </row>
    <row r="205" spans="5:12" ht="15">
      <c r="E205" t="s">
        <v>35</v>
      </c>
      <c r="F205" t="s">
        <v>36</v>
      </c>
      <c r="G205" t="s">
        <v>151</v>
      </c>
      <c r="H205">
        <v>0.5</v>
      </c>
      <c r="I205" s="36">
        <v>1</v>
      </c>
      <c r="J205" s="37">
        <v>0.5</v>
      </c>
      <c r="K205">
        <v>0.3</v>
      </c>
      <c r="L205">
        <v>0.1</v>
      </c>
    </row>
    <row r="206" spans="5:12" ht="15">
      <c r="E206" t="s">
        <v>37</v>
      </c>
      <c r="F206" t="s">
        <v>38</v>
      </c>
      <c r="G206" t="s">
        <v>152</v>
      </c>
      <c r="H206">
        <v>0.7</v>
      </c>
      <c r="I206" s="36">
        <v>0.6</v>
      </c>
      <c r="J206" s="37">
        <v>0.5</v>
      </c>
      <c r="K206">
        <v>0.5</v>
      </c>
      <c r="L206">
        <v>0.2</v>
      </c>
    </row>
    <row r="207" spans="5:12" ht="15">
      <c r="E207" t="s">
        <v>39</v>
      </c>
      <c r="F207" t="s">
        <v>40</v>
      </c>
      <c r="G207" t="s">
        <v>153</v>
      </c>
      <c r="H207">
        <v>0.5</v>
      </c>
      <c r="I207" s="36">
        <v>0.1</v>
      </c>
      <c r="J207" s="37">
        <v>0.3</v>
      </c>
      <c r="K207">
        <v>0.1</v>
      </c>
      <c r="L207">
        <v>0.5</v>
      </c>
    </row>
    <row r="208" spans="5:12" ht="15">
      <c r="E208" t="s">
        <v>41</v>
      </c>
      <c r="F208" t="s">
        <v>42</v>
      </c>
      <c r="G208" t="s">
        <v>154</v>
      </c>
      <c r="H208">
        <v>1.4</v>
      </c>
      <c r="I208" s="36">
        <v>1</v>
      </c>
      <c r="J208" s="37">
        <v>0.9</v>
      </c>
      <c r="K208">
        <v>0.8</v>
      </c>
      <c r="L208">
        <v>0.5</v>
      </c>
    </row>
    <row r="209" spans="5:12" ht="15">
      <c r="E209" t="s">
        <v>43</v>
      </c>
      <c r="F209" t="s">
        <v>44</v>
      </c>
      <c r="G209" t="s">
        <v>155</v>
      </c>
      <c r="H209">
        <v>0.7</v>
      </c>
      <c r="I209" s="36">
        <v>0.7</v>
      </c>
      <c r="J209" s="37">
        <v>0.7</v>
      </c>
      <c r="K209">
        <v>0</v>
      </c>
      <c r="L209"/>
    </row>
    <row r="210" spans="5:12" ht="15">
      <c r="E210"/>
      <c r="F210"/>
      <c r="G210"/>
      <c r="H210">
        <v>32.6</v>
      </c>
      <c r="I210" s="36"/>
      <c r="J210" s="37"/>
      <c r="K210"/>
      <c r="L210"/>
    </row>
  </sheetData>
  <printOptions gridLines="1" headings="1"/>
  <pageMargins left="0.4" right="0.38" top="0.3" bottom="0.31" header="0.15" footer="0.14"/>
  <pageSetup fitToHeight="1" fitToWidth="1" horizontalDpi="600" verticalDpi="600" orientation="portrait" scale="59"/>
  <headerFooter alignWithMargins="0">
    <oddFooter>&amp;R&amp;F        &amp;D       &amp;T    RLS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Simmons</cp:lastModifiedBy>
  <cp:lastPrinted>2004-08-23T13:10:36Z</cp:lastPrinted>
  <dcterms:created xsi:type="dcterms:W3CDTF">2004-07-29T15:48:52Z</dcterms:created>
  <dcterms:modified xsi:type="dcterms:W3CDTF">2004-08-23T13:11:01Z</dcterms:modified>
  <cp:category/>
  <cp:version/>
  <cp:contentType/>
  <cp:contentStatus/>
</cp:coreProperties>
</file>