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35" windowHeight="12630" tabRatio="888" activeTab="1"/>
  </bookViews>
  <sheets>
    <sheet name="Stretchout calculation" sheetId="1" r:id="rId1"/>
    <sheet name="ecp29,ecp30,ecp31 reconcil" sheetId="2" r:id="rId2"/>
  </sheets>
  <definedNames>
    <definedName name="_xlnm.Print_Area" localSheetId="1">'ecp29,ecp30,ecp31 reconcil'!#REF!</definedName>
    <definedName name="_xlnm.Print_Area" localSheetId="0">'Stretchout calculation'!$B$1:$P$42</definedName>
    <definedName name="_xlnm.Print_Titles" localSheetId="1">'ecp29,ecp30,ecp31 reconcil'!$1:$2</definedName>
  </definedNames>
  <calcPr fullCalcOnLoad="1"/>
</workbook>
</file>

<file path=xl/sharedStrings.xml><?xml version="1.0" encoding="utf-8"?>
<sst xmlns="http://schemas.openxmlformats.org/spreadsheetml/2006/main" count="479" uniqueCount="280">
  <si>
    <t>WBS 142 MC winding</t>
  </si>
  <si>
    <t>Management</t>
  </si>
  <si>
    <t>Field Oversight &amp; Supervision</t>
  </si>
  <si>
    <t>Overhead &amp; Escalation</t>
  </si>
  <si>
    <t xml:space="preserve">contingency </t>
  </si>
  <si>
    <t>TOTAL  IMPACT =</t>
  </si>
  <si>
    <t xml:space="preserve">451 - System Design and Interfaces              </t>
  </si>
  <si>
    <t xml:space="preserve">452 - Electrical Systems Support                </t>
  </si>
  <si>
    <t>453 - System Testing (PTP's)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</si>
  <si>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</si>
  <si>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</si>
  <si>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</si>
  <si>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</si>
  <si>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621 - LN2-LHe Supply System</t>
  </si>
  <si>
    <t>622 - LN2 Coil Cooling Supply</t>
  </si>
  <si>
    <t xml:space="preserve">623 - GN2 Cryostat Cooling System               </t>
  </si>
  <si>
    <t xml:space="preserve">650 - Facility Systems Integration              </t>
  </si>
  <si>
    <t xml:space="preserve">740 - Machine Assembly Planning and Oversight   </t>
  </si>
  <si>
    <t>ECP 31</t>
  </si>
  <si>
    <t>increases ECP 30 - 31</t>
  </si>
  <si>
    <t>ACT ID</t>
  </si>
  <si>
    <t>FY2003</t>
  </si>
  <si>
    <t>FY2004</t>
  </si>
  <si>
    <t>FY2005</t>
  </si>
  <si>
    <t>FY2006</t>
  </si>
  <si>
    <t>FY2007</t>
  </si>
  <si>
    <t>FY2008</t>
  </si>
  <si>
    <t>FY2009</t>
  </si>
  <si>
    <t>TOTAL</t>
  </si>
  <si>
    <t>CCC</t>
  </si>
  <si>
    <t>-</t>
  </si>
  <si>
    <t>ECP -31 Plan</t>
  </si>
  <si>
    <t>ECP-30 Plan</t>
  </si>
  <si>
    <t>Changes</t>
  </si>
  <si>
    <t>-$137k full size weld sample; +$43k seals &amp;5:5templates for VVSA;+$99k Engr contract admin;+$31 ORNL VVSA dsn support</t>
  </si>
  <si>
    <t>+$223k TRC and Final Winding design &amp; analysis</t>
  </si>
  <si>
    <t>-$151 C-site Water cooling system  commissioning</t>
  </si>
  <si>
    <t>+$50 Dimensional control coord in FY05; -$37k Research support in FY06; -$121 ISTP documentation req'd for CD-4</t>
  </si>
  <si>
    <t>ECP 30 (adjusted)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</si>
  <si>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</si>
  <si>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</si>
  <si>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</si>
  <si>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</si>
  <si>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</si>
  <si>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46 - FCPC Building Modifications</t>
  </si>
  <si>
    <t>51 - TCP/IP Infrastructure Systems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</si>
  <si>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</si>
  <si>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</si>
  <si>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</si>
  <si>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</si>
  <si>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</si>
  <si>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58 - Central I&amp;C management and Integration</t>
  </si>
  <si>
    <t>61 - Water Systems</t>
  </si>
  <si>
    <t>62 - Cryogenic Systems</t>
  </si>
  <si>
    <t>63 - Utility Systems</t>
  </si>
  <si>
    <t>65 - Facility Systems Integration</t>
  </si>
  <si>
    <t>71 - Shield Wall Seismic Modifications</t>
  </si>
  <si>
    <t>72 - Control Room Refurbishment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</si>
  <si>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</si>
  <si>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</si>
  <si>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</si>
  <si>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</si>
  <si>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</si>
  <si>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</si>
  <si>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84 - Project Physics</t>
  </si>
  <si>
    <t>85 - Integrated Systems Testing</t>
  </si>
  <si>
    <t>change</t>
  </si>
  <si>
    <t>wbs2</t>
  </si>
  <si>
    <t>ECP 16 simplification of trim coli sys -200k</t>
  </si>
  <si>
    <t>ECP 16 reclassification to non MIE</t>
  </si>
  <si>
    <t>ECP 16 simplification offueling sys</t>
  </si>
  <si>
    <t>ECP 16 not req'd for CD-4.</t>
  </si>
  <si>
    <t>.Lateral supports +22k</t>
  </si>
  <si>
    <t>ECP 16 FY04 cost variance +93</t>
  </si>
  <si>
    <t>ECP 16 FY04 cost variance +507</t>
  </si>
  <si>
    <t>ECP 16 FY04 cost variance +30</t>
  </si>
  <si>
    <t>ECP 16 FY04 cost variance +193</t>
  </si>
  <si>
    <t>Kalish re-estimate</t>
  </si>
  <si>
    <t>Demo method for determining current center +88.Moved Brooks to WBS 82 -158</t>
  </si>
  <si>
    <t>Increased scope from Raki</t>
  </si>
  <si>
    <t>Adjusted based upon FY04 allocation costs and estimated out year mapping</t>
  </si>
  <si>
    <t>ECP 14</t>
  </si>
  <si>
    <t>ECP 16</t>
  </si>
  <si>
    <t xml:space="preserve">ECP 16 FY04 cost variance +14.6k </t>
  </si>
  <si>
    <t>ECP 16 FY04 cost variance +139.</t>
  </si>
  <si>
    <t xml:space="preserve">250 - Neutral Beam Injection System             </t>
  </si>
  <si>
    <t xml:space="preserve">730 - Test Cell &amp; Basement Assembly Operations  </t>
  </si>
  <si>
    <t xml:space="preserve">810 - Project Management &amp; Control              </t>
  </si>
  <si>
    <t>820 - Project Engineering</t>
  </si>
  <si>
    <t>840 - Project Physics</t>
  </si>
  <si>
    <t>description</t>
  </si>
  <si>
    <t>.Increased Viola to 2  days /week oversight +$63k; Increased field weld joint full size sample =+$96k</t>
  </si>
  <si>
    <t>part of FP assy</t>
  </si>
  <si>
    <t xml:space="preserve">+202k increased cost for stud instl, cooling tubes, magnetics instl, </t>
  </si>
  <si>
    <t>+$129 MC sub-assy,</t>
  </si>
  <si>
    <t>Reduced Viola to .7 fte during FP assy.-$175k. $190 trabsferred to wbs185</t>
  </si>
  <si>
    <t>Deleted $41k for install of sensors and mag diag. Alreadyy incl in wbs 184</t>
  </si>
  <si>
    <t>re-estimted out year needs. Cost share with res prep</t>
  </si>
  <si>
    <t>+$52k MCWF analysis, +85 EIO s/c,+54 JPP s/c,+79 title III MCWF fab</t>
  </si>
  <si>
    <t xml:space="preserve"> Chrzanowski/Meighan oversight of TRC +202k</t>
  </si>
  <si>
    <t>subtotal</t>
  </si>
  <si>
    <t>SUBTOTAL WBS 1</t>
  </si>
  <si>
    <t>SUBTOTAL WBS 2</t>
  </si>
  <si>
    <t>SUBTOTAL WBS 3</t>
  </si>
  <si>
    <t>SUBTOTAL WBS 4</t>
  </si>
  <si>
    <t>SUBTOTAL WBS 5</t>
  </si>
  <si>
    <t>SUBTOTAL WBS 6</t>
  </si>
  <si>
    <t>SUBTOTAL WBS 7</t>
  </si>
  <si>
    <t>SUBTOTAL WBS 8</t>
  </si>
  <si>
    <t>eliminated outlets on 2nd level</t>
  </si>
  <si>
    <t>WBS2</t>
  </si>
  <si>
    <t>DESC</t>
  </si>
  <si>
    <t>Kalish re-estimate of new design</t>
  </si>
  <si>
    <t>ECP 18</t>
  </si>
  <si>
    <t>ECP 21</t>
  </si>
  <si>
    <t>Completion of Prelim design and the re-estimate of final design tasks.</t>
  </si>
  <si>
    <t>Prior year scope retirement fore FY04</t>
  </si>
  <si>
    <t>New scope for FY05. Dimensional control coordinator.</t>
  </si>
  <si>
    <t>173 - Spacer Manipulator</t>
  </si>
  <si>
    <t>11 - 11 - In-Vessel Components</t>
  </si>
  <si>
    <t>12 - 12 - Vacuum Vessel Systems</t>
  </si>
  <si>
    <t>13 - 13 - Conventional Coils</t>
  </si>
  <si>
    <t>14 - 14 - Modular Coils</t>
  </si>
  <si>
    <t>15 - 15 - Structures</t>
  </si>
  <si>
    <t>16 - 16 - Coil Services</t>
  </si>
  <si>
    <t>17 - 17 - Cryostat and Base Support Structure</t>
  </si>
  <si>
    <t>18 - 18 - Field Period Assembly</t>
  </si>
  <si>
    <t>19 - 19 - Stellarator Core Management and Integration</t>
  </si>
  <si>
    <t>21 - 21 - Fueling Systems</t>
  </si>
  <si>
    <t>22 - 22 - Torus Vacuum Pumping Systems</t>
  </si>
  <si>
    <t>25 - 25 - Neutral Beam Injection System</t>
  </si>
  <si>
    <t>31 - 31 - Magnetic Diagnostics</t>
  </si>
  <si>
    <t>36 - 36 - Edge and Divertor Diagnostics</t>
  </si>
  <si>
    <t>38 - 38 - Electron Beam (EB) Mapping</t>
  </si>
  <si>
    <t>39 - 39 - Diagnostics Integration</t>
  </si>
  <si>
    <t>41 - 41 - AC Power</t>
  </si>
  <si>
    <t>43 - 43 - DC Systems</t>
  </si>
  <si>
    <t>44 - 44 - Control and protection Systems</t>
  </si>
  <si>
    <t>45 - 45 - Power System Design and Integration</t>
  </si>
  <si>
    <t>46 - 46 - FCPC Building Modifications</t>
  </si>
  <si>
    <t>51 - 51 - TCP/IP Infrastructure Systems</t>
  </si>
  <si>
    <t>52 - 52 - Central Instrumentation &amp; Control</t>
  </si>
  <si>
    <t>53 - 53 - Data Acquisition &amp; Facility Computing</t>
  </si>
  <si>
    <t>54 - 54 - Facility Timing &amp; Synchronization</t>
  </si>
  <si>
    <t>55 - 55 - Real Time Plasma &amp; Power Supply Control Sys</t>
  </si>
  <si>
    <t>56 - 56 - Central Safety Interlock Systems</t>
  </si>
  <si>
    <t>58 - 58 - Central I&amp;C management and Integration</t>
  </si>
  <si>
    <t>61 - 61 - Water Systems</t>
  </si>
  <si>
    <t>62 - 62 - Cryogenic Systems</t>
  </si>
  <si>
    <t>63 - 63 - Utility Systems</t>
  </si>
  <si>
    <t>65 - 65 - Facility Systems Integration</t>
  </si>
  <si>
    <t>71 - 71 - Shield Wall Seismic Modifications</t>
  </si>
  <si>
    <t>72 - 72 - Control Room Refurbishment</t>
  </si>
  <si>
    <t>73 - 73 - Platform Design &amp; Fabrication</t>
  </si>
  <si>
    <t>74 - 74 - Machine Assembly Planning and Oversight</t>
  </si>
  <si>
    <t>75 - 75 - Test Cell and Basement Assembly Operations</t>
  </si>
  <si>
    <t>76 - 76 - Tooling Design &amp; Fabrication</t>
  </si>
  <si>
    <t>81 - 81 - Project Management and Control</t>
  </si>
  <si>
    <t>82 - 82 - Project Engineering</t>
  </si>
  <si>
    <t>84 - 84 - Project Physics</t>
  </si>
  <si>
    <t>85 - 85 - Integrated Systems Testing</t>
  </si>
  <si>
    <t>AA - PPPL Allocations</t>
  </si>
  <si>
    <t>CC - Contingency</t>
  </si>
  <si>
    <t>NCSX rebaseline reconciliation</t>
  </si>
  <si>
    <t>173-Spacer manipulator</t>
  </si>
  <si>
    <t>AAA</t>
  </si>
  <si>
    <t xml:space="preserve">Winding ops strecthout from 391 days to 663 days. added 272 days </t>
  </si>
  <si>
    <t xml:space="preserve"> Raftopolous 50%</t>
  </si>
  <si>
    <t>272days x 6.64(avg hrs/day)*50% *$179.78$/hr=</t>
  </si>
  <si>
    <t>Title III Dave Williamson added 272days @ 29%*6.64 h/d * $154$/h=</t>
  </si>
  <si>
    <t xml:space="preserve">338 day atretchout of TF Fab effort </t>
  </si>
  <si>
    <t xml:space="preserve">Health Physics support </t>
  </si>
  <si>
    <t>added 14mos of HP support of FP assy in TFTR TC year  @75% @$117.07$/h</t>
  </si>
  <si>
    <t>Mike Viola filed supervision added 14 months @ 73% coverage @ $179.34$/h=</t>
  </si>
  <si>
    <t>Strykowsky $$159.62$/h *1768*14/12 *90%$=</t>
  </si>
  <si>
    <t>Neilson @ $250.53$/h *1768*14/12*85%=</t>
  </si>
  <si>
    <t>Pam Hampton @  $50.47$/h*2080*14/12 *40%</t>
  </si>
  <si>
    <t>Lyon 12 months @10%@ 188.94$/h</t>
  </si>
  <si>
    <t>Wayne Reiersen @ 12 months @ 60%@ 179.34$/h</t>
  </si>
  <si>
    <t>Larry Dudek @ 12 months @ 10% @179.34 $/h=</t>
  </si>
  <si>
    <t>Cheryl Such @ 12 months @ 10% @89$/h=</t>
  </si>
  <si>
    <t>WBS 8 Allocations added 12 months @ $187.9/yr unloaded =</t>
  </si>
  <si>
    <t>ALL WBS Elements-Escalation due to Annual BA limitations =</t>
  </si>
  <si>
    <t>ALL WBS Elements-Rates differential. (old rates applied to new estimates delta to new rates)=</t>
  </si>
  <si>
    <t>AA</t>
  </si>
  <si>
    <t>CC</t>
  </si>
  <si>
    <t>272days x 6.64(avg hrs/day)*86% *$179.78$/hr=</t>
  </si>
  <si>
    <t>272days x 6.64(avg hrs/day)*86% *$116.55$/hr=</t>
  </si>
  <si>
    <t xml:space="preserve"> Chrzanowski 86%</t>
  </si>
  <si>
    <t>Meighan 86%</t>
  </si>
  <si>
    <t>use 25%</t>
  </si>
  <si>
    <t>332 days * 6.64h/d*27%*179.78$/h</t>
  </si>
  <si>
    <t>NCSX Stretchout Contingency Analysis</t>
  </si>
  <si>
    <t>WBS 13 TF fab oversight</t>
  </si>
  <si>
    <t>WBS 14 MC winding</t>
  </si>
  <si>
    <t>WBS 18 FP assy oversight</t>
  </si>
  <si>
    <t>WBS 19</t>
  </si>
  <si>
    <t>Labor and Overhead Rates (across all WBS elements)</t>
  </si>
  <si>
    <t>(old rates used)</t>
  </si>
  <si>
    <t>WBS 131 TF fab oversight</t>
  </si>
  <si>
    <t>Mike Kalish</t>
  </si>
  <si>
    <t>WBS 181 FP assy oversight</t>
  </si>
  <si>
    <t>WBS 191</t>
  </si>
  <si>
    <t>Brad Nelson</t>
  </si>
  <si>
    <t>added 10 months @ 30% coverage = 10/12*1726 *.3*$154$/h=</t>
  </si>
  <si>
    <t>WBS 192</t>
  </si>
  <si>
    <t>Mike Cole</t>
  </si>
  <si>
    <t>added 10 months @  37% = 10/12*1726*.37*$154$/h=</t>
  </si>
  <si>
    <t>WBS 81</t>
  </si>
  <si>
    <t>14 month stretch</t>
  </si>
  <si>
    <t>WBS 82</t>
  </si>
  <si>
    <t>NCSX Stretchout Impact analysis</t>
  </si>
  <si>
    <t>Stellarator core managemnt</t>
  </si>
  <si>
    <t>Stellarator core Integration</t>
  </si>
  <si>
    <t>Project Management</t>
  </si>
  <si>
    <t>Project Engineering and Intrgration</t>
  </si>
  <si>
    <t>Escalation</t>
  </si>
  <si>
    <t>Direct Allocations (overhead)</t>
  </si>
  <si>
    <t>ECP 29</t>
  </si>
  <si>
    <t>Total =</t>
  </si>
  <si>
    <t>111 - Limiters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</si>
  <si>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</si>
  <si>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</si>
  <si>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</si>
  <si>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</si>
  <si>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</si>
  <si>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 xml:space="preserve">130 - Conventional Coil Design                  </t>
  </si>
  <si>
    <t>131 - TF Coils</t>
  </si>
  <si>
    <t>132 - PF Coils</t>
  </si>
  <si>
    <t>133 - External Trim Coils</t>
  </si>
  <si>
    <t>134 - Conventional Coil Local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</si>
  <si>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</si>
  <si>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</si>
  <si>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</si>
  <si>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</si>
  <si>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151 - Coil Support Structure</t>
  </si>
  <si>
    <t>161 - LN2 Distribution</t>
  </si>
  <si>
    <t>162 - Electrical Leads</t>
  </si>
  <si>
    <t>163 - Coil Protection System</t>
  </si>
  <si>
    <t>171 -Cryostat</t>
  </si>
  <si>
    <t>172 - Base Support Structure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</si>
  <si>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</si>
  <si>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</si>
  <si>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</si>
  <si>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</si>
  <si>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</si>
  <si>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</si>
  <si>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</si>
  <si>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 xml:space="preserve">191 - Stellarator Core Management &amp; Oversight   </t>
  </si>
  <si>
    <t xml:space="preserve">192 - Stellarator Core Integration &amp; Analysis   </t>
  </si>
  <si>
    <t xml:space="preserve">411 - Auxliary AC Power Systems                 </t>
  </si>
  <si>
    <t xml:space="preserve">412 - Experimental AC Power Systems             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</si>
  <si>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</si>
  <si>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</si>
  <si>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</si>
  <si>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</si>
  <si>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</si>
  <si>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</si>
  <si>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</si>
  <si>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</si>
  <si>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 xml:space="preserve">741 - Planning Prior to Machine Assembly        </t>
  </si>
  <si>
    <t>742 - Construction Management</t>
  </si>
  <si>
    <t xml:space="preserve">750 - Test Cell &amp; Basement Assembly Operations  </t>
  </si>
  <si>
    <t>PPPL Allocations</t>
  </si>
  <si>
    <t>Contingency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</si>
  <si>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</si>
  <si>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</si>
  <si>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</si>
  <si>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</si>
  <si>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</si>
  <si>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</si>
  <si>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>17 - Cryostat and Base Support Structure</t>
  </si>
  <si>
    <t>18 - Field Period Assembly</t>
  </si>
  <si>
    <t>19 - Stellarator Core Management and Integration</t>
  </si>
  <si>
    <t>21 - Fueling Systems</t>
  </si>
  <si>
    <t>22 - Torus Vacuum Pumping Systems</t>
  </si>
  <si>
    <t>25 - Neutral Beam Injection System</t>
  </si>
  <si>
    <t>31 - Magnetic Diagnostics</t>
  </si>
  <si>
    <t>36 - Edge and Divertor Diagnostics</t>
  </si>
  <si>
    <t>38 - Electron Beam (EB) Mapping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</si>
</sst>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\ 0.00;\-\ 0.00"/>
    <numFmt numFmtId="165" formatCode="[Red]\+\ 0.00;[Blue]\-\ 0.00"/>
    <numFmt numFmtId="166" formatCode="[Red]\+\ 0.0;[Blue]\-\ 0.0"/>
    <numFmt numFmtId="167" formatCode="[Red]\+\ 0;[Blue]\-\ 0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_);_(* \(#,##0.000\);_(* &quot;-&quot;???_);_(@_)"/>
    <numFmt numFmtId="179" formatCode="0.0%"/>
    <numFmt numFmtId="180" formatCode="_(&quot;$&quot;* #,##0_);_(&quot;$&quot;* \(#,##0\);_(&quot;$&quot;* &quot;-&quot;??_);_(@_)"/>
    <numFmt numFmtId="181" formatCode="_(&quot;$&quot;* #,##0.0_);_(&quot;$&quot;* \(#,##0.0\);_(&quot;$&quot;* &quot;-&quot;??_);_(@_)"/>
    <numFmt numFmtId="182" formatCode="[$-409]mmm\-yy;@"/>
    <numFmt numFmtId="183" formatCode="0.00_)"/>
    <numFmt numFmtId="184" formatCode="0.00000"/>
    <numFmt numFmtId="185" formatCode="_(&quot;$&quot;* #,##0.000_);_(&quot;$&quot;* \(#,##0.000\);_(&quot;$&quot;* &quot;-&quot;??_);_(@_)"/>
    <numFmt numFmtId="186" formatCode="0.000%"/>
    <numFmt numFmtId="187" formatCode="0.0000%"/>
    <numFmt numFmtId="188" formatCode="_(&quot;$&quot;* #,##0.0000_);_(&quot;$&quot;* \(#,##0.0000\);_(&quot;$&quot;* &quot;-&quot;??_);_(@_)"/>
    <numFmt numFmtId="189" formatCode="0.00000000"/>
    <numFmt numFmtId="190" formatCode="0.0000000"/>
    <numFmt numFmtId="191" formatCode="0.000000"/>
    <numFmt numFmtId="192" formatCode="_(* #,##0.000_);_(* \(#,##0.000\);_(* &quot;-&quot;??_);_(@_)"/>
    <numFmt numFmtId="193" formatCode="mmm\-yyyy"/>
    <numFmt numFmtId="194" formatCode="dd\-mmm\-yy_)"/>
    <numFmt numFmtId="195" formatCode="m/d/yy;@"/>
    <numFmt numFmtId="196" formatCode="_(* #,##0.0000_);_(* \(#,##0.0000\);_(* &quot;-&quot;??_);_(@_)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u val="singleAccounting"/>
      <sz val="10"/>
      <name val="Arial"/>
      <family val="0"/>
    </font>
    <font>
      <b/>
      <i/>
      <sz val="10"/>
      <name val="Arial"/>
      <family val="2"/>
    </font>
    <font>
      <b/>
      <i/>
      <u val="singleAccounting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u val="single"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u val="singleAccounting"/>
      <sz val="11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"/>
      <name val="Arial"/>
      <family val="2"/>
    </font>
    <font>
      <sz val="1.25"/>
      <name val="Arial"/>
      <family val="2"/>
    </font>
    <font>
      <sz val="1.5"/>
      <name val="Arial"/>
      <family val="2"/>
    </font>
    <font>
      <b/>
      <sz val="1.25"/>
      <name val="Arial"/>
      <family val="2"/>
    </font>
    <font>
      <b/>
      <sz val="1.5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169" fontId="5" fillId="0" borderId="6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169" fontId="13" fillId="0" borderId="7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12" fillId="0" borderId="7" xfId="15" applyNumberFormat="1" applyFon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169" fontId="0" fillId="0" borderId="7" xfId="15" applyNumberFormat="1" applyFill="1" applyBorder="1" applyAlignment="1">
      <alignment/>
    </xf>
    <xf numFmtId="169" fontId="0" fillId="0" borderId="0" xfId="15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11" fillId="0" borderId="0" xfId="15" applyNumberFormat="1" applyFont="1" applyFill="1" applyBorder="1" applyAlignment="1">
      <alignment/>
    </xf>
    <xf numFmtId="169" fontId="0" fillId="0" borderId="8" xfId="15" applyNumberFormat="1" applyFill="1" applyBorder="1" applyAlignment="1">
      <alignment/>
    </xf>
    <xf numFmtId="169" fontId="0" fillId="0" borderId="9" xfId="15" applyNumberFormat="1" applyFill="1" applyBorder="1" applyAlignment="1">
      <alignment/>
    </xf>
    <xf numFmtId="169" fontId="0" fillId="0" borderId="9" xfId="0" applyNumberForma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8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7" xfId="15" applyNumberFormat="1" applyFont="1" applyFill="1" applyBorder="1" applyAlignment="1">
      <alignment/>
    </xf>
    <xf numFmtId="169" fontId="7" fillId="0" borderId="0" xfId="15" applyNumberFormat="1" applyFont="1" applyFill="1" applyBorder="1" applyAlignment="1">
      <alignment/>
    </xf>
    <xf numFmtId="169" fontId="9" fillId="0" borderId="0" xfId="15" applyNumberFormat="1" applyFont="1" applyFill="1" applyBorder="1" applyAlignment="1">
      <alignment/>
    </xf>
    <xf numFmtId="169" fontId="2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0" fillId="0" borderId="7" xfId="15" applyNumberFormat="1" applyFont="1" applyFill="1" applyBorder="1" applyAlignment="1">
      <alignment vertical="top"/>
    </xf>
    <xf numFmtId="169" fontId="0" fillId="0" borderId="7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vertical="top"/>
    </xf>
    <xf numFmtId="169" fontId="8" fillId="0" borderId="7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10" fillId="0" borderId="7" xfId="15" applyNumberFormat="1" applyFont="1" applyFill="1" applyBorder="1" applyAlignment="1">
      <alignment/>
    </xf>
    <xf numFmtId="169" fontId="10" fillId="0" borderId="0" xfId="15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169" fontId="0" fillId="0" borderId="0" xfId="0" applyNumberFormat="1" applyFon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9" fontId="5" fillId="0" borderId="10" xfId="15" applyNumberFormat="1" applyFont="1" applyFill="1" applyBorder="1" applyAlignment="1">
      <alignment/>
    </xf>
    <xf numFmtId="169" fontId="6" fillId="0" borderId="8" xfId="15" applyNumberFormat="1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169" fontId="0" fillId="0" borderId="7" xfId="15" applyNumberFormat="1" applyBorder="1" applyAlignment="1">
      <alignment/>
    </xf>
    <xf numFmtId="169" fontId="8" fillId="0" borderId="7" xfId="15" applyNumberFormat="1" applyFont="1" applyBorder="1" applyAlignment="1">
      <alignment/>
    </xf>
    <xf numFmtId="169" fontId="17" fillId="0" borderId="7" xfId="15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7" fontId="0" fillId="0" borderId="0" xfId="0" applyNumberFormat="1" applyFill="1" applyBorder="1" applyAlignment="1">
      <alignment wrapText="1"/>
    </xf>
    <xf numFmtId="0" fontId="0" fillId="0" borderId="0" xfId="0" applyFill="1" applyBorder="1" applyAlignment="1" quotePrefix="1">
      <alignment wrapText="1"/>
    </xf>
    <xf numFmtId="0" fontId="11" fillId="0" borderId="0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169" fontId="6" fillId="0" borderId="11" xfId="15" applyNumberFormat="1" applyFont="1" applyFill="1" applyBorder="1" applyAlignment="1">
      <alignment wrapText="1"/>
    </xf>
    <xf numFmtId="169" fontId="0" fillId="0" borderId="11" xfId="15" applyNumberFormat="1" applyFill="1" applyBorder="1" applyAlignment="1">
      <alignment/>
    </xf>
    <xf numFmtId="169" fontId="0" fillId="0" borderId="12" xfId="15" applyNumberFormat="1" applyFill="1" applyBorder="1" applyAlignment="1">
      <alignment/>
    </xf>
    <xf numFmtId="169" fontId="0" fillId="0" borderId="12" xfId="15" applyNumberFormat="1" applyBorder="1" applyAlignment="1">
      <alignment/>
    </xf>
    <xf numFmtId="169" fontId="8" fillId="0" borderId="12" xfId="15" applyNumberFormat="1" applyFont="1" applyBorder="1" applyAlignment="1">
      <alignment/>
    </xf>
    <xf numFmtId="169" fontId="9" fillId="0" borderId="12" xfId="15" applyNumberFormat="1" applyFont="1" applyFill="1" applyBorder="1" applyAlignment="1">
      <alignment/>
    </xf>
    <xf numFmtId="16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9" fontId="8" fillId="0" borderId="12" xfId="15" applyNumberFormat="1" applyFont="1" applyFill="1" applyBorder="1" applyAlignment="1">
      <alignment/>
    </xf>
    <xf numFmtId="169" fontId="10" fillId="0" borderId="12" xfId="15" applyNumberFormat="1" applyFont="1" applyFill="1" applyBorder="1" applyAlignment="1">
      <alignment/>
    </xf>
    <xf numFmtId="169" fontId="13" fillId="0" borderId="12" xfId="15" applyNumberFormat="1" applyFont="1" applyFill="1" applyBorder="1" applyAlignment="1">
      <alignment/>
    </xf>
    <xf numFmtId="169" fontId="17" fillId="0" borderId="12" xfId="15" applyNumberFormat="1" applyFont="1" applyBorder="1" applyAlignment="1">
      <alignment/>
    </xf>
    <xf numFmtId="1" fontId="0" fillId="0" borderId="12" xfId="0" applyNumberFormat="1" applyBorder="1" applyAlignment="1">
      <alignment/>
    </xf>
    <xf numFmtId="169" fontId="12" fillId="0" borderId="12" xfId="15" applyNumberFormat="1" applyFont="1" applyFill="1" applyBorder="1" applyAlignment="1">
      <alignment/>
    </xf>
    <xf numFmtId="169" fontId="5" fillId="0" borderId="13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0" fillId="0" borderId="9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9" fontId="0" fillId="0" borderId="0" xfId="15" applyNumberFormat="1" applyFont="1" applyFill="1" applyAlignment="1">
      <alignment/>
    </xf>
    <xf numFmtId="169" fontId="0" fillId="0" borderId="12" xfId="15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9" fontId="2" fillId="0" borderId="12" xfId="15" applyNumberFormat="1" applyFont="1" applyFill="1" applyBorder="1" applyAlignment="1">
      <alignment/>
    </xf>
    <xf numFmtId="168" fontId="2" fillId="0" borderId="0" xfId="15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 quotePrefix="1">
      <alignment wrapText="1"/>
    </xf>
    <xf numFmtId="168" fontId="0" fillId="0" borderId="0" xfId="0" applyNumberFormat="1" applyFont="1" applyFill="1" applyAlignment="1">
      <alignment/>
    </xf>
    <xf numFmtId="0" fontId="0" fillId="0" borderId="1" xfId="0" applyFont="1" applyFill="1" applyBorder="1" applyAlignment="1" quotePrefix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169" fontId="12" fillId="0" borderId="12" xfId="15" applyNumberFormat="1" applyFon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169" fontId="12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 wrapText="1"/>
    </xf>
    <xf numFmtId="168" fontId="12" fillId="0" borderId="0" xfId="15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179" fontId="0" fillId="0" borderId="0" xfId="21" applyNumberFormat="1" applyFont="1" applyFill="1" applyAlignment="1">
      <alignment/>
    </xf>
    <xf numFmtId="0" fontId="19" fillId="0" borderId="2" xfId="0" applyFont="1" applyFill="1" applyBorder="1" applyAlignment="1">
      <alignment/>
    </xf>
    <xf numFmtId="169" fontId="20" fillId="0" borderId="0" xfId="15" applyNumberFormat="1" applyFont="1" applyFill="1" applyAlignment="1">
      <alignment/>
    </xf>
    <xf numFmtId="9" fontId="0" fillId="0" borderId="0" xfId="21" applyAlignment="1">
      <alignment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9" fontId="12" fillId="0" borderId="0" xfId="15" applyNumberFormat="1" applyFont="1" applyFill="1" applyAlignment="1">
      <alignment/>
    </xf>
    <xf numFmtId="0" fontId="12" fillId="0" borderId="0" xfId="0" applyFont="1" applyFill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9" fontId="0" fillId="0" borderId="0" xfId="2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169" fontId="0" fillId="0" borderId="0" xfId="15" applyNumberFormat="1" applyAlignment="1">
      <alignment/>
    </xf>
    <xf numFmtId="180" fontId="0" fillId="0" borderId="0" xfId="17" applyNumberFormat="1" applyAlignment="1">
      <alignment/>
    </xf>
    <xf numFmtId="180" fontId="0" fillId="0" borderId="0" xfId="17" applyNumberFormat="1" applyFill="1" applyAlignment="1">
      <alignment/>
    </xf>
    <xf numFmtId="0" fontId="21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9" fontId="0" fillId="0" borderId="0" xfId="21" applyFill="1" applyAlignment="1">
      <alignment/>
    </xf>
    <xf numFmtId="43" fontId="0" fillId="0" borderId="0" xfId="0" applyNumberFormat="1" applyAlignment="1">
      <alignment/>
    </xf>
    <xf numFmtId="169" fontId="0" fillId="0" borderId="0" xfId="15" applyNumberFormat="1" applyFont="1" applyFill="1" applyAlignment="1">
      <alignment/>
    </xf>
    <xf numFmtId="0" fontId="0" fillId="0" borderId="0" xfId="0" applyBorder="1" applyAlignment="1">
      <alignment/>
    </xf>
    <xf numFmtId="0" fontId="30" fillId="0" borderId="0" xfId="0" applyFont="1" applyFill="1" applyAlignment="1">
      <alignment/>
    </xf>
    <xf numFmtId="180" fontId="30" fillId="0" borderId="0" xfId="0" applyNumberFormat="1" applyFont="1" applyFill="1" applyAlignment="1">
      <alignment/>
    </xf>
    <xf numFmtId="180" fontId="8" fillId="0" borderId="0" xfId="17" applyNumberFormat="1" applyFont="1" applyFill="1" applyAlignment="1">
      <alignment/>
    </xf>
    <xf numFmtId="0" fontId="12" fillId="0" borderId="12" xfId="0" applyFont="1" applyFill="1" applyBorder="1" applyAlignment="1">
      <alignment/>
    </xf>
    <xf numFmtId="0" fontId="6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 horizontal="centerContinuous"/>
    </xf>
    <xf numFmtId="9" fontId="30" fillId="0" borderId="9" xfId="21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0" fillId="0" borderId="7" xfId="0" applyFill="1" applyBorder="1" applyAlignment="1">
      <alignment/>
    </xf>
    <xf numFmtId="9" fontId="30" fillId="0" borderId="0" xfId="21" applyFont="1" applyFill="1" applyBorder="1" applyAlignment="1">
      <alignment/>
    </xf>
    <xf numFmtId="0" fontId="30" fillId="0" borderId="1" xfId="0" applyFont="1" applyFill="1" applyBorder="1" applyAlignment="1">
      <alignment/>
    </xf>
    <xf numFmtId="0" fontId="21" fillId="0" borderId="7" xfId="0" applyFont="1" applyFill="1" applyBorder="1" applyAlignment="1">
      <alignment/>
    </xf>
    <xf numFmtId="9" fontId="30" fillId="0" borderId="0" xfId="21" applyFont="1" applyFill="1" applyBorder="1" applyAlignment="1">
      <alignment horizontal="centerContinuous"/>
    </xf>
    <xf numFmtId="0" fontId="30" fillId="0" borderId="1" xfId="0" applyFont="1" applyFill="1" applyBorder="1" applyAlignment="1">
      <alignment horizontal="centerContinuous"/>
    </xf>
    <xf numFmtId="0" fontId="0" fillId="0" borderId="7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30" fillId="0" borderId="1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9" fontId="31" fillId="0" borderId="0" xfId="2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10" fontId="30" fillId="0" borderId="0" xfId="21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9" fontId="0" fillId="0" borderId="0" xfId="2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80" fontId="5" fillId="0" borderId="10" xfId="0" applyNumberFormat="1" applyFont="1" applyFill="1" applyBorder="1" applyAlignment="1">
      <alignment/>
    </xf>
    <xf numFmtId="9" fontId="0" fillId="0" borderId="10" xfId="21" applyFill="1" applyBorder="1" applyAlignment="1">
      <alignment/>
    </xf>
    <xf numFmtId="0" fontId="0" fillId="0" borderId="15" xfId="0" applyFill="1" applyBorder="1" applyAlignment="1">
      <alignment/>
    </xf>
    <xf numFmtId="0" fontId="19" fillId="0" borderId="8" xfId="0" applyFont="1" applyBorder="1" applyAlignment="1">
      <alignment/>
    </xf>
    <xf numFmtId="0" fontId="21" fillId="0" borderId="9" xfId="0" applyFont="1" applyBorder="1" applyAlignment="1">
      <alignment/>
    </xf>
    <xf numFmtId="180" fontId="0" fillId="0" borderId="14" xfId="17" applyNumberFormat="1" applyBorder="1" applyAlignment="1">
      <alignment/>
    </xf>
    <xf numFmtId="180" fontId="0" fillId="0" borderId="1" xfId="17" applyNumberFormat="1" applyFill="1" applyBorder="1" applyAlignment="1">
      <alignment/>
    </xf>
    <xf numFmtId="180" fontId="0" fillId="0" borderId="1" xfId="17" applyNumberFormat="1" applyBorder="1" applyAlignment="1">
      <alignment/>
    </xf>
    <xf numFmtId="180" fontId="8" fillId="0" borderId="1" xfId="17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80" fontId="0" fillId="0" borderId="1" xfId="17" applyNumberFormat="1" applyFont="1" applyFill="1" applyBorder="1" applyAlignment="1">
      <alignment/>
    </xf>
    <xf numFmtId="180" fontId="0" fillId="0" borderId="15" xfId="17" applyNumberFormat="1" applyBorder="1" applyAlignment="1">
      <alignment/>
    </xf>
    <xf numFmtId="0" fontId="7" fillId="0" borderId="7" xfId="0" applyFont="1" applyBorder="1" applyAlignment="1">
      <alignment/>
    </xf>
    <xf numFmtId="180" fontId="2" fillId="0" borderId="0" xfId="17" applyNumberFormat="1" applyFont="1" applyFill="1" applyBorder="1" applyAlignment="1">
      <alignment/>
    </xf>
    <xf numFmtId="180" fontId="32" fillId="0" borderId="1" xfId="17" applyNumberFormat="1" applyFont="1" applyFill="1" applyBorder="1" applyAlignment="1">
      <alignment/>
    </xf>
    <xf numFmtId="0" fontId="22" fillId="0" borderId="0" xfId="0" applyFont="1" applyFill="1" applyAlignment="1">
      <alignment/>
    </xf>
    <xf numFmtId="169" fontId="2" fillId="0" borderId="0" xfId="15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9" fontId="18" fillId="0" borderId="12" xfId="15" applyNumberFormat="1" applyFont="1" applyFill="1" applyBorder="1" applyAlignment="1">
      <alignment/>
    </xf>
    <xf numFmtId="169" fontId="11" fillId="0" borderId="12" xfId="0" applyNumberFormat="1" applyFont="1" applyFill="1" applyBorder="1" applyAlignment="1">
      <alignment/>
    </xf>
    <xf numFmtId="169" fontId="11" fillId="0" borderId="7" xfId="0" applyNumberFormat="1" applyFont="1" applyFill="1" applyBorder="1" applyAlignment="1">
      <alignment/>
    </xf>
    <xf numFmtId="169" fontId="6" fillId="0" borderId="11" xfId="15" applyNumberFormat="1" applyFont="1" applyFill="1" applyBorder="1" applyAlignment="1">
      <alignment wrapText="1"/>
    </xf>
    <xf numFmtId="169" fontId="0" fillId="0" borderId="11" xfId="15" applyNumberFormat="1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69" fontId="0" fillId="0" borderId="16" xfId="15" applyNumberFormat="1" applyFont="1" applyFill="1" applyBorder="1" applyAlignment="1">
      <alignment/>
    </xf>
    <xf numFmtId="169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169" fontId="2" fillId="0" borderId="16" xfId="15" applyNumberFormat="1" applyFont="1" applyFill="1" applyBorder="1" applyAlignment="1">
      <alignment/>
    </xf>
    <xf numFmtId="169" fontId="2" fillId="0" borderId="17" xfId="15" applyNumberFormat="1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0" fontId="11" fillId="0" borderId="17" xfId="0" applyFont="1" applyFill="1" applyBorder="1" applyAlignment="1">
      <alignment/>
    </xf>
    <xf numFmtId="169" fontId="0" fillId="0" borderId="13" xfId="15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9" fontId="0" fillId="0" borderId="19" xfId="15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0" fontId="11" fillId="0" borderId="21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 quotePrefix="1">
      <alignment wrapText="1"/>
    </xf>
    <xf numFmtId="0" fontId="11" fillId="0" borderId="0" xfId="0" applyFont="1" applyFill="1" applyAlignment="1" quotePrefix="1">
      <alignment wrapText="1"/>
    </xf>
    <xf numFmtId="0" fontId="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'ecp29,ecp30,ecp31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'ecp29,ecp30,ecp31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'ecp29,ecp30,ecp31 reconcil'!#REF!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'ecp29,ecp30,ecp31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'ecp29,ecp30,ecp31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'ecp29,ecp30,ecp31 reconcil'!#REF!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6850190"/>
        <c:axId val="40325119"/>
      </c:barChart>
      <c:lineChart>
        <c:grouping val="standard"/>
        <c:varyColors val="0"/>
        <c:ser>
          <c:idx val="0"/>
          <c:order val="0"/>
          <c:tx>
            <c:strRef>
              <c:f>'ecp29,ecp30,ecp31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'ecp29,ecp30,ecp31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'ecp29,ecp30,ecp31 reconcil'!#REF!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'ecp29,ecp30,ecp31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'ecp29,ecp30,ecp31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'ecp29,ecp30,ecp31 reconcil'!#REF!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381752"/>
        <c:axId val="45109177"/>
      </c:lineChart>
      <c:catAx>
        <c:axId val="268501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325119"/>
        <c:crosses val="autoZero"/>
        <c:auto val="1"/>
        <c:lblOffset val="100"/>
        <c:noMultiLvlLbl val="0"/>
      </c:catAx>
      <c:valAx>
        <c:axId val="40325119"/>
        <c:scaling>
          <c:orientation val="minMax"/>
          <c:max val="1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50190"/>
        <c:crossesAt val="1"/>
        <c:crossBetween val="between"/>
        <c:dispUnits/>
        <c:majorUnit val="1000"/>
      </c:valAx>
      <c:catAx>
        <c:axId val="27381752"/>
        <c:scaling>
          <c:orientation val="minMax"/>
        </c:scaling>
        <c:axPos val="b"/>
        <c:delete val="1"/>
        <c:majorTickMark val="out"/>
        <c:minorTickMark val="none"/>
        <c:tickLblPos val="nextTo"/>
        <c:crossAx val="45109177"/>
        <c:crosses val="autoZero"/>
        <c:auto val="1"/>
        <c:lblOffset val="100"/>
        <c:noMultiLvlLbl val="0"/>
      </c:catAx>
      <c:valAx>
        <c:axId val="45109177"/>
        <c:scaling>
          <c:orientation val="minMax"/>
          <c:max val="9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7381752"/>
        <c:crosses val="max"/>
        <c:crossBetween val="between"/>
        <c:dispUnits/>
        <c:majorUnit val="5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Cost Profile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'ecp29,ecp30,ecp31 reconcil'!#REF!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'ecp29,ecp30,ecp31 reconcil'!#REF!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'ecp29,ecp30,ecp31 reconcil'!#REF!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29410"/>
        <c:axId val="29964691"/>
      </c:lineChart>
      <c:catAx>
        <c:axId val="33294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964691"/>
        <c:crosses val="autoZero"/>
        <c:auto val="1"/>
        <c:lblOffset val="100"/>
        <c:noMultiLvlLbl val="0"/>
      </c:catAx>
      <c:valAx>
        <c:axId val="29964691"/>
        <c:scaling>
          <c:orientation val="minMax"/>
          <c:max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9410"/>
        <c:crossesAt val="1"/>
        <c:crossBetween val="midCat"/>
        <c:dispUnits/>
        <c:majorUnit val="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0.5745</cdr:x>
      <cdr:y>0.3685</cdr:y>
    </cdr:from>
    <cdr:to>
      <cdr:x>0.744</cdr:x>
      <cdr:y>0.52075</cdr:y>
    </cdr:to>
    <cdr:sp>
      <cdr:nvSpPr>
        <cdr:cNvPr id="1" name="Polygon 8"/>
        <cdr:cNvSpPr>
          <a:spLocks/>
        </cdr:cNvSpPr>
      </cdr:nvSpPr>
      <cdr:spPr>
        <a:xfrm>
          <a:off x="0" y="0"/>
          <a:ext cx="0" cy="0"/>
        </a:xfrm>
        <a:custGeom>
          <a:pathLst>
            <a:path h="4314825" w="7753350">
              <a:moveTo>
                <a:pt x="0" y="4314825"/>
              </a:moveTo>
              <a:lnTo>
                <a:pt x="1285875" y="4305300"/>
              </a:lnTo>
              <a:lnTo>
                <a:pt x="1285875" y="3238500"/>
              </a:lnTo>
              <a:lnTo>
                <a:pt x="2571750" y="3238500"/>
              </a:lnTo>
              <a:lnTo>
                <a:pt x="2571750" y="2219325"/>
              </a:lnTo>
              <a:lnTo>
                <a:pt x="3876675" y="2219325"/>
              </a:lnTo>
              <a:lnTo>
                <a:pt x="3876675" y="1219200"/>
              </a:lnTo>
              <a:lnTo>
                <a:pt x="5181600" y="1219200"/>
              </a:lnTo>
              <a:lnTo>
                <a:pt x="5181600" y="219075"/>
              </a:lnTo>
              <a:lnTo>
                <a:pt x="6457950" y="219075"/>
              </a:lnTo>
              <a:lnTo>
                <a:pt x="6457950" y="0"/>
              </a:lnTo>
              <a:lnTo>
                <a:pt x="7753350" y="0"/>
              </a:lnTo>
            </a:path>
          </a:pathLst>
        </a:custGeom>
        <a:noFill/>
        <a:ln w="412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129</xdr:row>
      <xdr:rowOff>0</xdr:rowOff>
    </xdr:from>
    <xdr:to>
      <xdr:col>26</xdr:col>
      <xdr:colOff>0</xdr:colOff>
      <xdr:row>129</xdr:row>
      <xdr:rowOff>0</xdr:rowOff>
    </xdr:to>
    <xdr:graphicFrame>
      <xdr:nvGraphicFramePr>
        <xdr:cNvPr id="1" name="Chart 6"/>
        <xdr:cNvGraphicFramePr/>
      </xdr:nvGraphicFramePr>
      <xdr:xfrm>
        <a:off x="8877300" y="28660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graphicFrame>
      <xdr:nvGraphicFramePr>
        <xdr:cNvPr id="2" name="Chart 10"/>
        <xdr:cNvGraphicFramePr/>
      </xdr:nvGraphicFramePr>
      <xdr:xfrm>
        <a:off x="13230225" y="286607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13230225" y="2866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FY04            FY05          FY06           FY07           FY08          FY09</a:t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3230225" y="2866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$23.7</a:t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3230225" y="2866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$73.0</a:t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3230225" y="2866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$57.1</a:t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13230225" y="2866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41.2</a:t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13230225" y="2866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$88.9</a:t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13230225" y="2866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$92.3</a:t>
          </a:r>
        </a:p>
      </xdr:txBody>
    </xdr:sp>
    <xdr:clientData/>
  </xdr:twoCellAnchor>
  <xdr:twoCellAnchor>
    <xdr:from>
      <xdr:col>29</xdr:col>
      <xdr:colOff>0</xdr:colOff>
      <xdr:row>129</xdr:row>
      <xdr:rowOff>0</xdr:rowOff>
    </xdr:from>
    <xdr:to>
      <xdr:col>29</xdr:col>
      <xdr:colOff>0</xdr:colOff>
      <xdr:row>129</xdr:row>
      <xdr:rowOff>0</xdr:rowOff>
    </xdr:to>
    <xdr:sp>
      <xdr:nvSpPr>
        <xdr:cNvPr id="10" name="TextBox 25"/>
        <xdr:cNvSpPr txBox="1">
          <a:spLocks noChangeArrowheads="1"/>
        </xdr:cNvSpPr>
      </xdr:nvSpPr>
      <xdr:spPr>
        <a:xfrm>
          <a:off x="13230225" y="28660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$88.9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zoomScale="75" zoomScaleNormal="75" workbookViewId="0" topLeftCell="A1">
      <selection activeCell="B1" sqref="B1:P42"/>
    </sheetView>
  </sheetViews>
  <sheetFormatPr defaultColWidth="9.140625" defaultRowHeight="12.75"/>
  <cols>
    <col min="1" max="1" width="3.57421875" style="0" customWidth="1"/>
    <col min="2" max="2" width="24.421875" style="0" customWidth="1"/>
    <col min="3" max="3" width="20.140625" style="0" customWidth="1"/>
    <col min="9" max="9" width="16.57421875" style="0" customWidth="1"/>
    <col min="10" max="10" width="12.140625" style="135" customWidth="1"/>
    <col min="11" max="11" width="3.00390625" style="135" customWidth="1"/>
    <col min="12" max="12" width="8.421875" style="0" customWidth="1"/>
    <col min="13" max="13" width="34.8515625" style="0" customWidth="1"/>
    <col min="14" max="14" width="14.8515625" style="0" customWidth="1"/>
    <col min="15" max="15" width="7.57421875" style="122" customWidth="1"/>
    <col min="16" max="16" width="12.7109375" style="0" customWidth="1"/>
    <col min="22" max="22" width="11.28125" style="0" customWidth="1"/>
  </cols>
  <sheetData>
    <row r="1" spans="2:16" ht="18">
      <c r="B1" s="176" t="s">
        <v>211</v>
      </c>
      <c r="C1" s="177"/>
      <c r="D1" s="128"/>
      <c r="E1" s="128"/>
      <c r="F1" s="128"/>
      <c r="G1" s="128"/>
      <c r="H1" s="128"/>
      <c r="I1" s="128"/>
      <c r="J1" s="178"/>
      <c r="L1" s="148" t="s">
        <v>192</v>
      </c>
      <c r="M1" s="149"/>
      <c r="N1" s="149"/>
      <c r="O1" s="150"/>
      <c r="P1" s="151"/>
    </row>
    <row r="2" spans="2:16" ht="12.75">
      <c r="B2" s="152"/>
      <c r="C2" s="139"/>
      <c r="D2" s="139"/>
      <c r="E2" s="139"/>
      <c r="F2" s="139"/>
      <c r="G2" s="139"/>
      <c r="H2" s="139"/>
      <c r="I2" s="139"/>
      <c r="J2" s="179"/>
      <c r="L2" s="152"/>
      <c r="M2" s="124"/>
      <c r="N2" s="124"/>
      <c r="O2" s="153"/>
      <c r="P2" s="154"/>
    </row>
    <row r="3" spans="2:17" ht="12.75">
      <c r="B3" s="168" t="s">
        <v>196</v>
      </c>
      <c r="C3" s="167"/>
      <c r="D3" s="139"/>
      <c r="E3" s="139"/>
      <c r="F3" s="139"/>
      <c r="G3" s="139"/>
      <c r="H3" s="139"/>
      <c r="I3" s="139"/>
      <c r="J3" s="179"/>
      <c r="K3" s="136"/>
      <c r="L3" s="155" t="s">
        <v>1</v>
      </c>
      <c r="M3" s="124"/>
      <c r="N3" s="124"/>
      <c r="O3" s="156" t="s">
        <v>264</v>
      </c>
      <c r="P3" s="157"/>
      <c r="Q3" s="1"/>
    </row>
    <row r="4" spans="2:17" ht="12.75">
      <c r="B4" s="185" t="s">
        <v>198</v>
      </c>
      <c r="C4" s="139" t="s">
        <v>203</v>
      </c>
      <c r="D4" s="139" t="s">
        <v>204</v>
      </c>
      <c r="E4" s="139"/>
      <c r="F4" s="139"/>
      <c r="G4" s="139"/>
      <c r="H4" s="139"/>
      <c r="I4" s="139"/>
      <c r="J4" s="179">
        <f>10/12*0.3*1726*154</f>
        <v>66451</v>
      </c>
      <c r="K4" s="136"/>
      <c r="L4" s="158" t="s">
        <v>202</v>
      </c>
      <c r="M4" s="124" t="s">
        <v>212</v>
      </c>
      <c r="N4" s="159">
        <f>SUM(J4)</f>
        <v>66451</v>
      </c>
      <c r="O4" s="153">
        <v>0.1</v>
      </c>
      <c r="P4" s="160">
        <f>+O4*N4</f>
        <v>6645.1</v>
      </c>
      <c r="Q4" s="1"/>
    </row>
    <row r="5" spans="2:17" ht="12.75">
      <c r="B5" s="168"/>
      <c r="C5" s="139" t="s">
        <v>206</v>
      </c>
      <c r="D5" s="139" t="s">
        <v>207</v>
      </c>
      <c r="E5" s="139"/>
      <c r="F5" s="139"/>
      <c r="G5" s="139"/>
      <c r="H5" s="139"/>
      <c r="I5" s="139"/>
      <c r="J5" s="179">
        <f>10/12*1726*0.37*154</f>
        <v>81956.23333333334</v>
      </c>
      <c r="K5" s="136"/>
      <c r="L5" s="158" t="s">
        <v>205</v>
      </c>
      <c r="M5" s="124" t="s">
        <v>213</v>
      </c>
      <c r="N5" s="159">
        <f>SUM(J5)</f>
        <v>81956.23333333334</v>
      </c>
      <c r="O5" s="153">
        <v>0.1</v>
      </c>
      <c r="P5" s="160">
        <f>+O5*N5</f>
        <v>8195.623333333335</v>
      </c>
      <c r="Q5" s="1"/>
    </row>
    <row r="6" spans="2:17" ht="12.75">
      <c r="B6" s="168"/>
      <c r="C6" s="143"/>
      <c r="D6" s="143"/>
      <c r="E6" s="143"/>
      <c r="F6" s="143"/>
      <c r="G6" s="143"/>
      <c r="H6" s="143"/>
      <c r="I6" s="143"/>
      <c r="J6" s="180"/>
      <c r="K6" s="136"/>
      <c r="L6" s="158" t="s">
        <v>208</v>
      </c>
      <c r="M6" s="124" t="s">
        <v>214</v>
      </c>
      <c r="N6" s="159">
        <f>SUM(J7:J10)</f>
        <v>817958.6046666666</v>
      </c>
      <c r="O6" s="153">
        <v>0.17</v>
      </c>
      <c r="P6" s="160">
        <f>+O6*N6</f>
        <v>139052.96279333334</v>
      </c>
      <c r="Q6" s="144"/>
    </row>
    <row r="7" spans="2:17" ht="15">
      <c r="B7" s="168" t="s">
        <v>208</v>
      </c>
      <c r="C7" s="139" t="s">
        <v>209</v>
      </c>
      <c r="D7" s="139" t="s">
        <v>174</v>
      </c>
      <c r="E7" s="143"/>
      <c r="F7" s="139"/>
      <c r="G7" s="139"/>
      <c r="H7" s="139"/>
      <c r="I7" s="139"/>
      <c r="J7" s="179">
        <f>159.62*1768*14/12*0.9</f>
        <v>296318.568</v>
      </c>
      <c r="K7" s="136"/>
      <c r="L7" s="158" t="s">
        <v>210</v>
      </c>
      <c r="M7" s="124" t="s">
        <v>215</v>
      </c>
      <c r="N7" s="161">
        <f>SUM(J11:J13)</f>
        <v>232495.65199999997</v>
      </c>
      <c r="O7" s="153">
        <v>0.17</v>
      </c>
      <c r="P7" s="160">
        <f>+O7*N7</f>
        <v>39524.260839999995</v>
      </c>
      <c r="Q7" s="144"/>
    </row>
    <row r="8" spans="2:17" ht="12.75">
      <c r="B8" s="185" t="s">
        <v>198</v>
      </c>
      <c r="C8" s="167"/>
      <c r="D8" s="139" t="s">
        <v>175</v>
      </c>
      <c r="E8" s="143"/>
      <c r="F8" s="139"/>
      <c r="G8" s="139"/>
      <c r="H8" s="139"/>
      <c r="I8" s="139"/>
      <c r="J8" s="179">
        <f>250.53*1768*14/12*0.85</f>
        <v>439245.8979999999</v>
      </c>
      <c r="K8" s="136"/>
      <c r="L8" s="158"/>
      <c r="M8" s="124"/>
      <c r="N8" s="159">
        <f>SUM(N4:N7)</f>
        <v>1198861.49</v>
      </c>
      <c r="O8" s="153"/>
      <c r="P8" s="160"/>
      <c r="Q8" s="144"/>
    </row>
    <row r="9" spans="2:17" ht="12.75">
      <c r="B9" s="168"/>
      <c r="C9" s="167"/>
      <c r="D9" s="139" t="s">
        <v>176</v>
      </c>
      <c r="E9" s="143"/>
      <c r="F9" s="139"/>
      <c r="G9" s="139"/>
      <c r="H9" s="139"/>
      <c r="I9" s="139"/>
      <c r="J9" s="179">
        <f>50.47*2080*14/12*0.4</f>
        <v>48989.54666666666</v>
      </c>
      <c r="K9" s="136"/>
      <c r="L9" s="129"/>
      <c r="M9" s="143"/>
      <c r="N9" s="143"/>
      <c r="O9" s="130"/>
      <c r="P9" s="131"/>
      <c r="Q9" s="144"/>
    </row>
    <row r="10" spans="2:17" ht="12.75">
      <c r="B10" s="168"/>
      <c r="C10" s="167"/>
      <c r="D10" s="139" t="s">
        <v>177</v>
      </c>
      <c r="E10" s="143"/>
      <c r="F10" s="139"/>
      <c r="G10" s="139"/>
      <c r="H10" s="139"/>
      <c r="I10" s="139"/>
      <c r="J10" s="179">
        <f>1768*0.1*188.94</f>
        <v>33404.592000000004</v>
      </c>
      <c r="K10" s="136"/>
      <c r="L10" s="129"/>
      <c r="M10" s="143"/>
      <c r="N10" s="143"/>
      <c r="O10" s="130"/>
      <c r="P10" s="131"/>
      <c r="Q10" s="144"/>
    </row>
    <row r="11" spans="2:17" ht="12.75">
      <c r="B11" s="168" t="s">
        <v>210</v>
      </c>
      <c r="C11" s="139" t="s">
        <v>178</v>
      </c>
      <c r="D11" s="143"/>
      <c r="E11" s="139"/>
      <c r="F11" s="139"/>
      <c r="G11" s="139"/>
      <c r="H11" s="139"/>
      <c r="I11" s="139"/>
      <c r="J11" s="179">
        <f>1726*0.6*179.78</f>
        <v>186180.16799999998</v>
      </c>
      <c r="K11" s="136"/>
      <c r="L11" s="129"/>
      <c r="M11" s="143"/>
      <c r="N11" s="143"/>
      <c r="O11" s="130"/>
      <c r="P11" s="131"/>
      <c r="Q11" s="144"/>
    </row>
    <row r="12" spans="2:17" ht="12.75">
      <c r="B12" s="185" t="s">
        <v>198</v>
      </c>
      <c r="C12" s="139" t="s">
        <v>179</v>
      </c>
      <c r="D12" s="143"/>
      <c r="E12" s="139"/>
      <c r="F12" s="139"/>
      <c r="G12" s="139"/>
      <c r="H12" s="139"/>
      <c r="I12" s="139"/>
      <c r="J12" s="179">
        <f>1726*0.1*179.34</f>
        <v>30954.084000000006</v>
      </c>
      <c r="K12" s="136"/>
      <c r="L12" s="129"/>
      <c r="M12" s="143"/>
      <c r="N12" s="143"/>
      <c r="O12" s="130"/>
      <c r="P12" s="131"/>
      <c r="Q12" s="144"/>
    </row>
    <row r="13" spans="2:17" ht="15">
      <c r="B13" s="168"/>
      <c r="C13" s="139" t="s">
        <v>180</v>
      </c>
      <c r="D13" s="143"/>
      <c r="E13" s="139"/>
      <c r="F13" s="139"/>
      <c r="G13" s="139"/>
      <c r="H13" s="139"/>
      <c r="I13" s="139"/>
      <c r="J13" s="181">
        <f>1726*0.1*89</f>
        <v>15361.400000000001</v>
      </c>
      <c r="K13" s="136"/>
      <c r="L13" s="129"/>
      <c r="M13" s="143"/>
      <c r="N13" s="143"/>
      <c r="O13" s="130"/>
      <c r="P13" s="131"/>
      <c r="Q13" s="144"/>
    </row>
    <row r="14" spans="2:17" ht="12.75">
      <c r="B14" s="129"/>
      <c r="C14" s="143"/>
      <c r="D14" s="143"/>
      <c r="E14" s="143"/>
      <c r="F14" s="143"/>
      <c r="G14" s="143"/>
      <c r="H14" s="143"/>
      <c r="I14" s="143"/>
      <c r="J14" s="180">
        <f>SUM(J4:J13)</f>
        <v>1198861.49</v>
      </c>
      <c r="K14" s="136"/>
      <c r="L14" s="129"/>
      <c r="M14" s="143"/>
      <c r="N14" s="143"/>
      <c r="O14" s="130"/>
      <c r="P14" s="131"/>
      <c r="Q14" s="144"/>
    </row>
    <row r="15" spans="2:17" ht="12.75">
      <c r="B15" s="129"/>
      <c r="C15" s="143"/>
      <c r="D15" s="143"/>
      <c r="E15" s="143"/>
      <c r="F15" s="143"/>
      <c r="G15" s="143"/>
      <c r="H15" s="143"/>
      <c r="I15" s="143"/>
      <c r="J15" s="180"/>
      <c r="K15" s="136"/>
      <c r="L15" s="129"/>
      <c r="M15" s="143"/>
      <c r="N15" s="143"/>
      <c r="O15" s="130"/>
      <c r="P15" s="131"/>
      <c r="Q15" s="144"/>
    </row>
    <row r="16" spans="2:18" ht="12.75">
      <c r="B16" s="168" t="s">
        <v>193</v>
      </c>
      <c r="C16" s="182" t="s">
        <v>170</v>
      </c>
      <c r="D16" s="143"/>
      <c r="E16" s="139"/>
      <c r="F16" s="139"/>
      <c r="G16" s="139"/>
      <c r="H16" s="139"/>
      <c r="I16" s="139"/>
      <c r="J16" s="179"/>
      <c r="K16" s="136"/>
      <c r="L16" s="129"/>
      <c r="M16" s="143"/>
      <c r="N16" s="143"/>
      <c r="O16" s="130"/>
      <c r="P16" s="131"/>
      <c r="Q16" s="145"/>
      <c r="R16" s="141"/>
    </row>
    <row r="17" spans="2:17" ht="12.75">
      <c r="B17" s="185" t="s">
        <v>198</v>
      </c>
      <c r="C17" s="167"/>
      <c r="D17" s="139" t="s">
        <v>200</v>
      </c>
      <c r="E17" s="139"/>
      <c r="F17" s="139" t="s">
        <v>191</v>
      </c>
      <c r="G17" s="139"/>
      <c r="H17" s="139"/>
      <c r="I17" s="139"/>
      <c r="J17" s="179">
        <f>332*0.27*6.64*179.78</f>
        <v>107006.781888</v>
      </c>
      <c r="K17" s="136"/>
      <c r="L17" s="155" t="s">
        <v>2</v>
      </c>
      <c r="M17" s="124"/>
      <c r="N17" s="124"/>
      <c r="O17" s="153"/>
      <c r="P17" s="160"/>
      <c r="Q17" s="144"/>
    </row>
    <row r="18" spans="2:17" ht="12.75">
      <c r="B18" s="168" t="s">
        <v>194</v>
      </c>
      <c r="C18" s="182" t="s">
        <v>166</v>
      </c>
      <c r="D18" s="139"/>
      <c r="E18" s="139"/>
      <c r="F18" s="139"/>
      <c r="G18" s="139"/>
      <c r="H18" s="139"/>
      <c r="I18" s="139"/>
      <c r="J18" s="179"/>
      <c r="K18" s="136"/>
      <c r="L18" s="158" t="s">
        <v>199</v>
      </c>
      <c r="M18" s="124"/>
      <c r="N18" s="159">
        <f>SUM(J17)</f>
        <v>107006.781888</v>
      </c>
      <c r="O18" s="153">
        <v>0.4</v>
      </c>
      <c r="P18" s="160">
        <f>+O18*N18</f>
        <v>42802.7127552</v>
      </c>
      <c r="Q18" s="144"/>
    </row>
    <row r="19" spans="2:17" ht="12.75">
      <c r="B19" s="185" t="s">
        <v>198</v>
      </c>
      <c r="C19" s="167"/>
      <c r="D19" s="139" t="s">
        <v>188</v>
      </c>
      <c r="E19" s="139"/>
      <c r="F19" s="139"/>
      <c r="G19" s="139"/>
      <c r="H19" s="139"/>
      <c r="I19" s="139"/>
      <c r="J19" s="179"/>
      <c r="K19" s="136"/>
      <c r="L19" s="158" t="s">
        <v>0</v>
      </c>
      <c r="M19" s="124"/>
      <c r="N19" s="159">
        <f>SUM(J20:J25)</f>
        <v>703276.354304</v>
      </c>
      <c r="O19" s="153">
        <v>0.4</v>
      </c>
      <c r="P19" s="160">
        <f>+O19*N19</f>
        <v>281310.54172160005</v>
      </c>
      <c r="Q19" s="144"/>
    </row>
    <row r="20" spans="2:20" ht="15">
      <c r="B20" s="168"/>
      <c r="C20" s="167"/>
      <c r="D20" s="139"/>
      <c r="E20" s="139" t="s">
        <v>186</v>
      </c>
      <c r="F20" s="139"/>
      <c r="G20" s="139"/>
      <c r="H20" s="139"/>
      <c r="I20" s="139"/>
      <c r="J20" s="179">
        <f>272*6.64*0.86*179.78</f>
        <v>279239.473664</v>
      </c>
      <c r="K20" s="136"/>
      <c r="L20" s="158" t="s">
        <v>201</v>
      </c>
      <c r="M20" s="124"/>
      <c r="N20" s="161">
        <f>SUM(J26:J27)</f>
        <v>441181.78206666664</v>
      </c>
      <c r="O20" s="153">
        <v>0.24</v>
      </c>
      <c r="P20" s="160">
        <f>+O20*N20</f>
        <v>105883.627696</v>
      </c>
      <c r="Q20" s="144"/>
      <c r="R20" s="138"/>
      <c r="S20" s="138"/>
      <c r="T20" s="141"/>
    </row>
    <row r="21" spans="2:17" ht="12.75">
      <c r="B21" s="168"/>
      <c r="C21" s="167"/>
      <c r="D21" s="139" t="s">
        <v>167</v>
      </c>
      <c r="E21" s="139"/>
      <c r="F21" s="139"/>
      <c r="G21" s="139"/>
      <c r="H21" s="139"/>
      <c r="I21" s="139"/>
      <c r="J21" s="179"/>
      <c r="K21" s="136"/>
      <c r="L21" s="152"/>
      <c r="M21" s="124"/>
      <c r="N21" s="159">
        <f>SUM(N18:N20)</f>
        <v>1251464.9182586665</v>
      </c>
      <c r="O21" s="153"/>
      <c r="P21" s="160"/>
      <c r="Q21" s="144"/>
    </row>
    <row r="22" spans="2:17" ht="12.75">
      <c r="B22" s="168"/>
      <c r="C22" s="167"/>
      <c r="D22" s="139"/>
      <c r="E22" s="139" t="s">
        <v>168</v>
      </c>
      <c r="F22" s="139"/>
      <c r="G22" s="139"/>
      <c r="H22" s="139"/>
      <c r="I22" s="139"/>
      <c r="J22" s="179">
        <f>272*6.64*0.5*179.78</f>
        <v>162348.5312</v>
      </c>
      <c r="K22" s="136"/>
      <c r="L22" s="129"/>
      <c r="M22" s="143"/>
      <c r="N22" s="143"/>
      <c r="O22" s="130"/>
      <c r="P22" s="131"/>
      <c r="Q22" s="144"/>
    </row>
    <row r="23" spans="2:17" ht="12.75">
      <c r="B23" s="168"/>
      <c r="C23" s="167"/>
      <c r="D23" s="139" t="s">
        <v>189</v>
      </c>
      <c r="E23" s="139"/>
      <c r="F23" s="139"/>
      <c r="G23" s="139"/>
      <c r="H23" s="139"/>
      <c r="I23" s="139"/>
      <c r="J23" s="179"/>
      <c r="K23" s="136"/>
      <c r="L23" s="129"/>
      <c r="M23" s="143"/>
      <c r="N23" s="143"/>
      <c r="O23" s="130"/>
      <c r="P23" s="131"/>
      <c r="Q23" s="144"/>
    </row>
    <row r="24" spans="2:17" ht="12.75">
      <c r="B24" s="168"/>
      <c r="C24" s="167"/>
      <c r="D24" s="139"/>
      <c r="E24" s="139" t="s">
        <v>187</v>
      </c>
      <c r="F24" s="139"/>
      <c r="G24" s="139"/>
      <c r="H24" s="139"/>
      <c r="I24" s="139"/>
      <c r="J24" s="179">
        <f>272*6.64*0.86*116.55</f>
        <v>181028.81663999998</v>
      </c>
      <c r="K24" s="136"/>
      <c r="L24" s="129"/>
      <c r="M24" s="143"/>
      <c r="N24" s="143"/>
      <c r="O24" s="130"/>
      <c r="P24" s="131"/>
      <c r="Q24" s="144"/>
    </row>
    <row r="25" spans="2:17" ht="12.75">
      <c r="B25" s="168"/>
      <c r="C25" s="167"/>
      <c r="D25" s="139" t="s">
        <v>169</v>
      </c>
      <c r="E25" s="139"/>
      <c r="F25" s="139"/>
      <c r="G25" s="139"/>
      <c r="H25" s="139"/>
      <c r="I25" s="139"/>
      <c r="J25" s="183">
        <f>272*6.64*0.29*154</f>
        <v>80659.5328</v>
      </c>
      <c r="K25" s="136"/>
      <c r="L25" s="129"/>
      <c r="M25" s="143"/>
      <c r="N25" s="143"/>
      <c r="O25" s="130"/>
      <c r="P25" s="131"/>
      <c r="Q25" s="144"/>
    </row>
    <row r="26" spans="2:17" ht="12.75">
      <c r="B26" s="168" t="s">
        <v>195</v>
      </c>
      <c r="C26" s="139" t="s">
        <v>171</v>
      </c>
      <c r="D26" s="139" t="s">
        <v>172</v>
      </c>
      <c r="E26" s="143"/>
      <c r="F26" s="139"/>
      <c r="G26" s="139"/>
      <c r="H26" s="139"/>
      <c r="I26" s="139"/>
      <c r="J26" s="179">
        <f>14/12*1300*117.07</f>
        <v>177556.16666666666</v>
      </c>
      <c r="K26" s="136"/>
      <c r="L26" s="129"/>
      <c r="M26" s="143"/>
      <c r="N26" s="143"/>
      <c r="O26" s="130"/>
      <c r="P26" s="131"/>
      <c r="Q26" s="144"/>
    </row>
    <row r="27" spans="2:17" ht="15">
      <c r="B27" s="185" t="s">
        <v>198</v>
      </c>
      <c r="C27" s="139" t="s">
        <v>173</v>
      </c>
      <c r="D27" s="139"/>
      <c r="E27" s="143"/>
      <c r="F27" s="139"/>
      <c r="G27" s="139"/>
      <c r="H27" s="139"/>
      <c r="I27" s="139"/>
      <c r="J27" s="181">
        <f>14/12*1726*0.73*179.34</f>
        <v>263625.6154</v>
      </c>
      <c r="K27" s="136"/>
      <c r="L27" s="129"/>
      <c r="M27" s="143"/>
      <c r="N27" s="143"/>
      <c r="O27" s="130"/>
      <c r="P27" s="131"/>
      <c r="Q27" s="144"/>
    </row>
    <row r="28" spans="2:17" ht="12.75">
      <c r="B28" s="129"/>
      <c r="C28" s="143"/>
      <c r="D28" s="143"/>
      <c r="E28" s="143"/>
      <c r="F28" s="143"/>
      <c r="G28" s="143"/>
      <c r="H28" s="143"/>
      <c r="I28" s="143"/>
      <c r="J28" s="180">
        <f>SUM(J17:J27)</f>
        <v>1251464.9182586665</v>
      </c>
      <c r="K28" s="136"/>
      <c r="L28" s="129"/>
      <c r="M28" s="143"/>
      <c r="N28" s="143"/>
      <c r="O28" s="130"/>
      <c r="P28" s="131"/>
      <c r="Q28" s="144"/>
    </row>
    <row r="29" spans="2:35" ht="12.75">
      <c r="B29" s="168"/>
      <c r="C29" s="167"/>
      <c r="D29" s="143"/>
      <c r="E29" s="143"/>
      <c r="F29" s="143"/>
      <c r="G29" s="143"/>
      <c r="H29" s="143"/>
      <c r="I29" s="143"/>
      <c r="J29" s="180"/>
      <c r="K29" s="136"/>
      <c r="L29" s="129"/>
      <c r="M29" s="143"/>
      <c r="N29" s="143"/>
      <c r="O29" s="130"/>
      <c r="P29" s="13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ht="12.75">
      <c r="B30" s="129"/>
      <c r="C30" s="167"/>
      <c r="D30" s="139"/>
      <c r="E30" s="139"/>
      <c r="F30" s="139"/>
      <c r="G30" s="139"/>
      <c r="H30" s="139"/>
      <c r="I30" s="139"/>
      <c r="J30" s="179"/>
      <c r="K30" s="136"/>
      <c r="L30" s="129"/>
      <c r="M30" s="143"/>
      <c r="N30" s="143"/>
      <c r="O30" s="130"/>
      <c r="P30" s="13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ht="12.75">
      <c r="B31" s="129"/>
      <c r="C31" s="143"/>
      <c r="D31" s="143"/>
      <c r="E31" s="143"/>
      <c r="F31" s="143"/>
      <c r="G31" s="143"/>
      <c r="H31" s="143"/>
      <c r="I31" s="143"/>
      <c r="J31" s="180"/>
      <c r="K31" s="136"/>
      <c r="L31" s="155" t="s">
        <v>3</v>
      </c>
      <c r="M31" s="139"/>
      <c r="N31" s="139"/>
      <c r="O31" s="153"/>
      <c r="P31" s="160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35" ht="12.75">
      <c r="B32" s="168" t="s">
        <v>183</v>
      </c>
      <c r="C32" s="167"/>
      <c r="D32" s="139"/>
      <c r="E32" s="139"/>
      <c r="F32" s="139"/>
      <c r="G32" s="139"/>
      <c r="H32" s="139"/>
      <c r="I32" s="139"/>
      <c r="J32" s="183">
        <v>1590290</v>
      </c>
      <c r="K32" s="136"/>
      <c r="L32" s="158" t="s">
        <v>197</v>
      </c>
      <c r="M32" s="124"/>
      <c r="N32" s="159">
        <f>SUM(J32)</f>
        <v>1590290</v>
      </c>
      <c r="O32" s="153">
        <v>0.25</v>
      </c>
      <c r="P32" s="160">
        <f>+O32*N32</f>
        <v>397572.5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2.75">
      <c r="B33" s="168" t="s">
        <v>181</v>
      </c>
      <c r="C33" s="167"/>
      <c r="D33" s="139"/>
      <c r="E33" s="139"/>
      <c r="F33" s="139"/>
      <c r="G33" s="139"/>
      <c r="H33" s="139"/>
      <c r="I33" s="139"/>
      <c r="J33" s="179">
        <v>345000</v>
      </c>
      <c r="K33" s="136"/>
      <c r="L33" s="158" t="s">
        <v>217</v>
      </c>
      <c r="M33" s="139"/>
      <c r="N33" s="162">
        <f>SUM(J33)</f>
        <v>345000</v>
      </c>
      <c r="O33" s="153">
        <v>0.1</v>
      </c>
      <c r="P33" s="160">
        <f>+O33*N33</f>
        <v>34500</v>
      </c>
      <c r="Q33" s="1"/>
      <c r="R33" s="1"/>
      <c r="S33" s="1"/>
      <c r="T33" s="1"/>
      <c r="U33" s="1"/>
      <c r="V33" s="136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5" ht="15">
      <c r="B34" s="168" t="s">
        <v>182</v>
      </c>
      <c r="C34" s="167"/>
      <c r="D34" s="139"/>
      <c r="E34" s="139"/>
      <c r="F34" s="139"/>
      <c r="G34" s="139"/>
      <c r="H34" s="139"/>
      <c r="I34" s="139"/>
      <c r="J34" s="181">
        <v>399251</v>
      </c>
      <c r="K34" s="136"/>
      <c r="L34" s="158" t="s">
        <v>216</v>
      </c>
      <c r="M34" s="124"/>
      <c r="N34" s="161">
        <f>SUM(J34)</f>
        <v>399251</v>
      </c>
      <c r="O34" s="153">
        <v>0.25</v>
      </c>
      <c r="P34" s="160">
        <f>+O34*N34</f>
        <v>99812.75</v>
      </c>
      <c r="Q34" s="1"/>
      <c r="R34" s="1"/>
      <c r="S34" s="1"/>
      <c r="T34" s="1"/>
      <c r="U34" s="1"/>
      <c r="V34" s="136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35" ht="13.5" thickBot="1">
      <c r="B35" s="132"/>
      <c r="C35" s="133"/>
      <c r="D35" s="133"/>
      <c r="E35" s="133"/>
      <c r="F35" s="133"/>
      <c r="G35" s="133"/>
      <c r="H35" s="133"/>
      <c r="I35" s="133"/>
      <c r="J35" s="184">
        <f>SUM(J32:J34)</f>
        <v>2334541</v>
      </c>
      <c r="K35" s="136"/>
      <c r="L35" s="152"/>
      <c r="M35" s="139"/>
      <c r="N35" s="162">
        <f>SUM(N32:N34)</f>
        <v>2334541</v>
      </c>
      <c r="O35" s="163" t="s">
        <v>4</v>
      </c>
      <c r="P35" s="157"/>
      <c r="Q35" s="1"/>
      <c r="R35" s="1"/>
      <c r="S35" s="1"/>
      <c r="T35" s="1"/>
      <c r="U35" s="1"/>
      <c r="V35" s="136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1:35" ht="12.75">
      <c r="K36" s="136"/>
      <c r="L36" s="158"/>
      <c r="M36" s="143"/>
      <c r="N36" s="143"/>
      <c r="O36" s="130"/>
      <c r="P36" s="131"/>
      <c r="Q36" s="1"/>
      <c r="R36" s="1"/>
      <c r="S36" s="1"/>
      <c r="T36" s="1"/>
      <c r="U36" s="1"/>
      <c r="V36" s="136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4:35" ht="12.75">
      <c r="D37" s="1"/>
      <c r="E37" s="1"/>
      <c r="F37" s="1"/>
      <c r="G37" s="1"/>
      <c r="H37" s="1"/>
      <c r="I37" s="1"/>
      <c r="J37" s="136"/>
      <c r="K37" s="136"/>
      <c r="L37" s="158"/>
      <c r="M37" s="164" t="s">
        <v>219</v>
      </c>
      <c r="N37" s="159">
        <f>SUM(N35,N21,N8)</f>
        <v>4784867.408258666</v>
      </c>
      <c r="O37" s="165">
        <f>+P37/N37</f>
        <v>0.24144871332179915</v>
      </c>
      <c r="P37" s="160">
        <f>SUM(P4:P34)</f>
        <v>1155300.0791394669</v>
      </c>
      <c r="Q37" s="1"/>
      <c r="R37" s="1"/>
      <c r="S37" s="1"/>
      <c r="T37" s="1"/>
      <c r="U37" s="1"/>
      <c r="V37" s="136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1:35" ht="12.75">
      <c r="K38" s="136"/>
      <c r="L38" s="152"/>
      <c r="M38" s="124"/>
      <c r="N38" s="139"/>
      <c r="O38" s="153"/>
      <c r="P38" s="154"/>
      <c r="Q38" s="1"/>
      <c r="R38" s="1"/>
      <c r="S38" s="1"/>
      <c r="T38" s="1"/>
      <c r="U38" s="1"/>
      <c r="V38" s="136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1:35" ht="12.75">
      <c r="K39" s="136"/>
      <c r="L39" s="152"/>
      <c r="M39" s="166" t="s">
        <v>219</v>
      </c>
      <c r="N39" s="186">
        <f>SUM(N37)</f>
        <v>4784867.408258666</v>
      </c>
      <c r="O39" s="167" t="s">
        <v>190</v>
      </c>
      <c r="P39" s="187">
        <f>+N39*0.25</f>
        <v>1196216.8520646666</v>
      </c>
      <c r="Q39" s="1"/>
      <c r="R39" s="1"/>
      <c r="S39" s="1"/>
      <c r="T39" s="1"/>
      <c r="U39" s="1"/>
      <c r="V39" s="136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3:35" ht="12.75">
      <c r="C40" s="4"/>
      <c r="D40" s="1"/>
      <c r="E40" s="1"/>
      <c r="F40" s="1"/>
      <c r="G40" s="1"/>
      <c r="H40" s="1"/>
      <c r="I40" s="1"/>
      <c r="J40" s="136"/>
      <c r="K40" s="136"/>
      <c r="L40" s="152"/>
      <c r="M40" s="139"/>
      <c r="N40" s="139"/>
      <c r="O40" s="153"/>
      <c r="P40" s="160"/>
      <c r="Q40" s="1"/>
      <c r="R40" s="1"/>
      <c r="S40" s="1"/>
      <c r="T40" s="1"/>
      <c r="U40" s="1"/>
      <c r="V40" s="136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5:35" ht="12.75">
      <c r="E41" s="1"/>
      <c r="F41" s="1"/>
      <c r="G41" s="1"/>
      <c r="H41" s="1"/>
      <c r="I41" s="1"/>
      <c r="J41" s="136"/>
      <c r="K41" s="136"/>
      <c r="L41" s="168"/>
      <c r="M41" s="139"/>
      <c r="N41" s="139"/>
      <c r="O41" s="169"/>
      <c r="P41" s="170"/>
      <c r="Q41" s="1"/>
      <c r="R41" s="1"/>
      <c r="S41" s="1"/>
      <c r="T41" s="1"/>
      <c r="U41" s="1"/>
      <c r="V41" s="136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1:35" ht="16.5" thickBot="1">
      <c r="K42" s="136"/>
      <c r="L42" s="171"/>
      <c r="M42" s="172" t="s">
        <v>5</v>
      </c>
      <c r="N42" s="173">
        <f>SUM(N39,P39)</f>
        <v>5981084.260323333</v>
      </c>
      <c r="O42" s="174"/>
      <c r="P42" s="17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7:35" ht="12.75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1:17" ht="12.75">
      <c r="K44" s="136"/>
      <c r="Q44" s="1"/>
    </row>
    <row r="45" spans="11:17" ht="12.75">
      <c r="K45" s="136"/>
      <c r="L45" s="4"/>
      <c r="M45" s="1"/>
      <c r="N45" s="4"/>
      <c r="O45" s="1"/>
      <c r="P45" s="1"/>
      <c r="Q45" s="1"/>
    </row>
    <row r="46" spans="11:17" ht="12.75">
      <c r="K46" s="136"/>
      <c r="L46" s="1"/>
      <c r="M46" s="1"/>
      <c r="N46" s="1"/>
      <c r="O46" s="140"/>
      <c r="P46" s="1"/>
      <c r="Q46" s="1"/>
    </row>
    <row r="47" spans="1:17" ht="12.75">
      <c r="A47" s="123"/>
      <c r="C47" s="4"/>
      <c r="D47" s="1"/>
      <c r="E47" s="1"/>
      <c r="F47" s="1"/>
      <c r="G47" s="1"/>
      <c r="H47" s="1"/>
      <c r="I47" s="1"/>
      <c r="J47" s="136"/>
      <c r="K47" s="136"/>
      <c r="L47" s="1"/>
      <c r="M47" s="1"/>
      <c r="N47" s="1"/>
      <c r="O47" s="140"/>
      <c r="P47" s="1"/>
      <c r="Q47" s="1"/>
    </row>
    <row r="48" spans="11:17" ht="12.75">
      <c r="K48" s="136"/>
      <c r="L48" s="1"/>
      <c r="M48" s="1"/>
      <c r="N48" s="1"/>
      <c r="O48" s="140"/>
      <c r="P48" s="1"/>
      <c r="Q48" s="1"/>
    </row>
    <row r="49" spans="11:17" ht="12.75">
      <c r="K49" s="136"/>
      <c r="L49" s="1"/>
      <c r="M49" s="1"/>
      <c r="N49" s="1"/>
      <c r="O49" s="140"/>
      <c r="P49" s="1"/>
      <c r="Q49" s="1"/>
    </row>
    <row r="50" spans="11:17" ht="15">
      <c r="K50" s="146"/>
      <c r="L50" s="1"/>
      <c r="M50" s="1"/>
      <c r="N50" s="1"/>
      <c r="O50" s="140"/>
      <c r="P50" s="1"/>
      <c r="Q50" s="1"/>
    </row>
    <row r="51" spans="2:17" ht="12.75">
      <c r="B51" s="4"/>
      <c r="C51" s="4"/>
      <c r="D51" s="1"/>
      <c r="E51" s="1"/>
      <c r="F51" s="1"/>
      <c r="G51" s="1"/>
      <c r="H51" s="1"/>
      <c r="I51" s="1"/>
      <c r="J51" s="136"/>
      <c r="K51" s="136"/>
      <c r="L51" s="1"/>
      <c r="M51" s="1"/>
      <c r="N51" s="1"/>
      <c r="O51" s="140"/>
      <c r="P51" s="1"/>
      <c r="Q51" s="1"/>
    </row>
    <row r="52" spans="2:10" ht="12.75">
      <c r="B52" s="4"/>
      <c r="C52" s="4"/>
      <c r="D52" s="1"/>
      <c r="E52" s="1"/>
      <c r="F52" s="1"/>
      <c r="G52" s="1"/>
      <c r="H52" s="1"/>
      <c r="I52" s="1"/>
      <c r="J52" s="136"/>
    </row>
    <row r="54" spans="2:10" ht="12.75">
      <c r="B54" s="4"/>
      <c r="C54" s="4"/>
      <c r="D54" s="1"/>
      <c r="E54" s="1"/>
      <c r="F54" s="1"/>
      <c r="G54" s="1"/>
      <c r="H54" s="1"/>
      <c r="I54" s="1"/>
      <c r="J54" s="136"/>
    </row>
    <row r="56" spans="2:10" ht="12.75">
      <c r="B56" s="4"/>
      <c r="C56" s="4"/>
      <c r="D56" s="1"/>
      <c r="E56" s="1"/>
      <c r="F56" s="1"/>
      <c r="G56" s="1"/>
      <c r="H56" s="1"/>
      <c r="I56" s="1"/>
      <c r="J56" s="136"/>
    </row>
    <row r="58" spans="2:10" ht="12.75">
      <c r="B58" s="1"/>
      <c r="C58" s="1"/>
      <c r="D58" s="1"/>
      <c r="E58" s="1"/>
      <c r="F58" s="1"/>
      <c r="G58" s="1"/>
      <c r="H58" s="1"/>
      <c r="I58" s="1"/>
      <c r="J58" s="136"/>
    </row>
    <row r="59" spans="2:10" ht="12.75">
      <c r="B59" s="1"/>
      <c r="C59" s="1"/>
      <c r="D59" s="1"/>
      <c r="E59" s="1"/>
      <c r="F59" s="1"/>
      <c r="G59" s="1"/>
      <c r="H59" s="1"/>
      <c r="I59" s="1"/>
      <c r="J59" s="136">
        <f>SUM(J3:J56)</f>
        <v>9569734.816517334</v>
      </c>
    </row>
  </sheetData>
  <printOptions gridLines="1"/>
  <pageMargins left="0.34" right="0.3" top="0.75" bottom="1" header="0.5" footer="0.5"/>
  <pageSetup fitToHeight="1" fitToWidth="1" horizontalDpi="600" verticalDpi="600" orientation="landscape" scale="67" r:id="rId1"/>
  <headerFooter alignWithMargins="0">
    <oddFooter>&amp;R&amp;F        &amp;A      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29"/>
  <sheetViews>
    <sheetView tabSelected="1" zoomScale="70" zoomScaleNormal="70" workbookViewId="0" topLeftCell="A1">
      <pane ySplit="525" topLeftCell="BM1" activePane="topLeft" state="split"/>
      <selection pane="topLeft" activeCell="AC1" sqref="AB1:AC16384"/>
      <selection pane="bottomLeft" activeCell="AA8" sqref="AA8"/>
    </sheetView>
  </sheetViews>
  <sheetFormatPr defaultColWidth="9.140625" defaultRowHeight="12.75"/>
  <cols>
    <col min="1" max="1" width="1.57421875" style="1" customWidth="1"/>
    <col min="2" max="2" width="19.28125" style="1" hidden="1" customWidth="1"/>
    <col min="3" max="3" width="13.7109375" style="4" customWidth="1"/>
    <col min="4" max="4" width="34.140625" style="1" customWidth="1"/>
    <col min="5" max="6" width="9.7109375" style="1" hidden="1" customWidth="1"/>
    <col min="7" max="7" width="9.421875" style="1" hidden="1" customWidth="1"/>
    <col min="8" max="8" width="38.140625" style="1" hidden="1" customWidth="1"/>
    <col min="9" max="9" width="9.8515625" style="55" hidden="1" customWidth="1"/>
    <col min="10" max="10" width="9.421875" style="1" hidden="1" customWidth="1"/>
    <col min="11" max="11" width="43.421875" style="3" hidden="1" customWidth="1"/>
    <col min="12" max="12" width="11.57421875" style="55" hidden="1" customWidth="1"/>
    <col min="13" max="13" width="18.57421875" style="97" customWidth="1"/>
    <col min="14" max="14" width="10.7109375" style="89" hidden="1" customWidth="1"/>
    <col min="15" max="15" width="12.57421875" style="118" hidden="1" customWidth="1"/>
    <col min="16" max="16" width="11.7109375" style="118" hidden="1" customWidth="1"/>
    <col min="17" max="17" width="2.7109375" style="89" hidden="1" customWidth="1"/>
    <col min="18" max="21" width="0" style="89" hidden="1" customWidth="1"/>
    <col min="22" max="22" width="9.00390625" style="89" hidden="1" customWidth="1"/>
    <col min="23" max="23" width="10.00390625" style="89" hidden="1" customWidth="1"/>
    <col min="24" max="24" width="24.140625" style="89" customWidth="1"/>
    <col min="25" max="25" width="16.28125" style="89" customWidth="1"/>
    <col min="26" max="26" width="24.7109375" style="127" customWidth="1"/>
    <col min="27" max="27" width="65.28125" style="1" customWidth="1"/>
    <col min="28" max="28" width="15.8515625" style="1" hidden="1" customWidth="1"/>
    <col min="29" max="29" width="5.421875" style="1" hidden="1" customWidth="1"/>
    <col min="30" max="34" width="9.140625" style="1" customWidth="1"/>
    <col min="35" max="35" width="10.28125" style="1" bestFit="1" customWidth="1"/>
    <col min="36" max="36" width="9.140625" style="1" customWidth="1"/>
    <col min="37" max="37" width="11.140625" style="4" customWidth="1"/>
    <col min="38" max="38" width="10.28125" style="1" bestFit="1" customWidth="1"/>
    <col min="39" max="16384" width="9.140625" style="1" customWidth="1"/>
  </cols>
  <sheetData>
    <row r="1" spans="3:37" s="7" customFormat="1" ht="24.75" thickBot="1">
      <c r="C1" s="52" t="s">
        <v>163</v>
      </c>
      <c r="I1" s="54"/>
      <c r="K1" s="8"/>
      <c r="L1" s="54"/>
      <c r="M1" s="121"/>
      <c r="N1" s="87"/>
      <c r="O1" s="88"/>
      <c r="P1" s="88"/>
      <c r="Q1" s="87"/>
      <c r="R1" s="87"/>
      <c r="S1" s="87"/>
      <c r="T1" s="87"/>
      <c r="U1" s="87"/>
      <c r="V1" s="89"/>
      <c r="W1" s="89"/>
      <c r="X1" s="89"/>
      <c r="Y1" s="89"/>
      <c r="Z1" s="127"/>
      <c r="AK1" s="188"/>
    </row>
    <row r="2" spans="2:42" s="9" customFormat="1" ht="18.75" thickBot="1">
      <c r="B2" s="9" t="s">
        <v>67</v>
      </c>
      <c r="C2" s="10"/>
      <c r="E2" s="11" t="s">
        <v>81</v>
      </c>
      <c r="F2" s="12" t="s">
        <v>82</v>
      </c>
      <c r="G2" s="13" t="s">
        <v>66</v>
      </c>
      <c r="H2" s="14" t="s">
        <v>90</v>
      </c>
      <c r="I2" s="59" t="s">
        <v>113</v>
      </c>
      <c r="J2" s="60" t="s">
        <v>66</v>
      </c>
      <c r="K2" s="60" t="s">
        <v>90</v>
      </c>
      <c r="L2" s="72" t="s">
        <v>114</v>
      </c>
      <c r="M2" s="195" t="s">
        <v>218</v>
      </c>
      <c r="N2" s="90" t="s">
        <v>66</v>
      </c>
      <c r="O2" s="91" t="s">
        <v>90</v>
      </c>
      <c r="P2" s="92"/>
      <c r="Q2" s="93"/>
      <c r="R2" s="93"/>
      <c r="S2" s="93"/>
      <c r="T2" s="93"/>
      <c r="U2" s="93"/>
      <c r="V2" s="89" t="s">
        <v>110</v>
      </c>
      <c r="W2" s="89" t="s">
        <v>111</v>
      </c>
      <c r="X2" s="120" t="s">
        <v>38</v>
      </c>
      <c r="Y2" s="120" t="s">
        <v>18</v>
      </c>
      <c r="Z2" s="197" t="s">
        <v>19</v>
      </c>
      <c r="AA2" s="198" t="s">
        <v>33</v>
      </c>
      <c r="AB2" s="137" t="s">
        <v>110</v>
      </c>
      <c r="AC2" s="137" t="s">
        <v>20</v>
      </c>
      <c r="AD2" s="137" t="s">
        <v>21</v>
      </c>
      <c r="AE2" s="137" t="s">
        <v>22</v>
      </c>
      <c r="AF2" s="137" t="s">
        <v>23</v>
      </c>
      <c r="AG2" s="137" t="s">
        <v>24</v>
      </c>
      <c r="AH2" s="137" t="s">
        <v>25</v>
      </c>
      <c r="AI2" s="137" t="s">
        <v>26</v>
      </c>
      <c r="AJ2" s="137" t="s">
        <v>27</v>
      </c>
      <c r="AK2" s="137" t="s">
        <v>28</v>
      </c>
      <c r="AL2" s="222"/>
      <c r="AM2" s="222"/>
      <c r="AN2" s="222"/>
      <c r="AO2" s="222"/>
      <c r="AP2" s="222"/>
    </row>
    <row r="3" spans="2:37" ht="15">
      <c r="B3" s="1" t="s">
        <v>265</v>
      </c>
      <c r="D3" s="1" t="s">
        <v>220</v>
      </c>
      <c r="E3" s="30">
        <v>0.1</v>
      </c>
      <c r="F3" s="30">
        <f aca="true" t="shared" si="0" ref="F3:F9">+G3+E3</f>
        <v>0.1</v>
      </c>
      <c r="G3" s="31"/>
      <c r="H3" s="31"/>
      <c r="I3" s="30">
        <v>0.1</v>
      </c>
      <c r="J3" s="32">
        <f aca="true" t="shared" si="1" ref="J3:J9">+I3-F3</f>
        <v>0</v>
      </c>
      <c r="K3" s="70"/>
      <c r="L3" s="73">
        <v>0.1</v>
      </c>
      <c r="M3" s="196"/>
      <c r="N3" s="94">
        <f>+L3-I3</f>
        <v>0</v>
      </c>
      <c r="O3" s="95"/>
      <c r="P3" s="96"/>
      <c r="U3" s="89" t="s">
        <v>119</v>
      </c>
      <c r="V3" s="89" t="s">
        <v>119</v>
      </c>
      <c r="W3" s="89" t="s">
        <v>220</v>
      </c>
      <c r="X3" s="98"/>
      <c r="Y3" s="98"/>
      <c r="Z3" s="110"/>
      <c r="AB3">
        <v>11</v>
      </c>
      <c r="AC3">
        <v>111</v>
      </c>
      <c r="AD3" s="134">
        <v>0.06</v>
      </c>
      <c r="AE3" s="134"/>
      <c r="AF3" s="134"/>
      <c r="AG3" s="134"/>
      <c r="AH3" s="134"/>
      <c r="AI3" s="134"/>
      <c r="AJ3" s="134"/>
      <c r="AK3" s="189">
        <v>0.06</v>
      </c>
    </row>
    <row r="4" spans="3:37" ht="15">
      <c r="C4" s="4" t="s">
        <v>266</v>
      </c>
      <c r="E4" s="26"/>
      <c r="F4" s="26">
        <f t="shared" si="0"/>
        <v>0</v>
      </c>
      <c r="G4" s="27"/>
      <c r="H4" s="27"/>
      <c r="I4" s="26"/>
      <c r="J4" s="28">
        <f t="shared" si="1"/>
        <v>0</v>
      </c>
      <c r="K4" s="64"/>
      <c r="L4" s="74"/>
      <c r="M4" s="98"/>
      <c r="N4" s="99">
        <f aca="true" t="shared" si="2" ref="N4:N9">+M4-L4</f>
        <v>0</v>
      </c>
      <c r="O4" s="100"/>
      <c r="P4" s="96"/>
      <c r="X4" s="125"/>
      <c r="Y4" s="158"/>
      <c r="Z4" s="147"/>
      <c r="AB4">
        <v>12</v>
      </c>
      <c r="AC4">
        <v>121</v>
      </c>
      <c r="AD4" s="134">
        <v>1217.44</v>
      </c>
      <c r="AE4" s="134">
        <v>1571.43</v>
      </c>
      <c r="AF4" s="134">
        <v>4076.16</v>
      </c>
      <c r="AG4" s="134">
        <v>1808.12</v>
      </c>
      <c r="AH4" s="134">
        <v>6.38</v>
      </c>
      <c r="AI4" s="134"/>
      <c r="AJ4" s="134"/>
      <c r="AK4" s="189">
        <v>8679.52</v>
      </c>
    </row>
    <row r="5" spans="2:37" ht="21" customHeight="1">
      <c r="B5" s="1" t="s">
        <v>266</v>
      </c>
      <c r="D5" s="1" t="s">
        <v>221</v>
      </c>
      <c r="E5" s="26">
        <v>7891.7</v>
      </c>
      <c r="F5" s="26">
        <f t="shared" si="0"/>
        <v>7906.3</v>
      </c>
      <c r="G5" s="27">
        <v>14.6</v>
      </c>
      <c r="H5" s="27" t="s">
        <v>83</v>
      </c>
      <c r="I5" s="61">
        <v>8061.3</v>
      </c>
      <c r="J5" s="28">
        <f t="shared" si="1"/>
        <v>155</v>
      </c>
      <c r="K5" s="64" t="s">
        <v>91</v>
      </c>
      <c r="L5" s="75">
        <v>8061.3</v>
      </c>
      <c r="M5" s="98">
        <f>8061.3+431</f>
        <v>8492.3</v>
      </c>
      <c r="N5" s="99">
        <f t="shared" si="2"/>
        <v>430.9999999999991</v>
      </c>
      <c r="O5" s="100"/>
      <c r="P5" s="96"/>
      <c r="U5" s="89" t="s">
        <v>120</v>
      </c>
      <c r="V5" s="89" t="s">
        <v>120</v>
      </c>
      <c r="W5" s="89" t="s">
        <v>221</v>
      </c>
      <c r="X5" s="98"/>
      <c r="Y5" s="43">
        <f>SUM(AK4)</f>
        <v>8679.52</v>
      </c>
      <c r="Z5" s="110"/>
      <c r="AA5" s="220"/>
      <c r="AB5">
        <v>12</v>
      </c>
      <c r="AC5">
        <v>122</v>
      </c>
      <c r="AD5" s="134"/>
      <c r="AE5" s="134">
        <v>9.52</v>
      </c>
      <c r="AF5" s="134">
        <v>73.61</v>
      </c>
      <c r="AG5" s="134">
        <v>108.76</v>
      </c>
      <c r="AH5" s="134"/>
      <c r="AI5" s="134"/>
      <c r="AJ5" s="134"/>
      <c r="AK5" s="189">
        <v>191.89</v>
      </c>
    </row>
    <row r="6" spans="2:37" ht="15">
      <c r="B6" s="1" t="s">
        <v>266</v>
      </c>
      <c r="D6" s="1" t="s">
        <v>222</v>
      </c>
      <c r="E6" s="26">
        <v>174.7</v>
      </c>
      <c r="F6" s="26">
        <f t="shared" si="0"/>
        <v>174.7</v>
      </c>
      <c r="G6" s="27"/>
      <c r="H6" s="27"/>
      <c r="I6" s="61">
        <v>176.03</v>
      </c>
      <c r="J6" s="28">
        <f t="shared" si="1"/>
        <v>1.3300000000000125</v>
      </c>
      <c r="K6" s="64"/>
      <c r="L6" s="75">
        <v>176.03</v>
      </c>
      <c r="M6" s="98">
        <v>176.03</v>
      </c>
      <c r="N6" s="99">
        <f t="shared" si="2"/>
        <v>0</v>
      </c>
      <c r="O6" s="100"/>
      <c r="P6" s="96"/>
      <c r="U6" s="89" t="s">
        <v>120</v>
      </c>
      <c r="V6" s="89" t="s">
        <v>120</v>
      </c>
      <c r="W6" s="89" t="s">
        <v>222</v>
      </c>
      <c r="X6" s="98"/>
      <c r="Y6" s="43">
        <f>SUM(AK5)</f>
        <v>191.89</v>
      </c>
      <c r="Z6" s="110"/>
      <c r="AB6">
        <v>12</v>
      </c>
      <c r="AC6">
        <v>123</v>
      </c>
      <c r="AD6" s="134"/>
      <c r="AE6" s="134">
        <v>46.14</v>
      </c>
      <c r="AF6" s="134">
        <v>302.56</v>
      </c>
      <c r="AG6" s="134">
        <v>187.27</v>
      </c>
      <c r="AH6" s="134"/>
      <c r="AI6" s="134"/>
      <c r="AJ6" s="134"/>
      <c r="AK6" s="189">
        <v>535.98</v>
      </c>
    </row>
    <row r="7" spans="2:37" ht="15">
      <c r="B7" s="1" t="s">
        <v>266</v>
      </c>
      <c r="D7" s="1" t="s">
        <v>223</v>
      </c>
      <c r="E7" s="26">
        <v>375.7</v>
      </c>
      <c r="F7" s="26">
        <f t="shared" si="0"/>
        <v>375.7</v>
      </c>
      <c r="G7" s="33"/>
      <c r="H7" s="33"/>
      <c r="I7" s="61">
        <v>373.37</v>
      </c>
      <c r="J7" s="28">
        <f t="shared" si="1"/>
        <v>-2.329999999999984</v>
      </c>
      <c r="K7" s="64"/>
      <c r="L7" s="75">
        <v>373.37</v>
      </c>
      <c r="M7" s="98">
        <v>373.37</v>
      </c>
      <c r="N7" s="99">
        <f t="shared" si="2"/>
        <v>0</v>
      </c>
      <c r="O7" s="100"/>
      <c r="P7" s="96"/>
      <c r="U7" s="89" t="s">
        <v>120</v>
      </c>
      <c r="V7" s="89" t="s">
        <v>120</v>
      </c>
      <c r="W7" s="89" t="s">
        <v>223</v>
      </c>
      <c r="X7" s="98"/>
      <c r="Y7" s="43">
        <f>SUM(AK6)</f>
        <v>535.98</v>
      </c>
      <c r="Z7" s="110"/>
      <c r="AB7">
        <v>12</v>
      </c>
      <c r="AC7">
        <v>124</v>
      </c>
      <c r="AD7" s="134"/>
      <c r="AE7" s="134">
        <v>5.46</v>
      </c>
      <c r="AF7" s="134">
        <v>96.42</v>
      </c>
      <c r="AG7" s="134">
        <v>3.49</v>
      </c>
      <c r="AH7" s="134">
        <v>0.72</v>
      </c>
      <c r="AI7" s="134"/>
      <c r="AJ7" s="134"/>
      <c r="AK7" s="189">
        <v>106.1</v>
      </c>
    </row>
    <row r="8" spans="2:37" ht="15">
      <c r="B8" s="1" t="s">
        <v>266</v>
      </c>
      <c r="D8" s="1" t="s">
        <v>224</v>
      </c>
      <c r="E8" s="26">
        <v>62</v>
      </c>
      <c r="F8" s="26">
        <f t="shared" si="0"/>
        <v>62</v>
      </c>
      <c r="G8" s="33"/>
      <c r="H8" s="33"/>
      <c r="I8" s="61">
        <v>97.63</v>
      </c>
      <c r="J8" s="28">
        <f t="shared" si="1"/>
        <v>35.629999999999995</v>
      </c>
      <c r="K8" s="64" t="s">
        <v>72</v>
      </c>
      <c r="L8" s="75">
        <v>97.63</v>
      </c>
      <c r="M8" s="98">
        <v>97.63</v>
      </c>
      <c r="N8" s="99">
        <f t="shared" si="2"/>
        <v>0</v>
      </c>
      <c r="O8" s="100"/>
      <c r="P8" s="96"/>
      <c r="U8" s="89" t="s">
        <v>120</v>
      </c>
      <c r="V8" s="89" t="s">
        <v>120</v>
      </c>
      <c r="W8" s="89" t="s">
        <v>224</v>
      </c>
      <c r="X8" s="98"/>
      <c r="Y8" s="43">
        <f>SUM(AK7)</f>
        <v>106.1</v>
      </c>
      <c r="Z8" s="110"/>
      <c r="AB8">
        <v>12</v>
      </c>
      <c r="AC8">
        <v>125</v>
      </c>
      <c r="AD8" s="134"/>
      <c r="AE8" s="134"/>
      <c r="AF8" s="134">
        <v>17.64</v>
      </c>
      <c r="AG8" s="134"/>
      <c r="AH8" s="134"/>
      <c r="AI8" s="134"/>
      <c r="AJ8" s="134"/>
      <c r="AK8" s="189">
        <v>17.64</v>
      </c>
    </row>
    <row r="9" spans="2:37" ht="19.5">
      <c r="B9" s="1" t="s">
        <v>266</v>
      </c>
      <c r="D9" s="1" t="s">
        <v>225</v>
      </c>
      <c r="E9" s="34">
        <v>27.3</v>
      </c>
      <c r="F9" s="34">
        <f t="shared" si="0"/>
        <v>27.3</v>
      </c>
      <c r="G9" s="35"/>
      <c r="H9" s="35"/>
      <c r="I9" s="62">
        <v>29.04</v>
      </c>
      <c r="J9" s="36">
        <f t="shared" si="1"/>
        <v>1.7399999999999984</v>
      </c>
      <c r="K9" s="64"/>
      <c r="L9" s="76">
        <v>29.04</v>
      </c>
      <c r="M9" s="199">
        <v>29.04</v>
      </c>
      <c r="N9" s="200">
        <f t="shared" si="2"/>
        <v>0</v>
      </c>
      <c r="O9" s="201"/>
      <c r="P9" s="202"/>
      <c r="Q9" s="203"/>
      <c r="R9" s="203"/>
      <c r="S9" s="203"/>
      <c r="T9" s="203"/>
      <c r="U9" s="203" t="s">
        <v>120</v>
      </c>
      <c r="V9" s="203" t="s">
        <v>120</v>
      </c>
      <c r="W9" s="203" t="s">
        <v>225</v>
      </c>
      <c r="X9" s="199"/>
      <c r="Y9" s="199">
        <f>SUM(AK8)</f>
        <v>17.64</v>
      </c>
      <c r="Z9" s="192"/>
      <c r="AB9">
        <v>13</v>
      </c>
      <c r="AC9">
        <v>130</v>
      </c>
      <c r="AD9" s="134">
        <v>91.66</v>
      </c>
      <c r="AE9" s="134">
        <v>333.93</v>
      </c>
      <c r="AF9" s="134">
        <v>411.81</v>
      </c>
      <c r="AG9" s="134"/>
      <c r="AH9" s="134"/>
      <c r="AI9" s="134"/>
      <c r="AJ9" s="134"/>
      <c r="AK9" s="189">
        <v>837.4</v>
      </c>
    </row>
    <row r="10" spans="4:37" ht="25.5">
      <c r="D10" s="15" t="s">
        <v>100</v>
      </c>
      <c r="E10" s="37">
        <f>SUM(E5:E9)</f>
        <v>8531.4</v>
      </c>
      <c r="F10" s="37">
        <f>SUM(F5:F9)</f>
        <v>8546</v>
      </c>
      <c r="G10" s="38">
        <f>SUM(G5:G9)</f>
        <v>14.6</v>
      </c>
      <c r="H10" s="33"/>
      <c r="I10" s="37">
        <f>SUM(I5:I9)</f>
        <v>8737.37</v>
      </c>
      <c r="J10" s="39">
        <f>SUM(J5:J9)</f>
        <v>191.37000000000003</v>
      </c>
      <c r="K10" s="64"/>
      <c r="L10" s="77">
        <f>SUM(L5:L9)</f>
        <v>8737.37</v>
      </c>
      <c r="M10" s="101">
        <f>SUM(M5:M9)</f>
        <v>9168.37</v>
      </c>
      <c r="N10" s="51">
        <f>SUM(N5:N9)</f>
        <v>430.9999999999991</v>
      </c>
      <c r="O10" s="100"/>
      <c r="P10" s="96"/>
      <c r="X10" s="101">
        <v>9495.2</v>
      </c>
      <c r="Y10" s="101">
        <f>SUM(Y5:Y9)</f>
        <v>9531.13</v>
      </c>
      <c r="Z10" s="101">
        <f>+Y10-X10</f>
        <v>35.92999999999847</v>
      </c>
      <c r="AA10" s="220" t="s">
        <v>34</v>
      </c>
      <c r="AB10">
        <v>13</v>
      </c>
      <c r="AC10">
        <v>131</v>
      </c>
      <c r="AD10" s="134"/>
      <c r="AE10" s="134"/>
      <c r="AF10" s="134">
        <v>839.88</v>
      </c>
      <c r="AG10" s="134">
        <v>561.68</v>
      </c>
      <c r="AH10" s="134">
        <v>316.27</v>
      </c>
      <c r="AI10" s="134"/>
      <c r="AJ10" s="134"/>
      <c r="AK10" s="189">
        <v>1717.83</v>
      </c>
    </row>
    <row r="11" spans="3:37" ht="15">
      <c r="C11" s="4" t="s">
        <v>267</v>
      </c>
      <c r="E11" s="26"/>
      <c r="F11" s="26">
        <f aca="true" t="shared" si="3" ref="F11:F16">+G11+E11</f>
        <v>0</v>
      </c>
      <c r="G11" s="33"/>
      <c r="H11" s="33"/>
      <c r="I11" s="26"/>
      <c r="J11" s="28">
        <f aca="true" t="shared" si="4" ref="J11:J16">+I11-F11</f>
        <v>0</v>
      </c>
      <c r="K11" s="64"/>
      <c r="L11" s="74"/>
      <c r="M11" s="98"/>
      <c r="N11" s="99">
        <f>+L11-I11</f>
        <v>0</v>
      </c>
      <c r="O11" s="100"/>
      <c r="P11" s="96"/>
      <c r="X11" s="125"/>
      <c r="Y11" s="158"/>
      <c r="Z11" s="147"/>
      <c r="AB11">
        <v>13</v>
      </c>
      <c r="AC11">
        <v>132</v>
      </c>
      <c r="AD11" s="134"/>
      <c r="AE11" s="134"/>
      <c r="AF11" s="134"/>
      <c r="AG11" s="134"/>
      <c r="AH11" s="134">
        <v>360.59</v>
      </c>
      <c r="AI11" s="134">
        <v>1524.77</v>
      </c>
      <c r="AJ11" s="134"/>
      <c r="AK11" s="189">
        <v>1885.36</v>
      </c>
    </row>
    <row r="12" spans="2:37" ht="77.25">
      <c r="B12" s="1" t="s">
        <v>267</v>
      </c>
      <c r="D12" s="1" t="s">
        <v>226</v>
      </c>
      <c r="E12" s="26">
        <v>613.1</v>
      </c>
      <c r="F12" s="26">
        <f t="shared" si="3"/>
        <v>613.1</v>
      </c>
      <c r="G12" s="33"/>
      <c r="H12" s="33"/>
      <c r="I12" s="61">
        <v>737.81</v>
      </c>
      <c r="J12" s="53">
        <f t="shared" si="4"/>
        <v>124.70999999999992</v>
      </c>
      <c r="K12" s="65" t="s">
        <v>112</v>
      </c>
      <c r="L12" s="75">
        <v>737.81</v>
      </c>
      <c r="M12" s="98">
        <v>849</v>
      </c>
      <c r="N12" s="117">
        <f aca="true" t="shared" si="5" ref="N12:N22">+M12-L12</f>
        <v>111.19000000000005</v>
      </c>
      <c r="O12" s="100" t="s">
        <v>115</v>
      </c>
      <c r="P12" s="66"/>
      <c r="V12" s="89" t="s">
        <v>121</v>
      </c>
      <c r="W12" s="89" t="s">
        <v>226</v>
      </c>
      <c r="X12" s="98"/>
      <c r="Y12" s="43">
        <f>SUM(AK9)</f>
        <v>837.4</v>
      </c>
      <c r="Z12" s="110"/>
      <c r="AB12">
        <v>13</v>
      </c>
      <c r="AC12">
        <v>133</v>
      </c>
      <c r="AD12" s="134"/>
      <c r="AE12" s="134"/>
      <c r="AF12" s="134"/>
      <c r="AG12" s="134"/>
      <c r="AH12" s="134">
        <v>257.67</v>
      </c>
      <c r="AI12" s="134"/>
      <c r="AJ12" s="134"/>
      <c r="AK12" s="189">
        <v>257.67</v>
      </c>
    </row>
    <row r="13" spans="2:37" ht="15">
      <c r="B13" s="1" t="s">
        <v>267</v>
      </c>
      <c r="D13" s="1" t="s">
        <v>227</v>
      </c>
      <c r="E13" s="26">
        <v>1458.8</v>
      </c>
      <c r="F13" s="26">
        <f t="shared" si="3"/>
        <v>1458.8</v>
      </c>
      <c r="G13" s="33"/>
      <c r="H13" s="33"/>
      <c r="I13" s="61">
        <v>1594.58</v>
      </c>
      <c r="J13" s="53">
        <f t="shared" si="4"/>
        <v>135.77999999999997</v>
      </c>
      <c r="K13" s="65" t="s">
        <v>112</v>
      </c>
      <c r="L13" s="75">
        <v>1594.58</v>
      </c>
      <c r="M13" s="98">
        <v>1594.58</v>
      </c>
      <c r="N13" s="99">
        <f t="shared" si="5"/>
        <v>0</v>
      </c>
      <c r="O13" s="6"/>
      <c r="P13" s="66"/>
      <c r="V13" s="89" t="s">
        <v>121</v>
      </c>
      <c r="W13" s="89" t="s">
        <v>227</v>
      </c>
      <c r="X13" s="98"/>
      <c r="Y13" s="43">
        <f>SUM(AK10)</f>
        <v>1717.83</v>
      </c>
      <c r="Z13" s="110"/>
      <c r="AB13">
        <v>13</v>
      </c>
      <c r="AC13">
        <v>134</v>
      </c>
      <c r="AD13" s="134"/>
      <c r="AE13" s="134"/>
      <c r="AF13" s="134"/>
      <c r="AG13" s="134"/>
      <c r="AH13" s="134">
        <v>70.62</v>
      </c>
      <c r="AI13" s="134">
        <v>21.25</v>
      </c>
      <c r="AJ13" s="134"/>
      <c r="AK13" s="189">
        <v>91.87</v>
      </c>
    </row>
    <row r="14" spans="2:37" ht="15">
      <c r="B14" s="1" t="s">
        <v>267</v>
      </c>
      <c r="D14" s="1" t="s">
        <v>228</v>
      </c>
      <c r="E14" s="26">
        <v>1777.3</v>
      </c>
      <c r="F14" s="26">
        <f t="shared" si="3"/>
        <v>1777.3</v>
      </c>
      <c r="G14" s="33"/>
      <c r="H14" s="33"/>
      <c r="I14" s="61">
        <v>1870.43</v>
      </c>
      <c r="J14" s="28">
        <f t="shared" si="4"/>
        <v>93.13000000000011</v>
      </c>
      <c r="K14" s="64" t="s">
        <v>77</v>
      </c>
      <c r="L14" s="75">
        <v>1870.43</v>
      </c>
      <c r="M14" s="98">
        <v>1771</v>
      </c>
      <c r="N14" s="99">
        <f t="shared" si="5"/>
        <v>-99.43000000000006</v>
      </c>
      <c r="O14" s="100"/>
      <c r="P14" s="96"/>
      <c r="V14" s="89" t="s">
        <v>121</v>
      </c>
      <c r="W14" s="89" t="s">
        <v>228</v>
      </c>
      <c r="X14" s="98"/>
      <c r="Y14" s="43">
        <f>SUM(AK11)</f>
        <v>1885.36</v>
      </c>
      <c r="Z14" s="110"/>
      <c r="AB14">
        <v>14</v>
      </c>
      <c r="AC14">
        <v>141</v>
      </c>
      <c r="AD14" s="134">
        <v>1128.23</v>
      </c>
      <c r="AE14" s="134">
        <v>3073.67</v>
      </c>
      <c r="AF14" s="134">
        <v>4107.01</v>
      </c>
      <c r="AG14" s="134">
        <v>4073.61</v>
      </c>
      <c r="AH14" s="134">
        <v>835.77</v>
      </c>
      <c r="AI14" s="134"/>
      <c r="AJ14" s="134"/>
      <c r="AK14" s="189">
        <v>13218.27</v>
      </c>
    </row>
    <row r="15" spans="2:37" s="4" customFormat="1" ht="15">
      <c r="B15" s="4" t="s">
        <v>267</v>
      </c>
      <c r="D15" s="4" t="s">
        <v>229</v>
      </c>
      <c r="E15" s="40">
        <v>381.1</v>
      </c>
      <c r="F15" s="26">
        <f t="shared" si="3"/>
        <v>181.10000000000002</v>
      </c>
      <c r="G15" s="33">
        <v>-200</v>
      </c>
      <c r="H15" s="56" t="s">
        <v>68</v>
      </c>
      <c r="I15" s="61">
        <v>145.64</v>
      </c>
      <c r="J15" s="28">
        <f t="shared" si="4"/>
        <v>-35.460000000000036</v>
      </c>
      <c r="K15" s="64" t="s">
        <v>77</v>
      </c>
      <c r="L15" s="75">
        <v>145.64</v>
      </c>
      <c r="M15" s="98">
        <v>245</v>
      </c>
      <c r="N15" s="99">
        <f t="shared" si="5"/>
        <v>99.36000000000001</v>
      </c>
      <c r="O15" s="100"/>
      <c r="P15" s="96"/>
      <c r="V15" s="89" t="s">
        <v>121</v>
      </c>
      <c r="W15" s="89" t="s">
        <v>229</v>
      </c>
      <c r="X15" s="98"/>
      <c r="Y15" s="43">
        <f>SUM(AK12)</f>
        <v>257.67</v>
      </c>
      <c r="Z15" s="110"/>
      <c r="AB15">
        <v>14</v>
      </c>
      <c r="AC15">
        <v>142</v>
      </c>
      <c r="AD15" s="134">
        <v>1028.98</v>
      </c>
      <c r="AE15" s="134">
        <v>1652.18</v>
      </c>
      <c r="AF15" s="134">
        <v>2870.35</v>
      </c>
      <c r="AG15" s="134">
        <v>3111.08</v>
      </c>
      <c r="AH15" s="134">
        <v>2533.09</v>
      </c>
      <c r="AI15" s="134">
        <v>335.95</v>
      </c>
      <c r="AJ15" s="134"/>
      <c r="AK15" s="189">
        <v>11531.64</v>
      </c>
    </row>
    <row r="16" spans="2:37" ht="19.5">
      <c r="B16" s="1" t="s">
        <v>267</v>
      </c>
      <c r="D16" s="1" t="s">
        <v>230</v>
      </c>
      <c r="E16" s="34">
        <v>73.4</v>
      </c>
      <c r="F16" s="34">
        <f t="shared" si="3"/>
        <v>73.4</v>
      </c>
      <c r="G16" s="41"/>
      <c r="H16" s="41"/>
      <c r="I16" s="62">
        <v>92.63</v>
      </c>
      <c r="J16" s="36">
        <f t="shared" si="4"/>
        <v>19.22999999999999</v>
      </c>
      <c r="K16" s="64" t="s">
        <v>77</v>
      </c>
      <c r="L16" s="76">
        <v>92.63</v>
      </c>
      <c r="M16" s="199">
        <v>92.63</v>
      </c>
      <c r="N16" s="200">
        <f t="shared" si="5"/>
        <v>0</v>
      </c>
      <c r="O16" s="201"/>
      <c r="P16" s="202"/>
      <c r="Q16" s="203"/>
      <c r="R16" s="203"/>
      <c r="S16" s="203"/>
      <c r="T16" s="203"/>
      <c r="U16" s="203"/>
      <c r="V16" s="203" t="s">
        <v>121</v>
      </c>
      <c r="W16" s="203" t="s">
        <v>230</v>
      </c>
      <c r="X16" s="199"/>
      <c r="Y16" s="199">
        <f>SUM(AK13)</f>
        <v>91.87</v>
      </c>
      <c r="Z16" s="192"/>
      <c r="AB16">
        <v>14</v>
      </c>
      <c r="AC16">
        <v>143</v>
      </c>
      <c r="AD16" s="134"/>
      <c r="AE16" s="134"/>
      <c r="AF16" s="134">
        <v>19.35</v>
      </c>
      <c r="AG16" s="134">
        <v>33.44</v>
      </c>
      <c r="AH16" s="134">
        <v>33.17</v>
      </c>
      <c r="AI16" s="134"/>
      <c r="AJ16" s="134"/>
      <c r="AK16" s="189">
        <v>85.96</v>
      </c>
    </row>
    <row r="17" spans="4:37" ht="12.75">
      <c r="D17" s="15" t="s">
        <v>100</v>
      </c>
      <c r="E17" s="37">
        <f>SUM(E12:E16)</f>
        <v>4303.7</v>
      </c>
      <c r="F17" s="37">
        <f>SUM(F12:F16)</f>
        <v>4103.7</v>
      </c>
      <c r="G17" s="39">
        <f>SUM(G12:G16)</f>
        <v>-200</v>
      </c>
      <c r="H17" s="51"/>
      <c r="I17" s="37">
        <f>SUM(I12:I16)</f>
        <v>4441.09</v>
      </c>
      <c r="J17" s="39">
        <f>SUM(J12:J16)</f>
        <v>337.39</v>
      </c>
      <c r="K17" s="66"/>
      <c r="L17" s="77">
        <f>SUM(L12:L16)</f>
        <v>4441.09</v>
      </c>
      <c r="M17" s="101">
        <f>SUM(M12:M16)</f>
        <v>4552.21</v>
      </c>
      <c r="N17" s="102">
        <f>SUM(N12:N16)</f>
        <v>111.12</v>
      </c>
      <c r="O17" s="6"/>
      <c r="P17" s="66"/>
      <c r="X17" s="101">
        <f>SUM(Y17)</f>
        <v>4790.13</v>
      </c>
      <c r="Y17" s="101">
        <f>SUM(Y11:Y16)</f>
        <v>4790.13</v>
      </c>
      <c r="Z17" s="101">
        <f>+Y17-X17</f>
        <v>0</v>
      </c>
      <c r="AB17">
        <v>14</v>
      </c>
      <c r="AC17">
        <v>144</v>
      </c>
      <c r="AD17" s="134">
        <v>267.55</v>
      </c>
      <c r="AE17" s="134">
        <v>2598.22</v>
      </c>
      <c r="AF17" s="134">
        <v>389.4</v>
      </c>
      <c r="AG17" s="134"/>
      <c r="AH17" s="134"/>
      <c r="AI17" s="134"/>
      <c r="AJ17" s="134"/>
      <c r="AK17" s="189">
        <v>3255.17</v>
      </c>
    </row>
    <row r="18" spans="3:37" ht="15">
      <c r="C18" s="4" t="s">
        <v>268</v>
      </c>
      <c r="E18" s="26"/>
      <c r="F18" s="26">
        <f>+G18+E18</f>
        <v>0</v>
      </c>
      <c r="G18" s="27"/>
      <c r="H18" s="27"/>
      <c r="I18" s="26"/>
      <c r="J18" s="28">
        <f>+I18-F18</f>
        <v>0</v>
      </c>
      <c r="K18" s="67"/>
      <c r="L18" s="74"/>
      <c r="M18" s="98"/>
      <c r="N18" s="99">
        <f t="shared" si="5"/>
        <v>0</v>
      </c>
      <c r="O18" s="103"/>
      <c r="P18" s="104"/>
      <c r="X18" s="125"/>
      <c r="Y18" s="158"/>
      <c r="Z18" s="147"/>
      <c r="AB18">
        <v>15</v>
      </c>
      <c r="AC18">
        <v>151</v>
      </c>
      <c r="AD18" s="134"/>
      <c r="AE18" s="134">
        <v>34.61</v>
      </c>
      <c r="AF18" s="134"/>
      <c r="AG18" s="134">
        <v>186.87</v>
      </c>
      <c r="AH18" s="134">
        <v>1186.69</v>
      </c>
      <c r="AI18" s="134">
        <v>4.79</v>
      </c>
      <c r="AJ18" s="134"/>
      <c r="AK18" s="189">
        <v>1412.96</v>
      </c>
    </row>
    <row r="19" spans="2:37" ht="26.25">
      <c r="B19" s="1" t="s">
        <v>268</v>
      </c>
      <c r="D19" s="1" t="s">
        <v>231</v>
      </c>
      <c r="E19" s="26">
        <v>12788.6</v>
      </c>
      <c r="F19" s="26">
        <f>+G19+E19</f>
        <v>12881.6</v>
      </c>
      <c r="G19" s="27">
        <v>93</v>
      </c>
      <c r="H19" s="57" t="s">
        <v>73</v>
      </c>
      <c r="I19" s="61">
        <v>13180.68</v>
      </c>
      <c r="J19" s="28">
        <f>+I19-F19</f>
        <v>299.0799999999999</v>
      </c>
      <c r="K19" s="68" t="s">
        <v>98</v>
      </c>
      <c r="L19" s="78">
        <f>+I19</f>
        <v>13180.68</v>
      </c>
      <c r="M19" s="98">
        <v>13180.68</v>
      </c>
      <c r="N19" s="99">
        <f t="shared" si="5"/>
        <v>0</v>
      </c>
      <c r="O19" s="100"/>
      <c r="P19" s="105"/>
      <c r="V19" s="89" t="s">
        <v>122</v>
      </c>
      <c r="W19" s="89" t="s">
        <v>231</v>
      </c>
      <c r="X19" s="98"/>
      <c r="Y19" s="43">
        <f>SUM(AK14)</f>
        <v>13218.27</v>
      </c>
      <c r="Z19" s="110"/>
      <c r="AB19">
        <v>16</v>
      </c>
      <c r="AC19">
        <v>161</v>
      </c>
      <c r="AD19" s="134"/>
      <c r="AE19" s="134"/>
      <c r="AF19" s="134"/>
      <c r="AG19" s="134"/>
      <c r="AH19" s="134">
        <v>252.07</v>
      </c>
      <c r="AI19" s="134">
        <v>119.97</v>
      </c>
      <c r="AJ19" s="134"/>
      <c r="AK19" s="189">
        <v>372.04</v>
      </c>
    </row>
    <row r="20" spans="2:37" ht="15">
      <c r="B20" s="1" t="s">
        <v>268</v>
      </c>
      <c r="C20" s="5"/>
      <c r="D20" s="5" t="s">
        <v>232</v>
      </c>
      <c r="E20" s="42">
        <v>9438</v>
      </c>
      <c r="F20" s="43">
        <f>+G20+E20</f>
        <v>9577</v>
      </c>
      <c r="G20" s="44">
        <v>139</v>
      </c>
      <c r="H20" s="44" t="s">
        <v>84</v>
      </c>
      <c r="I20" s="61">
        <v>9614.03</v>
      </c>
      <c r="J20" s="28">
        <f>+I20-F20</f>
        <v>37.030000000000655</v>
      </c>
      <c r="K20" s="64" t="s">
        <v>99</v>
      </c>
      <c r="L20" s="79">
        <v>9853</v>
      </c>
      <c r="M20" s="98">
        <f>9853+400</f>
        <v>10253</v>
      </c>
      <c r="N20" s="99">
        <f t="shared" si="5"/>
        <v>400</v>
      </c>
      <c r="O20" s="100"/>
      <c r="P20" s="96"/>
      <c r="V20" s="89" t="s">
        <v>122</v>
      </c>
      <c r="W20" s="89" t="s">
        <v>232</v>
      </c>
      <c r="X20" s="98"/>
      <c r="Y20" s="43">
        <f>SUM(AK15)</f>
        <v>11531.64</v>
      </c>
      <c r="Z20" s="110"/>
      <c r="AB20">
        <v>16</v>
      </c>
      <c r="AC20">
        <v>162</v>
      </c>
      <c r="AD20" s="134"/>
      <c r="AE20" s="134"/>
      <c r="AF20" s="134"/>
      <c r="AG20" s="134"/>
      <c r="AH20" s="134">
        <v>325.56</v>
      </c>
      <c r="AI20" s="134">
        <v>356.08</v>
      </c>
      <c r="AJ20" s="134"/>
      <c r="AK20" s="189">
        <v>681.64</v>
      </c>
    </row>
    <row r="21" spans="2:37" ht="15">
      <c r="B21" s="1" t="s">
        <v>268</v>
      </c>
      <c r="D21" s="1" t="s">
        <v>233</v>
      </c>
      <c r="E21" s="43">
        <v>121.2</v>
      </c>
      <c r="F21" s="43">
        <f>+G21+E21</f>
        <v>121.2</v>
      </c>
      <c r="G21" s="33"/>
      <c r="H21" s="33"/>
      <c r="I21" s="61">
        <v>120.42</v>
      </c>
      <c r="J21" s="28">
        <f>+I21-F21</f>
        <v>-0.7800000000000011</v>
      </c>
      <c r="K21" s="64"/>
      <c r="L21" s="75">
        <v>120.42</v>
      </c>
      <c r="M21" s="98">
        <v>120.42</v>
      </c>
      <c r="N21" s="99">
        <f t="shared" si="5"/>
        <v>0</v>
      </c>
      <c r="O21" s="100"/>
      <c r="P21" s="96"/>
      <c r="V21" s="89" t="s">
        <v>122</v>
      </c>
      <c r="W21" s="89" t="s">
        <v>233</v>
      </c>
      <c r="X21" s="98"/>
      <c r="Y21" s="43">
        <f>SUM(AK16)</f>
        <v>85.96</v>
      </c>
      <c r="Z21" s="110"/>
      <c r="AB21">
        <v>16</v>
      </c>
      <c r="AC21">
        <v>163</v>
      </c>
      <c r="AD21" s="134"/>
      <c r="AE21" s="134"/>
      <c r="AF21" s="134"/>
      <c r="AG21" s="134"/>
      <c r="AH21" s="134">
        <v>86.3</v>
      </c>
      <c r="AI21" s="134"/>
      <c r="AJ21" s="134"/>
      <c r="AK21" s="189">
        <v>86.3</v>
      </c>
    </row>
    <row r="22" spans="2:37" ht="19.5">
      <c r="B22" s="1" t="s">
        <v>268</v>
      </c>
      <c r="D22" s="4" t="s">
        <v>234</v>
      </c>
      <c r="E22" s="45">
        <v>2707.3</v>
      </c>
      <c r="F22" s="45">
        <f>+G22+E22</f>
        <v>3214.3</v>
      </c>
      <c r="G22" s="35">
        <v>507</v>
      </c>
      <c r="H22" s="56" t="s">
        <v>74</v>
      </c>
      <c r="I22" s="62">
        <v>3285.22</v>
      </c>
      <c r="J22" s="46">
        <f>+I22-F22</f>
        <v>70.91999999999962</v>
      </c>
      <c r="K22" s="64"/>
      <c r="L22" s="76">
        <v>3285.22</v>
      </c>
      <c r="M22" s="199">
        <v>3285.22</v>
      </c>
      <c r="N22" s="200">
        <f t="shared" si="5"/>
        <v>0</v>
      </c>
      <c r="O22" s="201"/>
      <c r="P22" s="202"/>
      <c r="Q22" s="203"/>
      <c r="R22" s="203"/>
      <c r="S22" s="203"/>
      <c r="T22" s="203"/>
      <c r="U22" s="203"/>
      <c r="V22" s="203" t="s">
        <v>122</v>
      </c>
      <c r="W22" s="203" t="s">
        <v>234</v>
      </c>
      <c r="X22" s="199"/>
      <c r="Y22" s="199">
        <f>SUM(AK17)</f>
        <v>3255.17</v>
      </c>
      <c r="Z22" s="192"/>
      <c r="AB22">
        <v>17</v>
      </c>
      <c r="AC22">
        <v>171</v>
      </c>
      <c r="AD22" s="134">
        <v>12.18</v>
      </c>
      <c r="AE22" s="134">
        <v>67.4</v>
      </c>
      <c r="AF22" s="134">
        <v>64.41</v>
      </c>
      <c r="AG22" s="134"/>
      <c r="AH22" s="134">
        <v>254.1</v>
      </c>
      <c r="AI22" s="134">
        <v>528.91</v>
      </c>
      <c r="AJ22" s="134">
        <v>7.02</v>
      </c>
      <c r="AK22" s="189">
        <v>934.01</v>
      </c>
    </row>
    <row r="23" spans="4:37" ht="12.75">
      <c r="D23" s="15" t="s">
        <v>100</v>
      </c>
      <c r="E23" s="37">
        <f>SUM(E19:E22)</f>
        <v>25055.1</v>
      </c>
      <c r="F23" s="37">
        <f>SUM(F19:F22)</f>
        <v>25794.1</v>
      </c>
      <c r="G23" s="39">
        <f>SUM(G19:G22)</f>
        <v>739</v>
      </c>
      <c r="H23" s="57"/>
      <c r="I23" s="37">
        <f>SUM(I19:I22)</f>
        <v>26200.35</v>
      </c>
      <c r="J23" s="39">
        <f>SUM(J19:J22)</f>
        <v>406.2500000000002</v>
      </c>
      <c r="K23" s="64"/>
      <c r="L23" s="77">
        <f>SUM(L19:L22)</f>
        <v>26439.32</v>
      </c>
      <c r="M23" s="101">
        <f>SUM(M19:M22)</f>
        <v>26839.32</v>
      </c>
      <c r="N23" s="51">
        <f>SUM(N19:N22)</f>
        <v>400</v>
      </c>
      <c r="O23" s="100"/>
      <c r="P23" s="96"/>
      <c r="X23" s="101">
        <v>27868.3</v>
      </c>
      <c r="Y23" s="101">
        <f>SUM(Y18:Y22)</f>
        <v>28091.04</v>
      </c>
      <c r="Z23" s="101">
        <f>+Y23-X23</f>
        <v>222.7400000000016</v>
      </c>
      <c r="AA23" s="219" t="s">
        <v>35</v>
      </c>
      <c r="AB23">
        <v>17</v>
      </c>
      <c r="AC23">
        <v>172</v>
      </c>
      <c r="AD23" s="134"/>
      <c r="AE23" s="134">
        <v>21.73</v>
      </c>
      <c r="AF23" s="134">
        <v>74.95</v>
      </c>
      <c r="AG23" s="134">
        <v>15.28</v>
      </c>
      <c r="AH23" s="134">
        <v>311.53</v>
      </c>
      <c r="AI23" s="134">
        <v>3.44</v>
      </c>
      <c r="AJ23" s="134"/>
      <c r="AK23" s="189">
        <v>426.93</v>
      </c>
    </row>
    <row r="24" spans="3:37" ht="15">
      <c r="C24" s="4" t="s">
        <v>269</v>
      </c>
      <c r="E24" s="26"/>
      <c r="F24" s="26">
        <f aca="true" t="shared" si="6" ref="F24:F43">+G24+E24</f>
        <v>0</v>
      </c>
      <c r="G24" s="27"/>
      <c r="H24" s="27"/>
      <c r="I24" s="26"/>
      <c r="J24" s="28">
        <f aca="true" t="shared" si="7" ref="J24:J43">+I24-F24</f>
        <v>0</v>
      </c>
      <c r="K24" s="64"/>
      <c r="L24" s="74"/>
      <c r="M24" s="98"/>
      <c r="N24" s="99">
        <f>+L24-I24</f>
        <v>0</v>
      </c>
      <c r="O24" s="100"/>
      <c r="P24" s="96"/>
      <c r="X24" s="125"/>
      <c r="Y24" s="158"/>
      <c r="Z24" s="147"/>
      <c r="AB24">
        <v>18</v>
      </c>
      <c r="AC24">
        <v>181</v>
      </c>
      <c r="AD24" s="134">
        <v>60.8</v>
      </c>
      <c r="AE24" s="134">
        <v>164.56</v>
      </c>
      <c r="AF24" s="134">
        <v>146.16</v>
      </c>
      <c r="AG24" s="134">
        <v>266.85</v>
      </c>
      <c r="AH24" s="134">
        <v>425.88</v>
      </c>
      <c r="AI24" s="134">
        <v>441.02</v>
      </c>
      <c r="AJ24" s="134"/>
      <c r="AK24" s="189">
        <v>1505.26</v>
      </c>
    </row>
    <row r="25" spans="2:37" ht="15">
      <c r="B25" s="1" t="s">
        <v>269</v>
      </c>
      <c r="D25" s="1" t="s">
        <v>235</v>
      </c>
      <c r="E25" s="26">
        <v>1447.8</v>
      </c>
      <c r="F25" s="26">
        <f t="shared" si="6"/>
        <v>1447.8</v>
      </c>
      <c r="G25" s="27"/>
      <c r="H25" s="27"/>
      <c r="I25" s="26">
        <v>1380.71</v>
      </c>
      <c r="J25" s="28">
        <f t="shared" si="7"/>
        <v>-67.08999999999992</v>
      </c>
      <c r="K25" s="64" t="s">
        <v>77</v>
      </c>
      <c r="L25" s="74">
        <v>1380.71</v>
      </c>
      <c r="M25" s="98">
        <v>1380.71</v>
      </c>
      <c r="N25" s="99">
        <f>+M25-L25</f>
        <v>0</v>
      </c>
      <c r="O25" s="100"/>
      <c r="P25" s="96"/>
      <c r="V25" s="89" t="s">
        <v>123</v>
      </c>
      <c r="W25" s="89" t="s">
        <v>235</v>
      </c>
      <c r="X25" s="101">
        <f>SUM(Y25)</f>
        <v>1412.96</v>
      </c>
      <c r="Y25" s="40">
        <f>SUM(AK18)</f>
        <v>1412.96</v>
      </c>
      <c r="Z25" s="110">
        <f>+Y25-X25</f>
        <v>0</v>
      </c>
      <c r="AB25">
        <v>18</v>
      </c>
      <c r="AC25">
        <v>185</v>
      </c>
      <c r="AD25" s="134"/>
      <c r="AE25" s="134"/>
      <c r="AF25" s="134"/>
      <c r="AG25" s="134">
        <v>200.83</v>
      </c>
      <c r="AH25" s="134">
        <v>1157.14</v>
      </c>
      <c r="AI25" s="134">
        <v>845.3</v>
      </c>
      <c r="AJ25" s="134"/>
      <c r="AK25" s="189">
        <v>2203.28</v>
      </c>
    </row>
    <row r="26" spans="3:37" ht="15">
      <c r="C26" s="4" t="s">
        <v>270</v>
      </c>
      <c r="E26" s="26"/>
      <c r="F26" s="26">
        <f t="shared" si="6"/>
        <v>0</v>
      </c>
      <c r="G26" s="27"/>
      <c r="H26" s="27"/>
      <c r="I26" s="26"/>
      <c r="J26" s="28">
        <f t="shared" si="7"/>
        <v>0</v>
      </c>
      <c r="K26" s="64"/>
      <c r="L26" s="74"/>
      <c r="M26" s="98">
        <v>0</v>
      </c>
      <c r="N26" s="99">
        <f>+M26-L26</f>
        <v>0</v>
      </c>
      <c r="O26" s="100"/>
      <c r="P26" s="96"/>
      <c r="X26" s="125"/>
      <c r="Y26" s="158"/>
      <c r="Z26" s="110"/>
      <c r="AB26">
        <v>18</v>
      </c>
      <c r="AC26">
        <v>186</v>
      </c>
      <c r="AD26" s="134"/>
      <c r="AE26" s="134"/>
      <c r="AF26" s="134">
        <v>758.11</v>
      </c>
      <c r="AG26" s="134">
        <v>396.33</v>
      </c>
      <c r="AH26" s="134">
        <v>54.74</v>
      </c>
      <c r="AI26" s="134">
        <v>10.47</v>
      </c>
      <c r="AJ26" s="134"/>
      <c r="AK26" s="189">
        <v>1219.66</v>
      </c>
    </row>
    <row r="27" spans="2:37" ht="15">
      <c r="B27" s="1" t="s">
        <v>270</v>
      </c>
      <c r="D27" s="1" t="s">
        <v>236</v>
      </c>
      <c r="E27" s="26">
        <v>337.5</v>
      </c>
      <c r="F27" s="26">
        <f t="shared" si="6"/>
        <v>337.5</v>
      </c>
      <c r="G27" s="27"/>
      <c r="H27" s="27"/>
      <c r="I27" s="26">
        <v>338.11</v>
      </c>
      <c r="J27" s="28">
        <f t="shared" si="7"/>
        <v>0.6100000000000136</v>
      </c>
      <c r="K27" s="64"/>
      <c r="L27" s="74">
        <v>338.11</v>
      </c>
      <c r="M27" s="98">
        <v>338.11</v>
      </c>
      <c r="N27" s="99">
        <f>+M27-L27</f>
        <v>0</v>
      </c>
      <c r="O27" s="100"/>
      <c r="P27" s="96"/>
      <c r="V27" s="89" t="s">
        <v>124</v>
      </c>
      <c r="W27" s="89" t="s">
        <v>236</v>
      </c>
      <c r="X27" s="98"/>
      <c r="Y27" s="43">
        <f>SUM(AK19)</f>
        <v>372.04</v>
      </c>
      <c r="Z27" s="110"/>
      <c r="AB27">
        <v>18</v>
      </c>
      <c r="AC27">
        <v>187</v>
      </c>
      <c r="AD27" s="134"/>
      <c r="AE27" s="134">
        <v>197.99</v>
      </c>
      <c r="AF27" s="134">
        <v>184.4</v>
      </c>
      <c r="AG27" s="134">
        <v>85</v>
      </c>
      <c r="AH27" s="134">
        <v>11.25</v>
      </c>
      <c r="AI27" s="134">
        <v>11.34</v>
      </c>
      <c r="AJ27" s="134">
        <v>11.79</v>
      </c>
      <c r="AK27" s="189">
        <v>501.77</v>
      </c>
    </row>
    <row r="28" spans="2:37" ht="15">
      <c r="B28" s="1" t="s">
        <v>270</v>
      </c>
      <c r="D28" s="1" t="s">
        <v>237</v>
      </c>
      <c r="E28" s="26">
        <v>621.3</v>
      </c>
      <c r="F28" s="26">
        <f t="shared" si="6"/>
        <v>621.3</v>
      </c>
      <c r="G28" s="27"/>
      <c r="H28" s="27"/>
      <c r="I28" s="26">
        <v>619.03</v>
      </c>
      <c r="J28" s="28">
        <f t="shared" si="7"/>
        <v>-2.269999999999982</v>
      </c>
      <c r="K28" s="64"/>
      <c r="L28" s="74">
        <v>619.03</v>
      </c>
      <c r="M28" s="98">
        <v>619.03</v>
      </c>
      <c r="N28" s="99">
        <f>+M28-L28</f>
        <v>0</v>
      </c>
      <c r="O28" s="100"/>
      <c r="P28" s="96"/>
      <c r="V28" s="89" t="s">
        <v>124</v>
      </c>
      <c r="W28" s="89" t="s">
        <v>237</v>
      </c>
      <c r="X28" s="98"/>
      <c r="Y28" s="43">
        <f>SUM(AK20)</f>
        <v>681.64</v>
      </c>
      <c r="Z28" s="110"/>
      <c r="AB28">
        <v>19</v>
      </c>
      <c r="AC28">
        <v>191</v>
      </c>
      <c r="AD28" s="134">
        <v>187.09</v>
      </c>
      <c r="AE28" s="134">
        <v>131.5</v>
      </c>
      <c r="AF28" s="134">
        <v>178.83</v>
      </c>
      <c r="AG28" s="134">
        <v>193.87</v>
      </c>
      <c r="AH28" s="134">
        <v>198.95</v>
      </c>
      <c r="AI28" s="134">
        <v>96.59</v>
      </c>
      <c r="AJ28" s="134">
        <v>54.78</v>
      </c>
      <c r="AK28" s="189">
        <v>1041.61</v>
      </c>
    </row>
    <row r="29" spans="2:37" ht="19.5">
      <c r="B29" s="1" t="s">
        <v>270</v>
      </c>
      <c r="D29" s="1" t="s">
        <v>238</v>
      </c>
      <c r="E29" s="34">
        <v>78.1</v>
      </c>
      <c r="F29" s="34">
        <f t="shared" si="6"/>
        <v>78.1</v>
      </c>
      <c r="G29" s="41"/>
      <c r="H29" s="41"/>
      <c r="I29" s="34">
        <v>78.86</v>
      </c>
      <c r="J29" s="36">
        <f t="shared" si="7"/>
        <v>0.7600000000000051</v>
      </c>
      <c r="K29" s="64"/>
      <c r="L29" s="80">
        <v>78.86</v>
      </c>
      <c r="M29" s="199">
        <v>78.86</v>
      </c>
      <c r="N29" s="200">
        <f>+M29-L29</f>
        <v>0</v>
      </c>
      <c r="O29" s="201"/>
      <c r="P29" s="202"/>
      <c r="Q29" s="203"/>
      <c r="R29" s="203"/>
      <c r="S29" s="203"/>
      <c r="T29" s="203"/>
      <c r="U29" s="203"/>
      <c r="V29" s="203" t="s">
        <v>124</v>
      </c>
      <c r="W29" s="203" t="s">
        <v>238</v>
      </c>
      <c r="X29" s="199"/>
      <c r="Y29" s="199">
        <f>SUM(AK21)</f>
        <v>86.3</v>
      </c>
      <c r="Z29" s="192"/>
      <c r="AB29">
        <v>19</v>
      </c>
      <c r="AC29">
        <v>192</v>
      </c>
      <c r="AD29" s="134">
        <v>67.07</v>
      </c>
      <c r="AE29" s="134">
        <v>511.06</v>
      </c>
      <c r="AF29" s="134">
        <v>426.02</v>
      </c>
      <c r="AG29" s="134">
        <v>303.61</v>
      </c>
      <c r="AH29" s="134">
        <v>155.93</v>
      </c>
      <c r="AI29" s="134">
        <v>148.15</v>
      </c>
      <c r="AJ29" s="134">
        <v>98.65</v>
      </c>
      <c r="AK29" s="189">
        <v>1710.49</v>
      </c>
    </row>
    <row r="30" spans="4:37" ht="12.75">
      <c r="D30" s="15" t="s">
        <v>100</v>
      </c>
      <c r="E30" s="37">
        <f>SUM(E27:E29)</f>
        <v>1036.8999999999999</v>
      </c>
      <c r="F30" s="37">
        <f>SUM(F27:F29)</f>
        <v>1036.8999999999999</v>
      </c>
      <c r="G30" s="27"/>
      <c r="H30" s="27"/>
      <c r="I30" s="37">
        <f>SUM(I27:I29)</f>
        <v>1036</v>
      </c>
      <c r="J30" s="47">
        <f>SUM(J27:J29)</f>
        <v>-0.899999999999963</v>
      </c>
      <c r="K30" s="64"/>
      <c r="L30" s="77">
        <f>SUM(L27:L29)</f>
        <v>1036</v>
      </c>
      <c r="M30" s="101">
        <f>SUM(M27:M29)</f>
        <v>1036</v>
      </c>
      <c r="N30" s="51">
        <f>SUM(N27:N29)</f>
        <v>0</v>
      </c>
      <c r="O30" s="100"/>
      <c r="P30" s="96"/>
      <c r="X30" s="101">
        <f>SUM(Y30)</f>
        <v>1139.98</v>
      </c>
      <c r="Y30" s="101">
        <f>SUM(Y26:Y29)</f>
        <v>1139.98</v>
      </c>
      <c r="Z30" s="101">
        <f>+Y30-X30</f>
        <v>0</v>
      </c>
      <c r="AB30">
        <v>21</v>
      </c>
      <c r="AC30"/>
      <c r="AD30" s="134"/>
      <c r="AE30" s="134"/>
      <c r="AF30" s="134"/>
      <c r="AG30" s="134"/>
      <c r="AH30" s="134">
        <v>51.65</v>
      </c>
      <c r="AI30" s="134">
        <v>34.89</v>
      </c>
      <c r="AJ30" s="134"/>
      <c r="AK30" s="189">
        <v>86.54</v>
      </c>
    </row>
    <row r="31" spans="3:37" ht="15">
      <c r="C31" s="4" t="s">
        <v>271</v>
      </c>
      <c r="E31" s="26"/>
      <c r="F31" s="26">
        <f t="shared" si="6"/>
        <v>0</v>
      </c>
      <c r="G31" s="27"/>
      <c r="H31" s="27"/>
      <c r="I31" s="26"/>
      <c r="J31" s="28">
        <f t="shared" si="7"/>
        <v>0</v>
      </c>
      <c r="K31" s="64"/>
      <c r="L31" s="74"/>
      <c r="M31" s="98"/>
      <c r="N31" s="99">
        <f>+M31-L31</f>
        <v>0</v>
      </c>
      <c r="O31" s="100"/>
      <c r="P31" s="96"/>
      <c r="X31" s="125"/>
      <c r="Y31" s="158"/>
      <c r="Z31" s="147"/>
      <c r="AB31">
        <v>22</v>
      </c>
      <c r="AC31"/>
      <c r="AD31" s="134">
        <v>63.67</v>
      </c>
      <c r="AE31" s="134"/>
      <c r="AF31" s="134"/>
      <c r="AG31" s="134"/>
      <c r="AH31" s="134">
        <v>123.31</v>
      </c>
      <c r="AI31" s="134">
        <v>225.58</v>
      </c>
      <c r="AJ31" s="134"/>
      <c r="AK31" s="189">
        <v>412.55</v>
      </c>
    </row>
    <row r="32" spans="2:37" ht="15">
      <c r="B32" s="1" t="s">
        <v>271</v>
      </c>
      <c r="D32" s="1" t="s">
        <v>239</v>
      </c>
      <c r="E32" s="26">
        <v>862.9</v>
      </c>
      <c r="F32" s="26">
        <f t="shared" si="6"/>
        <v>862.9</v>
      </c>
      <c r="G32" s="27"/>
      <c r="H32" s="27"/>
      <c r="I32" s="26">
        <v>877.69</v>
      </c>
      <c r="J32" s="28">
        <f t="shared" si="7"/>
        <v>14.790000000000077</v>
      </c>
      <c r="K32" s="64"/>
      <c r="L32" s="74">
        <v>877.69</v>
      </c>
      <c r="M32" s="98">
        <v>877.69</v>
      </c>
      <c r="N32" s="99">
        <f>+M32-L32</f>
        <v>0</v>
      </c>
      <c r="O32" s="100"/>
      <c r="P32" s="96"/>
      <c r="V32" s="89" t="s">
        <v>125</v>
      </c>
      <c r="W32" s="89" t="s">
        <v>239</v>
      </c>
      <c r="X32" s="98"/>
      <c r="Y32" s="43">
        <f>SUM(AK22)</f>
        <v>934.01</v>
      </c>
      <c r="Z32" s="110"/>
      <c r="AB32">
        <v>25</v>
      </c>
      <c r="AC32">
        <v>250</v>
      </c>
      <c r="AD32" s="134">
        <v>123</v>
      </c>
      <c r="AE32" s="134">
        <v>161.37</v>
      </c>
      <c r="AF32" s="134"/>
      <c r="AG32" s="134"/>
      <c r="AH32" s="134"/>
      <c r="AI32" s="134"/>
      <c r="AJ32" s="134"/>
      <c r="AK32" s="189">
        <v>284.37</v>
      </c>
    </row>
    <row r="33" spans="2:37" ht="16.5">
      <c r="B33" s="1" t="s">
        <v>271</v>
      </c>
      <c r="D33" s="1" t="s">
        <v>240</v>
      </c>
      <c r="E33" s="34">
        <v>438.2</v>
      </c>
      <c r="F33" s="34">
        <f t="shared" si="6"/>
        <v>438.2</v>
      </c>
      <c r="G33" s="41"/>
      <c r="H33" s="41"/>
      <c r="I33" s="34">
        <v>443.45</v>
      </c>
      <c r="J33" s="36">
        <f t="shared" si="7"/>
        <v>5.25</v>
      </c>
      <c r="K33" s="64"/>
      <c r="L33" s="80">
        <v>443.45</v>
      </c>
      <c r="M33" s="98">
        <v>443.45</v>
      </c>
      <c r="N33" s="99">
        <f>+M33-L33</f>
        <v>0</v>
      </c>
      <c r="O33" s="100"/>
      <c r="P33" s="96"/>
      <c r="V33" s="89" t="s">
        <v>125</v>
      </c>
      <c r="W33" s="89" t="s">
        <v>240</v>
      </c>
      <c r="X33" s="98"/>
      <c r="Y33" s="43">
        <f>SUM(AK23)</f>
        <v>426.93</v>
      </c>
      <c r="Z33" s="110"/>
      <c r="AB33">
        <v>31</v>
      </c>
      <c r="AC33"/>
      <c r="AD33" s="134"/>
      <c r="AE33" s="134"/>
      <c r="AF33" s="134">
        <v>206.22</v>
      </c>
      <c r="AG33" s="134">
        <v>139.58</v>
      </c>
      <c r="AH33" s="134">
        <v>75.53</v>
      </c>
      <c r="AI33" s="134">
        <v>5.02</v>
      </c>
      <c r="AJ33" s="134"/>
      <c r="AK33" s="189">
        <v>426.35</v>
      </c>
    </row>
    <row r="34" spans="4:37" ht="19.5">
      <c r="D34" s="1" t="s">
        <v>164</v>
      </c>
      <c r="E34" s="34"/>
      <c r="F34" s="34"/>
      <c r="G34" s="41"/>
      <c r="H34" s="41"/>
      <c r="I34" s="34"/>
      <c r="J34" s="36"/>
      <c r="K34" s="64"/>
      <c r="L34" s="80"/>
      <c r="M34" s="199">
        <v>0</v>
      </c>
      <c r="N34" s="200"/>
      <c r="O34" s="201"/>
      <c r="P34" s="202"/>
      <c r="Q34" s="203"/>
      <c r="R34" s="203"/>
      <c r="S34" s="203"/>
      <c r="T34" s="203"/>
      <c r="U34" s="203"/>
      <c r="V34" s="203" t="s">
        <v>125</v>
      </c>
      <c r="W34" s="203" t="s">
        <v>118</v>
      </c>
      <c r="X34" s="199"/>
      <c r="Y34" s="199"/>
      <c r="Z34" s="192"/>
      <c r="AB34">
        <v>36</v>
      </c>
      <c r="AC34"/>
      <c r="AD34" s="134"/>
      <c r="AE34" s="134"/>
      <c r="AF34" s="134"/>
      <c r="AG34" s="134"/>
      <c r="AH34" s="134">
        <v>5.92</v>
      </c>
      <c r="AI34" s="134">
        <v>40.03</v>
      </c>
      <c r="AJ34" s="134"/>
      <c r="AK34" s="189">
        <v>45.96</v>
      </c>
    </row>
    <row r="35" spans="4:37" ht="12.75">
      <c r="D35" s="15" t="s">
        <v>100</v>
      </c>
      <c r="E35" s="37">
        <f>SUM(E32:E33)</f>
        <v>1301.1</v>
      </c>
      <c r="F35" s="37">
        <f>SUM(F32:F33)</f>
        <v>1301.1</v>
      </c>
      <c r="G35" s="27"/>
      <c r="H35" s="27"/>
      <c r="I35" s="37">
        <f>SUM(I32:I33)</f>
        <v>1321.14</v>
      </c>
      <c r="J35" s="47">
        <f>SUM(J32:J33)</f>
        <v>20.040000000000077</v>
      </c>
      <c r="K35" s="64"/>
      <c r="L35" s="77">
        <f>SUM(L32:L33)</f>
        <v>1321.14</v>
      </c>
      <c r="M35" s="101">
        <f>SUM(M32:M34)</f>
        <v>1321.14</v>
      </c>
      <c r="N35" s="51">
        <f>SUM(N32:N33)</f>
        <v>0</v>
      </c>
      <c r="O35" s="100"/>
      <c r="P35" s="104"/>
      <c r="X35" s="101">
        <f>SUM(Y35)</f>
        <v>1360.94</v>
      </c>
      <c r="Y35" s="101">
        <f>SUM(Y31:Y34)</f>
        <v>1360.94</v>
      </c>
      <c r="Z35" s="101">
        <f>+Y35-X35</f>
        <v>0</v>
      </c>
      <c r="AB35">
        <v>38</v>
      </c>
      <c r="AC35"/>
      <c r="AD35" s="134"/>
      <c r="AE35" s="134"/>
      <c r="AF35" s="134"/>
      <c r="AG35" s="134"/>
      <c r="AH35" s="134"/>
      <c r="AI35" s="134">
        <v>310.09</v>
      </c>
      <c r="AJ35" s="134"/>
      <c r="AK35" s="189">
        <v>310.09</v>
      </c>
    </row>
    <row r="36" spans="3:37" ht="15">
      <c r="C36" s="4" t="s">
        <v>272</v>
      </c>
      <c r="E36" s="26"/>
      <c r="F36" s="26">
        <f t="shared" si="6"/>
        <v>0</v>
      </c>
      <c r="G36" s="27"/>
      <c r="H36" s="27"/>
      <c r="I36" s="26"/>
      <c r="J36" s="28">
        <f t="shared" si="7"/>
        <v>0</v>
      </c>
      <c r="K36" s="67"/>
      <c r="L36" s="74"/>
      <c r="M36" s="98"/>
      <c r="N36" s="99">
        <f aca="true" t="shared" si="8" ref="N36:N47">+M36-L36</f>
        <v>0</v>
      </c>
      <c r="O36" s="103"/>
      <c r="P36" s="104"/>
      <c r="X36" s="98"/>
      <c r="Y36" s="98"/>
      <c r="Z36" s="110"/>
      <c r="AB36">
        <v>39</v>
      </c>
      <c r="AC36"/>
      <c r="AD36" s="134">
        <v>155.45</v>
      </c>
      <c r="AE36" s="134">
        <v>65</v>
      </c>
      <c r="AF36" s="134">
        <v>66.36</v>
      </c>
      <c r="AG36" s="134">
        <v>73.71</v>
      </c>
      <c r="AH36" s="134"/>
      <c r="AI36" s="134"/>
      <c r="AJ36" s="134"/>
      <c r="AK36" s="189">
        <v>360.52</v>
      </c>
    </row>
    <row r="37" spans="2:37" ht="26.25">
      <c r="B37" s="1" t="s">
        <v>272</v>
      </c>
      <c r="D37" s="1" t="s">
        <v>241</v>
      </c>
      <c r="E37" s="26">
        <v>1379.3</v>
      </c>
      <c r="F37" s="26">
        <f t="shared" si="6"/>
        <v>1379.3</v>
      </c>
      <c r="G37" s="27"/>
      <c r="H37" s="27"/>
      <c r="I37" s="26">
        <v>1014.4</v>
      </c>
      <c r="J37" s="28">
        <f t="shared" si="7"/>
        <v>-364.9</v>
      </c>
      <c r="K37" s="67" t="s">
        <v>95</v>
      </c>
      <c r="L37" s="74">
        <v>1014.4</v>
      </c>
      <c r="M37" s="98">
        <v>1014.4</v>
      </c>
      <c r="N37" s="99">
        <f t="shared" si="8"/>
        <v>0</v>
      </c>
      <c r="O37" s="103"/>
      <c r="P37" s="96"/>
      <c r="V37" s="89" t="s">
        <v>126</v>
      </c>
      <c r="W37" s="89" t="s">
        <v>241</v>
      </c>
      <c r="X37" s="98"/>
      <c r="Y37" s="43">
        <f>SUM(AK24)</f>
        <v>1505.26</v>
      </c>
      <c r="Z37" s="110"/>
      <c r="AB37">
        <v>41</v>
      </c>
      <c r="AC37">
        <v>411</v>
      </c>
      <c r="AD37" s="134"/>
      <c r="AE37" s="134">
        <v>81.44</v>
      </c>
      <c r="AF37" s="134"/>
      <c r="AG37" s="134">
        <v>152.28</v>
      </c>
      <c r="AH37" s="134">
        <v>148.31</v>
      </c>
      <c r="AI37" s="134"/>
      <c r="AJ37" s="134"/>
      <c r="AK37" s="189">
        <v>382.03</v>
      </c>
    </row>
    <row r="38" spans="2:37" ht="15">
      <c r="B38" s="1" t="s">
        <v>272</v>
      </c>
      <c r="D38" s="1" t="s">
        <v>242</v>
      </c>
      <c r="E38" s="26">
        <v>92.9</v>
      </c>
      <c r="F38" s="26">
        <f t="shared" si="6"/>
        <v>92.9</v>
      </c>
      <c r="G38" s="27"/>
      <c r="H38" s="27"/>
      <c r="I38" s="26">
        <v>1E-05</v>
      </c>
      <c r="J38" s="28">
        <f t="shared" si="7"/>
        <v>-92.89999</v>
      </c>
      <c r="K38" s="64" t="s">
        <v>92</v>
      </c>
      <c r="L38" s="74">
        <v>1E-05</v>
      </c>
      <c r="M38" s="98">
        <v>1E-05</v>
      </c>
      <c r="N38" s="99">
        <f t="shared" si="8"/>
        <v>0</v>
      </c>
      <c r="O38" s="100"/>
      <c r="P38" s="96"/>
      <c r="V38" s="89" t="s">
        <v>126</v>
      </c>
      <c r="W38" s="89" t="s">
        <v>242</v>
      </c>
      <c r="X38" s="98"/>
      <c r="Y38" s="43"/>
      <c r="Z38" s="110"/>
      <c r="AB38">
        <v>41</v>
      </c>
      <c r="AC38">
        <v>412</v>
      </c>
      <c r="AD38" s="134"/>
      <c r="AE38" s="134"/>
      <c r="AF38" s="134"/>
      <c r="AG38" s="134"/>
      <c r="AH38" s="134">
        <v>18.44</v>
      </c>
      <c r="AI38" s="134">
        <v>29.7</v>
      </c>
      <c r="AJ38" s="134"/>
      <c r="AK38" s="189">
        <v>48.14</v>
      </c>
    </row>
    <row r="39" spans="2:37" ht="15">
      <c r="B39" s="1" t="s">
        <v>272</v>
      </c>
      <c r="D39" s="1" t="s">
        <v>243</v>
      </c>
      <c r="E39" s="26">
        <v>77.4</v>
      </c>
      <c r="F39" s="26">
        <f t="shared" si="6"/>
        <v>77.4</v>
      </c>
      <c r="G39" s="27"/>
      <c r="H39" s="27"/>
      <c r="I39" s="61">
        <v>79.12</v>
      </c>
      <c r="J39" s="28">
        <f t="shared" si="7"/>
        <v>1.7199999999999989</v>
      </c>
      <c r="K39" s="64"/>
      <c r="L39" s="75">
        <v>79.12</v>
      </c>
      <c r="M39" s="98">
        <v>79.12</v>
      </c>
      <c r="N39" s="99">
        <f t="shared" si="8"/>
        <v>0</v>
      </c>
      <c r="O39" s="100"/>
      <c r="P39" s="105"/>
      <c r="Q39" s="106"/>
      <c r="X39" s="98"/>
      <c r="Y39" s="43"/>
      <c r="Z39" s="110"/>
      <c r="AB39">
        <v>43</v>
      </c>
      <c r="AC39">
        <v>431</v>
      </c>
      <c r="AD39" s="134"/>
      <c r="AE39" s="134"/>
      <c r="AF39" s="134">
        <v>232.56</v>
      </c>
      <c r="AG39" s="134">
        <v>5.1</v>
      </c>
      <c r="AH39" s="134">
        <v>216.28</v>
      </c>
      <c r="AI39" s="134"/>
      <c r="AJ39" s="134"/>
      <c r="AK39" s="189">
        <v>453.94</v>
      </c>
    </row>
    <row r="40" spans="2:37" ht="26.25">
      <c r="B40" s="1" t="s">
        <v>272</v>
      </c>
      <c r="D40" s="1" t="s">
        <v>244</v>
      </c>
      <c r="E40" s="26">
        <v>326.3</v>
      </c>
      <c r="F40" s="26">
        <f t="shared" si="6"/>
        <v>326.3</v>
      </c>
      <c r="G40" s="27"/>
      <c r="H40" s="27"/>
      <c r="I40" s="61">
        <v>530.14</v>
      </c>
      <c r="J40" s="28">
        <f t="shared" si="7"/>
        <v>203.83999999999997</v>
      </c>
      <c r="K40" s="68" t="s">
        <v>93</v>
      </c>
      <c r="L40" s="75">
        <v>530.14</v>
      </c>
      <c r="M40" s="98">
        <v>530.14</v>
      </c>
      <c r="N40" s="99">
        <f t="shared" si="8"/>
        <v>0</v>
      </c>
      <c r="O40" s="107"/>
      <c r="P40" s="105"/>
      <c r="X40" s="98"/>
      <c r="Y40" s="43"/>
      <c r="Z40" s="110"/>
      <c r="AB40">
        <v>44</v>
      </c>
      <c r="AC40">
        <v>441</v>
      </c>
      <c r="AD40" s="134"/>
      <c r="AE40" s="134"/>
      <c r="AF40" s="134"/>
      <c r="AG40" s="134"/>
      <c r="AH40" s="134">
        <v>106.45</v>
      </c>
      <c r="AI40" s="134">
        <v>253.32</v>
      </c>
      <c r="AJ40" s="134">
        <v>17.9</v>
      </c>
      <c r="AK40" s="189">
        <v>377.66</v>
      </c>
    </row>
    <row r="41" spans="2:37" ht="15">
      <c r="B41" s="1" t="s">
        <v>272</v>
      </c>
      <c r="D41" s="1" t="s">
        <v>245</v>
      </c>
      <c r="E41" s="26">
        <v>1509.4</v>
      </c>
      <c r="F41" s="26">
        <f t="shared" si="6"/>
        <v>1509.4</v>
      </c>
      <c r="G41" s="27"/>
      <c r="H41" s="27"/>
      <c r="I41" s="61">
        <v>1818.56</v>
      </c>
      <c r="J41" s="28">
        <f t="shared" si="7"/>
        <v>309.15999999999985</v>
      </c>
      <c r="K41" s="68" t="s">
        <v>94</v>
      </c>
      <c r="L41" s="75">
        <v>1818.56</v>
      </c>
      <c r="M41" s="98">
        <v>1818.56</v>
      </c>
      <c r="N41" s="99">
        <f t="shared" si="8"/>
        <v>0</v>
      </c>
      <c r="O41" s="107"/>
      <c r="P41" s="96"/>
      <c r="V41" s="89" t="s">
        <v>126</v>
      </c>
      <c r="W41" s="89" t="s">
        <v>245</v>
      </c>
      <c r="X41" s="98"/>
      <c r="Y41" s="43">
        <f>SUM(AK25)</f>
        <v>2203.28</v>
      </c>
      <c r="Z41" s="110"/>
      <c r="AB41">
        <v>44</v>
      </c>
      <c r="AC41">
        <v>442</v>
      </c>
      <c r="AD41" s="134"/>
      <c r="AE41" s="134"/>
      <c r="AF41" s="134"/>
      <c r="AG41" s="134"/>
      <c r="AH41" s="134">
        <v>74.86</v>
      </c>
      <c r="AI41" s="134">
        <v>7.32</v>
      </c>
      <c r="AJ41" s="134"/>
      <c r="AK41" s="189">
        <v>82.18</v>
      </c>
    </row>
    <row r="42" spans="2:37" ht="15">
      <c r="B42" s="1" t="s">
        <v>272</v>
      </c>
      <c r="D42" s="1" t="s">
        <v>246</v>
      </c>
      <c r="E42" s="26">
        <v>1217.2</v>
      </c>
      <c r="F42" s="26">
        <f t="shared" si="6"/>
        <v>1217.2</v>
      </c>
      <c r="G42" s="27"/>
      <c r="H42" s="27"/>
      <c r="I42" s="61">
        <v>1200.04</v>
      </c>
      <c r="J42" s="28">
        <f t="shared" si="7"/>
        <v>-17.160000000000082</v>
      </c>
      <c r="K42" s="64"/>
      <c r="L42" s="75">
        <v>1200.04</v>
      </c>
      <c r="M42" s="98">
        <v>1200.04</v>
      </c>
      <c r="N42" s="99">
        <f t="shared" si="8"/>
        <v>0</v>
      </c>
      <c r="O42" s="100"/>
      <c r="P42" s="96"/>
      <c r="V42" s="89" t="s">
        <v>126</v>
      </c>
      <c r="W42" s="89" t="s">
        <v>246</v>
      </c>
      <c r="X42" s="98"/>
      <c r="Y42" s="43">
        <f>SUM(AK26)</f>
        <v>1219.66</v>
      </c>
      <c r="Z42" s="110"/>
      <c r="AB42">
        <v>44</v>
      </c>
      <c r="AC42">
        <v>443</v>
      </c>
      <c r="AD42" s="134"/>
      <c r="AE42" s="134"/>
      <c r="AF42" s="134"/>
      <c r="AG42" s="134"/>
      <c r="AH42" s="134">
        <v>11.26</v>
      </c>
      <c r="AI42" s="134">
        <v>3.01</v>
      </c>
      <c r="AJ42" s="134"/>
      <c r="AK42" s="189">
        <v>14.27</v>
      </c>
    </row>
    <row r="43" spans="2:37" ht="19.5">
      <c r="B43" s="1" t="s">
        <v>272</v>
      </c>
      <c r="D43" s="1" t="s">
        <v>247</v>
      </c>
      <c r="E43" s="34">
        <v>463.2</v>
      </c>
      <c r="F43" s="34">
        <f t="shared" si="6"/>
        <v>463.2</v>
      </c>
      <c r="G43" s="41"/>
      <c r="H43" s="41"/>
      <c r="I43" s="62">
        <v>475.83</v>
      </c>
      <c r="J43" s="36">
        <f t="shared" si="7"/>
        <v>12.629999999999995</v>
      </c>
      <c r="K43" s="64"/>
      <c r="L43" s="76">
        <v>475.83</v>
      </c>
      <c r="M43" s="199">
        <v>475.83</v>
      </c>
      <c r="N43" s="200">
        <f t="shared" si="8"/>
        <v>0</v>
      </c>
      <c r="O43" s="201"/>
      <c r="P43" s="202"/>
      <c r="Q43" s="203"/>
      <c r="R43" s="203"/>
      <c r="S43" s="203"/>
      <c r="T43" s="203"/>
      <c r="U43" s="203"/>
      <c r="V43" s="203" t="s">
        <v>126</v>
      </c>
      <c r="W43" s="203" t="s">
        <v>247</v>
      </c>
      <c r="X43" s="199"/>
      <c r="Y43" s="199">
        <f>SUM(AK27)</f>
        <v>501.77</v>
      </c>
      <c r="Z43" s="192"/>
      <c r="AB43">
        <v>44</v>
      </c>
      <c r="AC43">
        <v>444</v>
      </c>
      <c r="AD43" s="134"/>
      <c r="AE43" s="134"/>
      <c r="AF43" s="134"/>
      <c r="AG43" s="134"/>
      <c r="AH43" s="134">
        <v>219.02</v>
      </c>
      <c r="AI43" s="134">
        <v>93.64</v>
      </c>
      <c r="AJ43" s="134"/>
      <c r="AK43" s="189">
        <v>312.65</v>
      </c>
    </row>
    <row r="44" spans="4:37" ht="12.75">
      <c r="D44" s="15" t="s">
        <v>100</v>
      </c>
      <c r="E44" s="37">
        <f>SUM(E37:E43)</f>
        <v>5065.7</v>
      </c>
      <c r="F44" s="37">
        <f>SUM(F37:F43)</f>
        <v>5065.7</v>
      </c>
      <c r="G44" s="27"/>
      <c r="H44" s="27"/>
      <c r="I44" s="37">
        <f>SUM(I37:I43)</f>
        <v>5118.09001</v>
      </c>
      <c r="J44" s="39">
        <f>SUM(J37:J43)</f>
        <v>52.39000999999979</v>
      </c>
      <c r="K44" s="64"/>
      <c r="L44" s="77">
        <f>SUM(L37:L43)</f>
        <v>5118.09001</v>
      </c>
      <c r="M44" s="101">
        <f>SUM(M37:M43)</f>
        <v>5118.09001</v>
      </c>
      <c r="N44" s="51">
        <f>SUM(N37:N43)</f>
        <v>0</v>
      </c>
      <c r="O44" s="100"/>
      <c r="P44" s="96"/>
      <c r="X44" s="101">
        <f>SUM(Y44)</f>
        <v>5429.969999999999</v>
      </c>
      <c r="Y44" s="101">
        <f>SUM(Y36:Y43)</f>
        <v>5429.969999999999</v>
      </c>
      <c r="Z44" s="101">
        <f>+Y44-X44</f>
        <v>0</v>
      </c>
      <c r="AB44">
        <v>44</v>
      </c>
      <c r="AC44">
        <v>445</v>
      </c>
      <c r="AD44" s="134"/>
      <c r="AE44" s="134">
        <v>1.05</v>
      </c>
      <c r="AF44" s="134"/>
      <c r="AG44" s="134">
        <v>61.03</v>
      </c>
      <c r="AH44" s="134">
        <v>382.57</v>
      </c>
      <c r="AI44" s="134">
        <v>77.45</v>
      </c>
      <c r="AJ44" s="134"/>
      <c r="AK44" s="189">
        <v>522.1</v>
      </c>
    </row>
    <row r="45" spans="3:37" ht="15">
      <c r="C45" s="4" t="s">
        <v>273</v>
      </c>
      <c r="E45" s="26"/>
      <c r="F45" s="26">
        <f aca="true" t="shared" si="9" ref="F45:F78">+G45+E45</f>
        <v>0</v>
      </c>
      <c r="G45" s="27"/>
      <c r="H45" s="27"/>
      <c r="I45" s="26"/>
      <c r="J45" s="28">
        <f aca="true" t="shared" si="10" ref="J45:J78">+I45-F45</f>
        <v>0</v>
      </c>
      <c r="K45" s="64"/>
      <c r="L45" s="74"/>
      <c r="M45" s="98"/>
      <c r="N45" s="99">
        <f t="shared" si="8"/>
        <v>0</v>
      </c>
      <c r="O45" s="100"/>
      <c r="P45" s="96"/>
      <c r="X45" s="125"/>
      <c r="Y45" s="158"/>
      <c r="Z45" s="147"/>
      <c r="AB45">
        <v>45</v>
      </c>
      <c r="AC45">
        <v>451</v>
      </c>
      <c r="AD45" s="134">
        <v>112.34</v>
      </c>
      <c r="AE45" s="134">
        <v>29.89</v>
      </c>
      <c r="AF45" s="134">
        <v>155.93</v>
      </c>
      <c r="AG45" s="134">
        <v>33.61</v>
      </c>
      <c r="AH45" s="134">
        <v>105.02</v>
      </c>
      <c r="AI45" s="134">
        <v>83.55</v>
      </c>
      <c r="AJ45" s="134"/>
      <c r="AK45" s="189">
        <v>520.33</v>
      </c>
    </row>
    <row r="46" spans="2:37" ht="15">
      <c r="B46" s="1" t="s">
        <v>273</v>
      </c>
      <c r="D46" s="1" t="s">
        <v>248</v>
      </c>
      <c r="E46" s="26">
        <v>1083</v>
      </c>
      <c r="F46" s="26">
        <f t="shared" si="9"/>
        <v>1113</v>
      </c>
      <c r="G46" s="27">
        <v>30</v>
      </c>
      <c r="H46" s="57" t="s">
        <v>75</v>
      </c>
      <c r="I46" s="26">
        <v>946.44</v>
      </c>
      <c r="J46" s="28">
        <f t="shared" si="10"/>
        <v>-166.55999999999995</v>
      </c>
      <c r="K46" s="64"/>
      <c r="L46" s="74">
        <v>946.44</v>
      </c>
      <c r="M46" s="98">
        <f>+L46</f>
        <v>946.44</v>
      </c>
      <c r="N46" s="99">
        <f t="shared" si="8"/>
        <v>0</v>
      </c>
      <c r="O46" s="100"/>
      <c r="P46" s="96"/>
      <c r="V46" s="89" t="s">
        <v>127</v>
      </c>
      <c r="W46" s="89" t="s">
        <v>248</v>
      </c>
      <c r="X46" s="98"/>
      <c r="Y46" s="43">
        <f>SUM(AK28)</f>
        <v>1041.61</v>
      </c>
      <c r="Z46" s="110"/>
      <c r="AB46">
        <v>45</v>
      </c>
      <c r="AC46">
        <v>452</v>
      </c>
      <c r="AD46" s="134"/>
      <c r="AE46" s="134"/>
      <c r="AF46" s="134"/>
      <c r="AG46" s="134"/>
      <c r="AH46" s="134">
        <v>119.12</v>
      </c>
      <c r="AI46" s="134">
        <v>142.62</v>
      </c>
      <c r="AJ46" s="134"/>
      <c r="AK46" s="189">
        <v>261.74</v>
      </c>
    </row>
    <row r="47" spans="2:37" ht="30.75">
      <c r="B47" s="1" t="s">
        <v>273</v>
      </c>
      <c r="D47" s="1" t="s">
        <v>249</v>
      </c>
      <c r="E47" s="34">
        <v>1568.5</v>
      </c>
      <c r="F47" s="34">
        <f t="shared" si="9"/>
        <v>1568.5</v>
      </c>
      <c r="G47" s="41">
        <v>0</v>
      </c>
      <c r="H47" s="41"/>
      <c r="I47" s="34">
        <v>1474.58</v>
      </c>
      <c r="J47" s="36">
        <f t="shared" si="10"/>
        <v>-93.92000000000007</v>
      </c>
      <c r="K47" s="64" t="s">
        <v>78</v>
      </c>
      <c r="L47" s="80">
        <v>1474.58</v>
      </c>
      <c r="M47" s="199">
        <f>+L47</f>
        <v>1474.58</v>
      </c>
      <c r="N47" s="200">
        <f t="shared" si="8"/>
        <v>0</v>
      </c>
      <c r="O47" s="201"/>
      <c r="P47" s="202"/>
      <c r="Q47" s="203"/>
      <c r="R47" s="203"/>
      <c r="S47" s="203"/>
      <c r="T47" s="203"/>
      <c r="U47" s="203"/>
      <c r="V47" s="203" t="s">
        <v>127</v>
      </c>
      <c r="W47" s="203" t="s">
        <v>249</v>
      </c>
      <c r="X47" s="199"/>
      <c r="Y47" s="199">
        <f>SUM(AK29)</f>
        <v>1710.49</v>
      </c>
      <c r="Z47" s="192"/>
      <c r="AB47">
        <v>45</v>
      </c>
      <c r="AC47">
        <v>453</v>
      </c>
      <c r="AD47" s="134"/>
      <c r="AE47" s="134"/>
      <c r="AF47" s="134"/>
      <c r="AG47" s="134"/>
      <c r="AH47" s="134">
        <v>103.97</v>
      </c>
      <c r="AI47" s="134">
        <v>220.75</v>
      </c>
      <c r="AJ47" s="134"/>
      <c r="AK47" s="189">
        <v>324.72</v>
      </c>
    </row>
    <row r="48" spans="1:37" s="17" customFormat="1" ht="16.5">
      <c r="A48" s="1"/>
      <c r="B48" s="1"/>
      <c r="C48" s="4"/>
      <c r="D48" s="15" t="s">
        <v>100</v>
      </c>
      <c r="E48" s="48">
        <f>SUM(E46:E47)</f>
        <v>2651.5</v>
      </c>
      <c r="F48" s="48">
        <f>SUM(F46:F47)</f>
        <v>2681.5</v>
      </c>
      <c r="G48" s="49">
        <f>SUM(G46:G47)</f>
        <v>30</v>
      </c>
      <c r="H48" s="35"/>
      <c r="I48" s="48">
        <f>SUM(I46:I47)</f>
        <v>2421.02</v>
      </c>
      <c r="J48" s="50">
        <f>SUM(J46:J47)</f>
        <v>-260.48</v>
      </c>
      <c r="K48" s="64"/>
      <c r="L48" s="81">
        <f>SUM(L46:L47)</f>
        <v>2421.02</v>
      </c>
      <c r="M48" s="204">
        <f>SUM(M46:M47)</f>
        <v>2421.02</v>
      </c>
      <c r="N48" s="205">
        <f>SUM(N46:N47)</f>
        <v>0</v>
      </c>
      <c r="O48" s="201"/>
      <c r="P48" s="206"/>
      <c r="Q48" s="207"/>
      <c r="R48" s="207"/>
      <c r="S48" s="207"/>
      <c r="T48" s="207"/>
      <c r="U48" s="207"/>
      <c r="V48" s="203"/>
      <c r="W48" s="203"/>
      <c r="X48" s="204">
        <v>2752</v>
      </c>
      <c r="Y48" s="204">
        <f>SUM(Y45:Y47)</f>
        <v>2752.1</v>
      </c>
      <c r="Z48" s="204">
        <f>+Y48-X48</f>
        <v>0.09999999999990905</v>
      </c>
      <c r="AB48">
        <v>46</v>
      </c>
      <c r="AC48">
        <v>460</v>
      </c>
      <c r="AD48" s="134">
        <v>1.3</v>
      </c>
      <c r="AE48" s="134"/>
      <c r="AF48" s="134"/>
      <c r="AG48" s="134"/>
      <c r="AH48" s="134"/>
      <c r="AI48" s="134"/>
      <c r="AJ48" s="134"/>
      <c r="AK48" s="189">
        <v>1.3</v>
      </c>
    </row>
    <row r="49" spans="1:37" ht="15">
      <c r="A49" s="17"/>
      <c r="B49" s="17"/>
      <c r="C49" s="18"/>
      <c r="D49" s="19" t="s">
        <v>101</v>
      </c>
      <c r="E49" s="20">
        <f>SUM(E48,E44,E35,E30,E25,E23,E17,E10,E3)</f>
        <v>49393.299999999996</v>
      </c>
      <c r="F49" s="20">
        <f>SUM(F48,F44,F35,F30,F25,F23,F17,F10,F3)</f>
        <v>49976.899999999994</v>
      </c>
      <c r="G49" s="21">
        <f>SUM(G48,G44,G35,G30,G25,G23,G17,G10,G3)</f>
        <v>583.6</v>
      </c>
      <c r="H49" s="29"/>
      <c r="I49" s="20">
        <f>SUM(I48,I44,I35,I30,I25,I23,I17,I10,I3)</f>
        <v>50655.87001</v>
      </c>
      <c r="J49" s="22">
        <f>SUM(J48,J44,J35,J30,J25,J23,J17,J10,J3)</f>
        <v>678.9700100000002</v>
      </c>
      <c r="K49" s="69"/>
      <c r="L49" s="82">
        <f>SUM(L48,L44,L35,L30,L25,L23,L17,L10,L3)</f>
        <v>50894.84001</v>
      </c>
      <c r="M49" s="110">
        <f>SUM(M48,M44,M35,M30,M25,M23,M17,M10,M3)</f>
        <v>51836.860010000004</v>
      </c>
      <c r="N49" s="111">
        <f>SUM(N48,N44,N35,N30,N25,N23,N17,N10,N3)</f>
        <v>942.1199999999991</v>
      </c>
      <c r="O49" s="112"/>
      <c r="P49" s="96"/>
      <c r="X49" s="110">
        <f>SUM(X48,X44,X35,X30,X25,X23,X17,X10,X3)</f>
        <v>54249.479999999996</v>
      </c>
      <c r="Y49" s="110">
        <f>SUM(Y48,Y44,Y35,Y30,Y25,Y23,Y17,Y10,Y3)</f>
        <v>54508.25</v>
      </c>
      <c r="Z49" s="110">
        <f>SUM(Z48,Z44,Z35,Z30,Z25,Z23,Z17,Z10,Z3)</f>
        <v>258.77</v>
      </c>
      <c r="AB49">
        <v>51</v>
      </c>
      <c r="AC49"/>
      <c r="AD49" s="134">
        <v>11.9</v>
      </c>
      <c r="AE49" s="134">
        <v>16</v>
      </c>
      <c r="AF49" s="134"/>
      <c r="AG49" s="134"/>
      <c r="AH49" s="134"/>
      <c r="AI49" s="134">
        <v>282.69</v>
      </c>
      <c r="AJ49" s="134"/>
      <c r="AK49" s="189">
        <v>310.59</v>
      </c>
    </row>
    <row r="50" spans="4:37" ht="15">
      <c r="D50" s="15"/>
      <c r="E50" s="37"/>
      <c r="F50" s="37"/>
      <c r="G50" s="39"/>
      <c r="H50" s="27"/>
      <c r="I50" s="37"/>
      <c r="J50" s="47"/>
      <c r="K50" s="64"/>
      <c r="L50" s="77"/>
      <c r="M50" s="101"/>
      <c r="N50" s="53"/>
      <c r="O50" s="100"/>
      <c r="P50" s="96"/>
      <c r="X50" s="125"/>
      <c r="Y50" s="125"/>
      <c r="Z50" s="147"/>
      <c r="AB50">
        <v>52</v>
      </c>
      <c r="AC50"/>
      <c r="AD50" s="134"/>
      <c r="AE50" s="134"/>
      <c r="AF50" s="134"/>
      <c r="AG50" s="134"/>
      <c r="AH50" s="134">
        <v>11.36</v>
      </c>
      <c r="AI50" s="134">
        <v>494.87</v>
      </c>
      <c r="AJ50" s="134">
        <v>104.69</v>
      </c>
      <c r="AK50" s="189">
        <v>610.92</v>
      </c>
    </row>
    <row r="51" spans="2:37" ht="15">
      <c r="B51" s="1" t="s">
        <v>274</v>
      </c>
      <c r="C51" s="4" t="s">
        <v>274</v>
      </c>
      <c r="E51" s="26">
        <v>140</v>
      </c>
      <c r="F51" s="26">
        <f t="shared" si="9"/>
        <v>80</v>
      </c>
      <c r="G51" s="27">
        <v>-60</v>
      </c>
      <c r="H51" s="57" t="s">
        <v>70</v>
      </c>
      <c r="I51" s="26">
        <v>80.72</v>
      </c>
      <c r="J51" s="28">
        <f t="shared" si="10"/>
        <v>0.7199999999999989</v>
      </c>
      <c r="K51" s="64"/>
      <c r="L51" s="74">
        <v>80.72</v>
      </c>
      <c r="M51" s="98">
        <f>+L51</f>
        <v>80.72</v>
      </c>
      <c r="N51" s="99">
        <f>+M51-L51</f>
        <v>0</v>
      </c>
      <c r="O51" s="100"/>
      <c r="P51" s="96"/>
      <c r="V51" s="89" t="s">
        <v>128</v>
      </c>
      <c r="X51" s="98"/>
      <c r="Y51" s="43">
        <f>SUM(AK30)</f>
        <v>86.54</v>
      </c>
      <c r="Z51" s="110"/>
      <c r="AB51">
        <v>53</v>
      </c>
      <c r="AC51"/>
      <c r="AD51" s="134"/>
      <c r="AE51" s="134"/>
      <c r="AF51" s="134"/>
      <c r="AG51" s="134"/>
      <c r="AH51" s="134">
        <v>12.07</v>
      </c>
      <c r="AI51" s="134">
        <v>318.95</v>
      </c>
      <c r="AJ51" s="134">
        <v>20</v>
      </c>
      <c r="AK51" s="189">
        <v>351.01</v>
      </c>
    </row>
    <row r="52" spans="2:37" ht="15">
      <c r="B52" s="1" t="s">
        <v>275</v>
      </c>
      <c r="C52" s="4" t="s">
        <v>275</v>
      </c>
      <c r="E52" s="26">
        <v>388.1</v>
      </c>
      <c r="F52" s="26">
        <f t="shared" si="9"/>
        <v>388.1</v>
      </c>
      <c r="G52" s="27"/>
      <c r="H52" s="27"/>
      <c r="I52" s="26">
        <v>388.7</v>
      </c>
      <c r="J52" s="28">
        <f t="shared" si="10"/>
        <v>0.5999999999999659</v>
      </c>
      <c r="K52" s="64"/>
      <c r="L52" s="74">
        <v>388.7</v>
      </c>
      <c r="M52" s="98">
        <f>+L52</f>
        <v>388.7</v>
      </c>
      <c r="N52" s="99">
        <f>+M52-L52</f>
        <v>0</v>
      </c>
      <c r="O52" s="100"/>
      <c r="P52" s="96"/>
      <c r="V52" s="89" t="s">
        <v>129</v>
      </c>
      <c r="X52" s="98"/>
      <c r="Y52" s="43">
        <f>SUM(AK31)</f>
        <v>412.55</v>
      </c>
      <c r="Z52" s="110"/>
      <c r="AB52">
        <v>54</v>
      </c>
      <c r="AC52"/>
      <c r="AD52" s="134"/>
      <c r="AE52" s="134"/>
      <c r="AF52" s="134"/>
      <c r="AG52" s="134"/>
      <c r="AH52" s="134"/>
      <c r="AI52" s="134">
        <v>220.96</v>
      </c>
      <c r="AJ52" s="134"/>
      <c r="AK52" s="189">
        <v>220.96</v>
      </c>
    </row>
    <row r="53" spans="1:37" s="17" customFormat="1" ht="19.5">
      <c r="A53" s="1"/>
      <c r="B53" s="1" t="s">
        <v>276</v>
      </c>
      <c r="C53" s="4" t="s">
        <v>276</v>
      </c>
      <c r="D53" s="1"/>
      <c r="E53" s="34">
        <v>308.9</v>
      </c>
      <c r="F53" s="34">
        <f t="shared" si="9"/>
        <v>308.9</v>
      </c>
      <c r="G53" s="41">
        <v>0</v>
      </c>
      <c r="H53" s="41"/>
      <c r="I53" s="34">
        <v>308.9</v>
      </c>
      <c r="J53" s="36">
        <f t="shared" si="10"/>
        <v>0</v>
      </c>
      <c r="K53" s="64"/>
      <c r="L53" s="80">
        <v>308.9</v>
      </c>
      <c r="M53" s="199">
        <f>+L53</f>
        <v>308.9</v>
      </c>
      <c r="N53" s="200">
        <f>+M53-L53</f>
        <v>0</v>
      </c>
      <c r="O53" s="201"/>
      <c r="P53" s="206"/>
      <c r="Q53" s="207"/>
      <c r="R53" s="207"/>
      <c r="S53" s="207"/>
      <c r="T53" s="207"/>
      <c r="U53" s="207"/>
      <c r="V53" s="203" t="s">
        <v>130</v>
      </c>
      <c r="W53" s="203" t="s">
        <v>85</v>
      </c>
      <c r="X53" s="199"/>
      <c r="Y53" s="199">
        <f>SUM(AK32)</f>
        <v>284.37</v>
      </c>
      <c r="Z53" s="192"/>
      <c r="AB53">
        <v>55</v>
      </c>
      <c r="AC53"/>
      <c r="AD53" s="134"/>
      <c r="AE53" s="134"/>
      <c r="AF53" s="134"/>
      <c r="AG53" s="134"/>
      <c r="AH53" s="134"/>
      <c r="AI53" s="134">
        <v>161.65</v>
      </c>
      <c r="AJ53" s="134"/>
      <c r="AK53" s="189">
        <v>161.65</v>
      </c>
    </row>
    <row r="54" spans="1:37" ht="15">
      <c r="A54" s="17"/>
      <c r="B54" s="17"/>
      <c r="C54" s="18"/>
      <c r="D54" s="19" t="s">
        <v>102</v>
      </c>
      <c r="E54" s="20">
        <f>SUM(E51:E53)</f>
        <v>837</v>
      </c>
      <c r="F54" s="20">
        <f>SUM(F51:F53)</f>
        <v>777</v>
      </c>
      <c r="G54" s="21">
        <f>SUM(G51:G53)</f>
        <v>-60</v>
      </c>
      <c r="H54" s="29"/>
      <c r="I54" s="20">
        <f>SUM(I51:I53)</f>
        <v>778.3199999999999</v>
      </c>
      <c r="J54" s="22">
        <f>SUM(J51:J53)</f>
        <v>1.3199999999999648</v>
      </c>
      <c r="K54" s="69"/>
      <c r="L54" s="82">
        <f>SUM(L51:L53)</f>
        <v>778.3199999999999</v>
      </c>
      <c r="M54" s="110">
        <f>SUM(M51:M53)</f>
        <v>778.3199999999999</v>
      </c>
      <c r="N54" s="111">
        <f>SUM(N51:N53)</f>
        <v>0</v>
      </c>
      <c r="O54" s="112"/>
      <c r="P54" s="96"/>
      <c r="X54" s="110">
        <f>+Y54</f>
        <v>783.46</v>
      </c>
      <c r="Y54" s="110">
        <f>SUM(Y50:Y53)</f>
        <v>783.46</v>
      </c>
      <c r="Z54" s="110">
        <f>+Y54-X54</f>
        <v>0</v>
      </c>
      <c r="AB54">
        <v>56</v>
      </c>
      <c r="AC54"/>
      <c r="AD54" s="134"/>
      <c r="AE54" s="134"/>
      <c r="AF54" s="134"/>
      <c r="AG54" s="134"/>
      <c r="AH54" s="134"/>
      <c r="AI54" s="134">
        <v>381.94</v>
      </c>
      <c r="AJ54" s="134"/>
      <c r="AK54" s="189">
        <v>381.94</v>
      </c>
    </row>
    <row r="55" spans="2:37" ht="26.25">
      <c r="B55" s="1" t="s">
        <v>277</v>
      </c>
      <c r="C55" s="4" t="s">
        <v>277</v>
      </c>
      <c r="E55" s="26">
        <v>455.6</v>
      </c>
      <c r="F55" s="26">
        <f t="shared" si="9"/>
        <v>455.6</v>
      </c>
      <c r="G55" s="27"/>
      <c r="H55" s="27"/>
      <c r="I55" s="26">
        <v>413.8</v>
      </c>
      <c r="J55" s="28">
        <f t="shared" si="10"/>
        <v>-41.80000000000001</v>
      </c>
      <c r="K55" s="64" t="s">
        <v>96</v>
      </c>
      <c r="L55" s="74">
        <v>413.8</v>
      </c>
      <c r="M55" s="98">
        <f>+L55</f>
        <v>413.8</v>
      </c>
      <c r="N55" s="99">
        <f>+M55-L55</f>
        <v>0</v>
      </c>
      <c r="O55" s="100"/>
      <c r="P55" s="96"/>
      <c r="V55" s="89" t="s">
        <v>131</v>
      </c>
      <c r="X55" s="98"/>
      <c r="Y55" s="43">
        <f>SUM(AK33)</f>
        <v>426.35</v>
      </c>
      <c r="Z55" s="110"/>
      <c r="AB55">
        <v>58</v>
      </c>
      <c r="AC55"/>
      <c r="AD55" s="134"/>
      <c r="AE55" s="134"/>
      <c r="AF55" s="134">
        <v>12.46</v>
      </c>
      <c r="AG55" s="134"/>
      <c r="AH55" s="134"/>
      <c r="AI55" s="134"/>
      <c r="AJ55" s="134"/>
      <c r="AK55" s="189">
        <v>12.46</v>
      </c>
    </row>
    <row r="56" spans="2:37" ht="15">
      <c r="B56" s="1" t="s">
        <v>278</v>
      </c>
      <c r="C56" s="4" t="s">
        <v>278</v>
      </c>
      <c r="E56" s="26">
        <v>43.3</v>
      </c>
      <c r="F56" s="26">
        <f t="shared" si="9"/>
        <v>43.3</v>
      </c>
      <c r="G56" s="27"/>
      <c r="H56" s="27"/>
      <c r="I56" s="26">
        <v>42.9</v>
      </c>
      <c r="J56" s="28">
        <f t="shared" si="10"/>
        <v>-0.3999999999999986</v>
      </c>
      <c r="K56" s="64"/>
      <c r="L56" s="74">
        <v>42.9</v>
      </c>
      <c r="M56" s="98">
        <f>+L56</f>
        <v>42.9</v>
      </c>
      <c r="N56" s="99">
        <f>+M56-L56</f>
        <v>0</v>
      </c>
      <c r="O56" s="100"/>
      <c r="P56" s="96"/>
      <c r="V56" s="89" t="s">
        <v>132</v>
      </c>
      <c r="X56" s="98"/>
      <c r="Y56" s="43">
        <f>SUM(AK34)</f>
        <v>45.96</v>
      </c>
      <c r="Z56" s="110"/>
      <c r="AB56">
        <v>61</v>
      </c>
      <c r="AC56">
        <v>613</v>
      </c>
      <c r="AD56" s="134"/>
      <c r="AE56" s="134"/>
      <c r="AF56" s="134"/>
      <c r="AG56" s="134"/>
      <c r="AH56" s="134"/>
      <c r="AI56" s="134">
        <v>94.51</v>
      </c>
      <c r="AJ56" s="134"/>
      <c r="AK56" s="189">
        <v>94.51</v>
      </c>
    </row>
    <row r="57" spans="2:37" ht="15">
      <c r="B57" s="1" t="s">
        <v>279</v>
      </c>
      <c r="C57" s="4" t="s">
        <v>279</v>
      </c>
      <c r="E57" s="26">
        <v>295.3</v>
      </c>
      <c r="F57" s="26">
        <f t="shared" si="9"/>
        <v>295.3</v>
      </c>
      <c r="G57" s="27"/>
      <c r="H57" s="27"/>
      <c r="I57" s="26">
        <v>290.6</v>
      </c>
      <c r="J57" s="28">
        <f t="shared" si="10"/>
        <v>-4.699999999999989</v>
      </c>
      <c r="K57" s="64"/>
      <c r="L57" s="74">
        <v>290.6</v>
      </c>
      <c r="M57" s="98">
        <f>+L57</f>
        <v>290.6</v>
      </c>
      <c r="N57" s="99">
        <f>+M57-L57</f>
        <v>0</v>
      </c>
      <c r="O57" s="100"/>
      <c r="P57" s="96"/>
      <c r="V57" s="89" t="s">
        <v>133</v>
      </c>
      <c r="X57" s="98"/>
      <c r="Y57" s="43">
        <f>SUM(AK35)</f>
        <v>310.09</v>
      </c>
      <c r="Z57" s="110"/>
      <c r="AB57">
        <v>62</v>
      </c>
      <c r="AC57">
        <v>621</v>
      </c>
      <c r="AD57" s="134"/>
      <c r="AE57" s="134"/>
      <c r="AF57" s="134"/>
      <c r="AG57" s="134"/>
      <c r="AH57" s="134">
        <v>15.89</v>
      </c>
      <c r="AI57" s="134">
        <v>217.16</v>
      </c>
      <c r="AJ57" s="134"/>
      <c r="AK57" s="189">
        <v>233.04</v>
      </c>
    </row>
    <row r="58" spans="1:37" s="17" customFormat="1" ht="19.5">
      <c r="A58" s="1"/>
      <c r="B58" s="1" t="s">
        <v>39</v>
      </c>
      <c r="C58" s="4" t="s">
        <v>39</v>
      </c>
      <c r="D58" s="1"/>
      <c r="E58" s="34">
        <v>366.7</v>
      </c>
      <c r="F58" s="34">
        <f t="shared" si="9"/>
        <v>366.7</v>
      </c>
      <c r="G58" s="41"/>
      <c r="H58" s="41"/>
      <c r="I58" s="34">
        <v>369.4</v>
      </c>
      <c r="J58" s="36">
        <f t="shared" si="10"/>
        <v>2.6999999999999886</v>
      </c>
      <c r="K58" s="64"/>
      <c r="L58" s="80">
        <v>369.4</v>
      </c>
      <c r="M58" s="199">
        <f>+L58</f>
        <v>369.4</v>
      </c>
      <c r="N58" s="200">
        <f>+M58-L58</f>
        <v>0</v>
      </c>
      <c r="O58" s="201"/>
      <c r="P58" s="206"/>
      <c r="Q58" s="207"/>
      <c r="R58" s="207"/>
      <c r="S58" s="207"/>
      <c r="T58" s="207"/>
      <c r="U58" s="207"/>
      <c r="V58" s="203" t="s">
        <v>134</v>
      </c>
      <c r="W58" s="203"/>
      <c r="X58" s="199"/>
      <c r="Y58" s="199">
        <f>SUM(AK36)</f>
        <v>360.52</v>
      </c>
      <c r="Z58" s="192"/>
      <c r="AB58">
        <v>62</v>
      </c>
      <c r="AC58">
        <v>622</v>
      </c>
      <c r="AD58" s="134"/>
      <c r="AE58" s="134"/>
      <c r="AF58" s="134"/>
      <c r="AG58" s="134"/>
      <c r="AH58" s="134"/>
      <c r="AI58" s="134"/>
      <c r="AJ58" s="134"/>
      <c r="AK58" s="189"/>
    </row>
    <row r="59" spans="1:37" ht="15">
      <c r="A59" s="17"/>
      <c r="B59" s="17"/>
      <c r="C59" s="18"/>
      <c r="D59" s="19" t="s">
        <v>103</v>
      </c>
      <c r="E59" s="20">
        <f>SUM(E55:E58)</f>
        <v>1160.9</v>
      </c>
      <c r="F59" s="20">
        <f>SUM(F55:F58)</f>
        <v>1160.9</v>
      </c>
      <c r="G59" s="29"/>
      <c r="H59" s="29"/>
      <c r="I59" s="20">
        <f>SUM(I55:I58)</f>
        <v>1116.6999999999998</v>
      </c>
      <c r="J59" s="22">
        <f>SUM(J55:J58)</f>
        <v>-44.20000000000001</v>
      </c>
      <c r="K59" s="69"/>
      <c r="L59" s="82">
        <f>SUM(L55:L58)</f>
        <v>1116.6999999999998</v>
      </c>
      <c r="M59" s="110">
        <f>SUM(M55:M58)</f>
        <v>1116.6999999999998</v>
      </c>
      <c r="N59" s="113">
        <f>SUM(N55:N58)</f>
        <v>0</v>
      </c>
      <c r="O59" s="112"/>
      <c r="P59" s="56"/>
      <c r="Q59" s="114"/>
      <c r="X59" s="110">
        <f>+Y59</f>
        <v>1142.92</v>
      </c>
      <c r="Y59" s="110">
        <f>SUM(Y55:Y58)</f>
        <v>1142.92</v>
      </c>
      <c r="Z59" s="110">
        <f>+Y59-X59</f>
        <v>0</v>
      </c>
      <c r="AB59">
        <v>62</v>
      </c>
      <c r="AC59">
        <v>623</v>
      </c>
      <c r="AD59" s="134"/>
      <c r="AE59" s="134"/>
      <c r="AF59" s="134"/>
      <c r="AG59" s="134"/>
      <c r="AH59" s="134">
        <v>27.34</v>
      </c>
      <c r="AI59" s="134">
        <v>202.88</v>
      </c>
      <c r="AJ59" s="134"/>
      <c r="AK59" s="189">
        <v>230.22</v>
      </c>
    </row>
    <row r="60" spans="3:37" ht="15">
      <c r="C60" s="4" t="s">
        <v>40</v>
      </c>
      <c r="E60" s="26"/>
      <c r="F60" s="26">
        <f t="shared" si="9"/>
        <v>0</v>
      </c>
      <c r="G60" s="27"/>
      <c r="H60" s="27"/>
      <c r="I60" s="26"/>
      <c r="J60" s="28">
        <f t="shared" si="10"/>
        <v>0</v>
      </c>
      <c r="K60" s="57"/>
      <c r="L60" s="74"/>
      <c r="M60" s="98"/>
      <c r="N60" s="99">
        <f>+L60-I60</f>
        <v>0</v>
      </c>
      <c r="O60" s="115"/>
      <c r="P60" s="96"/>
      <c r="X60" s="125"/>
      <c r="Y60" s="158"/>
      <c r="Z60" s="147"/>
      <c r="AB60">
        <v>63</v>
      </c>
      <c r="AC60"/>
      <c r="AD60" s="134"/>
      <c r="AE60" s="134"/>
      <c r="AF60" s="134"/>
      <c r="AG60" s="134"/>
      <c r="AH60" s="134"/>
      <c r="AI60" s="134">
        <v>109.3</v>
      </c>
      <c r="AJ60" s="134"/>
      <c r="AK60" s="189">
        <v>109.3</v>
      </c>
    </row>
    <row r="61" spans="2:37" ht="15">
      <c r="B61" s="1" t="s">
        <v>40</v>
      </c>
      <c r="D61" s="1" t="s">
        <v>250</v>
      </c>
      <c r="E61" s="26">
        <v>471.1</v>
      </c>
      <c r="F61" s="26">
        <f t="shared" si="9"/>
        <v>471.1</v>
      </c>
      <c r="G61" s="27"/>
      <c r="H61" s="27"/>
      <c r="I61" s="26">
        <v>439.83</v>
      </c>
      <c r="J61" s="28">
        <f t="shared" si="10"/>
        <v>-31.27000000000004</v>
      </c>
      <c r="K61" s="64" t="s">
        <v>109</v>
      </c>
      <c r="L61" s="74">
        <v>439.83</v>
      </c>
      <c r="M61" s="98">
        <f aca="true" t="shared" si="11" ref="M61:M78">+L61</f>
        <v>439.83</v>
      </c>
      <c r="N61" s="99">
        <f aca="true" t="shared" si="12" ref="N61:N78">+M61-L61</f>
        <v>0</v>
      </c>
      <c r="O61" s="100"/>
      <c r="P61" s="96"/>
      <c r="V61" s="89" t="s">
        <v>135</v>
      </c>
      <c r="W61" s="89" t="s">
        <v>250</v>
      </c>
      <c r="X61" s="98"/>
      <c r="Y61" s="43">
        <f>SUM(AK37)</f>
        <v>382.03</v>
      </c>
      <c r="Z61" s="110"/>
      <c r="AB61">
        <v>65</v>
      </c>
      <c r="AC61">
        <v>612</v>
      </c>
      <c r="AD61" s="134">
        <v>9.38</v>
      </c>
      <c r="AE61" s="134"/>
      <c r="AF61" s="134"/>
      <c r="AG61" s="134"/>
      <c r="AH61" s="134"/>
      <c r="AI61" s="134"/>
      <c r="AJ61" s="134"/>
      <c r="AK61" s="189">
        <v>9.38</v>
      </c>
    </row>
    <row r="62" spans="2:37" ht="15">
      <c r="B62" s="1" t="s">
        <v>40</v>
      </c>
      <c r="D62" s="1" t="s">
        <v>251</v>
      </c>
      <c r="E62" s="26">
        <v>42.7</v>
      </c>
      <c r="F62" s="26">
        <f t="shared" si="9"/>
        <v>42.7</v>
      </c>
      <c r="G62" s="27"/>
      <c r="H62" s="27"/>
      <c r="I62" s="26">
        <v>45</v>
      </c>
      <c r="J62" s="28">
        <f t="shared" si="10"/>
        <v>2.299999999999997</v>
      </c>
      <c r="K62" s="64"/>
      <c r="L62" s="74">
        <v>45</v>
      </c>
      <c r="M62" s="98">
        <f t="shared" si="11"/>
        <v>45</v>
      </c>
      <c r="N62" s="99">
        <f t="shared" si="12"/>
        <v>0</v>
      </c>
      <c r="O62" s="100"/>
      <c r="P62" s="96"/>
      <c r="V62" s="89" t="s">
        <v>135</v>
      </c>
      <c r="W62" s="89" t="s">
        <v>251</v>
      </c>
      <c r="X62" s="98"/>
      <c r="Y62" s="43">
        <f>SUM(AK38)</f>
        <v>48.14</v>
      </c>
      <c r="Z62" s="110"/>
      <c r="AB62">
        <v>65</v>
      </c>
      <c r="AC62">
        <v>650</v>
      </c>
      <c r="AD62" s="134"/>
      <c r="AE62" s="134">
        <v>15</v>
      </c>
      <c r="AF62" s="134"/>
      <c r="AG62" s="134"/>
      <c r="AH62" s="134"/>
      <c r="AI62" s="134"/>
      <c r="AJ62" s="134"/>
      <c r="AK62" s="189">
        <v>15</v>
      </c>
    </row>
    <row r="63" spans="3:37" ht="15">
      <c r="C63" s="4" t="s">
        <v>41</v>
      </c>
      <c r="E63" s="26"/>
      <c r="F63" s="26">
        <f t="shared" si="9"/>
        <v>0</v>
      </c>
      <c r="G63" s="27"/>
      <c r="H63" s="27"/>
      <c r="I63" s="26"/>
      <c r="J63" s="28">
        <f t="shared" si="10"/>
        <v>0</v>
      </c>
      <c r="K63" s="64"/>
      <c r="L63" s="74"/>
      <c r="M63" s="98"/>
      <c r="N63" s="99">
        <f t="shared" si="12"/>
        <v>0</v>
      </c>
      <c r="O63" s="100"/>
      <c r="P63" s="96"/>
      <c r="X63" s="98"/>
      <c r="Y63" s="43"/>
      <c r="Z63" s="110"/>
      <c r="AB63">
        <v>71</v>
      </c>
      <c r="AC63">
        <v>740</v>
      </c>
      <c r="AD63" s="134">
        <v>32.15</v>
      </c>
      <c r="AE63" s="134"/>
      <c r="AF63" s="134"/>
      <c r="AG63" s="134"/>
      <c r="AH63" s="134"/>
      <c r="AI63" s="134"/>
      <c r="AJ63" s="134"/>
      <c r="AK63" s="189">
        <v>32.15</v>
      </c>
    </row>
    <row r="64" spans="2:37" ht="15">
      <c r="B64" s="1" t="s">
        <v>41</v>
      </c>
      <c r="D64" s="1" t="s">
        <v>252</v>
      </c>
      <c r="E64" s="26">
        <v>523.6</v>
      </c>
      <c r="F64" s="26">
        <f t="shared" si="9"/>
        <v>523.6</v>
      </c>
      <c r="G64" s="27"/>
      <c r="H64" s="27"/>
      <c r="I64" s="26">
        <v>445.5</v>
      </c>
      <c r="J64" s="28">
        <f t="shared" si="10"/>
        <v>-78.10000000000002</v>
      </c>
      <c r="K64" s="64"/>
      <c r="L64" s="74">
        <v>445.5</v>
      </c>
      <c r="M64" s="98">
        <f t="shared" si="11"/>
        <v>445.5</v>
      </c>
      <c r="N64" s="99">
        <f t="shared" si="12"/>
        <v>0</v>
      </c>
      <c r="O64" s="100"/>
      <c r="P64" s="96"/>
      <c r="V64" s="89" t="s">
        <v>136</v>
      </c>
      <c r="W64" s="89" t="s">
        <v>252</v>
      </c>
      <c r="X64" s="98"/>
      <c r="Y64" s="43">
        <f>SUM(AK39)</f>
        <v>453.94</v>
      </c>
      <c r="Z64" s="110"/>
      <c r="AB64">
        <v>72</v>
      </c>
      <c r="AC64">
        <v>720</v>
      </c>
      <c r="AD64" s="134"/>
      <c r="AE64" s="134"/>
      <c r="AF64" s="134">
        <v>47.59</v>
      </c>
      <c r="AG64" s="134"/>
      <c r="AH64" s="134"/>
      <c r="AI64" s="134"/>
      <c r="AJ64" s="134"/>
      <c r="AK64" s="189">
        <v>47.59</v>
      </c>
    </row>
    <row r="65" spans="2:37" ht="15">
      <c r="B65" s="1" t="s">
        <v>41</v>
      </c>
      <c r="D65" s="4" t="s">
        <v>253</v>
      </c>
      <c r="E65" s="40">
        <v>453.1</v>
      </c>
      <c r="F65" s="26">
        <v>14</v>
      </c>
      <c r="G65" s="51">
        <f>+F65-E65</f>
        <v>-439.1</v>
      </c>
      <c r="H65" s="57" t="s">
        <v>69</v>
      </c>
      <c r="I65" s="26"/>
      <c r="J65" s="28">
        <f t="shared" si="10"/>
        <v>-14</v>
      </c>
      <c r="K65" s="64"/>
      <c r="L65" s="74"/>
      <c r="M65" s="98">
        <f t="shared" si="11"/>
        <v>0</v>
      </c>
      <c r="N65" s="99">
        <f t="shared" si="12"/>
        <v>0</v>
      </c>
      <c r="O65" s="100"/>
      <c r="P65" s="96"/>
      <c r="X65" s="98"/>
      <c r="Y65" s="43"/>
      <c r="Z65" s="110"/>
      <c r="AB65">
        <v>73</v>
      </c>
      <c r="AC65">
        <v>730</v>
      </c>
      <c r="AD65" s="134"/>
      <c r="AE65" s="134"/>
      <c r="AF65" s="134">
        <v>69.87</v>
      </c>
      <c r="AG65" s="134">
        <v>20.1</v>
      </c>
      <c r="AH65" s="134">
        <v>74.45</v>
      </c>
      <c r="AI65" s="134"/>
      <c r="AJ65" s="134"/>
      <c r="AK65" s="189">
        <v>164.42</v>
      </c>
    </row>
    <row r="66" spans="2:37" ht="15">
      <c r="B66" s="1" t="s">
        <v>41</v>
      </c>
      <c r="D66" s="1" t="s">
        <v>254</v>
      </c>
      <c r="E66" s="26">
        <v>13.4</v>
      </c>
      <c r="F66" s="26">
        <f t="shared" si="9"/>
        <v>13.4</v>
      </c>
      <c r="G66" s="27"/>
      <c r="H66" s="27"/>
      <c r="I66" s="26"/>
      <c r="J66" s="28">
        <f t="shared" si="10"/>
        <v>-13.4</v>
      </c>
      <c r="K66" s="64"/>
      <c r="L66" s="74"/>
      <c r="M66" s="98">
        <f t="shared" si="11"/>
        <v>0</v>
      </c>
      <c r="N66" s="99">
        <f t="shared" si="12"/>
        <v>0</v>
      </c>
      <c r="O66" s="100"/>
      <c r="P66" s="96"/>
      <c r="X66" s="98"/>
      <c r="Y66" s="43"/>
      <c r="Z66" s="110"/>
      <c r="AB66">
        <v>74</v>
      </c>
      <c r="AC66">
        <v>740</v>
      </c>
      <c r="AD66" s="134"/>
      <c r="AE66" s="134">
        <v>89.67</v>
      </c>
      <c r="AF66" s="134">
        <v>63.04</v>
      </c>
      <c r="AG66" s="134"/>
      <c r="AH66" s="134"/>
      <c r="AI66" s="134"/>
      <c r="AJ66" s="134"/>
      <c r="AK66" s="189">
        <v>152.71</v>
      </c>
    </row>
    <row r="67" spans="3:37" ht="15">
      <c r="C67" s="4" t="s">
        <v>42</v>
      </c>
      <c r="E67" s="26"/>
      <c r="F67" s="26">
        <f t="shared" si="9"/>
        <v>0</v>
      </c>
      <c r="G67" s="27"/>
      <c r="H67" s="27"/>
      <c r="I67" s="26"/>
      <c r="J67" s="28">
        <f t="shared" si="10"/>
        <v>0</v>
      </c>
      <c r="K67" s="64"/>
      <c r="L67" s="74"/>
      <c r="M67" s="98">
        <f t="shared" si="11"/>
        <v>0</v>
      </c>
      <c r="N67" s="99">
        <f t="shared" si="12"/>
        <v>0</v>
      </c>
      <c r="O67" s="100"/>
      <c r="P67" s="96"/>
      <c r="X67" s="98"/>
      <c r="Y67" s="43"/>
      <c r="Z67" s="110"/>
      <c r="AB67">
        <v>74</v>
      </c>
      <c r="AC67">
        <v>741</v>
      </c>
      <c r="AD67" s="134">
        <v>164</v>
      </c>
      <c r="AE67" s="134">
        <v>148.58</v>
      </c>
      <c r="AF67" s="134"/>
      <c r="AG67" s="134"/>
      <c r="AH67" s="134"/>
      <c r="AI67" s="134"/>
      <c r="AJ67" s="134"/>
      <c r="AK67" s="189">
        <v>312.58</v>
      </c>
    </row>
    <row r="68" spans="2:37" ht="15">
      <c r="B68" s="1" t="s">
        <v>42</v>
      </c>
      <c r="D68" s="1" t="s">
        <v>255</v>
      </c>
      <c r="E68" s="26">
        <v>330.4</v>
      </c>
      <c r="F68" s="26">
        <f t="shared" si="9"/>
        <v>330.4</v>
      </c>
      <c r="G68" s="27"/>
      <c r="H68" s="27"/>
      <c r="I68" s="26">
        <v>343.5</v>
      </c>
      <c r="J68" s="28">
        <f t="shared" si="10"/>
        <v>13.100000000000023</v>
      </c>
      <c r="K68" s="64"/>
      <c r="L68" s="74">
        <v>343.5</v>
      </c>
      <c r="M68" s="98">
        <f t="shared" si="11"/>
        <v>343.5</v>
      </c>
      <c r="N68" s="99">
        <f t="shared" si="12"/>
        <v>0</v>
      </c>
      <c r="O68" s="100"/>
      <c r="P68" s="96"/>
      <c r="V68" s="89" t="s">
        <v>137</v>
      </c>
      <c r="W68" s="89" t="s">
        <v>255</v>
      </c>
      <c r="X68" s="98"/>
      <c r="Y68" s="43">
        <f>SUM(AK40)</f>
        <v>377.66</v>
      </c>
      <c r="Z68" s="110"/>
      <c r="AB68">
        <v>74</v>
      </c>
      <c r="AC68">
        <v>742</v>
      </c>
      <c r="AD68" s="134"/>
      <c r="AE68" s="134"/>
      <c r="AF68" s="134">
        <v>109.97</v>
      </c>
      <c r="AG68" s="134">
        <v>70.99</v>
      </c>
      <c r="AH68" s="134">
        <v>176.08</v>
      </c>
      <c r="AI68" s="134">
        <v>489.11</v>
      </c>
      <c r="AJ68" s="134">
        <v>253.33</v>
      </c>
      <c r="AK68" s="189">
        <v>1099.47</v>
      </c>
    </row>
    <row r="69" spans="2:37" ht="15">
      <c r="B69" s="1" t="s">
        <v>42</v>
      </c>
      <c r="D69" s="1" t="s">
        <v>256</v>
      </c>
      <c r="E69" s="26">
        <v>90.2</v>
      </c>
      <c r="F69" s="26">
        <f t="shared" si="9"/>
        <v>90.2</v>
      </c>
      <c r="G69" s="27"/>
      <c r="H69" s="27"/>
      <c r="I69" s="26">
        <v>77.8</v>
      </c>
      <c r="J69" s="28">
        <f t="shared" si="10"/>
        <v>-12.400000000000006</v>
      </c>
      <c r="K69" s="64"/>
      <c r="L69" s="74">
        <v>77.8</v>
      </c>
      <c r="M69" s="98">
        <f t="shared" si="11"/>
        <v>77.8</v>
      </c>
      <c r="N69" s="99">
        <f t="shared" si="12"/>
        <v>0</v>
      </c>
      <c r="O69" s="100"/>
      <c r="P69" s="96"/>
      <c r="V69" s="89" t="s">
        <v>137</v>
      </c>
      <c r="W69" s="89" t="s">
        <v>256</v>
      </c>
      <c r="X69" s="98"/>
      <c r="Y69" s="43">
        <f>SUM(AK41)</f>
        <v>82.18</v>
      </c>
      <c r="Z69" s="110"/>
      <c r="AB69">
        <v>75</v>
      </c>
      <c r="AC69">
        <v>750</v>
      </c>
      <c r="AD69" s="134"/>
      <c r="AE69" s="134"/>
      <c r="AF69" s="134"/>
      <c r="AG69" s="134">
        <v>57.17</v>
      </c>
      <c r="AH69" s="134"/>
      <c r="AI69" s="134">
        <v>1623.78</v>
      </c>
      <c r="AJ69" s="134">
        <v>684.6</v>
      </c>
      <c r="AK69" s="189">
        <v>2365.55</v>
      </c>
    </row>
    <row r="70" spans="2:37" ht="15">
      <c r="B70" s="1" t="s">
        <v>42</v>
      </c>
      <c r="D70" s="1" t="s">
        <v>257</v>
      </c>
      <c r="E70" s="26">
        <v>12.8</v>
      </c>
      <c r="F70" s="26">
        <f t="shared" si="9"/>
        <v>12.8</v>
      </c>
      <c r="G70" s="27"/>
      <c r="H70" s="27"/>
      <c r="I70" s="26">
        <v>13.3</v>
      </c>
      <c r="J70" s="28">
        <f t="shared" si="10"/>
        <v>0.5</v>
      </c>
      <c r="K70" s="64"/>
      <c r="L70" s="74">
        <v>13.3</v>
      </c>
      <c r="M70" s="98">
        <f t="shared" si="11"/>
        <v>13.3</v>
      </c>
      <c r="N70" s="99">
        <f t="shared" si="12"/>
        <v>0</v>
      </c>
      <c r="O70" s="100"/>
      <c r="P70" s="96"/>
      <c r="V70" s="89" t="s">
        <v>137</v>
      </c>
      <c r="W70" s="89" t="s">
        <v>257</v>
      </c>
      <c r="X70" s="98"/>
      <c r="Y70" s="43">
        <f>SUM(AK42)</f>
        <v>14.27</v>
      </c>
      <c r="Z70" s="110"/>
      <c r="AB70">
        <v>76</v>
      </c>
      <c r="AC70"/>
      <c r="AD70" s="134"/>
      <c r="AE70" s="134"/>
      <c r="AF70" s="134"/>
      <c r="AG70" s="134"/>
      <c r="AH70" s="134"/>
      <c r="AI70" s="134">
        <v>176.77</v>
      </c>
      <c r="AJ70" s="134">
        <v>61.48</v>
      </c>
      <c r="AK70" s="189">
        <v>238.25</v>
      </c>
    </row>
    <row r="71" spans="2:37" ht="15">
      <c r="B71" s="1" t="s">
        <v>42</v>
      </c>
      <c r="D71" s="1" t="s">
        <v>258</v>
      </c>
      <c r="E71" s="26">
        <v>349.1</v>
      </c>
      <c r="F71" s="26">
        <f t="shared" si="9"/>
        <v>349.1</v>
      </c>
      <c r="G71" s="27"/>
      <c r="H71" s="27"/>
      <c r="I71" s="26">
        <v>294.2</v>
      </c>
      <c r="J71" s="28">
        <f t="shared" si="10"/>
        <v>-54.900000000000034</v>
      </c>
      <c r="K71" s="64"/>
      <c r="L71" s="74">
        <v>294.2</v>
      </c>
      <c r="M71" s="98">
        <f t="shared" si="11"/>
        <v>294.2</v>
      </c>
      <c r="N71" s="99">
        <f t="shared" si="12"/>
        <v>0</v>
      </c>
      <c r="O71" s="100"/>
      <c r="P71" s="96"/>
      <c r="V71" s="89" t="s">
        <v>137</v>
      </c>
      <c r="W71" s="89" t="s">
        <v>258</v>
      </c>
      <c r="X71" s="98"/>
      <c r="Y71" s="43">
        <f>SUM(AK43)</f>
        <v>312.65</v>
      </c>
      <c r="Z71" s="110"/>
      <c r="AB71">
        <v>81</v>
      </c>
      <c r="AC71">
        <v>810</v>
      </c>
      <c r="AD71" s="134">
        <v>445.94</v>
      </c>
      <c r="AE71" s="134">
        <v>961.12</v>
      </c>
      <c r="AF71" s="134">
        <v>803.59</v>
      </c>
      <c r="AG71" s="134">
        <v>756.15</v>
      </c>
      <c r="AH71" s="134">
        <v>732.59</v>
      </c>
      <c r="AI71" s="134">
        <v>612.89</v>
      </c>
      <c r="AJ71" s="134">
        <v>196.53</v>
      </c>
      <c r="AK71" s="189">
        <v>4508.81</v>
      </c>
    </row>
    <row r="72" spans="2:37" ht="15">
      <c r="B72" s="1" t="s">
        <v>42</v>
      </c>
      <c r="D72" s="1" t="s">
        <v>259</v>
      </c>
      <c r="E72" s="26">
        <v>366.9</v>
      </c>
      <c r="F72" s="26">
        <f t="shared" si="9"/>
        <v>366.9</v>
      </c>
      <c r="G72" s="27"/>
      <c r="H72" s="27"/>
      <c r="I72" s="26">
        <v>485.9</v>
      </c>
      <c r="J72" s="28">
        <f t="shared" si="10"/>
        <v>119</v>
      </c>
      <c r="K72" s="64" t="s">
        <v>79</v>
      </c>
      <c r="L72" s="74">
        <v>485.9</v>
      </c>
      <c r="M72" s="98">
        <f t="shared" si="11"/>
        <v>485.9</v>
      </c>
      <c r="N72" s="99">
        <f t="shared" si="12"/>
        <v>0</v>
      </c>
      <c r="O72" s="100"/>
      <c r="P72" s="96"/>
      <c r="V72" s="89" t="s">
        <v>137</v>
      </c>
      <c r="W72" s="89" t="s">
        <v>259</v>
      </c>
      <c r="X72" s="98"/>
      <c r="Y72" s="43">
        <f>SUM(AK44)</f>
        <v>522.1</v>
      </c>
      <c r="Z72" s="110"/>
      <c r="AB72">
        <v>82</v>
      </c>
      <c r="AC72">
        <v>820</v>
      </c>
      <c r="AD72" s="134">
        <v>518.9</v>
      </c>
      <c r="AE72" s="134">
        <v>1230.92</v>
      </c>
      <c r="AF72" s="134">
        <v>1193.56</v>
      </c>
      <c r="AG72" s="134">
        <v>1021.37</v>
      </c>
      <c r="AH72" s="134">
        <v>466.81</v>
      </c>
      <c r="AI72" s="134">
        <v>342.46</v>
      </c>
      <c r="AJ72" s="134">
        <v>110.06</v>
      </c>
      <c r="AK72" s="189">
        <v>4884.08</v>
      </c>
    </row>
    <row r="73" spans="3:37" ht="15">
      <c r="C73" s="4" t="s">
        <v>43</v>
      </c>
      <c r="E73" s="26"/>
      <c r="F73" s="26">
        <f t="shared" si="9"/>
        <v>0</v>
      </c>
      <c r="G73" s="27"/>
      <c r="H73" s="27"/>
      <c r="I73" s="26"/>
      <c r="J73" s="28">
        <f t="shared" si="10"/>
        <v>0</v>
      </c>
      <c r="K73" s="64"/>
      <c r="L73" s="74"/>
      <c r="M73" s="98"/>
      <c r="N73" s="99">
        <f t="shared" si="12"/>
        <v>0</v>
      </c>
      <c r="O73" s="100"/>
      <c r="P73" s="96"/>
      <c r="X73" s="98"/>
      <c r="Y73" s="43"/>
      <c r="Z73" s="110"/>
      <c r="AB73">
        <v>84</v>
      </c>
      <c r="AC73">
        <v>840</v>
      </c>
      <c r="AD73" s="134">
        <v>251.25</v>
      </c>
      <c r="AE73" s="134">
        <v>218.68</v>
      </c>
      <c r="AF73" s="134"/>
      <c r="AG73" s="134"/>
      <c r="AH73" s="134"/>
      <c r="AI73" s="134"/>
      <c r="AJ73" s="134"/>
      <c r="AK73" s="189">
        <v>469.93</v>
      </c>
    </row>
    <row r="74" spans="2:37" ht="15">
      <c r="B74" s="1" t="s">
        <v>43</v>
      </c>
      <c r="D74" s="1" t="s">
        <v>6</v>
      </c>
      <c r="E74" s="26">
        <v>510</v>
      </c>
      <c r="F74" s="26">
        <f t="shared" si="9"/>
        <v>510</v>
      </c>
      <c r="G74" s="27"/>
      <c r="H74" s="27"/>
      <c r="I74" s="26">
        <v>518.34</v>
      </c>
      <c r="J74" s="28">
        <f t="shared" si="10"/>
        <v>8.340000000000032</v>
      </c>
      <c r="K74" s="64"/>
      <c r="L74" s="74">
        <v>518.34</v>
      </c>
      <c r="M74" s="98">
        <f t="shared" si="11"/>
        <v>518.34</v>
      </c>
      <c r="N74" s="99">
        <f t="shared" si="12"/>
        <v>0</v>
      </c>
      <c r="O74" s="100"/>
      <c r="P74" s="96"/>
      <c r="V74" s="89" t="s">
        <v>138</v>
      </c>
      <c r="W74" s="89" t="s">
        <v>6</v>
      </c>
      <c r="X74" s="98"/>
      <c r="Y74" s="43">
        <f>SUM(AK45)</f>
        <v>520.33</v>
      </c>
      <c r="Z74" s="110"/>
      <c r="AB74">
        <v>85</v>
      </c>
      <c r="AC74"/>
      <c r="AD74" s="134"/>
      <c r="AE74" s="134"/>
      <c r="AF74" s="134"/>
      <c r="AG74" s="134"/>
      <c r="AH74" s="134"/>
      <c r="AI74" s="134">
        <v>355.25</v>
      </c>
      <c r="AJ74" s="134">
        <v>833.93</v>
      </c>
      <c r="AK74" s="189">
        <v>1189.18</v>
      </c>
    </row>
    <row r="75" spans="2:37" ht="15">
      <c r="B75" s="1" t="s">
        <v>43</v>
      </c>
      <c r="D75" s="1" t="s">
        <v>7</v>
      </c>
      <c r="E75" s="26">
        <v>240.2</v>
      </c>
      <c r="F75" s="26">
        <f t="shared" si="9"/>
        <v>240.2</v>
      </c>
      <c r="G75" s="27"/>
      <c r="H75" s="27"/>
      <c r="I75" s="26">
        <v>243.96</v>
      </c>
      <c r="J75" s="28">
        <f t="shared" si="10"/>
        <v>3.7600000000000193</v>
      </c>
      <c r="K75" s="64"/>
      <c r="L75" s="74">
        <v>243.96</v>
      </c>
      <c r="M75" s="98">
        <f t="shared" si="11"/>
        <v>243.96</v>
      </c>
      <c r="N75" s="99">
        <f t="shared" si="12"/>
        <v>0</v>
      </c>
      <c r="O75" s="100"/>
      <c r="P75" s="96"/>
      <c r="V75" s="89" t="s">
        <v>138</v>
      </c>
      <c r="W75" s="89" t="s">
        <v>7</v>
      </c>
      <c r="X75" s="98"/>
      <c r="Y75" s="43">
        <f>SUM(AK46)</f>
        <v>261.74</v>
      </c>
      <c r="Z75" s="110"/>
      <c r="AB75" t="s">
        <v>184</v>
      </c>
      <c r="AC75" t="s">
        <v>165</v>
      </c>
      <c r="AD75" s="134">
        <v>112</v>
      </c>
      <c r="AE75" s="134">
        <v>260.69</v>
      </c>
      <c r="AF75" s="134">
        <v>350.85</v>
      </c>
      <c r="AG75" s="134">
        <v>340.47</v>
      </c>
      <c r="AH75" s="134">
        <v>340.08</v>
      </c>
      <c r="AI75" s="134">
        <v>172.79</v>
      </c>
      <c r="AJ75" s="134"/>
      <c r="AK75" s="189">
        <v>1576.89</v>
      </c>
    </row>
    <row r="76" spans="2:38" ht="15">
      <c r="B76" s="1" t="s">
        <v>43</v>
      </c>
      <c r="D76" s="1" t="s">
        <v>8</v>
      </c>
      <c r="E76" s="26">
        <v>302.4</v>
      </c>
      <c r="F76" s="26">
        <f t="shared" si="9"/>
        <v>302.4</v>
      </c>
      <c r="G76" s="27"/>
      <c r="H76" s="27"/>
      <c r="I76" s="26">
        <v>305.49</v>
      </c>
      <c r="J76" s="28">
        <f t="shared" si="10"/>
        <v>3.090000000000032</v>
      </c>
      <c r="K76" s="64"/>
      <c r="L76" s="74">
        <v>305.49</v>
      </c>
      <c r="M76" s="98">
        <f t="shared" si="11"/>
        <v>305.49</v>
      </c>
      <c r="N76" s="99">
        <f t="shared" si="12"/>
        <v>0</v>
      </c>
      <c r="O76" s="100"/>
      <c r="P76" s="96"/>
      <c r="V76" s="89" t="s">
        <v>138</v>
      </c>
      <c r="W76" s="89" t="s">
        <v>8</v>
      </c>
      <c r="X76" s="98"/>
      <c r="Y76" s="43">
        <f>SUM(AK47)</f>
        <v>324.72</v>
      </c>
      <c r="Z76" s="110"/>
      <c r="AB76" t="s">
        <v>185</v>
      </c>
      <c r="AC76" t="s">
        <v>29</v>
      </c>
      <c r="AD76" s="134"/>
      <c r="AE76" s="134"/>
      <c r="AF76" s="134">
        <v>900</v>
      </c>
      <c r="AG76" s="134">
        <v>3840</v>
      </c>
      <c r="AH76" s="134">
        <v>3472</v>
      </c>
      <c r="AI76" s="134">
        <v>3041.61</v>
      </c>
      <c r="AJ76" s="134">
        <v>1550.6</v>
      </c>
      <c r="AK76" s="189">
        <f>SUM(AF76:AJ76)</f>
        <v>12804.210000000001</v>
      </c>
      <c r="AL76" s="142">
        <v>12804</v>
      </c>
    </row>
    <row r="77" spans="5:37" ht="15">
      <c r="E77" s="26"/>
      <c r="F77" s="26">
        <f t="shared" si="9"/>
        <v>0</v>
      </c>
      <c r="G77" s="27"/>
      <c r="H77" s="27"/>
      <c r="I77" s="26"/>
      <c r="J77" s="28">
        <f t="shared" si="10"/>
        <v>0</v>
      </c>
      <c r="K77" s="64"/>
      <c r="L77" s="74"/>
      <c r="M77" s="98"/>
      <c r="N77" s="99">
        <f t="shared" si="12"/>
        <v>0</v>
      </c>
      <c r="O77" s="100"/>
      <c r="P77" s="96"/>
      <c r="X77" s="125"/>
      <c r="Y77" s="158"/>
      <c r="Z77" s="147"/>
      <c r="AB77"/>
      <c r="AC77"/>
      <c r="AD77" s="134"/>
      <c r="AE77" s="134"/>
      <c r="AF77" s="134"/>
      <c r="AG77" s="134"/>
      <c r="AH77" s="134"/>
      <c r="AI77" s="134"/>
      <c r="AJ77" s="134"/>
      <c r="AK77" s="189"/>
    </row>
    <row r="78" spans="1:37" s="17" customFormat="1" ht="19.5">
      <c r="A78" s="1"/>
      <c r="B78" s="1" t="s">
        <v>44</v>
      </c>
      <c r="C78" s="4" t="s">
        <v>44</v>
      </c>
      <c r="D78" s="1"/>
      <c r="E78" s="34">
        <v>1.3</v>
      </c>
      <c r="F78" s="34">
        <f t="shared" si="9"/>
        <v>1.3</v>
      </c>
      <c r="G78" s="41">
        <v>0</v>
      </c>
      <c r="H78" s="41"/>
      <c r="I78" s="34">
        <v>1.3</v>
      </c>
      <c r="J78" s="36">
        <f t="shared" si="10"/>
        <v>0</v>
      </c>
      <c r="K78" s="64"/>
      <c r="L78" s="80">
        <v>1.3</v>
      </c>
      <c r="M78" s="199">
        <f t="shared" si="11"/>
        <v>1.3</v>
      </c>
      <c r="N78" s="200">
        <f t="shared" si="12"/>
        <v>0</v>
      </c>
      <c r="O78" s="201"/>
      <c r="P78" s="206"/>
      <c r="Q78" s="207"/>
      <c r="R78" s="207"/>
      <c r="S78" s="207"/>
      <c r="T78" s="207"/>
      <c r="U78" s="207"/>
      <c r="V78" s="203" t="s">
        <v>139</v>
      </c>
      <c r="W78" s="203">
        <v>460</v>
      </c>
      <c r="X78" s="199"/>
      <c r="Y78" s="199">
        <f>SUM(AK48)</f>
        <v>1.3</v>
      </c>
      <c r="Z78" s="192"/>
      <c r="AB78"/>
      <c r="AC78" s="190" t="s">
        <v>31</v>
      </c>
      <c r="AD78" s="134">
        <f aca="true" t="shared" si="13" ref="AD78:AJ78">SUM(AD3:AD76)</f>
        <v>6062.339999999999</v>
      </c>
      <c r="AE78" s="134">
        <f t="shared" si="13"/>
        <v>13698.810000000001</v>
      </c>
      <c r="AF78" s="134">
        <f t="shared" si="13"/>
        <v>19249.07</v>
      </c>
      <c r="AG78" s="134">
        <f t="shared" si="13"/>
        <v>18107.650000000005</v>
      </c>
      <c r="AH78" s="134">
        <f t="shared" si="13"/>
        <v>15924.800000000005</v>
      </c>
      <c r="AI78" s="134">
        <f t="shared" si="13"/>
        <v>15274.57</v>
      </c>
      <c r="AJ78" s="134">
        <f t="shared" si="13"/>
        <v>4005.36</v>
      </c>
      <c r="AK78" s="189">
        <f>SUM(AK3:AK76)</f>
        <v>92322.54999999999</v>
      </c>
    </row>
    <row r="79" spans="1:36" ht="15">
      <c r="A79" s="17"/>
      <c r="B79" s="17"/>
      <c r="C79" s="18"/>
      <c r="D79" s="19" t="s">
        <v>104</v>
      </c>
      <c r="E79" s="20">
        <f>SUM(E61:E78)</f>
        <v>3707.2000000000003</v>
      </c>
      <c r="F79" s="20">
        <f>SUM(F61:F78)</f>
        <v>3268.1000000000004</v>
      </c>
      <c r="G79" s="21">
        <f>SUM(G61:G78)</f>
        <v>-439.1</v>
      </c>
      <c r="H79" s="29"/>
      <c r="I79" s="20">
        <f>SUM(I61:I78)</f>
        <v>3214.12</v>
      </c>
      <c r="J79" s="22">
        <f>SUM(J61:J78)</f>
        <v>-53.97999999999999</v>
      </c>
      <c r="K79" s="69"/>
      <c r="L79" s="82">
        <f>SUM(L61:L78)</f>
        <v>3214.12</v>
      </c>
      <c r="M79" s="110">
        <f>SUM(M61:M78)</f>
        <v>3214.12</v>
      </c>
      <c r="N79" s="113">
        <f>SUM(N61:N78)</f>
        <v>0</v>
      </c>
      <c r="O79" s="112"/>
      <c r="P79" s="96"/>
      <c r="X79" s="110">
        <f>+Y79</f>
        <v>3301.0600000000004</v>
      </c>
      <c r="Y79" s="110">
        <f>SUM(Y60:Y78)</f>
        <v>3301.0600000000004</v>
      </c>
      <c r="Z79" s="110">
        <f>+Y79-X79</f>
        <v>0</v>
      </c>
      <c r="AC79" s="191" t="s">
        <v>32</v>
      </c>
      <c r="AD79" s="2">
        <f>+AD78</f>
        <v>6062.339999999999</v>
      </c>
      <c r="AE79" s="2">
        <f>+AE78</f>
        <v>13698.810000000001</v>
      </c>
      <c r="AF79" s="1">
        <v>19100</v>
      </c>
      <c r="AG79" s="1">
        <v>18200</v>
      </c>
      <c r="AH79" s="1">
        <v>16000</v>
      </c>
      <c r="AI79" s="142">
        <v>15300</v>
      </c>
      <c r="AJ79" s="1">
        <v>4000</v>
      </c>
    </row>
    <row r="80" spans="5:34" ht="15">
      <c r="E80" s="26"/>
      <c r="F80" s="26">
        <f aca="true" t="shared" si="14" ref="F80:F112">+G80+E80</f>
        <v>0</v>
      </c>
      <c r="G80" s="27"/>
      <c r="H80" s="27"/>
      <c r="I80" s="26"/>
      <c r="J80" s="28">
        <f aca="true" t="shared" si="15" ref="J80:J112">+I80-F80</f>
        <v>0</v>
      </c>
      <c r="K80" s="64"/>
      <c r="L80" s="74"/>
      <c r="M80" s="98"/>
      <c r="N80" s="99">
        <f aca="true" t="shared" si="16" ref="N80:N87">+M80-L80</f>
        <v>0</v>
      </c>
      <c r="O80" s="100"/>
      <c r="P80" s="96"/>
      <c r="X80" s="125"/>
      <c r="Y80" s="158"/>
      <c r="Z80" s="147"/>
      <c r="AG80" s="2">
        <f>SUM(AD78:AG78)</f>
        <v>57117.87000000001</v>
      </c>
      <c r="AH80" s="2">
        <f>SUM(AD78:AH78)</f>
        <v>73042.67000000001</v>
      </c>
    </row>
    <row r="81" spans="2:34" ht="15">
      <c r="B81" s="1" t="s">
        <v>45</v>
      </c>
      <c r="C81" s="4" t="s">
        <v>45</v>
      </c>
      <c r="E81" s="26">
        <v>292.9</v>
      </c>
      <c r="F81" s="26">
        <f t="shared" si="14"/>
        <v>292.9</v>
      </c>
      <c r="G81" s="27"/>
      <c r="H81" s="27"/>
      <c r="I81" s="26">
        <v>288.9</v>
      </c>
      <c r="J81" s="28">
        <f t="shared" si="15"/>
        <v>-4</v>
      </c>
      <c r="K81" s="64"/>
      <c r="L81" s="74">
        <v>288.9</v>
      </c>
      <c r="M81" s="98">
        <f aca="true" t="shared" si="17" ref="M81:M87">+L81</f>
        <v>288.9</v>
      </c>
      <c r="N81" s="99">
        <f t="shared" si="16"/>
        <v>0</v>
      </c>
      <c r="O81" s="100"/>
      <c r="P81" s="96"/>
      <c r="V81" s="89" t="s">
        <v>140</v>
      </c>
      <c r="X81" s="98"/>
      <c r="Y81" s="43">
        <f>SUM(AK49)</f>
        <v>310.59</v>
      </c>
      <c r="Z81" s="110"/>
      <c r="AG81" s="2">
        <f>SUM(AD79:AG79)</f>
        <v>57061.15</v>
      </c>
      <c r="AH81" s="2">
        <f>SUM(AD79:AH79)</f>
        <v>73061.15</v>
      </c>
    </row>
    <row r="82" spans="2:26" ht="15">
      <c r="B82" s="1" t="s">
        <v>46</v>
      </c>
      <c r="C82" s="4" t="s">
        <v>46</v>
      </c>
      <c r="E82" s="26">
        <v>660.7</v>
      </c>
      <c r="F82" s="26">
        <f t="shared" si="14"/>
        <v>660.7</v>
      </c>
      <c r="G82" s="27"/>
      <c r="H82" s="27"/>
      <c r="I82" s="26">
        <v>569.3</v>
      </c>
      <c r="J82" s="28">
        <f t="shared" si="15"/>
        <v>-91.40000000000009</v>
      </c>
      <c r="K82" s="64"/>
      <c r="L82" s="74">
        <v>569.3</v>
      </c>
      <c r="M82" s="98">
        <f t="shared" si="17"/>
        <v>569.3</v>
      </c>
      <c r="N82" s="99">
        <f t="shared" si="16"/>
        <v>0</v>
      </c>
      <c r="O82" s="100"/>
      <c r="P82" s="96"/>
      <c r="V82" s="89" t="s">
        <v>141</v>
      </c>
      <c r="X82" s="98"/>
      <c r="Y82" s="43">
        <f aca="true" t="shared" si="18" ref="Y82:Y87">SUM(AK50)</f>
        <v>610.92</v>
      </c>
      <c r="Z82" s="110"/>
    </row>
    <row r="83" spans="2:26" ht="15">
      <c r="B83" s="1" t="s">
        <v>47</v>
      </c>
      <c r="C83" s="4" t="s">
        <v>47</v>
      </c>
      <c r="E83" s="26">
        <v>414.9</v>
      </c>
      <c r="F83" s="26">
        <f t="shared" si="14"/>
        <v>414.9</v>
      </c>
      <c r="G83" s="27"/>
      <c r="H83" s="27"/>
      <c r="I83" s="26">
        <v>328.4</v>
      </c>
      <c r="J83" s="28">
        <f t="shared" si="15"/>
        <v>-86.5</v>
      </c>
      <c r="K83" s="64"/>
      <c r="L83" s="74">
        <v>328.4</v>
      </c>
      <c r="M83" s="98">
        <f t="shared" si="17"/>
        <v>328.4</v>
      </c>
      <c r="N83" s="99">
        <f t="shared" si="16"/>
        <v>0</v>
      </c>
      <c r="O83" s="100"/>
      <c r="P83" s="96"/>
      <c r="V83" s="89" t="s">
        <v>142</v>
      </c>
      <c r="X83" s="98"/>
      <c r="Y83" s="43">
        <f t="shared" si="18"/>
        <v>351.01</v>
      </c>
      <c r="Z83" s="110"/>
    </row>
    <row r="84" spans="2:26" ht="15">
      <c r="B84" s="1" t="s">
        <v>48</v>
      </c>
      <c r="C84" s="4" t="s">
        <v>48</v>
      </c>
      <c r="E84" s="26">
        <v>292</v>
      </c>
      <c r="F84" s="26">
        <f t="shared" si="14"/>
        <v>292</v>
      </c>
      <c r="G84" s="27"/>
      <c r="H84" s="27"/>
      <c r="I84" s="26">
        <v>206.8</v>
      </c>
      <c r="J84" s="28">
        <f t="shared" si="15"/>
        <v>-85.19999999999999</v>
      </c>
      <c r="K84" s="64"/>
      <c r="L84" s="74">
        <v>206.8</v>
      </c>
      <c r="M84" s="98">
        <f t="shared" si="17"/>
        <v>206.8</v>
      </c>
      <c r="N84" s="99">
        <f t="shared" si="16"/>
        <v>0</v>
      </c>
      <c r="O84" s="100"/>
      <c r="P84" s="96"/>
      <c r="V84" s="89" t="s">
        <v>143</v>
      </c>
      <c r="X84" s="98"/>
      <c r="Y84" s="43">
        <f t="shared" si="18"/>
        <v>220.96</v>
      </c>
      <c r="Z84" s="110"/>
    </row>
    <row r="85" spans="2:26" ht="15">
      <c r="B85" s="1" t="s">
        <v>49</v>
      </c>
      <c r="C85" s="4" t="s">
        <v>49</v>
      </c>
      <c r="E85" s="26">
        <v>153.7</v>
      </c>
      <c r="F85" s="26">
        <f t="shared" si="14"/>
        <v>153.7</v>
      </c>
      <c r="G85" s="27"/>
      <c r="H85" s="27"/>
      <c r="I85" s="26">
        <v>151.2</v>
      </c>
      <c r="J85" s="28">
        <f t="shared" si="15"/>
        <v>-2.5</v>
      </c>
      <c r="K85" s="64"/>
      <c r="L85" s="74">
        <v>151.2</v>
      </c>
      <c r="M85" s="98">
        <f t="shared" si="17"/>
        <v>151.2</v>
      </c>
      <c r="N85" s="99">
        <f t="shared" si="16"/>
        <v>0</v>
      </c>
      <c r="O85" s="100"/>
      <c r="P85" s="96"/>
      <c r="V85" s="89" t="s">
        <v>144</v>
      </c>
      <c r="X85" s="98"/>
      <c r="Y85" s="43">
        <f t="shared" si="18"/>
        <v>161.65</v>
      </c>
      <c r="Z85" s="110"/>
    </row>
    <row r="86" spans="2:26" ht="15">
      <c r="B86" s="1" t="s">
        <v>50</v>
      </c>
      <c r="C86" s="4" t="s">
        <v>50</v>
      </c>
      <c r="E86" s="26">
        <v>361.7</v>
      </c>
      <c r="F86" s="26">
        <f t="shared" si="14"/>
        <v>361.7</v>
      </c>
      <c r="G86" s="27"/>
      <c r="H86" s="27"/>
      <c r="I86" s="26">
        <v>357.7</v>
      </c>
      <c r="J86" s="28">
        <f t="shared" si="15"/>
        <v>-4</v>
      </c>
      <c r="K86" s="64"/>
      <c r="L86" s="74">
        <v>357.7</v>
      </c>
      <c r="M86" s="98">
        <f t="shared" si="17"/>
        <v>357.7</v>
      </c>
      <c r="N86" s="99">
        <f t="shared" si="16"/>
        <v>0</v>
      </c>
      <c r="O86" s="100"/>
      <c r="P86" s="96"/>
      <c r="V86" s="89" t="s">
        <v>145</v>
      </c>
      <c r="X86" s="98"/>
      <c r="Y86" s="43">
        <f t="shared" si="18"/>
        <v>381.94</v>
      </c>
      <c r="Z86" s="110"/>
    </row>
    <row r="87" spans="1:37" s="17" customFormat="1" ht="19.5">
      <c r="A87" s="1"/>
      <c r="B87" s="1" t="s">
        <v>51</v>
      </c>
      <c r="C87" s="4" t="s">
        <v>51</v>
      </c>
      <c r="D87" s="1"/>
      <c r="E87" s="34">
        <v>12.9</v>
      </c>
      <c r="F87" s="34">
        <f t="shared" si="14"/>
        <v>12.9</v>
      </c>
      <c r="G87" s="41"/>
      <c r="H87" s="41"/>
      <c r="I87" s="34">
        <v>12.9</v>
      </c>
      <c r="J87" s="36">
        <f t="shared" si="15"/>
        <v>0</v>
      </c>
      <c r="K87" s="64"/>
      <c r="L87" s="80">
        <v>12.9</v>
      </c>
      <c r="M87" s="199">
        <f t="shared" si="17"/>
        <v>12.9</v>
      </c>
      <c r="N87" s="200">
        <f t="shared" si="16"/>
        <v>0</v>
      </c>
      <c r="O87" s="201"/>
      <c r="P87" s="206"/>
      <c r="Q87" s="207"/>
      <c r="R87" s="207"/>
      <c r="S87" s="207"/>
      <c r="T87" s="207"/>
      <c r="U87" s="207"/>
      <c r="V87" s="203" t="s">
        <v>146</v>
      </c>
      <c r="W87" s="203"/>
      <c r="X87" s="199"/>
      <c r="Y87" s="199">
        <f t="shared" si="18"/>
        <v>12.46</v>
      </c>
      <c r="Z87" s="192"/>
      <c r="AK87" s="127"/>
    </row>
    <row r="88" spans="1:26" ht="15">
      <c r="A88" s="17"/>
      <c r="B88" s="17"/>
      <c r="C88" s="18"/>
      <c r="D88" s="19" t="s">
        <v>105</v>
      </c>
      <c r="E88" s="20">
        <f>SUM(E81:E87)</f>
        <v>2188.8</v>
      </c>
      <c r="F88" s="20">
        <f>SUM(F81:F87)</f>
        <v>2188.8</v>
      </c>
      <c r="G88" s="29"/>
      <c r="H88" s="29"/>
      <c r="I88" s="20">
        <f>SUM(I81:I87)</f>
        <v>1915.2</v>
      </c>
      <c r="J88" s="22">
        <f>SUM(J81:J87)</f>
        <v>-273.6000000000001</v>
      </c>
      <c r="K88" s="69"/>
      <c r="L88" s="82">
        <f>SUM(L81:L87)</f>
        <v>1915.2</v>
      </c>
      <c r="M88" s="110">
        <f>SUM(M81:M87)</f>
        <v>1915.2</v>
      </c>
      <c r="N88" s="111">
        <f>SUM(N81:N87)</f>
        <v>0</v>
      </c>
      <c r="O88" s="112"/>
      <c r="P88" s="96"/>
      <c r="X88" s="110">
        <f>+Y88</f>
        <v>2049.53</v>
      </c>
      <c r="Y88" s="110">
        <f>SUM(Y80:Y87)</f>
        <v>2049.53</v>
      </c>
      <c r="Z88" s="110">
        <f>+Y88-X88</f>
        <v>0</v>
      </c>
    </row>
    <row r="89" spans="3:26" ht="15">
      <c r="C89" s="4" t="s">
        <v>52</v>
      </c>
      <c r="E89" s="26"/>
      <c r="F89" s="26">
        <f t="shared" si="14"/>
        <v>0</v>
      </c>
      <c r="G89" s="27"/>
      <c r="H89" s="27"/>
      <c r="I89" s="26"/>
      <c r="J89" s="28">
        <f t="shared" si="15"/>
        <v>0</v>
      </c>
      <c r="K89" s="64"/>
      <c r="L89" s="74"/>
      <c r="M89" s="98"/>
      <c r="N89" s="99">
        <f>+L89-I89</f>
        <v>0</v>
      </c>
      <c r="O89" s="100"/>
      <c r="P89" s="96"/>
      <c r="X89" s="125"/>
      <c r="Y89" s="125"/>
      <c r="Z89" s="147"/>
    </row>
    <row r="90" spans="2:26" ht="15">
      <c r="B90" s="1" t="s">
        <v>52</v>
      </c>
      <c r="D90" s="1" t="s">
        <v>9</v>
      </c>
      <c r="E90" s="26">
        <v>153.3</v>
      </c>
      <c r="F90" s="26">
        <f t="shared" si="14"/>
        <v>153.3</v>
      </c>
      <c r="G90" s="27"/>
      <c r="H90" s="27"/>
      <c r="I90" s="26">
        <v>151.1</v>
      </c>
      <c r="J90" s="28">
        <f t="shared" si="15"/>
        <v>-2.200000000000017</v>
      </c>
      <c r="K90" s="64"/>
      <c r="L90" s="74">
        <v>151.1</v>
      </c>
      <c r="M90" s="98">
        <f>+L90</f>
        <v>151.1</v>
      </c>
      <c r="N90" s="99">
        <f aca="true" t="shared" si="19" ref="N90:N102">+M90-L90</f>
        <v>0</v>
      </c>
      <c r="O90" s="100"/>
      <c r="P90" s="96"/>
      <c r="V90" s="89" t="s">
        <v>147</v>
      </c>
      <c r="W90" s="89" t="s">
        <v>9</v>
      </c>
      <c r="X90" s="98"/>
      <c r="Y90" s="43" t="s">
        <v>30</v>
      </c>
      <c r="Z90" s="110"/>
    </row>
    <row r="91" spans="2:26" ht="15">
      <c r="B91" s="1" t="s">
        <v>52</v>
      </c>
      <c r="D91" s="1" t="s">
        <v>10</v>
      </c>
      <c r="E91" s="26">
        <v>239.9</v>
      </c>
      <c r="F91" s="26">
        <f t="shared" si="14"/>
        <v>-0.09999999999999432</v>
      </c>
      <c r="G91" s="27">
        <v>-240</v>
      </c>
      <c r="H91" s="57" t="s">
        <v>71</v>
      </c>
      <c r="I91" s="26"/>
      <c r="J91" s="28">
        <f t="shared" si="15"/>
        <v>0.09999999999999432</v>
      </c>
      <c r="K91" s="64"/>
      <c r="L91" s="74"/>
      <c r="M91" s="98">
        <f aca="true" t="shared" si="20" ref="M91:M102">+L91</f>
        <v>0</v>
      </c>
      <c r="N91" s="99">
        <f t="shared" si="19"/>
        <v>0</v>
      </c>
      <c r="O91" s="100"/>
      <c r="P91" s="96"/>
      <c r="X91" s="98"/>
      <c r="Y91" s="43"/>
      <c r="Z91" s="110"/>
    </row>
    <row r="92" spans="2:26" ht="15">
      <c r="B92" s="1" t="s">
        <v>52</v>
      </c>
      <c r="D92" s="1" t="s">
        <v>11</v>
      </c>
      <c r="E92" s="26">
        <v>100</v>
      </c>
      <c r="F92" s="26">
        <f t="shared" si="14"/>
        <v>100</v>
      </c>
      <c r="G92" s="27"/>
      <c r="H92" s="27"/>
      <c r="I92" s="26">
        <v>89.4</v>
      </c>
      <c r="J92" s="28">
        <f t="shared" si="15"/>
        <v>-10.599999999999994</v>
      </c>
      <c r="K92" s="64"/>
      <c r="L92" s="74">
        <v>89.4</v>
      </c>
      <c r="M92" s="98">
        <f t="shared" si="20"/>
        <v>89.4</v>
      </c>
      <c r="N92" s="99">
        <f t="shared" si="19"/>
        <v>0</v>
      </c>
      <c r="O92" s="100"/>
      <c r="P92" s="96"/>
      <c r="V92" s="89" t="s">
        <v>147</v>
      </c>
      <c r="W92" s="89" t="s">
        <v>11</v>
      </c>
      <c r="X92" s="98"/>
      <c r="Y92" s="43">
        <f>SUM(AK56)</f>
        <v>94.51</v>
      </c>
      <c r="Z92" s="110"/>
    </row>
    <row r="93" spans="2:26" ht="15">
      <c r="B93" s="1" t="s">
        <v>52</v>
      </c>
      <c r="D93" s="1" t="s">
        <v>12</v>
      </c>
      <c r="E93" s="26">
        <v>38.5</v>
      </c>
      <c r="F93" s="26">
        <f t="shared" si="14"/>
        <v>0</v>
      </c>
      <c r="G93" s="27">
        <f>-E93</f>
        <v>-38.5</v>
      </c>
      <c r="H93" s="57" t="s">
        <v>71</v>
      </c>
      <c r="I93" s="26"/>
      <c r="J93" s="28">
        <f t="shared" si="15"/>
        <v>0</v>
      </c>
      <c r="K93" s="64"/>
      <c r="L93" s="74"/>
      <c r="M93" s="98">
        <f t="shared" si="20"/>
        <v>0</v>
      </c>
      <c r="N93" s="99">
        <f t="shared" si="19"/>
        <v>0</v>
      </c>
      <c r="O93" s="100"/>
      <c r="P93" s="96"/>
      <c r="X93" s="98"/>
      <c r="Y93" s="43"/>
      <c r="Z93" s="110"/>
    </row>
    <row r="94" spans="3:26" ht="15">
      <c r="C94" s="4" t="s">
        <v>53</v>
      </c>
      <c r="E94" s="26"/>
      <c r="F94" s="26">
        <f t="shared" si="14"/>
        <v>0</v>
      </c>
      <c r="G94" s="27"/>
      <c r="H94" s="27"/>
      <c r="I94" s="26"/>
      <c r="J94" s="28">
        <f t="shared" si="15"/>
        <v>0</v>
      </c>
      <c r="K94" s="64"/>
      <c r="L94" s="74"/>
      <c r="M94" s="98"/>
      <c r="N94" s="99">
        <f t="shared" si="19"/>
        <v>0</v>
      </c>
      <c r="O94" s="100"/>
      <c r="P94" s="96"/>
      <c r="X94" s="98"/>
      <c r="Y94" s="43"/>
      <c r="Z94" s="110"/>
    </row>
    <row r="95" spans="2:26" ht="15">
      <c r="B95" s="1" t="s">
        <v>53</v>
      </c>
      <c r="D95" s="1" t="s">
        <v>13</v>
      </c>
      <c r="E95" s="26">
        <v>224.9</v>
      </c>
      <c r="F95" s="26">
        <f t="shared" si="14"/>
        <v>224.9</v>
      </c>
      <c r="G95" s="27"/>
      <c r="H95" s="27"/>
      <c r="I95" s="26">
        <v>220.9</v>
      </c>
      <c r="J95" s="28">
        <f t="shared" si="15"/>
        <v>-4</v>
      </c>
      <c r="K95" s="64"/>
      <c r="L95" s="74">
        <v>220.9</v>
      </c>
      <c r="M95" s="98">
        <f t="shared" si="20"/>
        <v>220.9</v>
      </c>
      <c r="N95" s="99">
        <f t="shared" si="19"/>
        <v>0</v>
      </c>
      <c r="O95" s="100"/>
      <c r="P95" s="96"/>
      <c r="V95" s="89" t="s">
        <v>148</v>
      </c>
      <c r="W95" s="89" t="s">
        <v>13</v>
      </c>
      <c r="X95" s="98"/>
      <c r="Y95" s="43">
        <f>SUM(AK57)</f>
        <v>233.04</v>
      </c>
      <c r="Z95" s="110"/>
    </row>
    <row r="96" spans="2:26" ht="15">
      <c r="B96" s="1" t="s">
        <v>53</v>
      </c>
      <c r="D96" s="1" t="s">
        <v>14</v>
      </c>
      <c r="E96" s="26"/>
      <c r="F96" s="26">
        <f t="shared" si="14"/>
        <v>0</v>
      </c>
      <c r="G96" s="27"/>
      <c r="H96" s="27"/>
      <c r="I96" s="26"/>
      <c r="J96" s="28">
        <f t="shared" si="15"/>
        <v>0</v>
      </c>
      <c r="K96" s="64"/>
      <c r="L96" s="74"/>
      <c r="M96" s="98">
        <f t="shared" si="20"/>
        <v>0</v>
      </c>
      <c r="N96" s="99">
        <f t="shared" si="19"/>
        <v>0</v>
      </c>
      <c r="O96" s="100"/>
      <c r="P96" s="96"/>
      <c r="V96" s="89" t="s">
        <v>148</v>
      </c>
      <c r="W96" s="89" t="s">
        <v>14</v>
      </c>
      <c r="X96" s="98"/>
      <c r="Y96" s="43">
        <f>SUM(AK58)</f>
        <v>0</v>
      </c>
      <c r="Z96" s="110"/>
    </row>
    <row r="97" spans="2:26" ht="15">
      <c r="B97" s="1" t="s">
        <v>53</v>
      </c>
      <c r="D97" s="1" t="s">
        <v>15</v>
      </c>
      <c r="E97" s="26">
        <v>222.5</v>
      </c>
      <c r="F97" s="26">
        <f t="shared" si="14"/>
        <v>222.5</v>
      </c>
      <c r="G97" s="27"/>
      <c r="H97" s="27"/>
      <c r="I97" s="26">
        <v>218.7</v>
      </c>
      <c r="J97" s="28">
        <f t="shared" si="15"/>
        <v>-3.8000000000000114</v>
      </c>
      <c r="K97" s="64"/>
      <c r="L97" s="74">
        <v>218.7</v>
      </c>
      <c r="M97" s="98">
        <f t="shared" si="20"/>
        <v>218.7</v>
      </c>
      <c r="N97" s="99">
        <f t="shared" si="19"/>
        <v>0</v>
      </c>
      <c r="O97" s="100"/>
      <c r="P97" s="96"/>
      <c r="V97" s="89" t="s">
        <v>148</v>
      </c>
      <c r="W97" s="89" t="s">
        <v>15</v>
      </c>
      <c r="X97" s="98"/>
      <c r="Y97" s="43">
        <f>SUM(AK59)</f>
        <v>230.22</v>
      </c>
      <c r="Z97" s="110"/>
    </row>
    <row r="98" spans="5:26" ht="15">
      <c r="E98" s="26"/>
      <c r="F98" s="26">
        <f t="shared" si="14"/>
        <v>0</v>
      </c>
      <c r="G98" s="27"/>
      <c r="H98" s="27"/>
      <c r="I98" s="26"/>
      <c r="J98" s="28">
        <f t="shared" si="15"/>
        <v>0</v>
      </c>
      <c r="K98" s="64"/>
      <c r="L98" s="74"/>
      <c r="M98" s="98"/>
      <c r="N98" s="99">
        <f t="shared" si="19"/>
        <v>0</v>
      </c>
      <c r="O98" s="100"/>
      <c r="P98" s="96"/>
      <c r="X98" s="125"/>
      <c r="Y98" s="158"/>
      <c r="Z98" s="147"/>
    </row>
    <row r="99" spans="2:26" ht="15">
      <c r="B99" s="1" t="s">
        <v>54</v>
      </c>
      <c r="C99" s="4" t="s">
        <v>54</v>
      </c>
      <c r="E99" s="26">
        <v>122.7</v>
      </c>
      <c r="F99" s="26">
        <f t="shared" si="14"/>
        <v>122.7</v>
      </c>
      <c r="G99" s="27"/>
      <c r="H99" s="27"/>
      <c r="I99" s="26">
        <v>103.5</v>
      </c>
      <c r="J99" s="28">
        <f t="shared" si="15"/>
        <v>-19.200000000000003</v>
      </c>
      <c r="K99" s="64"/>
      <c r="L99" s="74">
        <v>103.5</v>
      </c>
      <c r="M99" s="98">
        <f t="shared" si="20"/>
        <v>103.5</v>
      </c>
      <c r="N99" s="99">
        <f t="shared" si="19"/>
        <v>0</v>
      </c>
      <c r="O99" s="100"/>
      <c r="P99" s="96"/>
      <c r="U99" s="89" t="s">
        <v>149</v>
      </c>
      <c r="W99" s="97">
        <v>109.29960000000001</v>
      </c>
      <c r="X99" s="98"/>
      <c r="Y99" s="43">
        <f>SUM(AK60)</f>
        <v>109.3</v>
      </c>
      <c r="Z99" s="110"/>
    </row>
    <row r="100" spans="3:26" ht="15">
      <c r="C100" s="4" t="s">
        <v>55</v>
      </c>
      <c r="E100" s="26"/>
      <c r="F100" s="26">
        <f t="shared" si="14"/>
        <v>0</v>
      </c>
      <c r="G100" s="27"/>
      <c r="H100" s="27"/>
      <c r="I100" s="26"/>
      <c r="J100" s="28">
        <f t="shared" si="15"/>
        <v>0</v>
      </c>
      <c r="K100" s="64"/>
      <c r="L100" s="74"/>
      <c r="M100" s="98"/>
      <c r="N100" s="99">
        <f t="shared" si="19"/>
        <v>0</v>
      </c>
      <c r="O100" s="100"/>
      <c r="P100" s="96"/>
      <c r="X100" s="125"/>
      <c r="Y100" s="158"/>
      <c r="Z100" s="147"/>
    </row>
    <row r="101" spans="2:26" ht="15">
      <c r="B101" s="1" t="s">
        <v>55</v>
      </c>
      <c r="D101" s="1" t="s">
        <v>10</v>
      </c>
      <c r="E101" s="26">
        <v>9.4</v>
      </c>
      <c r="F101" s="26">
        <f t="shared" si="14"/>
        <v>9.4</v>
      </c>
      <c r="G101" s="27"/>
      <c r="H101" s="27"/>
      <c r="I101" s="26">
        <v>9.4</v>
      </c>
      <c r="J101" s="28">
        <f t="shared" si="15"/>
        <v>0</v>
      </c>
      <c r="K101" s="64"/>
      <c r="L101" s="74">
        <v>9.4</v>
      </c>
      <c r="M101" s="98">
        <f t="shared" si="20"/>
        <v>9.4</v>
      </c>
      <c r="N101" s="99">
        <f t="shared" si="19"/>
        <v>0</v>
      </c>
      <c r="O101" s="100"/>
      <c r="P101" s="96"/>
      <c r="V101" s="89" t="s">
        <v>150</v>
      </c>
      <c r="W101" s="89" t="s">
        <v>10</v>
      </c>
      <c r="X101" s="98"/>
      <c r="Y101" s="43">
        <f>SUM(AK61)</f>
        <v>9.38</v>
      </c>
      <c r="Z101" s="110"/>
    </row>
    <row r="102" spans="1:37" s="17" customFormat="1" ht="19.5">
      <c r="A102" s="1"/>
      <c r="B102" s="1" t="s">
        <v>55</v>
      </c>
      <c r="C102" s="4"/>
      <c r="D102" s="1" t="s">
        <v>16</v>
      </c>
      <c r="E102" s="34">
        <v>32.2</v>
      </c>
      <c r="F102" s="34">
        <f t="shared" si="14"/>
        <v>32.2</v>
      </c>
      <c r="G102" s="41">
        <v>0</v>
      </c>
      <c r="H102" s="41"/>
      <c r="I102" s="34">
        <v>32.2</v>
      </c>
      <c r="J102" s="36">
        <f t="shared" si="15"/>
        <v>0</v>
      </c>
      <c r="K102" s="64"/>
      <c r="L102" s="80">
        <v>32.2</v>
      </c>
      <c r="M102" s="199">
        <f t="shared" si="20"/>
        <v>32.2</v>
      </c>
      <c r="N102" s="200">
        <f t="shared" si="19"/>
        <v>0</v>
      </c>
      <c r="O102" s="201"/>
      <c r="P102" s="206"/>
      <c r="Q102" s="207"/>
      <c r="R102" s="207"/>
      <c r="S102" s="207"/>
      <c r="T102" s="207"/>
      <c r="U102" s="207"/>
      <c r="V102" s="203" t="s">
        <v>150</v>
      </c>
      <c r="W102" s="203" t="s">
        <v>16</v>
      </c>
      <c r="X102" s="199"/>
      <c r="Y102" s="199">
        <f>SUM(AK62)</f>
        <v>15</v>
      </c>
      <c r="Z102" s="192"/>
      <c r="AK102" s="127"/>
    </row>
    <row r="103" spans="1:27" ht="15">
      <c r="A103" s="17"/>
      <c r="B103" s="17"/>
      <c r="C103" s="18"/>
      <c r="D103" s="19" t="s">
        <v>106</v>
      </c>
      <c r="E103" s="20">
        <f>SUM(E90:E102)</f>
        <v>1143.4</v>
      </c>
      <c r="F103" s="20">
        <f>SUM(F90:F102)</f>
        <v>864.9000000000001</v>
      </c>
      <c r="G103" s="21">
        <f>SUM(G90:G102)</f>
        <v>-278.5</v>
      </c>
      <c r="H103" s="29"/>
      <c r="I103" s="20">
        <f>SUM(I90:I102)</f>
        <v>825.1999999999999</v>
      </c>
      <c r="J103" s="22">
        <f>SUM(J90:J102)</f>
        <v>-39.70000000000003</v>
      </c>
      <c r="K103" s="69"/>
      <c r="L103" s="82">
        <f>SUM(L90:L102)</f>
        <v>825.1999999999999</v>
      </c>
      <c r="M103" s="110">
        <f>SUM(M90:M102)</f>
        <v>825.1999999999999</v>
      </c>
      <c r="N103" s="111">
        <f>SUM(N90:N102)</f>
        <v>0</v>
      </c>
      <c r="O103" s="112"/>
      <c r="P103" s="96"/>
      <c r="X103" s="110">
        <v>842</v>
      </c>
      <c r="Y103" s="110">
        <f>SUM(Y89:Y102)</f>
        <v>691.4499999999999</v>
      </c>
      <c r="Z103" s="110">
        <f>+Y103-X103</f>
        <v>-150.55000000000007</v>
      </c>
      <c r="AA103" s="219" t="s">
        <v>36</v>
      </c>
    </row>
    <row r="104" spans="2:26" ht="15">
      <c r="B104" s="1" t="s">
        <v>56</v>
      </c>
      <c r="C104" s="4" t="s">
        <v>56</v>
      </c>
      <c r="E104" s="26">
        <v>32.2</v>
      </c>
      <c r="F104" s="26">
        <f t="shared" si="14"/>
        <v>32.2</v>
      </c>
      <c r="G104" s="27"/>
      <c r="H104" s="27"/>
      <c r="I104" s="26">
        <v>32.2</v>
      </c>
      <c r="J104" s="28">
        <f t="shared" si="15"/>
        <v>0</v>
      </c>
      <c r="K104" s="64"/>
      <c r="L104" s="74">
        <v>32.2</v>
      </c>
      <c r="M104" s="98">
        <f>+L104</f>
        <v>32.2</v>
      </c>
      <c r="N104" s="99">
        <f aca="true" t="shared" si="21" ref="N104:N113">+M104-L104</f>
        <v>0</v>
      </c>
      <c r="O104" s="100"/>
      <c r="P104" s="96"/>
      <c r="V104" s="89" t="s">
        <v>151</v>
      </c>
      <c r="W104" s="89" t="s">
        <v>17</v>
      </c>
      <c r="X104" s="98"/>
      <c r="Y104" s="43">
        <f>SUM(AK63)</f>
        <v>32.15</v>
      </c>
      <c r="Z104" s="110"/>
    </row>
    <row r="105" spans="2:26" ht="15">
      <c r="B105" s="1" t="s">
        <v>57</v>
      </c>
      <c r="C105" s="4" t="s">
        <v>57</v>
      </c>
      <c r="E105" s="26">
        <v>48.8</v>
      </c>
      <c r="F105" s="26">
        <f t="shared" si="14"/>
        <v>48.8</v>
      </c>
      <c r="G105" s="27"/>
      <c r="H105" s="27"/>
      <c r="I105" s="26">
        <v>50.2</v>
      </c>
      <c r="J105" s="28">
        <f t="shared" si="15"/>
        <v>1.4000000000000057</v>
      </c>
      <c r="K105" s="64"/>
      <c r="L105" s="74">
        <v>50.2</v>
      </c>
      <c r="M105" s="98">
        <f aca="true" t="shared" si="22" ref="M105:M113">+L105</f>
        <v>50.2</v>
      </c>
      <c r="N105" s="99">
        <f t="shared" si="21"/>
        <v>0</v>
      </c>
      <c r="O105" s="100"/>
      <c r="P105" s="96"/>
      <c r="V105" s="89" t="s">
        <v>152</v>
      </c>
      <c r="W105" s="89">
        <v>720</v>
      </c>
      <c r="X105" s="98"/>
      <c r="Y105" s="43">
        <f>SUM(AK64)</f>
        <v>47.59</v>
      </c>
      <c r="Z105" s="110"/>
    </row>
    <row r="106" spans="2:26" ht="15">
      <c r="B106" s="1" t="s">
        <v>58</v>
      </c>
      <c r="C106" s="4" t="s">
        <v>58</v>
      </c>
      <c r="E106" s="26">
        <v>161</v>
      </c>
      <c r="F106" s="26">
        <f t="shared" si="14"/>
        <v>161</v>
      </c>
      <c r="G106" s="27"/>
      <c r="H106" s="27"/>
      <c r="I106" s="26">
        <v>161.3</v>
      </c>
      <c r="J106" s="28">
        <f t="shared" si="15"/>
        <v>0.30000000000001137</v>
      </c>
      <c r="K106" s="64"/>
      <c r="L106" s="74">
        <v>161.3</v>
      </c>
      <c r="M106" s="98">
        <f t="shared" si="22"/>
        <v>161.3</v>
      </c>
      <c r="N106" s="99">
        <f t="shared" si="21"/>
        <v>0</v>
      </c>
      <c r="O106" s="100"/>
      <c r="P106" s="96"/>
      <c r="V106" s="89" t="s">
        <v>153</v>
      </c>
      <c r="W106" s="89" t="s">
        <v>86</v>
      </c>
      <c r="X106" s="98"/>
      <c r="Y106" s="43">
        <f>SUM(AK65)</f>
        <v>164.42</v>
      </c>
      <c r="Z106" s="110"/>
    </row>
    <row r="107" spans="3:26" ht="15">
      <c r="C107" s="4" t="s">
        <v>59</v>
      </c>
      <c r="E107" s="26"/>
      <c r="F107" s="26">
        <f t="shared" si="14"/>
        <v>0</v>
      </c>
      <c r="G107" s="27"/>
      <c r="H107" s="27"/>
      <c r="I107" s="26"/>
      <c r="J107" s="28">
        <f t="shared" si="15"/>
        <v>0</v>
      </c>
      <c r="K107" s="64"/>
      <c r="L107" s="74"/>
      <c r="M107" s="98"/>
      <c r="N107" s="99">
        <f t="shared" si="21"/>
        <v>0</v>
      </c>
      <c r="O107" s="100"/>
      <c r="P107" s="96"/>
      <c r="X107" s="125"/>
      <c r="Y107" s="158"/>
      <c r="Z107" s="110"/>
    </row>
    <row r="108" spans="2:26" ht="15">
      <c r="B108" s="1" t="s">
        <v>59</v>
      </c>
      <c r="D108" s="1" t="s">
        <v>17</v>
      </c>
      <c r="E108" s="26">
        <v>148</v>
      </c>
      <c r="F108" s="26">
        <f t="shared" si="14"/>
        <v>148</v>
      </c>
      <c r="G108" s="27"/>
      <c r="H108" s="27"/>
      <c r="I108" s="61">
        <v>152.55</v>
      </c>
      <c r="J108" s="28">
        <f t="shared" si="15"/>
        <v>4.550000000000011</v>
      </c>
      <c r="K108" s="64"/>
      <c r="L108" s="75">
        <v>152.55</v>
      </c>
      <c r="M108" s="98">
        <f t="shared" si="22"/>
        <v>152.55</v>
      </c>
      <c r="N108" s="99">
        <f t="shared" si="21"/>
        <v>0</v>
      </c>
      <c r="O108" s="100"/>
      <c r="P108" s="96"/>
      <c r="V108" s="89" t="s">
        <v>154</v>
      </c>
      <c r="W108" s="89" t="s">
        <v>17</v>
      </c>
      <c r="X108" s="98"/>
      <c r="Y108" s="43">
        <f>SUM(AK66)</f>
        <v>152.71</v>
      </c>
      <c r="Z108" s="110"/>
    </row>
    <row r="109" spans="2:26" ht="15">
      <c r="B109" s="1" t="s">
        <v>59</v>
      </c>
      <c r="D109" s="1" t="s">
        <v>260</v>
      </c>
      <c r="E109" s="26">
        <v>281.6</v>
      </c>
      <c r="F109" s="26">
        <f t="shared" si="14"/>
        <v>281.6</v>
      </c>
      <c r="G109" s="27"/>
      <c r="H109" s="27"/>
      <c r="I109" s="61">
        <v>281.57</v>
      </c>
      <c r="J109" s="28">
        <f t="shared" si="15"/>
        <v>-0.03000000000002956</v>
      </c>
      <c r="K109" s="64"/>
      <c r="L109" s="75">
        <v>281.57</v>
      </c>
      <c r="M109" s="98">
        <f t="shared" si="22"/>
        <v>281.57</v>
      </c>
      <c r="N109" s="99">
        <f t="shared" si="21"/>
        <v>0</v>
      </c>
      <c r="O109" s="100"/>
      <c r="P109" s="96"/>
      <c r="V109" s="89" t="s">
        <v>154</v>
      </c>
      <c r="W109" s="89" t="s">
        <v>260</v>
      </c>
      <c r="X109" s="98"/>
      <c r="Y109" s="43">
        <f>SUM(AK67)</f>
        <v>312.58</v>
      </c>
      <c r="Z109" s="110"/>
    </row>
    <row r="110" spans="2:26" ht="15">
      <c r="B110" s="1" t="s">
        <v>59</v>
      </c>
      <c r="D110" s="1" t="s">
        <v>261</v>
      </c>
      <c r="E110" s="26">
        <v>1194.2</v>
      </c>
      <c r="F110" s="26">
        <f t="shared" si="14"/>
        <v>1194.2</v>
      </c>
      <c r="G110" s="27"/>
      <c r="H110" s="27"/>
      <c r="I110" s="61">
        <v>1068.15</v>
      </c>
      <c r="J110" s="28">
        <f t="shared" si="15"/>
        <v>-126.04999999999995</v>
      </c>
      <c r="K110" s="64"/>
      <c r="L110" s="75">
        <v>1068.15</v>
      </c>
      <c r="M110" s="98">
        <f t="shared" si="22"/>
        <v>1068.15</v>
      </c>
      <c r="N110" s="99">
        <f t="shared" si="21"/>
        <v>0</v>
      </c>
      <c r="O110" s="100"/>
      <c r="P110" s="96"/>
      <c r="V110" s="89" t="s">
        <v>154</v>
      </c>
      <c r="W110" s="89" t="s">
        <v>261</v>
      </c>
      <c r="X110" s="98"/>
      <c r="Y110" s="43">
        <f>SUM(AK68)</f>
        <v>1099.47</v>
      </c>
      <c r="Z110" s="110"/>
    </row>
    <row r="111" spans="3:26" ht="15">
      <c r="C111" s="4" t="s">
        <v>60</v>
      </c>
      <c r="E111" s="26"/>
      <c r="F111" s="26">
        <f t="shared" si="14"/>
        <v>0</v>
      </c>
      <c r="G111" s="27"/>
      <c r="H111" s="27"/>
      <c r="I111" s="26"/>
      <c r="J111" s="28">
        <f t="shared" si="15"/>
        <v>0</v>
      </c>
      <c r="K111" s="64"/>
      <c r="L111" s="74"/>
      <c r="M111" s="98">
        <f t="shared" si="22"/>
        <v>0</v>
      </c>
      <c r="N111" s="99">
        <f t="shared" si="21"/>
        <v>0</v>
      </c>
      <c r="O111" s="100"/>
      <c r="P111" s="96"/>
      <c r="X111" s="125"/>
      <c r="Y111" s="158"/>
      <c r="Z111" s="110"/>
    </row>
    <row r="112" spans="2:26" ht="15">
      <c r="B112" s="1" t="s">
        <v>60</v>
      </c>
      <c r="D112" s="1" t="s">
        <v>262</v>
      </c>
      <c r="E112" s="26">
        <v>2184.9</v>
      </c>
      <c r="F112" s="26">
        <f t="shared" si="14"/>
        <v>2184.9</v>
      </c>
      <c r="G112" s="27"/>
      <c r="H112" s="27"/>
      <c r="I112" s="61">
        <v>2238.93</v>
      </c>
      <c r="J112" s="28">
        <f t="shared" si="15"/>
        <v>54.029999999999745</v>
      </c>
      <c r="K112" s="64"/>
      <c r="L112" s="75">
        <v>2238.93</v>
      </c>
      <c r="M112" s="98">
        <f t="shared" si="22"/>
        <v>2238.93</v>
      </c>
      <c r="N112" s="99">
        <f t="shared" si="21"/>
        <v>0</v>
      </c>
      <c r="O112" s="100"/>
      <c r="P112" s="96"/>
      <c r="V112" s="89" t="s">
        <v>155</v>
      </c>
      <c r="W112" s="89" t="s">
        <v>262</v>
      </c>
      <c r="X112" s="98"/>
      <c r="Y112" s="43">
        <f>SUM(AK69)</f>
        <v>2365.55</v>
      </c>
      <c r="Z112" s="110"/>
    </row>
    <row r="113" spans="1:37" s="17" customFormat="1" ht="19.5">
      <c r="A113" s="1"/>
      <c r="B113" s="1" t="s">
        <v>61</v>
      </c>
      <c r="C113" s="4" t="s">
        <v>61</v>
      </c>
      <c r="D113" s="1"/>
      <c r="E113" s="34">
        <v>223.7</v>
      </c>
      <c r="F113" s="34">
        <f aca="true" t="shared" si="23" ref="F113:F121">+G113+E113</f>
        <v>223.7</v>
      </c>
      <c r="G113" s="41"/>
      <c r="H113" s="41"/>
      <c r="I113" s="63">
        <v>222.99</v>
      </c>
      <c r="J113" s="36">
        <f aca="true" t="shared" si="24" ref="J113:J124">+I113-F113</f>
        <v>-0.7099999999999795</v>
      </c>
      <c r="K113" s="64"/>
      <c r="L113" s="83">
        <v>222.99</v>
      </c>
      <c r="M113" s="199">
        <f t="shared" si="22"/>
        <v>222.99</v>
      </c>
      <c r="N113" s="200">
        <f t="shared" si="21"/>
        <v>0</v>
      </c>
      <c r="O113" s="201"/>
      <c r="P113" s="206"/>
      <c r="Q113" s="207"/>
      <c r="R113" s="207"/>
      <c r="S113" s="207"/>
      <c r="T113" s="207"/>
      <c r="U113" s="207"/>
      <c r="V113" s="203" t="s">
        <v>156</v>
      </c>
      <c r="W113" s="203"/>
      <c r="X113" s="199"/>
      <c r="Y113" s="199">
        <f>SUM(AK70)</f>
        <v>238.25</v>
      </c>
      <c r="Z113" s="192"/>
      <c r="AK113" s="127"/>
    </row>
    <row r="114" spans="1:26" ht="15">
      <c r="A114" s="17"/>
      <c r="B114" s="17"/>
      <c r="C114" s="18"/>
      <c r="D114" s="19" t="s">
        <v>107</v>
      </c>
      <c r="E114" s="20">
        <f>SUM(E104:E113)</f>
        <v>4274.400000000001</v>
      </c>
      <c r="F114" s="20">
        <f>SUM(F104:F113)</f>
        <v>4274.400000000001</v>
      </c>
      <c r="G114" s="29"/>
      <c r="H114" s="29"/>
      <c r="I114" s="20">
        <f>SUM(I104:I113)</f>
        <v>4207.889999999999</v>
      </c>
      <c r="J114" s="22">
        <f>SUM(J104:J113)</f>
        <v>-66.51000000000019</v>
      </c>
      <c r="K114" s="69"/>
      <c r="L114" s="82">
        <f>SUM(L104:L113)</f>
        <v>4207.889999999999</v>
      </c>
      <c r="M114" s="110">
        <f>SUM(M104:M113)</f>
        <v>4207.889999999999</v>
      </c>
      <c r="N114" s="111">
        <f>SUM(N104:N113)</f>
        <v>0</v>
      </c>
      <c r="O114" s="112"/>
      <c r="P114" s="96"/>
      <c r="X114" s="110">
        <f>+Y114</f>
        <v>4412.72</v>
      </c>
      <c r="Y114" s="110">
        <f>SUM(Y104:Y113)</f>
        <v>4412.72</v>
      </c>
      <c r="Z114" s="110">
        <f>+Y114-X114</f>
        <v>0</v>
      </c>
    </row>
    <row r="115" spans="2:26" ht="51.75">
      <c r="B115" s="1" t="s">
        <v>62</v>
      </c>
      <c r="C115" s="4" t="s">
        <v>62</v>
      </c>
      <c r="E115" s="26">
        <v>3556.8</v>
      </c>
      <c r="F115" s="26">
        <f>+G115+E115</f>
        <v>3556.8</v>
      </c>
      <c r="G115" s="27"/>
      <c r="H115" s="27"/>
      <c r="I115" s="26">
        <v>3450.278</v>
      </c>
      <c r="J115" s="28">
        <f t="shared" si="24"/>
        <v>-106.52200000000039</v>
      </c>
      <c r="K115" s="64" t="s">
        <v>97</v>
      </c>
      <c r="L115" s="74">
        <v>3450.278</v>
      </c>
      <c r="M115" s="98">
        <v>3596</v>
      </c>
      <c r="N115" s="117">
        <f>+M115-L115</f>
        <v>145.7220000000002</v>
      </c>
      <c r="O115" s="100" t="s">
        <v>116</v>
      </c>
      <c r="P115" s="96"/>
      <c r="V115" s="89" t="s">
        <v>157</v>
      </c>
      <c r="W115" s="89" t="s">
        <v>87</v>
      </c>
      <c r="X115" s="98"/>
      <c r="Y115" s="43">
        <f>SUM(AK71)</f>
        <v>4508.81</v>
      </c>
      <c r="Z115" s="110"/>
    </row>
    <row r="116" spans="2:26" ht="64.5">
      <c r="B116" s="1" t="s">
        <v>63</v>
      </c>
      <c r="C116" s="4" t="s">
        <v>63</v>
      </c>
      <c r="D116" s="4"/>
      <c r="E116" s="40">
        <v>4013.7</v>
      </c>
      <c r="F116" s="26">
        <f>+G116+E116+0.8</f>
        <v>4207.5</v>
      </c>
      <c r="G116" s="51">
        <v>193</v>
      </c>
      <c r="H116" s="57" t="s">
        <v>76</v>
      </c>
      <c r="I116" s="26">
        <v>4367.5</v>
      </c>
      <c r="J116" s="28">
        <f t="shared" si="24"/>
        <v>160</v>
      </c>
      <c r="K116" s="64"/>
      <c r="L116" s="74">
        <v>4367.5</v>
      </c>
      <c r="M116" s="98">
        <v>4426</v>
      </c>
      <c r="N116" s="117">
        <f>+M116-L116</f>
        <v>58.5</v>
      </c>
      <c r="O116" s="100" t="s">
        <v>117</v>
      </c>
      <c r="P116" s="96"/>
      <c r="V116" s="89" t="s">
        <v>158</v>
      </c>
      <c r="W116" s="89" t="s">
        <v>88</v>
      </c>
      <c r="X116" s="98"/>
      <c r="Y116" s="43">
        <f>SUM(AK72)</f>
        <v>4884.08</v>
      </c>
      <c r="Z116" s="110"/>
    </row>
    <row r="117" spans="2:26" ht="15">
      <c r="B117" s="1" t="s">
        <v>64</v>
      </c>
      <c r="C117" s="4" t="s">
        <v>64</v>
      </c>
      <c r="E117" s="26">
        <v>412.2</v>
      </c>
      <c r="F117" s="26">
        <f t="shared" si="23"/>
        <v>412.2</v>
      </c>
      <c r="G117" s="27"/>
      <c r="H117" s="27"/>
      <c r="I117" s="26">
        <v>412.47</v>
      </c>
      <c r="J117" s="28">
        <f t="shared" si="24"/>
        <v>0.27000000000003865</v>
      </c>
      <c r="K117" s="64"/>
      <c r="L117" s="84">
        <v>470.17</v>
      </c>
      <c r="M117" s="98">
        <v>470.17</v>
      </c>
      <c r="N117" s="99">
        <f>+M117-L117</f>
        <v>0</v>
      </c>
      <c r="O117" s="100"/>
      <c r="P117" s="96"/>
      <c r="V117" s="89" t="s">
        <v>159</v>
      </c>
      <c r="W117" s="89" t="s">
        <v>89</v>
      </c>
      <c r="X117" s="98"/>
      <c r="Y117" s="43">
        <f>SUM(AK73)</f>
        <v>469.93</v>
      </c>
      <c r="Z117" s="110"/>
    </row>
    <row r="118" spans="1:37" s="17" customFormat="1" ht="20.25" thickBot="1">
      <c r="A118" s="1"/>
      <c r="B118" s="1" t="s">
        <v>65</v>
      </c>
      <c r="C118" s="4" t="s">
        <v>65</v>
      </c>
      <c r="D118" s="1"/>
      <c r="E118" s="34">
        <v>1220.1</v>
      </c>
      <c r="F118" s="34">
        <f t="shared" si="23"/>
        <v>1220.1</v>
      </c>
      <c r="G118" s="41">
        <v>0</v>
      </c>
      <c r="H118" s="41"/>
      <c r="I118" s="34">
        <v>1220.68</v>
      </c>
      <c r="J118" s="36">
        <f t="shared" si="24"/>
        <v>0.5800000000001546</v>
      </c>
      <c r="K118" s="64"/>
      <c r="L118" s="80">
        <v>1220.68</v>
      </c>
      <c r="M118" s="208">
        <v>1220.68</v>
      </c>
      <c r="N118" s="209">
        <f>+M118-L118</f>
        <v>0</v>
      </c>
      <c r="O118" s="210"/>
      <c r="P118" s="211"/>
      <c r="Q118" s="212"/>
      <c r="R118" s="212"/>
      <c r="S118" s="212"/>
      <c r="T118" s="212"/>
      <c r="U118" s="212"/>
      <c r="V118" s="213" t="s">
        <v>160</v>
      </c>
      <c r="W118" s="213"/>
      <c r="X118" s="208"/>
      <c r="Y118" s="208">
        <f>SUM(AK74)</f>
        <v>1189.18</v>
      </c>
      <c r="Z118" s="192"/>
      <c r="AK118" s="127"/>
    </row>
    <row r="119" spans="3:37" s="17" customFormat="1" ht="29.25">
      <c r="C119" s="18"/>
      <c r="D119" s="19" t="s">
        <v>108</v>
      </c>
      <c r="E119" s="20">
        <f>SUM(E115:E118)</f>
        <v>9202.8</v>
      </c>
      <c r="F119" s="20">
        <f>SUM(F115:F118)</f>
        <v>9396.6</v>
      </c>
      <c r="G119" s="21">
        <f>SUM(G115:G118)</f>
        <v>193</v>
      </c>
      <c r="H119" s="29"/>
      <c r="I119" s="20">
        <f>SUM(I115:I118)</f>
        <v>9450.928</v>
      </c>
      <c r="J119" s="22">
        <f>SUM(J115:J118)</f>
        <v>54.327999999999804</v>
      </c>
      <c r="K119" s="69"/>
      <c r="L119" s="82">
        <f>SUM(L115:L118)</f>
        <v>9508.628</v>
      </c>
      <c r="M119" s="110">
        <f>SUM(M115:M118)</f>
        <v>9712.85</v>
      </c>
      <c r="N119" s="116">
        <f>SUM(N115:N118)</f>
        <v>204.2220000000002</v>
      </c>
      <c r="O119" s="112"/>
      <c r="P119" s="108"/>
      <c r="Q119" s="109"/>
      <c r="R119" s="109"/>
      <c r="S119" s="109"/>
      <c r="T119" s="109"/>
      <c r="U119" s="109"/>
      <c r="V119" s="109"/>
      <c r="W119" s="109"/>
      <c r="X119" s="110">
        <v>11160.2</v>
      </c>
      <c r="Y119" s="110">
        <f>SUM(Y115:Y118)</f>
        <v>11052</v>
      </c>
      <c r="Z119" s="110">
        <f>+Y119-X119</f>
        <v>-108.20000000000073</v>
      </c>
      <c r="AA119" s="221" t="s">
        <v>37</v>
      </c>
      <c r="AK119" s="127"/>
    </row>
    <row r="120" spans="1:26" ht="29.25">
      <c r="A120" s="17"/>
      <c r="B120" s="17" t="s">
        <v>263</v>
      </c>
      <c r="C120" s="18" t="s">
        <v>263</v>
      </c>
      <c r="D120" s="18"/>
      <c r="E120" s="23">
        <v>983.3</v>
      </c>
      <c r="F120" s="23">
        <f t="shared" si="23"/>
        <v>983.3</v>
      </c>
      <c r="G120" s="24"/>
      <c r="H120" s="24"/>
      <c r="I120" s="23">
        <v>1128.6</v>
      </c>
      <c r="J120" s="25">
        <f t="shared" si="24"/>
        <v>145.29999999999995</v>
      </c>
      <c r="K120" s="69" t="s">
        <v>80</v>
      </c>
      <c r="L120" s="85">
        <v>1128.6</v>
      </c>
      <c r="M120" s="98">
        <f>+L120</f>
        <v>1128.6</v>
      </c>
      <c r="N120" s="99">
        <f>+M120-L120</f>
        <v>0</v>
      </c>
      <c r="O120" s="112"/>
      <c r="P120" s="96"/>
      <c r="V120" s="89" t="s">
        <v>161</v>
      </c>
      <c r="W120" s="89" t="s">
        <v>263</v>
      </c>
      <c r="X120" s="98">
        <f>SUM(Y120)</f>
        <v>1576.89</v>
      </c>
      <c r="Y120" s="43">
        <f>SUM(AK75)</f>
        <v>1576.89</v>
      </c>
      <c r="Z120" s="110"/>
    </row>
    <row r="121" spans="1:37" s="17" customFormat="1" ht="15">
      <c r="A121" s="1"/>
      <c r="B121" s="1"/>
      <c r="C121" s="4"/>
      <c r="D121" s="1"/>
      <c r="E121" s="26"/>
      <c r="F121" s="26">
        <f t="shared" si="23"/>
        <v>0</v>
      </c>
      <c r="G121" s="27"/>
      <c r="H121" s="27"/>
      <c r="I121" s="26"/>
      <c r="J121" s="28">
        <f t="shared" si="24"/>
        <v>0</v>
      </c>
      <c r="K121" s="64"/>
      <c r="L121" s="74"/>
      <c r="M121" s="98"/>
      <c r="N121" s="99">
        <f>+L121-I121</f>
        <v>0</v>
      </c>
      <c r="O121" s="100"/>
      <c r="P121" s="108"/>
      <c r="Q121" s="109"/>
      <c r="R121" s="109"/>
      <c r="S121" s="109"/>
      <c r="T121" s="109"/>
      <c r="U121" s="109"/>
      <c r="V121" s="109"/>
      <c r="W121" s="109"/>
      <c r="X121" s="193"/>
      <c r="Y121" s="194"/>
      <c r="Z121" s="147"/>
      <c r="AK121" s="127"/>
    </row>
    <row r="122" spans="1:26" ht="15.75" thickBot="1">
      <c r="A122" s="17"/>
      <c r="B122" s="17" t="s">
        <v>264</v>
      </c>
      <c r="C122" s="18" t="s">
        <v>264</v>
      </c>
      <c r="D122" s="17"/>
      <c r="E122" s="23">
        <v>13454.9</v>
      </c>
      <c r="F122" s="23">
        <v>13455</v>
      </c>
      <c r="G122" s="24"/>
      <c r="H122" s="24"/>
      <c r="I122" s="61">
        <v>13052.89</v>
      </c>
      <c r="J122" s="25">
        <f t="shared" si="24"/>
        <v>-402.1100000000006</v>
      </c>
      <c r="K122" s="69"/>
      <c r="L122" s="75">
        <f>13052.89-297</f>
        <v>12755.89</v>
      </c>
      <c r="M122" s="214">
        <f>+L122-N119-N17-400-431</f>
        <v>11609.547999999999</v>
      </c>
      <c r="N122" s="215">
        <f>+M122-L122</f>
        <v>-1146.3420000000006</v>
      </c>
      <c r="O122" s="216"/>
      <c r="P122" s="217"/>
      <c r="Q122" s="218"/>
      <c r="R122" s="218"/>
      <c r="S122" s="218"/>
      <c r="T122" s="218"/>
      <c r="U122" s="218"/>
      <c r="V122" s="218" t="s">
        <v>162</v>
      </c>
      <c r="W122" s="218" t="s">
        <v>264</v>
      </c>
      <c r="X122" s="214">
        <f>SUM(Y122)</f>
        <v>12804.210000000001</v>
      </c>
      <c r="Y122" s="214">
        <f>SUM(AK76)</f>
        <v>12804.210000000001</v>
      </c>
      <c r="Z122" s="110"/>
    </row>
    <row r="123" spans="1:26" ht="15.75" thickTop="1">
      <c r="A123" s="17"/>
      <c r="B123" s="17"/>
      <c r="C123" s="18"/>
      <c r="D123" s="17"/>
      <c r="E123" s="23"/>
      <c r="F123" s="23"/>
      <c r="G123" s="24"/>
      <c r="H123" s="24"/>
      <c r="I123" s="61"/>
      <c r="J123" s="25"/>
      <c r="K123" s="69"/>
      <c r="L123" s="75"/>
      <c r="M123" s="98"/>
      <c r="N123" s="117"/>
      <c r="O123" s="112"/>
      <c r="P123" s="96"/>
      <c r="X123" s="98">
        <f>+M123+Z123</f>
        <v>0</v>
      </c>
      <c r="Y123" s="98"/>
      <c r="Z123" s="110"/>
    </row>
    <row r="124" spans="5:26" ht="15">
      <c r="E124" s="26"/>
      <c r="F124" s="26"/>
      <c r="G124" s="27"/>
      <c r="H124" s="27"/>
      <c r="I124" s="26"/>
      <c r="J124" s="28">
        <f t="shared" si="24"/>
        <v>0</v>
      </c>
      <c r="K124" s="64"/>
      <c r="L124" s="74"/>
      <c r="M124" s="98"/>
      <c r="N124" s="117"/>
      <c r="O124" s="100"/>
      <c r="P124" s="96"/>
      <c r="X124" s="98">
        <f>+M124+Z124</f>
        <v>0</v>
      </c>
      <c r="Y124" s="98"/>
      <c r="Z124" s="110"/>
    </row>
    <row r="125" spans="5:26" ht="16.5" thickBot="1">
      <c r="E125" s="16">
        <f>SUM(E122:E124,E120,E119,E114,E103,E88,E79,E59,E54,E49)</f>
        <v>86346</v>
      </c>
      <c r="F125" s="16">
        <f>SUM(F122:F124,F120,F119,F114,F103,F88,F79,F59,F54,F49)</f>
        <v>86345.9</v>
      </c>
      <c r="G125" s="16">
        <f>+F125-E125</f>
        <v>-0.10000000000582077</v>
      </c>
      <c r="H125" s="58">
        <f>SUM(H44:H122,H23:H33,H17,H10,H3)</f>
        <v>0</v>
      </c>
      <c r="I125" s="16">
        <f>SUM(I122:I124,I120,I119,I114,I103,I88,I79,I59,I54,I49)</f>
        <v>86345.71801</v>
      </c>
      <c r="J125" s="58">
        <f>SUM(J122:J124,J120,J119,J114,J103,J88,J79,J59,J54,J49)</f>
        <v>-0.1819900000009511</v>
      </c>
      <c r="K125" s="71"/>
      <c r="L125" s="86">
        <f aca="true" t="shared" si="25" ref="L125:Z125">SUM(L122:L124,L120,L119,L114,L103,L88,L79,L59,L54,L49)</f>
        <v>86345.38801</v>
      </c>
      <c r="M125" s="86">
        <f t="shared" si="25"/>
        <v>86345.28801</v>
      </c>
      <c r="N125" s="86">
        <f t="shared" si="25"/>
        <v>-1.2505552149377763E-12</v>
      </c>
      <c r="O125" s="86">
        <f t="shared" si="25"/>
        <v>0</v>
      </c>
      <c r="P125" s="86">
        <f t="shared" si="25"/>
        <v>0</v>
      </c>
      <c r="Q125" s="86">
        <f t="shared" si="25"/>
        <v>0</v>
      </c>
      <c r="R125" s="86">
        <f t="shared" si="25"/>
        <v>0</v>
      </c>
      <c r="S125" s="86">
        <f t="shared" si="25"/>
        <v>0</v>
      </c>
      <c r="T125" s="86">
        <f t="shared" si="25"/>
        <v>0</v>
      </c>
      <c r="U125" s="86">
        <f t="shared" si="25"/>
        <v>0</v>
      </c>
      <c r="V125" s="86">
        <f t="shared" si="25"/>
        <v>0</v>
      </c>
      <c r="W125" s="86">
        <f t="shared" si="25"/>
        <v>0</v>
      </c>
      <c r="X125" s="86">
        <f t="shared" si="25"/>
        <v>92322.47</v>
      </c>
      <c r="Y125" s="86">
        <f t="shared" si="25"/>
        <v>92322.48999999999</v>
      </c>
      <c r="Z125" s="86">
        <f t="shared" si="25"/>
        <v>0.019999999999186002</v>
      </c>
    </row>
    <row r="126" spans="5:26" ht="15">
      <c r="E126" s="2"/>
      <c r="F126" s="2"/>
      <c r="G126" s="2"/>
      <c r="H126" s="2"/>
      <c r="N126" s="114"/>
      <c r="X126" s="97"/>
      <c r="Y126" s="97"/>
      <c r="Z126" s="126"/>
    </row>
    <row r="127" spans="5:26" ht="15">
      <c r="E127" s="2"/>
      <c r="F127" s="2"/>
      <c r="G127" s="2"/>
      <c r="H127" s="2"/>
      <c r="X127" s="119"/>
      <c r="Y127" s="119"/>
      <c r="Z127" s="126"/>
    </row>
    <row r="128" spans="5:26" ht="15">
      <c r="E128" s="2"/>
      <c r="F128" s="2"/>
      <c r="G128" s="2"/>
      <c r="H128" s="2"/>
      <c r="X128" s="97"/>
      <c r="Y128" s="97"/>
      <c r="Z128" s="126"/>
    </row>
    <row r="129" spans="5:26" ht="15">
      <c r="E129" s="2"/>
      <c r="F129" s="2"/>
      <c r="G129" s="2"/>
      <c r="H129" s="2"/>
      <c r="Z129" s="126"/>
    </row>
  </sheetData>
  <printOptions gridLines="1" horizontalCentered="1" verticalCentered="1"/>
  <pageMargins left="0.41" right="0.15" top="0.27" bottom="0.25" header="0.28" footer="0.15"/>
  <pageSetup fitToHeight="3" fitToWidth="1" horizontalDpi="600" verticalDpi="600" orientation="landscape" scale="47" r:id="rId2"/>
  <headerFooter alignWithMargins="0">
    <oddFooter>&amp;R&amp;F      &amp;"Arial,Bold"&amp;14&amp;D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cp:lastPrinted>2005-05-04T13:40:10Z</cp:lastPrinted>
  <dcterms:created xsi:type="dcterms:W3CDTF">2004-10-21T11:18:03Z</dcterms:created>
  <dcterms:modified xsi:type="dcterms:W3CDTF">2005-05-04T13:40:54Z</dcterms:modified>
  <cp:category/>
  <cp:version/>
  <cp:contentType/>
  <cp:contentStatus/>
</cp:coreProperties>
</file>