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35" windowHeight="12630" tabRatio="888" activeTab="1"/>
  </bookViews>
  <sheets>
    <sheet name="Stretchout calculation" sheetId="1" r:id="rId1"/>
    <sheet name="ecp31,ecp33,ecp34 reconcil" sheetId="2" r:id="rId2"/>
  </sheets>
  <externalReferences>
    <externalReference r:id="rId5"/>
  </externalReferences>
  <definedNames>
    <definedName name="_xlnm.Print_Area" localSheetId="1">'ecp31,ecp33,ecp34 reconcil'!#REF!</definedName>
    <definedName name="_xlnm.Print_Area" localSheetId="0">'Stretchout calculation'!$B$1:$P$42</definedName>
    <definedName name="_xlnm.Print_Titles" localSheetId="1">'ecp31,ecp33,ecp34 reconcil'!$1:$2</definedName>
  </definedNames>
  <calcPr fullCalcOnLoad="1"/>
</workbook>
</file>

<file path=xl/sharedStrings.xml><?xml version="1.0" encoding="utf-8"?>
<sst xmlns="http://schemas.openxmlformats.org/spreadsheetml/2006/main" count="473" uniqueCount="274">
  <si>
    <t>WBS 142 MC winding</t>
  </si>
  <si>
    <t>Management</t>
  </si>
  <si>
    <t>Field Oversight &amp; Supervision</t>
  </si>
  <si>
    <t>Overhead &amp; Escalation</t>
  </si>
  <si>
    <t xml:space="preserve">contingency </t>
  </si>
  <si>
    <t>TOTAL  IMPACT =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</si>
  <si>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</si>
  <si>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</si>
  <si>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</si>
  <si>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</si>
  <si>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</si>
  <si>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</si>
  <si>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</si>
  <si>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</si>
  <si>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</si>
  <si>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</si>
  <si>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</si>
  <si>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</si>
  <si>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>ECP 31</t>
  </si>
  <si>
    <t>ACT ID</t>
  </si>
  <si>
    <t>CCC</t>
  </si>
  <si>
    <t>-</t>
  </si>
  <si>
    <t>ECP -31 Plan</t>
  </si>
  <si>
    <t>ECP-30 Plan</t>
  </si>
  <si>
    <t>Changes</t>
  </si>
  <si>
    <t>ECP 30 (adjusted)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</si>
  <si>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</si>
  <si>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</si>
  <si>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</si>
  <si>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</si>
  <si>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</si>
  <si>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</si>
  <si>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</si>
  <si>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</si>
  <si>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</si>
  <si>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</si>
  <si>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</si>
  <si>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</si>
  <si>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</si>
  <si>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</si>
  <si>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</si>
  <si>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</si>
  <si>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</si>
  <si>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</si>
  <si>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</si>
  <si>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</si>
  <si>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</si>
  <si>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</si>
  <si>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</si>
  <si>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</si>
  <si>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</si>
  <si>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</si>
  <si>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</si>
  <si>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</si>
  <si>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</si>
  <si>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</si>
  <si>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</si>
  <si>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</si>
  <si>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</si>
  <si>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</si>
  <si>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</si>
  <si>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</si>
  <si>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</si>
  <si>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</si>
  <si>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</si>
  <si>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</si>
  <si>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</si>
  <si>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</si>
  <si>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</si>
  <si>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</si>
  <si>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</si>
  <si>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</si>
  <si>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</si>
  <si>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</si>
  <si>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</si>
  <si>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</si>
  <si>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</si>
  <si>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</si>
  <si>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</si>
  <si>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</si>
  <si>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</si>
  <si>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</si>
  <si>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</si>
  <si>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</si>
  <si>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</si>
  <si>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</si>
  <si>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</si>
  <si>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</si>
  <si>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</si>
  <si>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</si>
  <si>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</si>
  <si>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</si>
  <si>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</si>
  <si>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</si>
  <si>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</si>
  <si>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</si>
  <si>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</si>
  <si>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</si>
  <si>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</si>
  <si>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</si>
  <si>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</si>
  <si>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</si>
  <si>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</si>
  <si>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</si>
  <si>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</si>
  <si>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</si>
  <si>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</si>
  <si>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</si>
  <si>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</si>
  <si>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</si>
  <si>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</si>
  <si>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</si>
  <si>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</si>
  <si>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</si>
  <si>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</si>
  <si>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</si>
  <si>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</si>
  <si>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</si>
  <si>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</si>
  <si>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</si>
  <si>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</si>
  <si>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</si>
  <si>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</si>
  <si>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</si>
  <si>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</si>
  <si>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</si>
  <si>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</si>
  <si>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</si>
  <si>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</si>
  <si>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</si>
  <si>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</si>
  <si>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</si>
  <si>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</si>
  <si>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</si>
  <si>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</si>
  <si>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</si>
  <si>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</si>
  <si>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</si>
  <si>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</si>
  <si>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</si>
  <si>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</si>
  <si>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</si>
  <si>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</si>
  <si>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</si>
  <si>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</si>
  <si>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</si>
  <si>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</si>
  <si>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</si>
  <si>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</si>
  <si>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</si>
  <si>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</si>
  <si>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173-Spacer manipulator</t>
  </si>
  <si>
    <t>AAA</t>
  </si>
  <si>
    <t xml:space="preserve">Winding ops strecthout from 391 days to 663 days. added 272 days </t>
  </si>
  <si>
    <t xml:space="preserve"> Raftopolous 50%</t>
  </si>
  <si>
    <t>272days x 6.64(avg hrs/day)*50% *$179.78$/hr=</t>
  </si>
  <si>
    <t>Title III Dave Williamson added 272days @ 29%*6.64 h/d * $154$/h=</t>
  </si>
  <si>
    <t xml:space="preserve">338 day atretchout of TF Fab effort </t>
  </si>
  <si>
    <t xml:space="preserve">Health Physics support </t>
  </si>
  <si>
    <t>added 14mos of HP support of FP assy in TFTR TC year  @75% @$117.07$/h</t>
  </si>
  <si>
    <t>Mike Viola filed supervision added 14 months @ 73% coverage @ $179.34$/h=</t>
  </si>
  <si>
    <t>Strykowsky $$159.62$/h *1768*14/12 *90%$=</t>
  </si>
  <si>
    <t>Neilson @ $250.53$/h *1768*14/12*85%=</t>
  </si>
  <si>
    <t>Pam Hampton @  $50.47$/h*2080*14/12 *40%</t>
  </si>
  <si>
    <t>Lyon 12 months @10%@ 188.94$/h</t>
  </si>
  <si>
    <t>Wayne Reiersen @ 12 months @ 60%@ 179.34$/h</t>
  </si>
  <si>
    <t>Larry Dudek @ 12 months @ 10% @179.34 $/h=</t>
  </si>
  <si>
    <t>Cheryl Such @ 12 months @ 10% @89$/h=</t>
  </si>
  <si>
    <t>WBS 8 Allocations added 12 months @ $187.9/yr unloaded =</t>
  </si>
  <si>
    <t>ALL WBS Elements-Escalation due to Annual BA limitations =</t>
  </si>
  <si>
    <t>ALL WBS Elements-Rates differential. (old rates applied to new estimates delta to new rates)=</t>
  </si>
  <si>
    <t>AA</t>
  </si>
  <si>
    <t>CC</t>
  </si>
  <si>
    <t>272days x 6.64(avg hrs/day)*86% *$179.78$/hr=</t>
  </si>
  <si>
    <t>272days x 6.64(avg hrs/day)*86% *$116.55$/hr=</t>
  </si>
  <si>
    <t xml:space="preserve"> Chrzanowski 86%</t>
  </si>
  <si>
    <t>Meighan 86%</t>
  </si>
  <si>
    <t>use 25%</t>
  </si>
  <si>
    <t>332 days * 6.64h/d*27%*179.78$/h</t>
  </si>
  <si>
    <t>NCSX Stretchout Contingency Analysis</t>
  </si>
  <si>
    <t>WBS 13 TF fab oversight</t>
  </si>
  <si>
    <t>WBS 14 MC winding</t>
  </si>
  <si>
    <t>WBS 18 FP assy oversight</t>
  </si>
  <si>
    <t>WBS 19</t>
  </si>
  <si>
    <t>Labor and Overhead Rates (across all WBS elements)</t>
  </si>
  <si>
    <t>(old rates used)</t>
  </si>
  <si>
    <t>WBS 131 TF fab oversight</t>
  </si>
  <si>
    <t>Mike Kalish</t>
  </si>
  <si>
    <t>WBS 181 FP assy oversight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</si>
  <si>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</si>
  <si>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</si>
  <si>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</si>
  <si>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</si>
  <si>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</si>
  <si>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</si>
  <si>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</si>
  <si>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</si>
  <si>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WBS 82</t>
  </si>
  <si>
    <t>NCSX Stretchout Impact analysis</t>
  </si>
  <si>
    <t>Stellarator core managemnt</t>
  </si>
  <si>
    <t>Stellarator core Integration</t>
  </si>
  <si>
    <t>Project Management</t>
  </si>
  <si>
    <t>Project Engineering and Intrgration</t>
  </si>
  <si>
    <t>Escalation</t>
  </si>
  <si>
    <t>Direct Allocations (overhead)</t>
  </si>
  <si>
    <t>ECP 29</t>
  </si>
  <si>
    <t>Total =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</si>
  <si>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</si>
  <si>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</si>
  <si>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</si>
  <si>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</si>
  <si>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</si>
  <si>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</si>
  <si>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</si>
  <si>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</si>
  <si>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</si>
  <si>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</si>
  <si>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</si>
  <si>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</si>
  <si>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</si>
  <si>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</si>
  <si>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</si>
  <si>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</si>
  <si>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</si>
  <si>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</si>
  <si>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</si>
  <si>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</si>
  <si>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</si>
  <si>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</si>
  <si>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</si>
  <si>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</si>
  <si>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</si>
  <si>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</si>
  <si>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</si>
  <si>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</si>
  <si>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</si>
  <si>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</si>
  <si>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</si>
  <si>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</si>
  <si>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</si>
  <si>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</si>
  <si>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</si>
  <si>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</si>
  <si>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</si>
  <si>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</si>
  <si>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</si>
  <si>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</si>
  <si>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</si>
  <si>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</si>
  <si>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</si>
  <si>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</si>
  <si>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</si>
  <si>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</si>
  <si>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</si>
  <si>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</si>
  <si>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</si>
  <si>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</si>
  <si>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</si>
  <si>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</si>
  <si>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</si>
  <si>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</si>
  <si>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</si>
  <si>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</si>
  <si>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</si>
  <si>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</si>
  <si>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</si>
  <si>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</si>
  <si>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DCMA Support</t>
  </si>
  <si>
    <t>FIRST PLASMA July 2009</t>
  </si>
  <si>
    <t>Trinos Flanges (ECP-034)</t>
  </si>
  <si>
    <t>Addl Heat Treatment (ECP-033)</t>
  </si>
  <si>
    <t>Control Room Walls - GPP (ECP-034)</t>
  </si>
  <si>
    <t>Contingency Drawdown</t>
  </si>
  <si>
    <t>ECP-33 and 34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</si>
</sst>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  <numFmt numFmtId="189" formatCode="0.00000000"/>
    <numFmt numFmtId="190" formatCode="0.0000000"/>
    <numFmt numFmtId="191" formatCode="0.000000"/>
    <numFmt numFmtId="192" formatCode="_(* #,##0.000_);_(* \(#,##0.000\);_(* &quot;-&quot;??_);_(@_)"/>
    <numFmt numFmtId="193" formatCode="mmm\-yyyy"/>
    <numFmt numFmtId="194" formatCode="dd\-mmm\-yy_)"/>
    <numFmt numFmtId="195" formatCode="m/d/yy;@"/>
    <numFmt numFmtId="196" formatCode="_(* #,##0.0000_);_(* \(#,##0.000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2"/>
    </font>
    <font>
      <b/>
      <sz val="1.25"/>
      <name val="Arial"/>
      <family val="2"/>
    </font>
    <font>
      <b/>
      <sz val="1.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.75"/>
      <name val="Arial"/>
      <family val="2"/>
    </font>
    <font>
      <b/>
      <u val="singleAccounting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2" fillId="0" borderId="7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0" fillId="0" borderId="7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7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0" fillId="0" borderId="12" xfId="15" applyNumberFormat="1" applyFont="1" applyFill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17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2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2" fillId="0" borderId="12" xfId="15" applyNumberFormat="1" applyFon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169" fontId="12" fillId="0" borderId="12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69" fontId="12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8" fontId="12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9" fillId="0" borderId="2" xfId="0" applyFont="1" applyFill="1" applyBorder="1" applyAlignment="1">
      <alignment/>
    </xf>
    <xf numFmtId="169" fontId="20" fillId="0" borderId="0" xfId="15" applyNumberFormat="1" applyFont="1" applyFill="1" applyAlignment="1">
      <alignment/>
    </xf>
    <xf numFmtId="9" fontId="0" fillId="0" borderId="0" xfId="2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80" fontId="0" fillId="0" borderId="0" xfId="17" applyNumberFormat="1" applyAlignment="1">
      <alignment/>
    </xf>
    <xf numFmtId="180" fontId="0" fillId="0" borderId="0" xfId="17" applyNumberFormat="1" applyFill="1" applyAlignment="1">
      <alignment/>
    </xf>
    <xf numFmtId="0" fontId="21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Alignment="1">
      <alignment/>
    </xf>
    <xf numFmtId="180" fontId="30" fillId="0" borderId="0" xfId="0" applyNumberFormat="1" applyFont="1" applyFill="1" applyAlignment="1">
      <alignment/>
    </xf>
    <xf numFmtId="180" fontId="8" fillId="0" borderId="0" xfId="17" applyNumberFormat="1" applyFont="1" applyFill="1" applyAlignment="1">
      <alignment/>
    </xf>
    <xf numFmtId="0" fontId="6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9" fontId="30" fillId="0" borderId="9" xfId="2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7" xfId="0" applyFill="1" applyBorder="1" applyAlignment="1">
      <alignment/>
    </xf>
    <xf numFmtId="9" fontId="30" fillId="0" borderId="0" xfId="21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9" fontId="30" fillId="0" borderId="0" xfId="21" applyFont="1" applyFill="1" applyBorder="1" applyAlignment="1">
      <alignment horizontal="centerContinuous"/>
    </xf>
    <xf numFmtId="0" fontId="30" fillId="0" borderId="1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30" fillId="0" borderId="1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9" fontId="31" fillId="0" borderId="0" xfId="2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10" fontId="30" fillId="0" borderId="0" xfId="21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9" fontId="0" fillId="0" borderId="0" xfId="2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/>
    </xf>
    <xf numFmtId="9" fontId="0" fillId="0" borderId="10" xfId="2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8" xfId="0" applyFont="1" applyBorder="1" applyAlignment="1">
      <alignment/>
    </xf>
    <xf numFmtId="0" fontId="21" fillId="0" borderId="9" xfId="0" applyFont="1" applyBorder="1" applyAlignment="1">
      <alignment/>
    </xf>
    <xf numFmtId="180" fontId="0" fillId="0" borderId="14" xfId="17" applyNumberFormat="1" applyBorder="1" applyAlignment="1">
      <alignment/>
    </xf>
    <xf numFmtId="180" fontId="0" fillId="0" borderId="1" xfId="17" applyNumberFormat="1" applyFill="1" applyBorder="1" applyAlignment="1">
      <alignment/>
    </xf>
    <xf numFmtId="180" fontId="0" fillId="0" borderId="1" xfId="17" applyNumberFormat="1" applyBorder="1" applyAlignment="1">
      <alignment/>
    </xf>
    <xf numFmtId="180" fontId="8" fillId="0" borderId="1" xfId="17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0" fontId="0" fillId="0" borderId="1" xfId="17" applyNumberFormat="1" applyFont="1" applyFill="1" applyBorder="1" applyAlignment="1">
      <alignment/>
    </xf>
    <xf numFmtId="180" fontId="0" fillId="0" borderId="15" xfId="17" applyNumberFormat="1" applyBorder="1" applyAlignment="1">
      <alignment/>
    </xf>
    <xf numFmtId="0" fontId="7" fillId="0" borderId="7" xfId="0" applyFont="1" applyBorder="1" applyAlignment="1">
      <alignment/>
    </xf>
    <xf numFmtId="180" fontId="2" fillId="0" borderId="0" xfId="17" applyNumberFormat="1" applyFont="1" applyFill="1" applyBorder="1" applyAlignment="1">
      <alignment/>
    </xf>
    <xf numFmtId="180" fontId="32" fillId="0" borderId="1" xfId="17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9" fontId="11" fillId="0" borderId="12" xfId="0" applyNumberFormat="1" applyFont="1" applyFill="1" applyBorder="1" applyAlignment="1">
      <alignment/>
    </xf>
    <xf numFmtId="169" fontId="11" fillId="0" borderId="7" xfId="0" applyNumberFormat="1" applyFont="1" applyFill="1" applyBorder="1" applyAlignment="1">
      <alignment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ont="1" applyFill="1" applyBorder="1" applyAlignment="1">
      <alignment/>
    </xf>
    <xf numFmtId="169" fontId="0" fillId="0" borderId="16" xfId="15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169" fontId="2" fillId="0" borderId="16" xfId="15" applyNumberFormat="1" applyFont="1" applyFill="1" applyBorder="1" applyAlignment="1">
      <alignment/>
    </xf>
    <xf numFmtId="169" fontId="2" fillId="0" borderId="17" xfId="15" applyNumberFormat="1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169" fontId="0" fillId="0" borderId="13" xfId="15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9" xfId="15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0" fontId="11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3" borderId="2" xfId="0" applyFont="1" applyFill="1" applyBorder="1" applyAlignment="1">
      <alignment horizontal="center"/>
    </xf>
    <xf numFmtId="169" fontId="12" fillId="3" borderId="12" xfId="15" applyNumberFormat="1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169" fontId="12" fillId="3" borderId="7" xfId="15" applyNumberFormat="1" applyFont="1" applyFill="1" applyBorder="1" applyAlignment="1">
      <alignment/>
    </xf>
    <xf numFmtId="0" fontId="0" fillId="0" borderId="23" xfId="0" applyFill="1" applyBorder="1" applyAlignment="1">
      <alignment wrapText="1"/>
    </xf>
    <xf numFmtId="169" fontId="18" fillId="3" borderId="7" xfId="15" applyNumberFormat="1" applyFont="1" applyFill="1" applyBorder="1" applyAlignment="1">
      <alignment/>
    </xf>
    <xf numFmtId="169" fontId="2" fillId="3" borderId="7" xfId="15" applyNumberFormat="1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9" fontId="34" fillId="3" borderId="7" xfId="15" applyNumberFormat="1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169" fontId="12" fillId="0" borderId="7" xfId="15" applyNumberFormat="1" applyFont="1" applyFill="1" applyBorder="1" applyAlignment="1">
      <alignment/>
    </xf>
    <xf numFmtId="169" fontId="2" fillId="0" borderId="27" xfId="15" applyNumberFormat="1" applyFont="1" applyFill="1" applyBorder="1" applyAlignment="1">
      <alignment/>
    </xf>
    <xf numFmtId="169" fontId="0" fillId="0" borderId="28" xfId="15" applyNumberFormat="1" applyFont="1" applyFill="1" applyBorder="1" applyAlignment="1">
      <alignment/>
    </xf>
    <xf numFmtId="169" fontId="18" fillId="3" borderId="0" xfId="15" applyNumberFormat="1" applyFont="1" applyFill="1" applyBorder="1" applyAlignment="1">
      <alignment/>
    </xf>
    <xf numFmtId="169" fontId="12" fillId="3" borderId="0" xfId="15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169" fontId="0" fillId="0" borderId="17" xfId="15" applyNumberFormat="1" applyFont="1" applyFill="1" applyBorder="1" applyAlignment="1">
      <alignment/>
    </xf>
    <xf numFmtId="43" fontId="5" fillId="3" borderId="13" xfId="15" applyNumberFormat="1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6" fillId="4" borderId="0" xfId="0" applyFont="1" applyFill="1" applyAlignment="1">
      <alignment/>
    </xf>
    <xf numFmtId="169" fontId="0" fillId="4" borderId="0" xfId="15" applyNumberFormat="1" applyFill="1" applyAlignment="1">
      <alignment/>
    </xf>
    <xf numFmtId="169" fontId="2" fillId="4" borderId="0" xfId="15" applyNumberFormat="1" applyFont="1" applyFill="1" applyAlignment="1">
      <alignment/>
    </xf>
    <xf numFmtId="0" fontId="0" fillId="4" borderId="0" xfId="0" applyFill="1" applyAlignment="1">
      <alignment/>
    </xf>
    <xf numFmtId="169" fontId="0" fillId="4" borderId="0" xfId="15" applyNumberFormat="1" applyFont="1" applyFill="1" applyAlignment="1">
      <alignment/>
    </xf>
    <xf numFmtId="0" fontId="2" fillId="4" borderId="0" xfId="0" applyFont="1" applyFill="1" applyAlignment="1">
      <alignment/>
    </xf>
    <xf numFmtId="0" fontId="11" fillId="4" borderId="0" xfId="0" applyFont="1" applyFill="1" applyAlignment="1">
      <alignment/>
    </xf>
    <xf numFmtId="169" fontId="0" fillId="4" borderId="0" xfId="0" applyNumberFormat="1" applyFill="1" applyAlignment="1">
      <alignment/>
    </xf>
    <xf numFmtId="0" fontId="1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8809731"/>
        <c:axId val="59525532"/>
      </c:barChart>
      <c:lineChart>
        <c:grouping val="standard"/>
        <c:varyColors val="0"/>
        <c:ser>
          <c:idx val="0"/>
          <c:order val="0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967741"/>
        <c:axId val="56838758"/>
      </c:lineChart>
      <c:catAx>
        <c:axId val="588097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09731"/>
        <c:crossesAt val="1"/>
        <c:crossBetween val="between"/>
        <c:dispUnits/>
        <c:majorUnit val="1000"/>
      </c:valAx>
      <c:catAx>
        <c:axId val="65967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5967741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'ecp31,ecp33,ecp34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'ecp31,ecp33,ecp34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'ecp31,ecp33,ecp34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86775"/>
        <c:axId val="40536656"/>
      </c:lineChart>
      <c:catAx>
        <c:axId val="417867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36656"/>
        <c:crosses val="autoZero"/>
        <c:auto val="1"/>
        <c:lblOffset val="100"/>
        <c:noMultiLvlLbl val="0"/>
      </c:catAx>
      <c:valAx>
        <c:axId val="40536656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6775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29285585"/>
        <c:axId val="62243674"/>
      </c:barChart>
      <c:lineChart>
        <c:grouping val="standard"/>
        <c:varyColors val="0"/>
        <c:ser>
          <c:idx val="0"/>
          <c:order val="0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3322155"/>
        <c:axId val="8572804"/>
      </c:lineChart>
      <c:catAx>
        <c:axId val="29285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243674"/>
        <c:crosses val="autoZero"/>
        <c:auto val="1"/>
        <c:lblOffset val="100"/>
        <c:noMultiLvlLbl val="0"/>
      </c:catAx>
      <c:valAx>
        <c:axId val="62243674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5585"/>
        <c:crossesAt val="1"/>
        <c:crossBetween val="between"/>
        <c:dispUnits/>
        <c:majorUnit val="1000"/>
      </c:valAx>
      <c:catAx>
        <c:axId val="2332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8572804"/>
        <c:crosses val="autoZero"/>
        <c:auto val="1"/>
        <c:lblOffset val="100"/>
        <c:noMultiLvlLbl val="0"/>
      </c:catAx>
      <c:valAx>
        <c:axId val="8572804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322155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0.3685</cdr:y>
    </cdr:from>
    <cdr:to>
      <cdr:x>0.744</cdr:x>
      <cdr:y>0.52075</cdr:y>
    </cdr:to>
    <cdr:sp>
      <cdr:nvSpPr>
        <cdr:cNvPr id="1" name="Polygon 8"/>
        <cdr:cNvSpPr>
          <a:spLocks/>
        </cdr:cNvSpPr>
      </cdr:nvSpPr>
      <cdr:spPr>
        <a:xfrm>
          <a:off x="0" y="0"/>
          <a:ext cx="0" cy="0"/>
        </a:xfrm>
        <a:custGeom>
          <a:pathLst>
            <a:path h="4314825" w="7753350">
              <a:moveTo>
                <a:pt x="0" y="4314825"/>
              </a:moveTo>
              <a:lnTo>
                <a:pt x="1285875" y="4305300"/>
              </a:lnTo>
              <a:lnTo>
                <a:pt x="1285875" y="3238500"/>
              </a:lnTo>
              <a:lnTo>
                <a:pt x="2571750" y="3238500"/>
              </a:lnTo>
              <a:lnTo>
                <a:pt x="2571750" y="2219325"/>
              </a:lnTo>
              <a:lnTo>
                <a:pt x="3876675" y="2219325"/>
              </a:lnTo>
              <a:lnTo>
                <a:pt x="3876675" y="1219200"/>
              </a:lnTo>
              <a:lnTo>
                <a:pt x="5181600" y="1219200"/>
              </a:lnTo>
              <a:lnTo>
                <a:pt x="5181600" y="219075"/>
              </a:lnTo>
              <a:lnTo>
                <a:pt x="6457950" y="219075"/>
              </a:lnTo>
              <a:lnTo>
                <a:pt x="6457950" y="0"/>
              </a:lnTo>
              <a:lnTo>
                <a:pt x="7753350" y="0"/>
              </a:ln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129</xdr:row>
      <xdr:rowOff>0</xdr:rowOff>
    </xdr:from>
    <xdr:to>
      <xdr:col>27</xdr:col>
      <xdr:colOff>0</xdr:colOff>
      <xdr:row>129</xdr:row>
      <xdr:rowOff>0</xdr:rowOff>
    </xdr:to>
    <xdr:graphicFrame>
      <xdr:nvGraphicFramePr>
        <xdr:cNvPr id="1" name="Chart 6"/>
        <xdr:cNvGraphicFramePr/>
      </xdr:nvGraphicFramePr>
      <xdr:xfrm>
        <a:off x="6543675" y="2843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graphicFrame>
      <xdr:nvGraphicFramePr>
        <xdr:cNvPr id="2" name="Chart 10"/>
        <xdr:cNvGraphicFramePr/>
      </xdr:nvGraphicFramePr>
      <xdr:xfrm>
        <a:off x="8782050" y="28432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FY04            FY05          FY06           FY07           FY08          FY09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$23.7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$73.0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$57.1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41.2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$92.3</a:t>
          </a:r>
        </a:p>
      </xdr:txBody>
    </xdr:sp>
    <xdr:clientData/>
  </xdr:twoCellAnchor>
  <xdr:twoCellAnchor>
    <xdr:from>
      <xdr:col>30</xdr:col>
      <xdr:colOff>0</xdr:colOff>
      <xdr:row>129</xdr:row>
      <xdr:rowOff>0</xdr:rowOff>
    </xdr:from>
    <xdr:to>
      <xdr:col>30</xdr:col>
      <xdr:colOff>0</xdr:colOff>
      <xdr:row>129</xdr:row>
      <xdr:rowOff>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8782050" y="2843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27</xdr:col>
      <xdr:colOff>1581150</xdr:colOff>
      <xdr:row>125</xdr:row>
      <xdr:rowOff>0</xdr:rowOff>
    </xdr:from>
    <xdr:to>
      <xdr:col>28</xdr:col>
      <xdr:colOff>0</xdr:colOff>
      <xdr:row>125</xdr:row>
      <xdr:rowOff>0</xdr:rowOff>
    </xdr:to>
    <xdr:graphicFrame>
      <xdr:nvGraphicFramePr>
        <xdr:cNvPr id="11" name="Chart 36"/>
        <xdr:cNvGraphicFramePr/>
      </xdr:nvGraphicFramePr>
      <xdr:xfrm>
        <a:off x="8124825" y="27784425"/>
        <a:ext cx="657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1466850</xdr:colOff>
      <xdr:row>125</xdr:row>
      <xdr:rowOff>0</xdr:rowOff>
    </xdr:from>
    <xdr:to>
      <xdr:col>28</xdr:col>
      <xdr:colOff>0</xdr:colOff>
      <xdr:row>125</xdr:row>
      <xdr:rowOff>0</xdr:rowOff>
    </xdr:to>
    <xdr:graphicFrame>
      <xdr:nvGraphicFramePr>
        <xdr:cNvPr id="12" name="Chart 37"/>
        <xdr:cNvGraphicFramePr/>
      </xdr:nvGraphicFramePr>
      <xdr:xfrm>
        <a:off x="8010525" y="27784425"/>
        <a:ext cx="771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Local%20Settings\Temporary%20Internet%20Files\OLK4\ECP031-ECP-033-034Reconcil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P31 ECP33-34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zoomScale="75" zoomScaleNormal="75" workbookViewId="0" topLeftCell="A1">
      <selection activeCell="B1" sqref="B1:P42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20.140625" style="0" customWidth="1"/>
    <col min="9" max="9" width="16.57421875" style="0" customWidth="1"/>
    <col min="10" max="10" width="12.140625" style="132" customWidth="1"/>
    <col min="11" max="11" width="3.00390625" style="132" customWidth="1"/>
    <col min="12" max="12" width="8.421875" style="0" customWidth="1"/>
    <col min="13" max="13" width="34.8515625" style="0" customWidth="1"/>
    <col min="14" max="14" width="14.8515625" style="0" customWidth="1"/>
    <col min="15" max="15" width="7.57421875" style="122" customWidth="1"/>
    <col min="16" max="16" width="12.7109375" style="0" customWidth="1"/>
    <col min="22" max="22" width="11.28125" style="0" customWidth="1"/>
  </cols>
  <sheetData>
    <row r="1" spans="2:16" ht="18">
      <c r="B1" s="171" t="s">
        <v>198</v>
      </c>
      <c r="C1" s="172"/>
      <c r="D1" s="126"/>
      <c r="E1" s="126"/>
      <c r="F1" s="126"/>
      <c r="G1" s="126"/>
      <c r="H1" s="126"/>
      <c r="I1" s="126"/>
      <c r="J1" s="173"/>
      <c r="L1" s="143" t="s">
        <v>179</v>
      </c>
      <c r="M1" s="144"/>
      <c r="N1" s="144"/>
      <c r="O1" s="145"/>
      <c r="P1" s="146"/>
    </row>
    <row r="2" spans="2:16" ht="12.75">
      <c r="B2" s="147"/>
      <c r="C2" s="136"/>
      <c r="D2" s="136"/>
      <c r="E2" s="136"/>
      <c r="F2" s="136"/>
      <c r="G2" s="136"/>
      <c r="H2" s="136"/>
      <c r="I2" s="136"/>
      <c r="J2" s="174"/>
      <c r="L2" s="147"/>
      <c r="M2" s="124"/>
      <c r="N2" s="124"/>
      <c r="O2" s="148"/>
      <c r="P2" s="149"/>
    </row>
    <row r="3" spans="2:17" ht="12.75">
      <c r="B3" s="163" t="s">
        <v>183</v>
      </c>
      <c r="C3" s="162"/>
      <c r="D3" s="136"/>
      <c r="E3" s="136"/>
      <c r="F3" s="136"/>
      <c r="G3" s="136"/>
      <c r="H3" s="136"/>
      <c r="I3" s="136"/>
      <c r="J3" s="174"/>
      <c r="K3" s="133"/>
      <c r="L3" s="150" t="s">
        <v>1</v>
      </c>
      <c r="M3" s="124"/>
      <c r="N3" s="124"/>
      <c r="O3" s="151" t="s">
        <v>251</v>
      </c>
      <c r="P3" s="152"/>
      <c r="Q3" s="1"/>
    </row>
    <row r="4" spans="2:17" ht="12.75">
      <c r="B4" s="180" t="s">
        <v>185</v>
      </c>
      <c r="C4" s="136" t="s">
        <v>190</v>
      </c>
      <c r="D4" s="136" t="s">
        <v>191</v>
      </c>
      <c r="E4" s="136"/>
      <c r="F4" s="136"/>
      <c r="G4" s="136"/>
      <c r="H4" s="136"/>
      <c r="I4" s="136"/>
      <c r="J4" s="174">
        <f>10/12*0.3*1726*154</f>
        <v>66451</v>
      </c>
      <c r="K4" s="133"/>
      <c r="L4" s="153" t="s">
        <v>189</v>
      </c>
      <c r="M4" s="124" t="s">
        <v>199</v>
      </c>
      <c r="N4" s="154">
        <f>SUM(J4)</f>
        <v>66451</v>
      </c>
      <c r="O4" s="148">
        <v>0.1</v>
      </c>
      <c r="P4" s="155">
        <f>+O4*N4</f>
        <v>6645.1</v>
      </c>
      <c r="Q4" s="1"/>
    </row>
    <row r="5" spans="2:17" ht="12.75">
      <c r="B5" s="163"/>
      <c r="C5" s="136" t="s">
        <v>193</v>
      </c>
      <c r="D5" s="136" t="s">
        <v>194</v>
      </c>
      <c r="E5" s="136"/>
      <c r="F5" s="136"/>
      <c r="G5" s="136"/>
      <c r="H5" s="136"/>
      <c r="I5" s="136"/>
      <c r="J5" s="174">
        <f>10/12*1726*0.37*154</f>
        <v>81956.23333333334</v>
      </c>
      <c r="K5" s="133"/>
      <c r="L5" s="153" t="s">
        <v>192</v>
      </c>
      <c r="M5" s="124" t="s">
        <v>200</v>
      </c>
      <c r="N5" s="154">
        <f>SUM(J5)</f>
        <v>81956.23333333334</v>
      </c>
      <c r="O5" s="148">
        <v>0.1</v>
      </c>
      <c r="P5" s="155">
        <f>+O5*N5</f>
        <v>8195.623333333335</v>
      </c>
      <c r="Q5" s="1"/>
    </row>
    <row r="6" spans="2:17" ht="12.75">
      <c r="B6" s="163"/>
      <c r="C6" s="139"/>
      <c r="D6" s="139"/>
      <c r="E6" s="139"/>
      <c r="F6" s="139"/>
      <c r="G6" s="139"/>
      <c r="H6" s="139"/>
      <c r="I6" s="139"/>
      <c r="J6" s="175"/>
      <c r="K6" s="133"/>
      <c r="L6" s="153" t="s">
        <v>195</v>
      </c>
      <c r="M6" s="124" t="s">
        <v>201</v>
      </c>
      <c r="N6" s="154">
        <f>SUM(J7:J10)</f>
        <v>817958.6046666666</v>
      </c>
      <c r="O6" s="148">
        <v>0.17</v>
      </c>
      <c r="P6" s="155">
        <f>+O6*N6</f>
        <v>139052.96279333334</v>
      </c>
      <c r="Q6" s="140"/>
    </row>
    <row r="7" spans="2:17" ht="15">
      <c r="B7" s="163" t="s">
        <v>195</v>
      </c>
      <c r="C7" s="136" t="s">
        <v>196</v>
      </c>
      <c r="D7" s="136" t="s">
        <v>161</v>
      </c>
      <c r="E7" s="139"/>
      <c r="F7" s="136"/>
      <c r="G7" s="136"/>
      <c r="H7" s="136"/>
      <c r="I7" s="136"/>
      <c r="J7" s="174">
        <f>159.62*1768*14/12*0.9</f>
        <v>296318.568</v>
      </c>
      <c r="K7" s="133"/>
      <c r="L7" s="153" t="s">
        <v>197</v>
      </c>
      <c r="M7" s="124" t="s">
        <v>202</v>
      </c>
      <c r="N7" s="156">
        <f>SUM(J11:J13)</f>
        <v>232495.65199999997</v>
      </c>
      <c r="O7" s="148">
        <v>0.17</v>
      </c>
      <c r="P7" s="155">
        <f>+O7*N7</f>
        <v>39524.260839999995</v>
      </c>
      <c r="Q7" s="140"/>
    </row>
    <row r="8" spans="2:17" ht="12.75">
      <c r="B8" s="180" t="s">
        <v>185</v>
      </c>
      <c r="C8" s="162"/>
      <c r="D8" s="136" t="s">
        <v>162</v>
      </c>
      <c r="E8" s="139"/>
      <c r="F8" s="136"/>
      <c r="G8" s="136"/>
      <c r="H8" s="136"/>
      <c r="I8" s="136"/>
      <c r="J8" s="174">
        <f>250.53*1768*14/12*0.85</f>
        <v>439245.8979999999</v>
      </c>
      <c r="K8" s="133"/>
      <c r="L8" s="153"/>
      <c r="M8" s="124"/>
      <c r="N8" s="154">
        <f>SUM(N4:N7)</f>
        <v>1198861.49</v>
      </c>
      <c r="O8" s="148"/>
      <c r="P8" s="155"/>
      <c r="Q8" s="140"/>
    </row>
    <row r="9" spans="2:17" ht="12.75">
      <c r="B9" s="163"/>
      <c r="C9" s="162"/>
      <c r="D9" s="136" t="s">
        <v>163</v>
      </c>
      <c r="E9" s="139"/>
      <c r="F9" s="136"/>
      <c r="G9" s="136"/>
      <c r="H9" s="136"/>
      <c r="I9" s="136"/>
      <c r="J9" s="174">
        <f>50.47*2080*14/12*0.4</f>
        <v>48989.54666666666</v>
      </c>
      <c r="K9" s="133"/>
      <c r="L9" s="127"/>
      <c r="M9" s="139"/>
      <c r="N9" s="139"/>
      <c r="O9" s="128"/>
      <c r="P9" s="129"/>
      <c r="Q9" s="140"/>
    </row>
    <row r="10" spans="2:17" ht="12.75">
      <c r="B10" s="163"/>
      <c r="C10" s="162"/>
      <c r="D10" s="136" t="s">
        <v>164</v>
      </c>
      <c r="E10" s="139"/>
      <c r="F10" s="136"/>
      <c r="G10" s="136"/>
      <c r="H10" s="136"/>
      <c r="I10" s="136"/>
      <c r="J10" s="174">
        <f>1768*0.1*188.94</f>
        <v>33404.592000000004</v>
      </c>
      <c r="K10" s="133"/>
      <c r="L10" s="127"/>
      <c r="M10" s="139"/>
      <c r="N10" s="139"/>
      <c r="O10" s="128"/>
      <c r="P10" s="129"/>
      <c r="Q10" s="140"/>
    </row>
    <row r="11" spans="2:17" ht="12.75">
      <c r="B11" s="163" t="s">
        <v>197</v>
      </c>
      <c r="C11" s="136" t="s">
        <v>165</v>
      </c>
      <c r="D11" s="139"/>
      <c r="E11" s="136"/>
      <c r="F11" s="136"/>
      <c r="G11" s="136"/>
      <c r="H11" s="136"/>
      <c r="I11" s="136"/>
      <c r="J11" s="174">
        <f>1726*0.6*179.78</f>
        <v>186180.16799999998</v>
      </c>
      <c r="K11" s="133"/>
      <c r="L11" s="127"/>
      <c r="M11" s="139"/>
      <c r="N11" s="139"/>
      <c r="O11" s="128"/>
      <c r="P11" s="129"/>
      <c r="Q11" s="140"/>
    </row>
    <row r="12" spans="2:17" ht="12.75">
      <c r="B12" s="180" t="s">
        <v>185</v>
      </c>
      <c r="C12" s="136" t="s">
        <v>166</v>
      </c>
      <c r="D12" s="139"/>
      <c r="E12" s="136"/>
      <c r="F12" s="136"/>
      <c r="G12" s="136"/>
      <c r="H12" s="136"/>
      <c r="I12" s="136"/>
      <c r="J12" s="174">
        <f>1726*0.1*179.34</f>
        <v>30954.084000000006</v>
      </c>
      <c r="K12" s="133"/>
      <c r="L12" s="127"/>
      <c r="M12" s="139"/>
      <c r="N12" s="139"/>
      <c r="O12" s="128"/>
      <c r="P12" s="129"/>
      <c r="Q12" s="140"/>
    </row>
    <row r="13" spans="2:17" ht="15">
      <c r="B13" s="163"/>
      <c r="C13" s="136" t="s">
        <v>167</v>
      </c>
      <c r="D13" s="139"/>
      <c r="E13" s="136"/>
      <c r="F13" s="136"/>
      <c r="G13" s="136"/>
      <c r="H13" s="136"/>
      <c r="I13" s="136"/>
      <c r="J13" s="176">
        <f>1726*0.1*89</f>
        <v>15361.400000000001</v>
      </c>
      <c r="K13" s="133"/>
      <c r="L13" s="127"/>
      <c r="M13" s="139"/>
      <c r="N13" s="139"/>
      <c r="O13" s="128"/>
      <c r="P13" s="129"/>
      <c r="Q13" s="140"/>
    </row>
    <row r="14" spans="2:17" ht="12.75">
      <c r="B14" s="127"/>
      <c r="C14" s="139"/>
      <c r="D14" s="139"/>
      <c r="E14" s="139"/>
      <c r="F14" s="139"/>
      <c r="G14" s="139"/>
      <c r="H14" s="139"/>
      <c r="I14" s="139"/>
      <c r="J14" s="175">
        <f>SUM(J4:J13)</f>
        <v>1198861.49</v>
      </c>
      <c r="K14" s="133"/>
      <c r="L14" s="127"/>
      <c r="M14" s="139"/>
      <c r="N14" s="139"/>
      <c r="O14" s="128"/>
      <c r="P14" s="129"/>
      <c r="Q14" s="140"/>
    </row>
    <row r="15" spans="2:17" ht="12.75">
      <c r="B15" s="127"/>
      <c r="C15" s="139"/>
      <c r="D15" s="139"/>
      <c r="E15" s="139"/>
      <c r="F15" s="139"/>
      <c r="G15" s="139"/>
      <c r="H15" s="139"/>
      <c r="I15" s="139"/>
      <c r="J15" s="175"/>
      <c r="K15" s="133"/>
      <c r="L15" s="127"/>
      <c r="M15" s="139"/>
      <c r="N15" s="139"/>
      <c r="O15" s="128"/>
      <c r="P15" s="129"/>
      <c r="Q15" s="140"/>
    </row>
    <row r="16" spans="2:18" ht="12.75">
      <c r="B16" s="163" t="s">
        <v>180</v>
      </c>
      <c r="C16" s="177" t="s">
        <v>157</v>
      </c>
      <c r="D16" s="139"/>
      <c r="E16" s="136"/>
      <c r="F16" s="136"/>
      <c r="G16" s="136"/>
      <c r="H16" s="136"/>
      <c r="I16" s="136"/>
      <c r="J16" s="174"/>
      <c r="K16" s="133"/>
      <c r="L16" s="127"/>
      <c r="M16" s="139"/>
      <c r="N16" s="139"/>
      <c r="O16" s="128"/>
      <c r="P16" s="129"/>
      <c r="Q16" s="141"/>
      <c r="R16" s="138"/>
    </row>
    <row r="17" spans="2:17" ht="12.75">
      <c r="B17" s="180" t="s">
        <v>185</v>
      </c>
      <c r="C17" s="162"/>
      <c r="D17" s="136" t="s">
        <v>187</v>
      </c>
      <c r="E17" s="136"/>
      <c r="F17" s="136" t="s">
        <v>178</v>
      </c>
      <c r="G17" s="136"/>
      <c r="H17" s="136"/>
      <c r="I17" s="136"/>
      <c r="J17" s="174">
        <f>332*0.27*6.64*179.78</f>
        <v>107006.781888</v>
      </c>
      <c r="K17" s="133"/>
      <c r="L17" s="150" t="s">
        <v>2</v>
      </c>
      <c r="M17" s="124"/>
      <c r="N17" s="124"/>
      <c r="O17" s="148"/>
      <c r="P17" s="155"/>
      <c r="Q17" s="140"/>
    </row>
    <row r="18" spans="2:17" ht="12.75">
      <c r="B18" s="163" t="s">
        <v>181</v>
      </c>
      <c r="C18" s="177" t="s">
        <v>153</v>
      </c>
      <c r="D18" s="136"/>
      <c r="E18" s="136"/>
      <c r="F18" s="136"/>
      <c r="G18" s="136"/>
      <c r="H18" s="136"/>
      <c r="I18" s="136"/>
      <c r="J18" s="174"/>
      <c r="K18" s="133"/>
      <c r="L18" s="153" t="s">
        <v>186</v>
      </c>
      <c r="M18" s="124"/>
      <c r="N18" s="154">
        <f>SUM(J17)</f>
        <v>107006.781888</v>
      </c>
      <c r="O18" s="148">
        <v>0.4</v>
      </c>
      <c r="P18" s="155">
        <f>+O18*N18</f>
        <v>42802.7127552</v>
      </c>
      <c r="Q18" s="140"/>
    </row>
    <row r="19" spans="2:17" ht="12.75">
      <c r="B19" s="180" t="s">
        <v>185</v>
      </c>
      <c r="C19" s="162"/>
      <c r="D19" s="136" t="s">
        <v>175</v>
      </c>
      <c r="E19" s="136"/>
      <c r="F19" s="136"/>
      <c r="G19" s="136"/>
      <c r="H19" s="136"/>
      <c r="I19" s="136"/>
      <c r="J19" s="174"/>
      <c r="K19" s="133"/>
      <c r="L19" s="153" t="s">
        <v>0</v>
      </c>
      <c r="M19" s="124"/>
      <c r="N19" s="154">
        <f>SUM(J20:J25)</f>
        <v>703276.354304</v>
      </c>
      <c r="O19" s="148">
        <v>0.4</v>
      </c>
      <c r="P19" s="155">
        <f>+O19*N19</f>
        <v>281310.54172160005</v>
      </c>
      <c r="Q19" s="140"/>
    </row>
    <row r="20" spans="2:20" ht="15">
      <c r="B20" s="163"/>
      <c r="C20" s="162"/>
      <c r="D20" s="136"/>
      <c r="E20" s="136" t="s">
        <v>173</v>
      </c>
      <c r="F20" s="136"/>
      <c r="G20" s="136"/>
      <c r="H20" s="136"/>
      <c r="I20" s="136"/>
      <c r="J20" s="174">
        <f>272*6.64*0.86*179.78</f>
        <v>279239.473664</v>
      </c>
      <c r="K20" s="133"/>
      <c r="L20" s="153" t="s">
        <v>188</v>
      </c>
      <c r="M20" s="124"/>
      <c r="N20" s="156">
        <f>SUM(J26:J27)</f>
        <v>441181.78206666664</v>
      </c>
      <c r="O20" s="148">
        <v>0.24</v>
      </c>
      <c r="P20" s="155">
        <f>+O20*N20</f>
        <v>105883.627696</v>
      </c>
      <c r="Q20" s="140"/>
      <c r="R20" s="135"/>
      <c r="S20" s="135"/>
      <c r="T20" s="138"/>
    </row>
    <row r="21" spans="2:17" ht="12.75">
      <c r="B21" s="163"/>
      <c r="C21" s="162"/>
      <c r="D21" s="136" t="s">
        <v>154</v>
      </c>
      <c r="E21" s="136"/>
      <c r="F21" s="136"/>
      <c r="G21" s="136"/>
      <c r="H21" s="136"/>
      <c r="I21" s="136"/>
      <c r="J21" s="174"/>
      <c r="K21" s="133"/>
      <c r="L21" s="147"/>
      <c r="M21" s="124"/>
      <c r="N21" s="154">
        <f>SUM(N18:N20)</f>
        <v>1251464.9182586665</v>
      </c>
      <c r="O21" s="148"/>
      <c r="P21" s="155"/>
      <c r="Q21" s="140"/>
    </row>
    <row r="22" spans="2:17" ht="12.75">
      <c r="B22" s="163"/>
      <c r="C22" s="162"/>
      <c r="D22" s="136"/>
      <c r="E22" s="136" t="s">
        <v>155</v>
      </c>
      <c r="F22" s="136"/>
      <c r="G22" s="136"/>
      <c r="H22" s="136"/>
      <c r="I22" s="136"/>
      <c r="J22" s="174">
        <f>272*6.64*0.5*179.78</f>
        <v>162348.5312</v>
      </c>
      <c r="K22" s="133"/>
      <c r="L22" s="127"/>
      <c r="M22" s="139"/>
      <c r="N22" s="139"/>
      <c r="O22" s="128"/>
      <c r="P22" s="129"/>
      <c r="Q22" s="140"/>
    </row>
    <row r="23" spans="2:17" ht="12.75">
      <c r="B23" s="163"/>
      <c r="C23" s="162"/>
      <c r="D23" s="136" t="s">
        <v>176</v>
      </c>
      <c r="E23" s="136"/>
      <c r="F23" s="136"/>
      <c r="G23" s="136"/>
      <c r="H23" s="136"/>
      <c r="I23" s="136"/>
      <c r="J23" s="174"/>
      <c r="K23" s="133"/>
      <c r="L23" s="127"/>
      <c r="M23" s="139"/>
      <c r="N23" s="139"/>
      <c r="O23" s="128"/>
      <c r="P23" s="129"/>
      <c r="Q23" s="140"/>
    </row>
    <row r="24" spans="2:17" ht="12.75">
      <c r="B24" s="163"/>
      <c r="C24" s="162"/>
      <c r="D24" s="136"/>
      <c r="E24" s="136" t="s">
        <v>174</v>
      </c>
      <c r="F24" s="136"/>
      <c r="G24" s="136"/>
      <c r="H24" s="136"/>
      <c r="I24" s="136"/>
      <c r="J24" s="174">
        <f>272*6.64*0.86*116.55</f>
        <v>181028.81663999998</v>
      </c>
      <c r="K24" s="133"/>
      <c r="L24" s="127"/>
      <c r="M24" s="139"/>
      <c r="N24" s="139"/>
      <c r="O24" s="128"/>
      <c r="P24" s="129"/>
      <c r="Q24" s="140"/>
    </row>
    <row r="25" spans="2:17" ht="12.75">
      <c r="B25" s="163"/>
      <c r="C25" s="162"/>
      <c r="D25" s="136" t="s">
        <v>156</v>
      </c>
      <c r="E25" s="136"/>
      <c r="F25" s="136"/>
      <c r="G25" s="136"/>
      <c r="H25" s="136"/>
      <c r="I25" s="136"/>
      <c r="J25" s="178">
        <f>272*6.64*0.29*154</f>
        <v>80659.5328</v>
      </c>
      <c r="K25" s="133"/>
      <c r="L25" s="127"/>
      <c r="M25" s="139"/>
      <c r="N25" s="139"/>
      <c r="O25" s="128"/>
      <c r="P25" s="129"/>
      <c r="Q25" s="140"/>
    </row>
    <row r="26" spans="2:17" ht="12.75">
      <c r="B26" s="163" t="s">
        <v>182</v>
      </c>
      <c r="C26" s="136" t="s">
        <v>158</v>
      </c>
      <c r="D26" s="136" t="s">
        <v>159</v>
      </c>
      <c r="E26" s="139"/>
      <c r="F26" s="136"/>
      <c r="G26" s="136"/>
      <c r="H26" s="136"/>
      <c r="I26" s="136"/>
      <c r="J26" s="174">
        <f>14/12*1300*117.07</f>
        <v>177556.16666666666</v>
      </c>
      <c r="K26" s="133"/>
      <c r="L26" s="127"/>
      <c r="M26" s="139"/>
      <c r="N26" s="139"/>
      <c r="O26" s="128"/>
      <c r="P26" s="129"/>
      <c r="Q26" s="140"/>
    </row>
    <row r="27" spans="2:17" ht="15">
      <c r="B27" s="180" t="s">
        <v>185</v>
      </c>
      <c r="C27" s="136" t="s">
        <v>160</v>
      </c>
      <c r="D27" s="136"/>
      <c r="E27" s="139"/>
      <c r="F27" s="136"/>
      <c r="G27" s="136"/>
      <c r="H27" s="136"/>
      <c r="I27" s="136"/>
      <c r="J27" s="176">
        <f>14/12*1726*0.73*179.34</f>
        <v>263625.6154</v>
      </c>
      <c r="K27" s="133"/>
      <c r="L27" s="127"/>
      <c r="M27" s="139"/>
      <c r="N27" s="139"/>
      <c r="O27" s="128"/>
      <c r="P27" s="129"/>
      <c r="Q27" s="140"/>
    </row>
    <row r="28" spans="2:17" ht="12.75">
      <c r="B28" s="127"/>
      <c r="C28" s="139"/>
      <c r="D28" s="139"/>
      <c r="E28" s="139"/>
      <c r="F28" s="139"/>
      <c r="G28" s="139"/>
      <c r="H28" s="139"/>
      <c r="I28" s="139"/>
      <c r="J28" s="175">
        <f>SUM(J17:J27)</f>
        <v>1251464.9182586665</v>
      </c>
      <c r="K28" s="133"/>
      <c r="L28" s="127"/>
      <c r="M28" s="139"/>
      <c r="N28" s="139"/>
      <c r="O28" s="128"/>
      <c r="P28" s="129"/>
      <c r="Q28" s="140"/>
    </row>
    <row r="29" spans="2:35" ht="12.75">
      <c r="B29" s="163"/>
      <c r="C29" s="162"/>
      <c r="D29" s="139"/>
      <c r="E29" s="139"/>
      <c r="F29" s="139"/>
      <c r="G29" s="139"/>
      <c r="H29" s="139"/>
      <c r="I29" s="139"/>
      <c r="J29" s="175"/>
      <c r="K29" s="133"/>
      <c r="L29" s="127"/>
      <c r="M29" s="139"/>
      <c r="N29" s="139"/>
      <c r="O29" s="128"/>
      <c r="P29" s="12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2.75">
      <c r="B30" s="127"/>
      <c r="C30" s="162"/>
      <c r="D30" s="136"/>
      <c r="E30" s="136"/>
      <c r="F30" s="136"/>
      <c r="G30" s="136"/>
      <c r="H30" s="136"/>
      <c r="I30" s="136"/>
      <c r="J30" s="174"/>
      <c r="K30" s="133"/>
      <c r="L30" s="127"/>
      <c r="M30" s="139"/>
      <c r="N30" s="139"/>
      <c r="O30" s="128"/>
      <c r="P30" s="12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2.75">
      <c r="B31" s="127"/>
      <c r="C31" s="139"/>
      <c r="D31" s="139"/>
      <c r="E31" s="139"/>
      <c r="F31" s="139"/>
      <c r="G31" s="139"/>
      <c r="H31" s="139"/>
      <c r="I31" s="139"/>
      <c r="J31" s="175"/>
      <c r="K31" s="133"/>
      <c r="L31" s="150" t="s">
        <v>3</v>
      </c>
      <c r="M31" s="136"/>
      <c r="N31" s="136"/>
      <c r="O31" s="148"/>
      <c r="P31" s="15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2.75">
      <c r="B32" s="163" t="s">
        <v>170</v>
      </c>
      <c r="C32" s="162"/>
      <c r="D32" s="136"/>
      <c r="E32" s="136"/>
      <c r="F32" s="136"/>
      <c r="G32" s="136"/>
      <c r="H32" s="136"/>
      <c r="I32" s="136"/>
      <c r="J32" s="178">
        <v>1590290</v>
      </c>
      <c r="K32" s="133"/>
      <c r="L32" s="153" t="s">
        <v>184</v>
      </c>
      <c r="M32" s="124"/>
      <c r="N32" s="154">
        <f>SUM(J32)</f>
        <v>1590290</v>
      </c>
      <c r="O32" s="148">
        <v>0.25</v>
      </c>
      <c r="P32" s="155">
        <f>+O32*N32</f>
        <v>397572.5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2.75">
      <c r="B33" s="163" t="s">
        <v>168</v>
      </c>
      <c r="C33" s="162"/>
      <c r="D33" s="136"/>
      <c r="E33" s="136"/>
      <c r="F33" s="136"/>
      <c r="G33" s="136"/>
      <c r="H33" s="136"/>
      <c r="I33" s="136"/>
      <c r="J33" s="174">
        <v>345000</v>
      </c>
      <c r="K33" s="133"/>
      <c r="L33" s="153" t="s">
        <v>204</v>
      </c>
      <c r="M33" s="136"/>
      <c r="N33" s="157">
        <f>SUM(J33)</f>
        <v>345000</v>
      </c>
      <c r="O33" s="148">
        <v>0.1</v>
      </c>
      <c r="P33" s="155">
        <f>+O33*N33</f>
        <v>34500</v>
      </c>
      <c r="Q33" s="1"/>
      <c r="R33" s="1"/>
      <c r="S33" s="1"/>
      <c r="T33" s="1"/>
      <c r="U33" s="1"/>
      <c r="V33" s="13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>
      <c r="B34" s="163" t="s">
        <v>169</v>
      </c>
      <c r="C34" s="162"/>
      <c r="D34" s="136"/>
      <c r="E34" s="136"/>
      <c r="F34" s="136"/>
      <c r="G34" s="136"/>
      <c r="H34" s="136"/>
      <c r="I34" s="136"/>
      <c r="J34" s="176">
        <v>399251</v>
      </c>
      <c r="K34" s="133"/>
      <c r="L34" s="153" t="s">
        <v>203</v>
      </c>
      <c r="M34" s="124"/>
      <c r="N34" s="156">
        <f>SUM(J34)</f>
        <v>399251</v>
      </c>
      <c r="O34" s="148">
        <v>0.25</v>
      </c>
      <c r="P34" s="155">
        <f>+O34*N34</f>
        <v>99812.75</v>
      </c>
      <c r="Q34" s="1"/>
      <c r="R34" s="1"/>
      <c r="S34" s="1"/>
      <c r="T34" s="1"/>
      <c r="U34" s="1"/>
      <c r="V34" s="13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3.5" thickBot="1">
      <c r="B35" s="130"/>
      <c r="C35" s="131"/>
      <c r="D35" s="131"/>
      <c r="E35" s="131"/>
      <c r="F35" s="131"/>
      <c r="G35" s="131"/>
      <c r="H35" s="131"/>
      <c r="I35" s="131"/>
      <c r="J35" s="179">
        <f>SUM(J32:J34)</f>
        <v>2334541</v>
      </c>
      <c r="K35" s="133"/>
      <c r="L35" s="147"/>
      <c r="M35" s="136"/>
      <c r="N35" s="157">
        <f>SUM(N32:N34)</f>
        <v>2334541</v>
      </c>
      <c r="O35" s="158" t="s">
        <v>4</v>
      </c>
      <c r="P35" s="152"/>
      <c r="Q35" s="1"/>
      <c r="R35" s="1"/>
      <c r="S35" s="1"/>
      <c r="T35" s="1"/>
      <c r="U35" s="1"/>
      <c r="V35" s="13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1:35" ht="12.75">
      <c r="K36" s="133"/>
      <c r="L36" s="153"/>
      <c r="M36" s="139"/>
      <c r="N36" s="139"/>
      <c r="O36" s="128"/>
      <c r="P36" s="129"/>
      <c r="Q36" s="1"/>
      <c r="R36" s="1"/>
      <c r="S36" s="1"/>
      <c r="T36" s="1"/>
      <c r="U36" s="1"/>
      <c r="V36" s="13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ht="12.75">
      <c r="D37" s="1"/>
      <c r="E37" s="1"/>
      <c r="F37" s="1"/>
      <c r="G37" s="1"/>
      <c r="H37" s="1"/>
      <c r="I37" s="1"/>
      <c r="J37" s="133"/>
      <c r="K37" s="133"/>
      <c r="L37" s="153"/>
      <c r="M37" s="159" t="s">
        <v>206</v>
      </c>
      <c r="N37" s="154">
        <f>SUM(N35,N21,N8)</f>
        <v>4784867.408258666</v>
      </c>
      <c r="O37" s="160">
        <f>+P37/N37</f>
        <v>0.24144871332179915</v>
      </c>
      <c r="P37" s="155">
        <f>SUM(P4:P34)</f>
        <v>1155300.0791394669</v>
      </c>
      <c r="Q37" s="1"/>
      <c r="R37" s="1"/>
      <c r="S37" s="1"/>
      <c r="T37" s="1"/>
      <c r="U37" s="1"/>
      <c r="V37" s="13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1:35" ht="12.75">
      <c r="K38" s="133"/>
      <c r="L38" s="147"/>
      <c r="M38" s="124"/>
      <c r="N38" s="136"/>
      <c r="O38" s="148"/>
      <c r="P38" s="149"/>
      <c r="Q38" s="1"/>
      <c r="R38" s="1"/>
      <c r="S38" s="1"/>
      <c r="T38" s="1"/>
      <c r="U38" s="1"/>
      <c r="V38" s="13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1:35" ht="12.75">
      <c r="K39" s="133"/>
      <c r="L39" s="147"/>
      <c r="M39" s="161" t="s">
        <v>206</v>
      </c>
      <c r="N39" s="181">
        <f>SUM(N37)</f>
        <v>4784867.408258666</v>
      </c>
      <c r="O39" s="162" t="s">
        <v>177</v>
      </c>
      <c r="P39" s="182">
        <f>+N39*0.25</f>
        <v>1196216.8520646666</v>
      </c>
      <c r="Q39" s="1"/>
      <c r="R39" s="1"/>
      <c r="S39" s="1"/>
      <c r="T39" s="1"/>
      <c r="U39" s="1"/>
      <c r="V39" s="13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3:35" ht="12.75">
      <c r="C40" s="4"/>
      <c r="D40" s="1"/>
      <c r="E40" s="1"/>
      <c r="F40" s="1"/>
      <c r="G40" s="1"/>
      <c r="H40" s="1"/>
      <c r="I40" s="1"/>
      <c r="J40" s="133"/>
      <c r="K40" s="133"/>
      <c r="L40" s="147"/>
      <c r="M40" s="136"/>
      <c r="N40" s="136"/>
      <c r="O40" s="148"/>
      <c r="P40" s="155"/>
      <c r="Q40" s="1"/>
      <c r="R40" s="1"/>
      <c r="S40" s="1"/>
      <c r="T40" s="1"/>
      <c r="U40" s="1"/>
      <c r="V40" s="13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5:35" ht="12.75">
      <c r="E41" s="1"/>
      <c r="F41" s="1"/>
      <c r="G41" s="1"/>
      <c r="H41" s="1"/>
      <c r="I41" s="1"/>
      <c r="J41" s="133"/>
      <c r="K41" s="133"/>
      <c r="L41" s="163"/>
      <c r="M41" s="136"/>
      <c r="N41" s="136"/>
      <c r="O41" s="164"/>
      <c r="P41" s="165"/>
      <c r="Q41" s="1"/>
      <c r="R41" s="1"/>
      <c r="S41" s="1"/>
      <c r="T41" s="1"/>
      <c r="U41" s="1"/>
      <c r="V41" s="13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1:35" ht="16.5" thickBot="1">
      <c r="K42" s="133"/>
      <c r="L42" s="166"/>
      <c r="M42" s="167" t="s">
        <v>5</v>
      </c>
      <c r="N42" s="168">
        <f>SUM(N39,P39)</f>
        <v>5981084.260323333</v>
      </c>
      <c r="O42" s="169"/>
      <c r="P42" s="17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7:35" ht="12.7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1:17" ht="12.75">
      <c r="K44" s="133"/>
      <c r="Q44" s="1"/>
    </row>
    <row r="45" spans="11:17" ht="12.75">
      <c r="K45" s="133"/>
      <c r="L45" s="4"/>
      <c r="M45" s="1"/>
      <c r="N45" s="4"/>
      <c r="O45" s="1"/>
      <c r="P45" s="1"/>
      <c r="Q45" s="1"/>
    </row>
    <row r="46" spans="11:17" ht="12.75">
      <c r="K46" s="133"/>
      <c r="L46" s="1"/>
      <c r="M46" s="1"/>
      <c r="N46" s="1"/>
      <c r="O46" s="137"/>
      <c r="P46" s="1"/>
      <c r="Q46" s="1"/>
    </row>
    <row r="47" spans="1:17" ht="12.75">
      <c r="A47" s="123"/>
      <c r="C47" s="4"/>
      <c r="D47" s="1"/>
      <c r="E47" s="1"/>
      <c r="F47" s="1"/>
      <c r="G47" s="1"/>
      <c r="H47" s="1"/>
      <c r="I47" s="1"/>
      <c r="J47" s="133"/>
      <c r="K47" s="133"/>
      <c r="L47" s="1"/>
      <c r="M47" s="1"/>
      <c r="N47" s="1"/>
      <c r="O47" s="137"/>
      <c r="P47" s="1"/>
      <c r="Q47" s="1"/>
    </row>
    <row r="48" spans="11:17" ht="12.75">
      <c r="K48" s="133"/>
      <c r="L48" s="1"/>
      <c r="M48" s="1"/>
      <c r="N48" s="1"/>
      <c r="O48" s="137"/>
      <c r="P48" s="1"/>
      <c r="Q48" s="1"/>
    </row>
    <row r="49" spans="11:17" ht="12.75">
      <c r="K49" s="133"/>
      <c r="L49" s="1"/>
      <c r="M49" s="1"/>
      <c r="N49" s="1"/>
      <c r="O49" s="137"/>
      <c r="P49" s="1"/>
      <c r="Q49" s="1"/>
    </row>
    <row r="50" spans="11:17" ht="15">
      <c r="K50" s="142"/>
      <c r="L50" s="1"/>
      <c r="M50" s="1"/>
      <c r="N50" s="1"/>
      <c r="O50" s="137"/>
      <c r="P50" s="1"/>
      <c r="Q50" s="1"/>
    </row>
    <row r="51" spans="2:17" ht="12.75">
      <c r="B51" s="4"/>
      <c r="C51" s="4"/>
      <c r="D51" s="1"/>
      <c r="E51" s="1"/>
      <c r="F51" s="1"/>
      <c r="G51" s="1"/>
      <c r="H51" s="1"/>
      <c r="I51" s="1"/>
      <c r="J51" s="133"/>
      <c r="K51" s="133"/>
      <c r="L51" s="1"/>
      <c r="M51" s="1"/>
      <c r="N51" s="1"/>
      <c r="O51" s="137"/>
      <c r="P51" s="1"/>
      <c r="Q51" s="1"/>
    </row>
    <row r="52" spans="2:10" ht="12.75">
      <c r="B52" s="4"/>
      <c r="C52" s="4"/>
      <c r="D52" s="1"/>
      <c r="E52" s="1"/>
      <c r="F52" s="1"/>
      <c r="G52" s="1"/>
      <c r="H52" s="1"/>
      <c r="I52" s="1"/>
      <c r="J52" s="133"/>
    </row>
    <row r="54" spans="2:10" ht="12.75">
      <c r="B54" s="4"/>
      <c r="C54" s="4"/>
      <c r="D54" s="1"/>
      <c r="E54" s="1"/>
      <c r="F54" s="1"/>
      <c r="G54" s="1"/>
      <c r="H54" s="1"/>
      <c r="I54" s="1"/>
      <c r="J54" s="133"/>
    </row>
    <row r="56" spans="2:10" ht="12.75">
      <c r="B56" s="4"/>
      <c r="C56" s="4"/>
      <c r="D56" s="1"/>
      <c r="E56" s="1"/>
      <c r="F56" s="1"/>
      <c r="G56" s="1"/>
      <c r="H56" s="1"/>
      <c r="I56" s="1"/>
      <c r="J56" s="133"/>
    </row>
    <row r="58" spans="2:10" ht="12.75">
      <c r="B58" s="1"/>
      <c r="C58" s="1"/>
      <c r="D58" s="1"/>
      <c r="E58" s="1"/>
      <c r="F58" s="1"/>
      <c r="G58" s="1"/>
      <c r="H58" s="1"/>
      <c r="I58" s="1"/>
      <c r="J58" s="133"/>
    </row>
    <row r="59" spans="2:10" ht="12.75">
      <c r="B59" s="1"/>
      <c r="C59" s="1"/>
      <c r="D59" s="1"/>
      <c r="E59" s="1"/>
      <c r="F59" s="1"/>
      <c r="G59" s="1"/>
      <c r="H59" s="1"/>
      <c r="I59" s="1"/>
      <c r="J59" s="133">
        <f>SUM(J3:J56)</f>
        <v>9569734.816517334</v>
      </c>
    </row>
  </sheetData>
  <printOptions gridLines="1"/>
  <pageMargins left="0.34" right="0.3" top="0.75" bottom="1" header="0.5" footer="0.5"/>
  <pageSetup fitToHeight="1" fitToWidth="1" horizontalDpi="600" verticalDpi="600" orientation="landscape" scale="67" r:id="rId1"/>
  <headerFooter alignWithMargins="0">
    <oddFooter>&amp;R&amp;F        &amp;A    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8"/>
  <sheetViews>
    <sheetView tabSelected="1" zoomScale="70" zoomScaleNormal="70" workbookViewId="0" topLeftCell="A1">
      <pane ySplit="525" topLeftCell="BM95" activePane="bottomLeft" state="split"/>
      <selection pane="topLeft" activeCell="AE1" sqref="AE1:AL16384"/>
      <selection pane="bottomLeft" activeCell="AA123" sqref="AA123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8.57421875" style="97" hidden="1" customWidth="1"/>
    <col min="14" max="14" width="10.7109375" style="89" hidden="1" customWidth="1"/>
    <col min="15" max="15" width="12.57421875" style="118" hidden="1" customWidth="1"/>
    <col min="16" max="16" width="11.7109375" style="118" hidden="1" customWidth="1"/>
    <col min="17" max="17" width="2.7109375" style="89" hidden="1" customWidth="1"/>
    <col min="18" max="21" width="0" style="89" hidden="1" customWidth="1"/>
    <col min="22" max="22" width="9.00390625" style="89" hidden="1" customWidth="1"/>
    <col min="23" max="23" width="10.00390625" style="89" hidden="1" customWidth="1"/>
    <col min="24" max="24" width="24.140625" style="89" hidden="1" customWidth="1"/>
    <col min="25" max="25" width="16.28125" style="89" customWidth="1"/>
    <col min="26" max="26" width="19.140625" style="89" customWidth="1"/>
    <col min="27" max="27" width="13.28125" style="210" customWidth="1"/>
    <col min="28" max="28" width="33.57421875" style="3" customWidth="1"/>
    <col min="29" max="29" width="15.8515625" style="1" hidden="1" customWidth="1"/>
    <col min="30" max="30" width="5.421875" style="1" hidden="1" customWidth="1"/>
    <col min="31" max="35" width="9.140625" style="242" customWidth="1"/>
    <col min="36" max="36" width="10.28125" style="242" bestFit="1" customWidth="1"/>
    <col min="37" max="37" width="9.140625" style="242" customWidth="1"/>
    <col min="38" max="38" width="11.140625" style="244" customWidth="1"/>
    <col min="39" max="39" width="10.28125" style="242" bestFit="1" customWidth="1"/>
    <col min="40" max="41" width="9.140625" style="242" customWidth="1"/>
    <col min="42" max="16384" width="9.140625" style="1" customWidth="1"/>
  </cols>
  <sheetData>
    <row r="1" spans="3:41" s="7" customFormat="1" ht="24.75" thickBot="1">
      <c r="C1" s="52" t="s">
        <v>150</v>
      </c>
      <c r="I1" s="54"/>
      <c r="K1" s="8"/>
      <c r="L1" s="54"/>
      <c r="M1" s="121"/>
      <c r="N1" s="87"/>
      <c r="O1" s="88"/>
      <c r="P1" s="88"/>
      <c r="Q1" s="87"/>
      <c r="R1" s="87"/>
      <c r="S1" s="87"/>
      <c r="T1" s="87"/>
      <c r="U1" s="87"/>
      <c r="V1" s="89"/>
      <c r="W1" s="89"/>
      <c r="X1" s="89"/>
      <c r="Y1" s="89"/>
      <c r="Z1" s="121" t="s">
        <v>268</v>
      </c>
      <c r="AA1" s="210"/>
      <c r="AB1" s="3"/>
      <c r="AE1" s="236"/>
      <c r="AF1" s="236"/>
      <c r="AG1" s="236"/>
      <c r="AH1" s="236"/>
      <c r="AI1" s="236"/>
      <c r="AJ1" s="236"/>
      <c r="AK1" s="236"/>
      <c r="AL1" s="237"/>
      <c r="AM1" s="236"/>
      <c r="AN1" s="236"/>
      <c r="AO1" s="236"/>
    </row>
    <row r="2" spans="2:43" s="9" customFormat="1" ht="36.75" thickBot="1">
      <c r="B2" s="9" t="s">
        <v>54</v>
      </c>
      <c r="C2" s="10"/>
      <c r="E2" s="11" t="s">
        <v>68</v>
      </c>
      <c r="F2" s="12" t="s">
        <v>69</v>
      </c>
      <c r="G2" s="13" t="s">
        <v>53</v>
      </c>
      <c r="H2" s="14" t="s">
        <v>77</v>
      </c>
      <c r="I2" s="59" t="s">
        <v>100</v>
      </c>
      <c r="J2" s="60" t="s">
        <v>53</v>
      </c>
      <c r="K2" s="60" t="s">
        <v>77</v>
      </c>
      <c r="L2" s="72" t="s">
        <v>101</v>
      </c>
      <c r="M2" s="187" t="s">
        <v>205</v>
      </c>
      <c r="N2" s="90" t="s">
        <v>53</v>
      </c>
      <c r="O2" s="91" t="s">
        <v>77</v>
      </c>
      <c r="P2" s="92"/>
      <c r="Q2" s="93"/>
      <c r="R2" s="93"/>
      <c r="S2" s="93"/>
      <c r="T2" s="93"/>
      <c r="U2" s="93"/>
      <c r="V2" s="89" t="s">
        <v>97</v>
      </c>
      <c r="W2" s="89" t="s">
        <v>98</v>
      </c>
      <c r="X2" s="120" t="s">
        <v>25</v>
      </c>
      <c r="Y2" s="120" t="s">
        <v>18</v>
      </c>
      <c r="Z2" s="235" t="s">
        <v>273</v>
      </c>
      <c r="AA2" s="211" t="s">
        <v>24</v>
      </c>
      <c r="AB2" s="3"/>
      <c r="AC2" s="134" t="s">
        <v>97</v>
      </c>
      <c r="AD2" s="134" t="s">
        <v>19</v>
      </c>
      <c r="AE2" s="238"/>
      <c r="AF2" s="238"/>
      <c r="AG2" s="238"/>
      <c r="AH2" s="238"/>
      <c r="AI2" s="238"/>
      <c r="AJ2" s="238"/>
      <c r="AK2" s="238"/>
      <c r="AL2" s="238"/>
      <c r="AM2" s="239"/>
      <c r="AN2" s="239"/>
      <c r="AO2" s="239"/>
      <c r="AP2" s="209"/>
      <c r="AQ2" s="209"/>
    </row>
    <row r="3" spans="2:38" ht="15">
      <c r="B3" s="1" t="s">
        <v>252</v>
      </c>
      <c r="D3" s="1" t="s">
        <v>207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0"/>
      <c r="L3" s="73">
        <v>0.1</v>
      </c>
      <c r="M3" s="188"/>
      <c r="N3" s="94">
        <f>+L3-I3</f>
        <v>0</v>
      </c>
      <c r="O3" s="95"/>
      <c r="P3" s="96"/>
      <c r="U3" s="89" t="s">
        <v>106</v>
      </c>
      <c r="V3" s="89" t="s">
        <v>106</v>
      </c>
      <c r="W3" s="89" t="s">
        <v>207</v>
      </c>
      <c r="X3" s="98"/>
      <c r="Y3" s="98"/>
      <c r="Z3" s="98"/>
      <c r="AA3" s="212"/>
      <c r="AC3">
        <v>11</v>
      </c>
      <c r="AD3">
        <v>111</v>
      </c>
      <c r="AE3" s="240"/>
      <c r="AF3" s="240"/>
      <c r="AG3" s="240"/>
      <c r="AH3" s="240"/>
      <c r="AI3" s="240"/>
      <c r="AJ3" s="240"/>
      <c r="AK3" s="240"/>
      <c r="AL3" s="241"/>
    </row>
    <row r="4" spans="3:38" ht="15">
      <c r="C4" s="4" t="s">
        <v>253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4"/>
      <c r="M4" s="98"/>
      <c r="N4" s="99">
        <f aca="true" t="shared" si="2" ref="N4:N9">+M4-L4</f>
        <v>0</v>
      </c>
      <c r="O4" s="100"/>
      <c r="P4" s="96"/>
      <c r="X4" s="125"/>
      <c r="Y4" s="153"/>
      <c r="Z4" s="153"/>
      <c r="AA4" s="213"/>
      <c r="AB4" s="214"/>
      <c r="AC4">
        <v>12</v>
      </c>
      <c r="AD4">
        <v>121</v>
      </c>
      <c r="AE4" s="240"/>
      <c r="AF4" s="240"/>
      <c r="AG4" s="240"/>
      <c r="AH4" s="240"/>
      <c r="AI4" s="240"/>
      <c r="AJ4" s="240"/>
      <c r="AK4" s="240"/>
      <c r="AL4" s="241"/>
    </row>
    <row r="5" spans="2:38" ht="21" customHeight="1">
      <c r="B5" s="1" t="s">
        <v>253</v>
      </c>
      <c r="D5" s="1" t="s">
        <v>208</v>
      </c>
      <c r="E5" s="26">
        <v>7891.7</v>
      </c>
      <c r="F5" s="26">
        <f t="shared" si="0"/>
        <v>7906.3</v>
      </c>
      <c r="G5" s="27">
        <v>14.6</v>
      </c>
      <c r="H5" s="27" t="s">
        <v>70</v>
      </c>
      <c r="I5" s="61">
        <v>8061.3</v>
      </c>
      <c r="J5" s="28">
        <f t="shared" si="1"/>
        <v>155</v>
      </c>
      <c r="K5" s="64" t="s">
        <v>78</v>
      </c>
      <c r="L5" s="75">
        <v>8061.3</v>
      </c>
      <c r="M5" s="98">
        <f>8061.3+431</f>
        <v>8492.3</v>
      </c>
      <c r="N5" s="99">
        <f t="shared" si="2"/>
        <v>430.9999999999991</v>
      </c>
      <c r="O5" s="100"/>
      <c r="P5" s="96"/>
      <c r="U5" s="89" t="s">
        <v>107</v>
      </c>
      <c r="V5" s="89" t="s">
        <v>107</v>
      </c>
      <c r="W5" s="89" t="s">
        <v>208</v>
      </c>
      <c r="X5" s="98"/>
      <c r="Y5" s="43">
        <v>8680.52</v>
      </c>
      <c r="Z5" s="43">
        <f>+Y5+39</f>
        <v>8719.52</v>
      </c>
      <c r="AA5" s="215">
        <f>+Z5-Y5</f>
        <v>39</v>
      </c>
      <c r="AB5" s="216" t="s">
        <v>269</v>
      </c>
      <c r="AC5">
        <v>12</v>
      </c>
      <c r="AD5">
        <v>122</v>
      </c>
      <c r="AE5" s="240"/>
      <c r="AF5" s="240"/>
      <c r="AG5" s="243"/>
      <c r="AH5" s="240"/>
      <c r="AI5" s="240"/>
      <c r="AJ5" s="240"/>
      <c r="AK5" s="240"/>
      <c r="AL5" s="241"/>
    </row>
    <row r="6" spans="2:38" ht="15">
      <c r="B6" s="1" t="s">
        <v>253</v>
      </c>
      <c r="D6" s="1" t="s">
        <v>209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5">
        <v>176.03</v>
      </c>
      <c r="M6" s="98">
        <v>176.03</v>
      </c>
      <c r="N6" s="99">
        <f t="shared" si="2"/>
        <v>0</v>
      </c>
      <c r="O6" s="100"/>
      <c r="P6" s="96"/>
      <c r="U6" s="89" t="s">
        <v>107</v>
      </c>
      <c r="V6" s="89" t="s">
        <v>107</v>
      </c>
      <c r="W6" s="89" t="s">
        <v>209</v>
      </c>
      <c r="X6" s="98"/>
      <c r="Y6" s="43">
        <v>191.89</v>
      </c>
      <c r="Z6" s="43">
        <f>+Y6</f>
        <v>191.89</v>
      </c>
      <c r="AA6" s="215">
        <f>+Z6-Y6</f>
        <v>0</v>
      </c>
      <c r="AB6" s="216"/>
      <c r="AC6">
        <v>12</v>
      </c>
      <c r="AD6">
        <v>123</v>
      </c>
      <c r="AE6" s="240"/>
      <c r="AF6" s="240"/>
      <c r="AG6" s="240"/>
      <c r="AH6" s="240"/>
      <c r="AI6" s="240"/>
      <c r="AJ6" s="240"/>
      <c r="AK6" s="240"/>
      <c r="AL6" s="241"/>
    </row>
    <row r="7" spans="2:38" ht="15">
      <c r="B7" s="1" t="s">
        <v>253</v>
      </c>
      <c r="D7" s="1" t="s">
        <v>210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5">
        <v>373.37</v>
      </c>
      <c r="M7" s="98">
        <v>373.37</v>
      </c>
      <c r="N7" s="99">
        <f t="shared" si="2"/>
        <v>0</v>
      </c>
      <c r="O7" s="100"/>
      <c r="P7" s="96"/>
      <c r="U7" s="89" t="s">
        <v>107</v>
      </c>
      <c r="V7" s="89" t="s">
        <v>107</v>
      </c>
      <c r="W7" s="89" t="s">
        <v>210</v>
      </c>
      <c r="X7" s="98"/>
      <c r="Y7" s="43">
        <v>535.98</v>
      </c>
      <c r="Z7" s="43">
        <f>+Y7</f>
        <v>535.98</v>
      </c>
      <c r="AA7" s="215">
        <f>+Z7-Y7</f>
        <v>0</v>
      </c>
      <c r="AB7" s="216"/>
      <c r="AC7">
        <v>12</v>
      </c>
      <c r="AD7">
        <v>124</v>
      </c>
      <c r="AE7" s="240"/>
      <c r="AF7" s="240"/>
      <c r="AG7" s="240"/>
      <c r="AH7" s="240"/>
      <c r="AI7" s="240"/>
      <c r="AJ7" s="240"/>
      <c r="AK7" s="240"/>
      <c r="AL7" s="241"/>
    </row>
    <row r="8" spans="2:38" ht="15">
      <c r="B8" s="1" t="s">
        <v>253</v>
      </c>
      <c r="D8" s="1" t="s">
        <v>211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59</v>
      </c>
      <c r="L8" s="75">
        <v>97.63</v>
      </c>
      <c r="M8" s="98">
        <v>97.63</v>
      </c>
      <c r="N8" s="99">
        <f t="shared" si="2"/>
        <v>0</v>
      </c>
      <c r="O8" s="100"/>
      <c r="P8" s="96"/>
      <c r="U8" s="89" t="s">
        <v>107</v>
      </c>
      <c r="V8" s="89" t="s">
        <v>107</v>
      </c>
      <c r="W8" s="89" t="s">
        <v>211</v>
      </c>
      <c r="X8" s="98"/>
      <c r="Y8" s="43">
        <v>106.1</v>
      </c>
      <c r="Z8" s="43">
        <f>+Y8</f>
        <v>106.1</v>
      </c>
      <c r="AA8" s="215">
        <f>+Z8-Y8</f>
        <v>0</v>
      </c>
      <c r="AB8" s="216"/>
      <c r="AC8">
        <v>12</v>
      </c>
      <c r="AD8">
        <v>125</v>
      </c>
      <c r="AE8" s="240"/>
      <c r="AF8" s="240"/>
      <c r="AG8" s="240"/>
      <c r="AH8" s="240"/>
      <c r="AI8" s="240"/>
      <c r="AJ8" s="240"/>
      <c r="AK8" s="240"/>
      <c r="AL8" s="241"/>
    </row>
    <row r="9" spans="2:38" ht="19.5">
      <c r="B9" s="1" t="s">
        <v>253</v>
      </c>
      <c r="D9" s="1" t="s">
        <v>212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6">
        <v>29.04</v>
      </c>
      <c r="M9" s="189">
        <v>29.04</v>
      </c>
      <c r="N9" s="190">
        <f t="shared" si="2"/>
        <v>0</v>
      </c>
      <c r="O9" s="191"/>
      <c r="P9" s="192"/>
      <c r="Q9" s="193"/>
      <c r="R9" s="193"/>
      <c r="S9" s="193"/>
      <c r="T9" s="193"/>
      <c r="U9" s="193" t="s">
        <v>107</v>
      </c>
      <c r="V9" s="193" t="s">
        <v>107</v>
      </c>
      <c r="W9" s="193" t="s">
        <v>212</v>
      </c>
      <c r="X9" s="189"/>
      <c r="Y9" s="189">
        <v>17.64</v>
      </c>
      <c r="Z9" s="189">
        <f>+Y9</f>
        <v>17.64</v>
      </c>
      <c r="AA9" s="217">
        <f>+Z9-Y9</f>
        <v>0</v>
      </c>
      <c r="AB9" s="64"/>
      <c r="AC9">
        <v>13</v>
      </c>
      <c r="AD9">
        <v>130</v>
      </c>
      <c r="AE9" s="240"/>
      <c r="AF9" s="240"/>
      <c r="AG9" s="240"/>
      <c r="AH9" s="240"/>
      <c r="AI9" s="240"/>
      <c r="AJ9" s="240"/>
      <c r="AK9" s="240"/>
      <c r="AL9" s="241"/>
    </row>
    <row r="10" spans="4:38" ht="12.75">
      <c r="D10" s="15" t="s">
        <v>87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7">
        <f>SUM(L5:L9)</f>
        <v>8737.37</v>
      </c>
      <c r="M10" s="101">
        <f>SUM(M5:M9)</f>
        <v>9168.37</v>
      </c>
      <c r="N10" s="51">
        <f>SUM(N5:N9)</f>
        <v>430.9999999999991</v>
      </c>
      <c r="O10" s="100"/>
      <c r="P10" s="96"/>
      <c r="X10" s="101">
        <v>9495.2</v>
      </c>
      <c r="Y10" s="101">
        <v>9532.13</v>
      </c>
      <c r="Z10" s="40">
        <f>SUM(Z5:Z9)</f>
        <v>9571.13</v>
      </c>
      <c r="AA10" s="218">
        <f>SUM(AA5:AA9)</f>
        <v>39</v>
      </c>
      <c r="AB10" s="219"/>
      <c r="AC10">
        <v>13</v>
      </c>
      <c r="AD10">
        <v>131</v>
      </c>
      <c r="AE10" s="240"/>
      <c r="AF10" s="240"/>
      <c r="AG10" s="240"/>
      <c r="AH10" s="240"/>
      <c r="AI10" s="240"/>
      <c r="AJ10" s="240"/>
      <c r="AK10" s="240"/>
      <c r="AL10" s="241"/>
    </row>
    <row r="11" spans="3:38" ht="15">
      <c r="C11" s="4" t="s">
        <v>254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4"/>
      <c r="M11" s="98"/>
      <c r="N11" s="99">
        <f>+L11-I11</f>
        <v>0</v>
      </c>
      <c r="O11" s="100"/>
      <c r="P11" s="96"/>
      <c r="X11" s="125"/>
      <c r="Y11" s="153"/>
      <c r="Z11" s="153"/>
      <c r="AA11" s="213"/>
      <c r="AB11" s="214"/>
      <c r="AC11">
        <v>13</v>
      </c>
      <c r="AD11">
        <v>132</v>
      </c>
      <c r="AE11" s="240"/>
      <c r="AF11" s="240"/>
      <c r="AG11" s="240"/>
      <c r="AH11" s="240"/>
      <c r="AI11" s="240"/>
      <c r="AJ11" s="240"/>
      <c r="AK11" s="240"/>
      <c r="AL11" s="241"/>
    </row>
    <row r="12" spans="2:38" ht="77.25">
      <c r="B12" s="1" t="s">
        <v>254</v>
      </c>
      <c r="D12" s="1" t="s">
        <v>213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99</v>
      </c>
      <c r="L12" s="75">
        <v>737.81</v>
      </c>
      <c r="M12" s="98">
        <v>849</v>
      </c>
      <c r="N12" s="117">
        <f aca="true" t="shared" si="5" ref="N12:N22">+M12-L12</f>
        <v>111.19000000000005</v>
      </c>
      <c r="O12" s="100" t="s">
        <v>102</v>
      </c>
      <c r="P12" s="66"/>
      <c r="V12" s="89" t="s">
        <v>108</v>
      </c>
      <c r="W12" s="89" t="s">
        <v>213</v>
      </c>
      <c r="X12" s="98"/>
      <c r="Y12" s="43">
        <v>837.4</v>
      </c>
      <c r="Z12" s="43">
        <f>+Y12</f>
        <v>837.4</v>
      </c>
      <c r="AA12" s="215">
        <f>+Z12-Y12</f>
        <v>0</v>
      </c>
      <c r="AB12" s="216"/>
      <c r="AC12">
        <v>13</v>
      </c>
      <c r="AD12">
        <v>133</v>
      </c>
      <c r="AE12" s="240"/>
      <c r="AF12" s="240"/>
      <c r="AG12" s="240"/>
      <c r="AH12" s="240"/>
      <c r="AI12" s="240"/>
      <c r="AJ12" s="240"/>
      <c r="AK12" s="240"/>
      <c r="AL12" s="241"/>
    </row>
    <row r="13" spans="2:38" ht="15">
      <c r="B13" s="1" t="s">
        <v>254</v>
      </c>
      <c r="D13" s="1" t="s">
        <v>214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99</v>
      </c>
      <c r="L13" s="75">
        <v>1594.58</v>
      </c>
      <c r="M13" s="98">
        <v>1594.58</v>
      </c>
      <c r="N13" s="99">
        <f t="shared" si="5"/>
        <v>0</v>
      </c>
      <c r="O13" s="6"/>
      <c r="P13" s="66"/>
      <c r="V13" s="89" t="s">
        <v>108</v>
      </c>
      <c r="W13" s="89" t="s">
        <v>214</v>
      </c>
      <c r="X13" s="98"/>
      <c r="Y13" s="43">
        <v>1717.83</v>
      </c>
      <c r="Z13" s="43">
        <f>+Y13</f>
        <v>1717.83</v>
      </c>
      <c r="AA13" s="215">
        <f>+Z13-Y13</f>
        <v>0</v>
      </c>
      <c r="AB13" s="216"/>
      <c r="AC13">
        <v>13</v>
      </c>
      <c r="AD13">
        <v>134</v>
      </c>
      <c r="AE13" s="240"/>
      <c r="AF13" s="240"/>
      <c r="AG13" s="240"/>
      <c r="AH13" s="240"/>
      <c r="AI13" s="240"/>
      <c r="AJ13" s="240"/>
      <c r="AK13" s="240"/>
      <c r="AL13" s="241"/>
    </row>
    <row r="14" spans="2:38" ht="15">
      <c r="B14" s="1" t="s">
        <v>254</v>
      </c>
      <c r="D14" s="1" t="s">
        <v>215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64</v>
      </c>
      <c r="L14" s="75">
        <v>1870.43</v>
      </c>
      <c r="M14" s="98">
        <v>1771</v>
      </c>
      <c r="N14" s="99">
        <f t="shared" si="5"/>
        <v>-99.43000000000006</v>
      </c>
      <c r="O14" s="100"/>
      <c r="P14" s="96"/>
      <c r="V14" s="89" t="s">
        <v>108</v>
      </c>
      <c r="W14" s="89" t="s">
        <v>215</v>
      </c>
      <c r="X14" s="98"/>
      <c r="Y14" s="43">
        <v>1885.36</v>
      </c>
      <c r="Z14" s="43">
        <f>+Y14</f>
        <v>1885.36</v>
      </c>
      <c r="AA14" s="215">
        <f>+Z14-Y14</f>
        <v>0</v>
      </c>
      <c r="AB14" s="216"/>
      <c r="AC14">
        <v>14</v>
      </c>
      <c r="AD14">
        <v>141</v>
      </c>
      <c r="AE14" s="240"/>
      <c r="AF14" s="240"/>
      <c r="AG14" s="240"/>
      <c r="AH14" s="240"/>
      <c r="AI14" s="240"/>
      <c r="AJ14" s="240"/>
      <c r="AK14" s="240"/>
      <c r="AL14" s="241"/>
    </row>
    <row r="15" spans="2:41" s="4" customFormat="1" ht="15">
      <c r="B15" s="4" t="s">
        <v>254</v>
      </c>
      <c r="D15" s="4" t="s">
        <v>216</v>
      </c>
      <c r="E15" s="40">
        <v>381.1</v>
      </c>
      <c r="F15" s="26">
        <f t="shared" si="3"/>
        <v>181.10000000000002</v>
      </c>
      <c r="G15" s="33">
        <v>-200</v>
      </c>
      <c r="H15" s="56" t="s">
        <v>55</v>
      </c>
      <c r="I15" s="61">
        <v>145.64</v>
      </c>
      <c r="J15" s="28">
        <f t="shared" si="4"/>
        <v>-35.460000000000036</v>
      </c>
      <c r="K15" s="64" t="s">
        <v>64</v>
      </c>
      <c r="L15" s="75">
        <v>145.64</v>
      </c>
      <c r="M15" s="98">
        <v>245</v>
      </c>
      <c r="N15" s="99">
        <f t="shared" si="5"/>
        <v>99.36000000000001</v>
      </c>
      <c r="O15" s="100"/>
      <c r="P15" s="96"/>
      <c r="V15" s="89" t="s">
        <v>108</v>
      </c>
      <c r="W15" s="89" t="s">
        <v>216</v>
      </c>
      <c r="X15" s="98"/>
      <c r="Y15" s="43">
        <v>257.67</v>
      </c>
      <c r="Z15" s="43">
        <f>+Y15</f>
        <v>257.67</v>
      </c>
      <c r="AA15" s="215">
        <f>+Z15-Y15</f>
        <v>0</v>
      </c>
      <c r="AB15" s="216"/>
      <c r="AC15">
        <v>14</v>
      </c>
      <c r="AD15">
        <v>142</v>
      </c>
      <c r="AE15" s="240"/>
      <c r="AF15" s="240"/>
      <c r="AG15" s="240"/>
      <c r="AH15" s="240"/>
      <c r="AI15" s="240"/>
      <c r="AJ15" s="240"/>
      <c r="AK15" s="240"/>
      <c r="AL15" s="241"/>
      <c r="AM15" s="244"/>
      <c r="AN15" s="244"/>
      <c r="AO15" s="244"/>
    </row>
    <row r="16" spans="2:38" ht="19.5">
      <c r="B16" s="1" t="s">
        <v>254</v>
      </c>
      <c r="D16" s="1" t="s">
        <v>217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64</v>
      </c>
      <c r="L16" s="76">
        <v>92.63</v>
      </c>
      <c r="M16" s="189">
        <v>92.63</v>
      </c>
      <c r="N16" s="190">
        <f t="shared" si="5"/>
        <v>0</v>
      </c>
      <c r="O16" s="191"/>
      <c r="P16" s="192"/>
      <c r="Q16" s="193"/>
      <c r="R16" s="193"/>
      <c r="S16" s="193"/>
      <c r="T16" s="193"/>
      <c r="U16" s="193"/>
      <c r="V16" s="193" t="s">
        <v>108</v>
      </c>
      <c r="W16" s="193" t="s">
        <v>217</v>
      </c>
      <c r="X16" s="189"/>
      <c r="Y16" s="189">
        <v>91.87</v>
      </c>
      <c r="Z16" s="189">
        <f>+Y16</f>
        <v>91.87</v>
      </c>
      <c r="AA16" s="217">
        <f>+Z16-Y16</f>
        <v>0</v>
      </c>
      <c r="AB16" s="216"/>
      <c r="AC16">
        <v>14</v>
      </c>
      <c r="AD16">
        <v>143</v>
      </c>
      <c r="AE16" s="240"/>
      <c r="AF16" s="240"/>
      <c r="AG16" s="240"/>
      <c r="AH16" s="240"/>
      <c r="AI16" s="240"/>
      <c r="AJ16" s="240"/>
      <c r="AK16" s="240"/>
      <c r="AL16" s="241"/>
    </row>
    <row r="17" spans="4:38" ht="12.75">
      <c r="D17" s="15" t="s">
        <v>87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7">
        <f>SUM(L12:L16)</f>
        <v>4441.09</v>
      </c>
      <c r="M17" s="101">
        <f>SUM(M12:M16)</f>
        <v>4552.21</v>
      </c>
      <c r="N17" s="102">
        <f>SUM(N12:N16)</f>
        <v>111.12</v>
      </c>
      <c r="O17" s="6"/>
      <c r="P17" s="66"/>
      <c r="X17" s="101">
        <f>SUM(Y17)</f>
        <v>4790.13</v>
      </c>
      <c r="Y17" s="101">
        <v>4790.13</v>
      </c>
      <c r="Z17" s="40">
        <f>SUM(Z12:Z16)</f>
        <v>4790.13</v>
      </c>
      <c r="AA17" s="218">
        <f>SUM(AA12:AA16)</f>
        <v>0</v>
      </c>
      <c r="AB17" s="219"/>
      <c r="AC17">
        <v>14</v>
      </c>
      <c r="AD17">
        <v>144</v>
      </c>
      <c r="AE17" s="240"/>
      <c r="AF17" s="240"/>
      <c r="AG17" s="240"/>
      <c r="AH17" s="240"/>
      <c r="AI17" s="240"/>
      <c r="AJ17" s="240"/>
      <c r="AK17" s="240"/>
      <c r="AL17" s="241"/>
    </row>
    <row r="18" spans="3:38" ht="15">
      <c r="C18" s="4" t="s">
        <v>255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4"/>
      <c r="M18" s="98"/>
      <c r="N18" s="99">
        <f t="shared" si="5"/>
        <v>0</v>
      </c>
      <c r="O18" s="103"/>
      <c r="P18" s="104"/>
      <c r="X18" s="125"/>
      <c r="Y18" s="153"/>
      <c r="Z18" s="153"/>
      <c r="AA18" s="213"/>
      <c r="AB18" s="214"/>
      <c r="AC18">
        <v>15</v>
      </c>
      <c r="AD18">
        <v>151</v>
      </c>
      <c r="AE18" s="240"/>
      <c r="AF18" s="240"/>
      <c r="AG18" s="240"/>
      <c r="AH18" s="240"/>
      <c r="AI18" s="240"/>
      <c r="AJ18" s="240"/>
      <c r="AK18" s="240"/>
      <c r="AL18" s="241"/>
    </row>
    <row r="19" spans="2:38" ht="26.25">
      <c r="B19" s="1" t="s">
        <v>255</v>
      </c>
      <c r="D19" s="1" t="s">
        <v>218</v>
      </c>
      <c r="E19" s="26">
        <v>12788.6</v>
      </c>
      <c r="F19" s="26">
        <f>+G19+E19</f>
        <v>12881.6</v>
      </c>
      <c r="G19" s="27">
        <v>93</v>
      </c>
      <c r="H19" s="57" t="s">
        <v>60</v>
      </c>
      <c r="I19" s="61">
        <v>13180.68</v>
      </c>
      <c r="J19" s="28">
        <f>+I19-F19</f>
        <v>299.0799999999999</v>
      </c>
      <c r="K19" s="68" t="s">
        <v>85</v>
      </c>
      <c r="L19" s="78">
        <f>+I19</f>
        <v>13180.68</v>
      </c>
      <c r="M19" s="98">
        <v>13180.68</v>
      </c>
      <c r="N19" s="99">
        <f t="shared" si="5"/>
        <v>0</v>
      </c>
      <c r="O19" s="100"/>
      <c r="P19" s="105"/>
      <c r="V19" s="89" t="s">
        <v>109</v>
      </c>
      <c r="W19" s="89" t="s">
        <v>218</v>
      </c>
      <c r="X19" s="98"/>
      <c r="Y19" s="43">
        <v>13219.27</v>
      </c>
      <c r="Z19" s="43">
        <f>+Y19+37.9</f>
        <v>13257.17</v>
      </c>
      <c r="AA19" s="215">
        <f>+Z19-Y19</f>
        <v>37.899999999999636</v>
      </c>
      <c r="AB19" s="216" t="s">
        <v>270</v>
      </c>
      <c r="AC19">
        <v>16</v>
      </c>
      <c r="AD19">
        <v>161</v>
      </c>
      <c r="AE19" s="240"/>
      <c r="AF19" s="240"/>
      <c r="AG19" s="240"/>
      <c r="AH19" s="240"/>
      <c r="AI19" s="240"/>
      <c r="AJ19" s="240"/>
      <c r="AK19" s="240"/>
      <c r="AL19" s="241"/>
    </row>
    <row r="20" spans="2:38" ht="15">
      <c r="B20" s="1" t="s">
        <v>255</v>
      </c>
      <c r="C20" s="5"/>
      <c r="D20" s="5" t="s">
        <v>219</v>
      </c>
      <c r="E20" s="42">
        <v>9438</v>
      </c>
      <c r="F20" s="43">
        <f>+G20+E20</f>
        <v>9577</v>
      </c>
      <c r="G20" s="44">
        <v>139</v>
      </c>
      <c r="H20" s="44" t="s">
        <v>71</v>
      </c>
      <c r="I20" s="61">
        <v>9614.03</v>
      </c>
      <c r="J20" s="28">
        <f>+I20-F20</f>
        <v>37.030000000000655</v>
      </c>
      <c r="K20" s="64" t="s">
        <v>86</v>
      </c>
      <c r="L20" s="79">
        <v>9853</v>
      </c>
      <c r="M20" s="98">
        <f>9853+400</f>
        <v>10253</v>
      </c>
      <c r="N20" s="99">
        <f t="shared" si="5"/>
        <v>400</v>
      </c>
      <c r="O20" s="100"/>
      <c r="P20" s="96"/>
      <c r="V20" s="89" t="s">
        <v>109</v>
      </c>
      <c r="W20" s="89" t="s">
        <v>219</v>
      </c>
      <c r="X20" s="98"/>
      <c r="Y20" s="43">
        <v>11532.64</v>
      </c>
      <c r="Z20" s="43">
        <f>+Y20</f>
        <v>11532.64</v>
      </c>
      <c r="AA20" s="215">
        <f>+Z20-Y20</f>
        <v>0</v>
      </c>
      <c r="AB20" s="216"/>
      <c r="AC20">
        <v>16</v>
      </c>
      <c r="AD20">
        <v>162</v>
      </c>
      <c r="AE20" s="240"/>
      <c r="AF20" s="240"/>
      <c r="AG20" s="240"/>
      <c r="AH20" s="240"/>
      <c r="AI20" s="240"/>
      <c r="AJ20" s="240"/>
      <c r="AK20" s="240"/>
      <c r="AL20" s="241"/>
    </row>
    <row r="21" spans="2:38" ht="15">
      <c r="B21" s="1" t="s">
        <v>255</v>
      </c>
      <c r="D21" s="1" t="s">
        <v>220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5">
        <v>120.42</v>
      </c>
      <c r="M21" s="98">
        <v>120.42</v>
      </c>
      <c r="N21" s="99">
        <f t="shared" si="5"/>
        <v>0</v>
      </c>
      <c r="O21" s="100"/>
      <c r="P21" s="96"/>
      <c r="V21" s="89" t="s">
        <v>109</v>
      </c>
      <c r="W21" s="89" t="s">
        <v>220</v>
      </c>
      <c r="X21" s="98"/>
      <c r="Y21" s="43">
        <v>85.96</v>
      </c>
      <c r="Z21" s="43">
        <f>+Y21</f>
        <v>85.96</v>
      </c>
      <c r="AA21" s="215">
        <f>+Z21-Y21</f>
        <v>0</v>
      </c>
      <c r="AB21" s="216"/>
      <c r="AC21">
        <v>16</v>
      </c>
      <c r="AD21">
        <v>163</v>
      </c>
      <c r="AE21" s="240"/>
      <c r="AF21" s="240"/>
      <c r="AG21" s="240"/>
      <c r="AH21" s="240"/>
      <c r="AI21" s="240"/>
      <c r="AJ21" s="240"/>
      <c r="AK21" s="240"/>
      <c r="AL21" s="241"/>
    </row>
    <row r="22" spans="2:38" ht="19.5">
      <c r="B22" s="1" t="s">
        <v>255</v>
      </c>
      <c r="D22" s="4" t="s">
        <v>221</v>
      </c>
      <c r="E22" s="45">
        <v>2707.3</v>
      </c>
      <c r="F22" s="45">
        <f>+G22+E22</f>
        <v>3214.3</v>
      </c>
      <c r="G22" s="35">
        <v>507</v>
      </c>
      <c r="H22" s="56" t="s">
        <v>61</v>
      </c>
      <c r="I22" s="62">
        <v>3285.22</v>
      </c>
      <c r="J22" s="46">
        <f>+I22-F22</f>
        <v>70.91999999999962</v>
      </c>
      <c r="K22" s="64"/>
      <c r="L22" s="76">
        <v>3285.22</v>
      </c>
      <c r="M22" s="189">
        <v>3285.22</v>
      </c>
      <c r="N22" s="190">
        <f t="shared" si="5"/>
        <v>0</v>
      </c>
      <c r="O22" s="191"/>
      <c r="P22" s="192"/>
      <c r="Q22" s="193"/>
      <c r="R22" s="193"/>
      <c r="S22" s="193"/>
      <c r="T22" s="193"/>
      <c r="U22" s="193"/>
      <c r="V22" s="193" t="s">
        <v>109</v>
      </c>
      <c r="W22" s="193" t="s">
        <v>221</v>
      </c>
      <c r="X22" s="189"/>
      <c r="Y22" s="189">
        <v>3255.17</v>
      </c>
      <c r="Z22" s="43">
        <f>+Y22</f>
        <v>3255.17</v>
      </c>
      <c r="AA22" s="217">
        <f>+Z22-Y22</f>
        <v>0</v>
      </c>
      <c r="AB22" s="216"/>
      <c r="AC22">
        <v>17</v>
      </c>
      <c r="AD22">
        <v>171</v>
      </c>
      <c r="AE22" s="240"/>
      <c r="AF22" s="240"/>
      <c r="AG22" s="240"/>
      <c r="AH22" s="240"/>
      <c r="AI22" s="240"/>
      <c r="AJ22" s="240"/>
      <c r="AK22" s="240"/>
      <c r="AL22" s="241"/>
    </row>
    <row r="23" spans="4:38" ht="12.75">
      <c r="D23" s="15" t="s">
        <v>87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7">
        <f>SUM(L19:L22)</f>
        <v>26439.32</v>
      </c>
      <c r="M23" s="101">
        <f>SUM(M19:M22)</f>
        <v>26839.32</v>
      </c>
      <c r="N23" s="51">
        <f>SUM(N19:N22)</f>
        <v>400</v>
      </c>
      <c r="O23" s="100"/>
      <c r="P23" s="96"/>
      <c r="X23" s="101">
        <v>27868.3</v>
      </c>
      <c r="Y23" s="101">
        <v>28093.04</v>
      </c>
      <c r="Z23" s="40">
        <f>SUM(Z19:Z22)</f>
        <v>28130.939999999995</v>
      </c>
      <c r="AA23" s="218">
        <f>SUM(AA19:AA22)</f>
        <v>37.899999999999636</v>
      </c>
      <c r="AB23" s="216"/>
      <c r="AC23">
        <v>17</v>
      </c>
      <c r="AD23">
        <v>172</v>
      </c>
      <c r="AE23" s="240"/>
      <c r="AF23" s="240"/>
      <c r="AG23" s="240"/>
      <c r="AH23" s="240"/>
      <c r="AI23" s="240"/>
      <c r="AJ23" s="240"/>
      <c r="AK23" s="240"/>
      <c r="AL23" s="241"/>
    </row>
    <row r="24" spans="3:38" ht="15">
      <c r="C24" s="4" t="s">
        <v>256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4"/>
      <c r="M24" s="98"/>
      <c r="N24" s="99">
        <f>+L24-I24</f>
        <v>0</v>
      </c>
      <c r="O24" s="100"/>
      <c r="P24" s="96"/>
      <c r="X24" s="125"/>
      <c r="Y24" s="153"/>
      <c r="Z24" s="153"/>
      <c r="AA24" s="213"/>
      <c r="AB24" s="214"/>
      <c r="AC24">
        <v>18</v>
      </c>
      <c r="AD24">
        <v>181</v>
      </c>
      <c r="AE24" s="240"/>
      <c r="AF24" s="240"/>
      <c r="AG24" s="240"/>
      <c r="AH24" s="240"/>
      <c r="AI24" s="240"/>
      <c r="AJ24" s="240"/>
      <c r="AK24" s="240"/>
      <c r="AL24" s="241"/>
    </row>
    <row r="25" spans="2:38" ht="15">
      <c r="B25" s="1" t="s">
        <v>256</v>
      </c>
      <c r="D25" s="1" t="s">
        <v>222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64</v>
      </c>
      <c r="L25" s="74">
        <v>1380.71</v>
      </c>
      <c r="M25" s="98">
        <v>1380.71</v>
      </c>
      <c r="N25" s="99">
        <f>+M25-L25</f>
        <v>0</v>
      </c>
      <c r="O25" s="100"/>
      <c r="P25" s="96"/>
      <c r="V25" s="89" t="s">
        <v>110</v>
      </c>
      <c r="W25" s="89" t="s">
        <v>222</v>
      </c>
      <c r="X25" s="101">
        <f>SUM(Y25)</f>
        <v>1412.96</v>
      </c>
      <c r="Y25" s="40">
        <v>1412.96</v>
      </c>
      <c r="Z25" s="40">
        <f>+Y25</f>
        <v>1412.96</v>
      </c>
      <c r="AA25" s="215">
        <f>+Z25-Y25</f>
        <v>0</v>
      </c>
      <c r="AB25" s="219"/>
      <c r="AC25">
        <v>18</v>
      </c>
      <c r="AD25">
        <v>185</v>
      </c>
      <c r="AE25" s="240"/>
      <c r="AF25" s="240"/>
      <c r="AG25" s="240"/>
      <c r="AH25" s="240"/>
      <c r="AI25" s="240"/>
      <c r="AJ25" s="240"/>
      <c r="AK25" s="240"/>
      <c r="AL25" s="241"/>
    </row>
    <row r="26" spans="3:38" ht="15">
      <c r="C26" s="4" t="s">
        <v>257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4"/>
      <c r="M26" s="98">
        <v>0</v>
      </c>
      <c r="N26" s="99">
        <f>+M26-L26</f>
        <v>0</v>
      </c>
      <c r="O26" s="100"/>
      <c r="P26" s="96"/>
      <c r="X26" s="125"/>
      <c r="Y26" s="153"/>
      <c r="Z26" s="153"/>
      <c r="AA26" s="215">
        <f>+X26-Y26</f>
        <v>0</v>
      </c>
      <c r="AB26" s="214"/>
      <c r="AC26">
        <v>18</v>
      </c>
      <c r="AD26">
        <v>186</v>
      </c>
      <c r="AE26" s="240"/>
      <c r="AF26" s="240"/>
      <c r="AG26" s="240"/>
      <c r="AH26" s="240"/>
      <c r="AI26" s="240"/>
      <c r="AJ26" s="240"/>
      <c r="AK26" s="240"/>
      <c r="AL26" s="241"/>
    </row>
    <row r="27" spans="2:38" ht="15">
      <c r="B27" s="1" t="s">
        <v>257</v>
      </c>
      <c r="D27" s="1" t="s">
        <v>223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4">
        <v>338.11</v>
      </c>
      <c r="M27" s="98">
        <v>338.11</v>
      </c>
      <c r="N27" s="99">
        <f>+M27-L27</f>
        <v>0</v>
      </c>
      <c r="O27" s="100"/>
      <c r="P27" s="96"/>
      <c r="V27" s="89" t="s">
        <v>111</v>
      </c>
      <c r="W27" s="89" t="s">
        <v>223</v>
      </c>
      <c r="X27" s="98"/>
      <c r="Y27" s="43">
        <v>372.04</v>
      </c>
      <c r="Z27" s="43">
        <f>+Y27</f>
        <v>372.04</v>
      </c>
      <c r="AA27" s="215">
        <f>+Z27-Y27</f>
        <v>0</v>
      </c>
      <c r="AB27" s="216"/>
      <c r="AC27">
        <v>18</v>
      </c>
      <c r="AD27">
        <v>187</v>
      </c>
      <c r="AE27" s="240"/>
      <c r="AF27" s="240"/>
      <c r="AG27" s="240"/>
      <c r="AH27" s="240"/>
      <c r="AI27" s="240"/>
      <c r="AJ27" s="240"/>
      <c r="AK27" s="240"/>
      <c r="AL27" s="241"/>
    </row>
    <row r="28" spans="2:38" ht="15">
      <c r="B28" s="1" t="s">
        <v>257</v>
      </c>
      <c r="D28" s="1" t="s">
        <v>224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4">
        <v>619.03</v>
      </c>
      <c r="M28" s="98">
        <v>619.03</v>
      </c>
      <c r="N28" s="99">
        <f>+M28-L28</f>
        <v>0</v>
      </c>
      <c r="O28" s="100"/>
      <c r="P28" s="96"/>
      <c r="V28" s="89" t="s">
        <v>111</v>
      </c>
      <c r="W28" s="89" t="s">
        <v>224</v>
      </c>
      <c r="X28" s="98"/>
      <c r="Y28" s="43">
        <v>681.64</v>
      </c>
      <c r="Z28" s="43">
        <f>+Y28</f>
        <v>681.64</v>
      </c>
      <c r="AA28" s="215">
        <f>+Z28-Y28</f>
        <v>0</v>
      </c>
      <c r="AB28" s="216"/>
      <c r="AC28">
        <v>19</v>
      </c>
      <c r="AD28">
        <v>191</v>
      </c>
      <c r="AE28" s="240"/>
      <c r="AF28" s="240"/>
      <c r="AG28" s="240"/>
      <c r="AH28" s="240"/>
      <c r="AI28" s="240"/>
      <c r="AJ28" s="240"/>
      <c r="AK28" s="240"/>
      <c r="AL28" s="241"/>
    </row>
    <row r="29" spans="2:38" ht="19.5">
      <c r="B29" s="1" t="s">
        <v>257</v>
      </c>
      <c r="D29" s="1" t="s">
        <v>225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0">
        <v>78.86</v>
      </c>
      <c r="M29" s="189">
        <v>78.86</v>
      </c>
      <c r="N29" s="190">
        <f>+M29-L29</f>
        <v>0</v>
      </c>
      <c r="O29" s="191"/>
      <c r="P29" s="192"/>
      <c r="Q29" s="193"/>
      <c r="R29" s="193"/>
      <c r="S29" s="193"/>
      <c r="T29" s="193"/>
      <c r="U29" s="193"/>
      <c r="V29" s="193" t="s">
        <v>111</v>
      </c>
      <c r="W29" s="193" t="s">
        <v>225</v>
      </c>
      <c r="X29" s="189"/>
      <c r="Y29" s="189">
        <v>86.3</v>
      </c>
      <c r="Z29" s="189">
        <f>+Y29</f>
        <v>86.3</v>
      </c>
      <c r="AA29" s="217">
        <f>+Z29-Y29</f>
        <v>0</v>
      </c>
      <c r="AB29" s="216"/>
      <c r="AC29">
        <v>19</v>
      </c>
      <c r="AD29">
        <v>192</v>
      </c>
      <c r="AE29" s="240"/>
      <c r="AF29" s="240"/>
      <c r="AG29" s="240"/>
      <c r="AH29" s="240"/>
      <c r="AI29" s="240"/>
      <c r="AJ29" s="240"/>
      <c r="AK29" s="240"/>
      <c r="AL29" s="241"/>
    </row>
    <row r="30" spans="4:38" ht="12.75">
      <c r="D30" s="15" t="s">
        <v>87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7">
        <f>SUM(L27:L29)</f>
        <v>1036</v>
      </c>
      <c r="M30" s="101">
        <f>SUM(M27:M29)</f>
        <v>1036</v>
      </c>
      <c r="N30" s="51">
        <f>SUM(N27:N29)</f>
        <v>0</v>
      </c>
      <c r="O30" s="100"/>
      <c r="P30" s="96"/>
      <c r="X30" s="101">
        <f>SUM(Y30)</f>
        <v>1139.98</v>
      </c>
      <c r="Y30" s="101">
        <v>1139.98</v>
      </c>
      <c r="Z30" s="40">
        <f>SUM(Z27:Z29)</f>
        <v>1139.98</v>
      </c>
      <c r="AA30" s="218">
        <f>SUM(AA27:AA29)</f>
        <v>0</v>
      </c>
      <c r="AB30" s="219"/>
      <c r="AC30">
        <v>21</v>
      </c>
      <c r="AD30"/>
      <c r="AE30" s="240"/>
      <c r="AF30" s="240"/>
      <c r="AG30" s="240"/>
      <c r="AH30" s="240"/>
      <c r="AI30" s="240"/>
      <c r="AJ30" s="240"/>
      <c r="AK30" s="240"/>
      <c r="AL30" s="241"/>
    </row>
    <row r="31" spans="3:38" ht="15">
      <c r="C31" s="4" t="s">
        <v>258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4"/>
      <c r="M31" s="98"/>
      <c r="N31" s="99">
        <f>+M31-L31</f>
        <v>0</v>
      </c>
      <c r="O31" s="100"/>
      <c r="P31" s="96"/>
      <c r="X31" s="125"/>
      <c r="Y31" s="153"/>
      <c r="Z31" s="153"/>
      <c r="AA31" s="213"/>
      <c r="AB31" s="214"/>
      <c r="AC31">
        <v>22</v>
      </c>
      <c r="AD31"/>
      <c r="AE31" s="240"/>
      <c r="AF31" s="240"/>
      <c r="AG31" s="240"/>
      <c r="AH31" s="240"/>
      <c r="AI31" s="240"/>
      <c r="AJ31" s="240"/>
      <c r="AK31" s="240"/>
      <c r="AL31" s="241"/>
    </row>
    <row r="32" spans="2:38" ht="15">
      <c r="B32" s="1" t="s">
        <v>258</v>
      </c>
      <c r="D32" s="1" t="s">
        <v>226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4">
        <v>877.69</v>
      </c>
      <c r="M32" s="98">
        <v>877.69</v>
      </c>
      <c r="N32" s="99">
        <f>+M32-L32</f>
        <v>0</v>
      </c>
      <c r="O32" s="100"/>
      <c r="P32" s="96"/>
      <c r="V32" s="89" t="s">
        <v>112</v>
      </c>
      <c r="W32" s="89" t="s">
        <v>226</v>
      </c>
      <c r="X32" s="98"/>
      <c r="Y32" s="43">
        <v>934.01</v>
      </c>
      <c r="Z32" s="43">
        <f>+Y32</f>
        <v>934.01</v>
      </c>
      <c r="AA32" s="215">
        <f>+Z32-Y32</f>
        <v>0</v>
      </c>
      <c r="AB32" s="216"/>
      <c r="AC32">
        <v>25</v>
      </c>
      <c r="AD32">
        <v>250</v>
      </c>
      <c r="AE32" s="240"/>
      <c r="AF32" s="240"/>
      <c r="AG32" s="240"/>
      <c r="AH32" s="240"/>
      <c r="AI32" s="240"/>
      <c r="AJ32" s="240"/>
      <c r="AK32" s="240"/>
      <c r="AL32" s="241"/>
    </row>
    <row r="33" spans="2:38" ht="16.5">
      <c r="B33" s="1" t="s">
        <v>258</v>
      </c>
      <c r="D33" s="1" t="s">
        <v>227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0">
        <v>443.45</v>
      </c>
      <c r="M33" s="98">
        <v>443.45</v>
      </c>
      <c r="N33" s="99">
        <f>+M33-L33</f>
        <v>0</v>
      </c>
      <c r="O33" s="100"/>
      <c r="P33" s="96"/>
      <c r="V33" s="89" t="s">
        <v>112</v>
      </c>
      <c r="W33" s="89" t="s">
        <v>227</v>
      </c>
      <c r="X33" s="98"/>
      <c r="Y33" s="43">
        <v>426.93</v>
      </c>
      <c r="Z33" s="43">
        <f>+Y33</f>
        <v>426.93</v>
      </c>
      <c r="AA33" s="215">
        <f>+Z33-Y33</f>
        <v>0</v>
      </c>
      <c r="AB33" s="216"/>
      <c r="AC33">
        <v>31</v>
      </c>
      <c r="AD33"/>
      <c r="AE33" s="240"/>
      <c r="AF33" s="240"/>
      <c r="AG33" s="240"/>
      <c r="AH33" s="240"/>
      <c r="AI33" s="240"/>
      <c r="AJ33" s="240"/>
      <c r="AK33" s="240"/>
      <c r="AL33" s="241"/>
    </row>
    <row r="34" spans="4:38" ht="19.5">
      <c r="D34" s="1" t="s">
        <v>151</v>
      </c>
      <c r="E34" s="34"/>
      <c r="F34" s="34"/>
      <c r="G34" s="41"/>
      <c r="H34" s="41"/>
      <c r="I34" s="34"/>
      <c r="J34" s="36"/>
      <c r="K34" s="64"/>
      <c r="L34" s="80"/>
      <c r="M34" s="189">
        <v>0</v>
      </c>
      <c r="N34" s="190"/>
      <c r="O34" s="191"/>
      <c r="P34" s="192"/>
      <c r="Q34" s="193"/>
      <c r="R34" s="193"/>
      <c r="S34" s="193"/>
      <c r="T34" s="193"/>
      <c r="U34" s="193"/>
      <c r="V34" s="193" t="s">
        <v>112</v>
      </c>
      <c r="W34" s="193" t="s">
        <v>105</v>
      </c>
      <c r="X34" s="189"/>
      <c r="Y34" s="189"/>
      <c r="Z34" s="189">
        <f>+Y34</f>
        <v>0</v>
      </c>
      <c r="AA34" s="217">
        <f>+Z34-Y34</f>
        <v>0</v>
      </c>
      <c r="AB34" s="216"/>
      <c r="AC34">
        <v>36</v>
      </c>
      <c r="AD34"/>
      <c r="AE34" s="240"/>
      <c r="AF34" s="240"/>
      <c r="AG34" s="240"/>
      <c r="AH34" s="240"/>
      <c r="AI34" s="240"/>
      <c r="AJ34" s="240"/>
      <c r="AK34" s="240"/>
      <c r="AL34" s="241"/>
    </row>
    <row r="35" spans="4:38" ht="12.75">
      <c r="D35" s="15" t="s">
        <v>87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7">
        <f>SUM(L32:L33)</f>
        <v>1321.14</v>
      </c>
      <c r="M35" s="101">
        <f>SUM(M32:M34)</f>
        <v>1321.14</v>
      </c>
      <c r="N35" s="51">
        <f>SUM(N32:N33)</f>
        <v>0</v>
      </c>
      <c r="O35" s="100"/>
      <c r="P35" s="104"/>
      <c r="X35" s="101">
        <f>SUM(Y35)</f>
        <v>1360.94</v>
      </c>
      <c r="Y35" s="101">
        <v>1360.94</v>
      </c>
      <c r="Z35" s="40">
        <f>SUM(Z32:Z34)</f>
        <v>1360.94</v>
      </c>
      <c r="AA35" s="218">
        <f>SUM(AA32:AA34)</f>
        <v>0</v>
      </c>
      <c r="AB35" s="216"/>
      <c r="AC35">
        <v>38</v>
      </c>
      <c r="AD35"/>
      <c r="AE35" s="240"/>
      <c r="AF35" s="240"/>
      <c r="AG35" s="240"/>
      <c r="AH35" s="240"/>
      <c r="AI35" s="240"/>
      <c r="AJ35" s="240"/>
      <c r="AK35" s="240"/>
      <c r="AL35" s="241"/>
    </row>
    <row r="36" spans="3:38" ht="15">
      <c r="C36" s="4" t="s">
        <v>259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4"/>
      <c r="M36" s="98"/>
      <c r="N36" s="99">
        <f aca="true" t="shared" si="8" ref="N36:N47">+M36-L36</f>
        <v>0</v>
      </c>
      <c r="O36" s="103"/>
      <c r="P36" s="104"/>
      <c r="X36" s="98"/>
      <c r="Y36" s="98"/>
      <c r="Z36" s="98"/>
      <c r="AA36" s="212"/>
      <c r="AB36" s="220"/>
      <c r="AC36">
        <v>39</v>
      </c>
      <c r="AD36"/>
      <c r="AE36" s="240"/>
      <c r="AF36" s="240"/>
      <c r="AG36" s="240"/>
      <c r="AH36" s="240"/>
      <c r="AI36" s="240"/>
      <c r="AJ36" s="240"/>
      <c r="AK36" s="240"/>
      <c r="AL36" s="241"/>
    </row>
    <row r="37" spans="2:38" ht="26.25">
      <c r="B37" s="1" t="s">
        <v>259</v>
      </c>
      <c r="D37" s="1" t="s">
        <v>228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82</v>
      </c>
      <c r="L37" s="74">
        <v>1014.4</v>
      </c>
      <c r="M37" s="98">
        <v>1014.4</v>
      </c>
      <c r="N37" s="99">
        <f t="shared" si="8"/>
        <v>0</v>
      </c>
      <c r="O37" s="103"/>
      <c r="P37" s="96"/>
      <c r="V37" s="89" t="s">
        <v>113</v>
      </c>
      <c r="W37" s="89" t="s">
        <v>228</v>
      </c>
      <c r="X37" s="98"/>
      <c r="Y37" s="43">
        <v>1505.26</v>
      </c>
      <c r="Z37" s="43">
        <f aca="true" t="shared" si="9" ref="Z37:Z43">+Y37</f>
        <v>1505.26</v>
      </c>
      <c r="AA37" s="215">
        <f aca="true" t="shared" si="10" ref="AA37:AA43">+Z37-Y37</f>
        <v>0</v>
      </c>
      <c r="AB37" s="216"/>
      <c r="AC37">
        <v>41</v>
      </c>
      <c r="AD37">
        <v>411</v>
      </c>
      <c r="AE37" s="240"/>
      <c r="AF37" s="240"/>
      <c r="AG37" s="240"/>
      <c r="AH37" s="240"/>
      <c r="AI37" s="240"/>
      <c r="AJ37" s="240"/>
      <c r="AK37" s="240"/>
      <c r="AL37" s="241"/>
    </row>
    <row r="38" spans="2:38" ht="15">
      <c r="B38" s="1" t="s">
        <v>259</v>
      </c>
      <c r="D38" s="1" t="s">
        <v>229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79</v>
      </c>
      <c r="L38" s="74">
        <v>1E-05</v>
      </c>
      <c r="M38" s="98">
        <v>1E-05</v>
      </c>
      <c r="N38" s="99">
        <f t="shared" si="8"/>
        <v>0</v>
      </c>
      <c r="O38" s="100"/>
      <c r="P38" s="96"/>
      <c r="V38" s="89" t="s">
        <v>113</v>
      </c>
      <c r="W38" s="89" t="s">
        <v>229</v>
      </c>
      <c r="X38" s="98"/>
      <c r="Y38" s="43"/>
      <c r="Z38" s="43">
        <f t="shared" si="9"/>
        <v>0</v>
      </c>
      <c r="AA38" s="215">
        <f t="shared" si="10"/>
        <v>0</v>
      </c>
      <c r="AB38" s="216"/>
      <c r="AC38">
        <v>41</v>
      </c>
      <c r="AD38">
        <v>412</v>
      </c>
      <c r="AE38" s="240"/>
      <c r="AF38" s="240"/>
      <c r="AG38" s="240"/>
      <c r="AH38" s="240"/>
      <c r="AI38" s="240"/>
      <c r="AJ38" s="240"/>
      <c r="AK38" s="240"/>
      <c r="AL38" s="241"/>
    </row>
    <row r="39" spans="2:38" ht="15">
      <c r="B39" s="1" t="s">
        <v>259</v>
      </c>
      <c r="D39" s="1" t="s">
        <v>230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5">
        <v>79.12</v>
      </c>
      <c r="M39" s="98">
        <v>79.12</v>
      </c>
      <c r="N39" s="99">
        <f t="shared" si="8"/>
        <v>0</v>
      </c>
      <c r="O39" s="100"/>
      <c r="P39" s="105"/>
      <c r="Q39" s="106"/>
      <c r="X39" s="98"/>
      <c r="Y39" s="43"/>
      <c r="Z39" s="43">
        <f t="shared" si="9"/>
        <v>0</v>
      </c>
      <c r="AA39" s="215">
        <f t="shared" si="10"/>
        <v>0</v>
      </c>
      <c r="AB39" s="216"/>
      <c r="AC39">
        <v>43</v>
      </c>
      <c r="AD39">
        <v>431</v>
      </c>
      <c r="AE39" s="240"/>
      <c r="AF39" s="240"/>
      <c r="AG39" s="240"/>
      <c r="AH39" s="240"/>
      <c r="AI39" s="240"/>
      <c r="AJ39" s="240"/>
      <c r="AK39" s="240"/>
      <c r="AL39" s="241"/>
    </row>
    <row r="40" spans="2:38" ht="26.25">
      <c r="B40" s="1" t="s">
        <v>259</v>
      </c>
      <c r="D40" s="1" t="s">
        <v>231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80</v>
      </c>
      <c r="L40" s="75">
        <v>530.14</v>
      </c>
      <c r="M40" s="98">
        <v>530.14</v>
      </c>
      <c r="N40" s="99">
        <f t="shared" si="8"/>
        <v>0</v>
      </c>
      <c r="O40" s="107"/>
      <c r="P40" s="105"/>
      <c r="X40" s="98"/>
      <c r="Y40" s="43"/>
      <c r="Z40" s="43">
        <f t="shared" si="9"/>
        <v>0</v>
      </c>
      <c r="AA40" s="215">
        <f t="shared" si="10"/>
        <v>0</v>
      </c>
      <c r="AB40" s="216"/>
      <c r="AC40">
        <v>44</v>
      </c>
      <c r="AD40">
        <v>441</v>
      </c>
      <c r="AE40" s="240"/>
      <c r="AF40" s="240"/>
      <c r="AG40" s="240"/>
      <c r="AH40" s="240"/>
      <c r="AI40" s="240"/>
      <c r="AJ40" s="240"/>
      <c r="AK40" s="240"/>
      <c r="AL40" s="241"/>
    </row>
    <row r="41" spans="2:38" ht="15">
      <c r="B41" s="1" t="s">
        <v>259</v>
      </c>
      <c r="D41" s="1" t="s">
        <v>232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81</v>
      </c>
      <c r="L41" s="75">
        <v>1818.56</v>
      </c>
      <c r="M41" s="98">
        <v>1818.56</v>
      </c>
      <c r="N41" s="99">
        <f t="shared" si="8"/>
        <v>0</v>
      </c>
      <c r="O41" s="107"/>
      <c r="P41" s="96"/>
      <c r="V41" s="89" t="s">
        <v>113</v>
      </c>
      <c r="W41" s="89" t="s">
        <v>232</v>
      </c>
      <c r="X41" s="98"/>
      <c r="Y41" s="43">
        <v>2203.28</v>
      </c>
      <c r="Z41" s="43">
        <f t="shared" si="9"/>
        <v>2203.28</v>
      </c>
      <c r="AA41" s="215">
        <f t="shared" si="10"/>
        <v>0</v>
      </c>
      <c r="AB41" s="216"/>
      <c r="AC41">
        <v>44</v>
      </c>
      <c r="AD41">
        <v>442</v>
      </c>
      <c r="AE41" s="240"/>
      <c r="AF41" s="240"/>
      <c r="AG41" s="240"/>
      <c r="AH41" s="240"/>
      <c r="AI41" s="240"/>
      <c r="AJ41" s="240"/>
      <c r="AK41" s="240"/>
      <c r="AL41" s="241"/>
    </row>
    <row r="42" spans="2:38" ht="15">
      <c r="B42" s="1" t="s">
        <v>259</v>
      </c>
      <c r="D42" s="1" t="s">
        <v>233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5">
        <v>1200.04</v>
      </c>
      <c r="M42" s="98">
        <v>1200.04</v>
      </c>
      <c r="N42" s="99">
        <f t="shared" si="8"/>
        <v>0</v>
      </c>
      <c r="O42" s="100"/>
      <c r="P42" s="96"/>
      <c r="V42" s="89" t="s">
        <v>113</v>
      </c>
      <c r="W42" s="89" t="s">
        <v>233</v>
      </c>
      <c r="X42" s="98"/>
      <c r="Y42" s="43">
        <v>1219.66</v>
      </c>
      <c r="Z42" s="43">
        <f t="shared" si="9"/>
        <v>1219.66</v>
      </c>
      <c r="AA42" s="215">
        <f t="shared" si="10"/>
        <v>0</v>
      </c>
      <c r="AB42" s="216"/>
      <c r="AC42">
        <v>44</v>
      </c>
      <c r="AD42">
        <v>443</v>
      </c>
      <c r="AE42" s="240"/>
      <c r="AF42" s="240"/>
      <c r="AG42" s="240"/>
      <c r="AH42" s="240"/>
      <c r="AI42" s="240"/>
      <c r="AJ42" s="240"/>
      <c r="AK42" s="240"/>
      <c r="AL42" s="241"/>
    </row>
    <row r="43" spans="2:38" ht="19.5">
      <c r="B43" s="1" t="s">
        <v>259</v>
      </c>
      <c r="D43" s="1" t="s">
        <v>234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6">
        <v>475.83</v>
      </c>
      <c r="M43" s="189">
        <v>475.83</v>
      </c>
      <c r="N43" s="190">
        <f t="shared" si="8"/>
        <v>0</v>
      </c>
      <c r="O43" s="191"/>
      <c r="P43" s="192"/>
      <c r="Q43" s="193"/>
      <c r="R43" s="193"/>
      <c r="S43" s="193"/>
      <c r="T43" s="193"/>
      <c r="U43" s="193"/>
      <c r="V43" s="193" t="s">
        <v>113</v>
      </c>
      <c r="W43" s="193" t="s">
        <v>234</v>
      </c>
      <c r="X43" s="189"/>
      <c r="Y43" s="189">
        <v>501.77</v>
      </c>
      <c r="Z43" s="189">
        <f t="shared" si="9"/>
        <v>501.77</v>
      </c>
      <c r="AA43" s="217">
        <f t="shared" si="10"/>
        <v>0</v>
      </c>
      <c r="AB43" s="216"/>
      <c r="AC43">
        <v>44</v>
      </c>
      <c r="AD43">
        <v>444</v>
      </c>
      <c r="AE43" s="240"/>
      <c r="AF43" s="240"/>
      <c r="AG43" s="240"/>
      <c r="AH43" s="240"/>
      <c r="AI43" s="240"/>
      <c r="AJ43" s="240"/>
      <c r="AK43" s="240"/>
      <c r="AL43" s="241"/>
    </row>
    <row r="44" spans="4:38" ht="12.75">
      <c r="D44" s="15" t="s">
        <v>87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7">
        <f>SUM(L37:L43)</f>
        <v>5118.09001</v>
      </c>
      <c r="M44" s="101">
        <f>SUM(M37:M43)</f>
        <v>5118.09001</v>
      </c>
      <c r="N44" s="51">
        <f>SUM(N37:N43)</f>
        <v>0</v>
      </c>
      <c r="O44" s="100"/>
      <c r="P44" s="96"/>
      <c r="X44" s="101">
        <f>SUM(Y44)</f>
        <v>5429.97</v>
      </c>
      <c r="Y44" s="101">
        <v>5429.97</v>
      </c>
      <c r="Z44" s="40">
        <f>SUM(Z37:Z43)</f>
        <v>5429.969999999999</v>
      </c>
      <c r="AA44" s="218">
        <f>SUM(AA37:AA43)</f>
        <v>0</v>
      </c>
      <c r="AB44" s="219"/>
      <c r="AC44">
        <v>44</v>
      </c>
      <c r="AD44">
        <v>445</v>
      </c>
      <c r="AE44" s="240"/>
      <c r="AF44" s="240"/>
      <c r="AG44" s="240"/>
      <c r="AH44" s="240"/>
      <c r="AI44" s="240"/>
      <c r="AJ44" s="240"/>
      <c r="AK44" s="240"/>
      <c r="AL44" s="241"/>
    </row>
    <row r="45" spans="3:38" ht="15">
      <c r="C45" s="4" t="s">
        <v>260</v>
      </c>
      <c r="E45" s="26"/>
      <c r="F45" s="26">
        <f aca="true" t="shared" si="11" ref="F45:F78">+G45+E45</f>
        <v>0</v>
      </c>
      <c r="G45" s="27"/>
      <c r="H45" s="27"/>
      <c r="I45" s="26"/>
      <c r="J45" s="28">
        <f aca="true" t="shared" si="12" ref="J45:J78">+I45-F45</f>
        <v>0</v>
      </c>
      <c r="K45" s="64"/>
      <c r="L45" s="74"/>
      <c r="M45" s="98"/>
      <c r="N45" s="99">
        <f t="shared" si="8"/>
        <v>0</v>
      </c>
      <c r="O45" s="100"/>
      <c r="P45" s="96"/>
      <c r="X45" s="125"/>
      <c r="Y45" s="153"/>
      <c r="Z45" s="153"/>
      <c r="AA45" s="213"/>
      <c r="AB45" s="214"/>
      <c r="AC45">
        <v>45</v>
      </c>
      <c r="AD45">
        <v>451</v>
      </c>
      <c r="AE45" s="240"/>
      <c r="AF45" s="240"/>
      <c r="AG45" s="240"/>
      <c r="AH45" s="240"/>
      <c r="AI45" s="240"/>
      <c r="AJ45" s="240"/>
      <c r="AK45" s="240"/>
      <c r="AL45" s="241"/>
    </row>
    <row r="46" spans="2:38" ht="15">
      <c r="B46" s="1" t="s">
        <v>260</v>
      </c>
      <c r="D46" s="1" t="s">
        <v>235</v>
      </c>
      <c r="E46" s="26">
        <v>1083</v>
      </c>
      <c r="F46" s="26">
        <f t="shared" si="11"/>
        <v>1113</v>
      </c>
      <c r="G46" s="27">
        <v>30</v>
      </c>
      <c r="H46" s="57" t="s">
        <v>62</v>
      </c>
      <c r="I46" s="26">
        <v>946.44</v>
      </c>
      <c r="J46" s="28">
        <f t="shared" si="12"/>
        <v>-166.55999999999995</v>
      </c>
      <c r="K46" s="64"/>
      <c r="L46" s="74">
        <v>946.44</v>
      </c>
      <c r="M46" s="98">
        <f>+L46</f>
        <v>946.44</v>
      </c>
      <c r="N46" s="99">
        <f t="shared" si="8"/>
        <v>0</v>
      </c>
      <c r="O46" s="100"/>
      <c r="P46" s="96"/>
      <c r="V46" s="89" t="s">
        <v>114</v>
      </c>
      <c r="W46" s="89" t="s">
        <v>235</v>
      </c>
      <c r="X46" s="98"/>
      <c r="Y46" s="43">
        <v>1041.61</v>
      </c>
      <c r="Z46" s="43">
        <f>+Y46</f>
        <v>1041.61</v>
      </c>
      <c r="AA46" s="215">
        <f>+Z46-Y46</f>
        <v>0</v>
      </c>
      <c r="AB46" s="214"/>
      <c r="AC46">
        <v>45</v>
      </c>
      <c r="AD46">
        <v>452</v>
      </c>
      <c r="AE46" s="240"/>
      <c r="AF46" s="240"/>
      <c r="AG46" s="240"/>
      <c r="AH46" s="240"/>
      <c r="AI46" s="240"/>
      <c r="AJ46" s="240"/>
      <c r="AK46" s="240"/>
      <c r="AL46" s="241"/>
    </row>
    <row r="47" spans="2:38" ht="30.75">
      <c r="B47" s="1" t="s">
        <v>260</v>
      </c>
      <c r="D47" s="1" t="s">
        <v>236</v>
      </c>
      <c r="E47" s="34">
        <v>1568.5</v>
      </c>
      <c r="F47" s="34">
        <f t="shared" si="11"/>
        <v>1568.5</v>
      </c>
      <c r="G47" s="41">
        <v>0</v>
      </c>
      <c r="H47" s="41"/>
      <c r="I47" s="34">
        <v>1474.58</v>
      </c>
      <c r="J47" s="36">
        <f t="shared" si="12"/>
        <v>-93.92000000000007</v>
      </c>
      <c r="K47" s="64" t="s">
        <v>65</v>
      </c>
      <c r="L47" s="80">
        <v>1474.58</v>
      </c>
      <c r="M47" s="189">
        <f>+L47</f>
        <v>1474.58</v>
      </c>
      <c r="N47" s="190">
        <f t="shared" si="8"/>
        <v>0</v>
      </c>
      <c r="O47" s="191"/>
      <c r="P47" s="192"/>
      <c r="Q47" s="193"/>
      <c r="R47" s="193"/>
      <c r="S47" s="193"/>
      <c r="T47" s="193"/>
      <c r="U47" s="193"/>
      <c r="V47" s="193" t="s">
        <v>114</v>
      </c>
      <c r="W47" s="193" t="s">
        <v>236</v>
      </c>
      <c r="X47" s="189"/>
      <c r="Y47" s="189">
        <v>1710.49</v>
      </c>
      <c r="Z47" s="189">
        <f>+Y47</f>
        <v>1710.49</v>
      </c>
      <c r="AA47" s="217">
        <f>+Z47-Y47</f>
        <v>0</v>
      </c>
      <c r="AB47" s="214"/>
      <c r="AC47">
        <v>45</v>
      </c>
      <c r="AD47">
        <v>453</v>
      </c>
      <c r="AE47" s="240"/>
      <c r="AF47" s="240"/>
      <c r="AG47" s="240"/>
      <c r="AH47" s="240"/>
      <c r="AI47" s="240"/>
      <c r="AJ47" s="240"/>
      <c r="AK47" s="240"/>
      <c r="AL47" s="241"/>
    </row>
    <row r="48" spans="1:41" s="17" customFormat="1" ht="16.5">
      <c r="A48" s="1"/>
      <c r="B48" s="1"/>
      <c r="C48" s="4"/>
      <c r="D48" s="15" t="s">
        <v>87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1">
        <f>SUM(L46:L47)</f>
        <v>2421.02</v>
      </c>
      <c r="M48" s="194">
        <f>SUM(M46:M47)</f>
        <v>2421.02</v>
      </c>
      <c r="N48" s="195">
        <f>SUM(N46:N47)</f>
        <v>0</v>
      </c>
      <c r="O48" s="191"/>
      <c r="P48" s="196"/>
      <c r="Q48" s="197"/>
      <c r="R48" s="197"/>
      <c r="S48" s="197"/>
      <c r="T48" s="197"/>
      <c r="U48" s="197"/>
      <c r="V48" s="193"/>
      <c r="W48" s="193"/>
      <c r="X48" s="194">
        <v>2752</v>
      </c>
      <c r="Y48" s="194">
        <v>2752.1</v>
      </c>
      <c r="Z48" s="228">
        <f>SUM(Z46:Z47)</f>
        <v>2752.1</v>
      </c>
      <c r="AA48" s="221">
        <f>SUM(AA46:AA47)</f>
        <v>0</v>
      </c>
      <c r="AB48" s="219"/>
      <c r="AC48">
        <v>46</v>
      </c>
      <c r="AD48">
        <v>460</v>
      </c>
      <c r="AE48" s="240"/>
      <c r="AF48" s="240"/>
      <c r="AG48" s="240"/>
      <c r="AH48" s="240"/>
      <c r="AI48" s="240"/>
      <c r="AJ48" s="240"/>
      <c r="AK48" s="240"/>
      <c r="AL48" s="241"/>
      <c r="AM48" s="245"/>
      <c r="AN48" s="245"/>
      <c r="AO48" s="245"/>
    </row>
    <row r="49" spans="1:38" ht="15">
      <c r="A49" s="17"/>
      <c r="B49" s="17"/>
      <c r="C49" s="18"/>
      <c r="D49" s="19" t="s">
        <v>88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2">
        <f>SUM(L48,L44,L35,L30,L25,L23,L17,L10,L3)</f>
        <v>50894.84001</v>
      </c>
      <c r="M49" s="110">
        <f>SUM(M48,M44,M35,M30,M25,M23,M17,M10,M3)</f>
        <v>51836.860010000004</v>
      </c>
      <c r="N49" s="111">
        <f>SUM(N48,N44,N35,N30,N25,N23,N17,N10,N3)</f>
        <v>942.1199999999991</v>
      </c>
      <c r="O49" s="112"/>
      <c r="P49" s="96"/>
      <c r="X49" s="110">
        <f>SUM(X48,X44,X35,X30,X25,X23,X17,X10,X3)</f>
        <v>54249.479999999996</v>
      </c>
      <c r="Y49" s="110">
        <v>54511.25</v>
      </c>
      <c r="Z49" s="110">
        <f>SUM(Z48,Z44,Z35,Z30,Z25,Z23,Z17,Z10,Z3)</f>
        <v>54588.149999999994</v>
      </c>
      <c r="AA49" s="212">
        <f>SUM(AA48,AA44,AA35,AA30,AA25,AA23,AA17,AA10,AA3)</f>
        <v>76.89999999999964</v>
      </c>
      <c r="AC49">
        <v>51</v>
      </c>
      <c r="AD49"/>
      <c r="AE49" s="240"/>
      <c r="AF49" s="240"/>
      <c r="AG49" s="240"/>
      <c r="AH49" s="240"/>
      <c r="AI49" s="240"/>
      <c r="AJ49" s="240"/>
      <c r="AK49" s="240"/>
      <c r="AL49" s="241"/>
    </row>
    <row r="50" spans="4:38" ht="15">
      <c r="D50" s="15"/>
      <c r="E50" s="37"/>
      <c r="F50" s="37"/>
      <c r="G50" s="39"/>
      <c r="H50" s="27"/>
      <c r="I50" s="37"/>
      <c r="J50" s="47"/>
      <c r="K50" s="64"/>
      <c r="L50" s="77"/>
      <c r="M50" s="101"/>
      <c r="N50" s="53"/>
      <c r="O50" s="100"/>
      <c r="P50" s="96"/>
      <c r="X50" s="125"/>
      <c r="Y50" s="125"/>
      <c r="Z50" s="125"/>
      <c r="AA50" s="222"/>
      <c r="AC50">
        <v>52</v>
      </c>
      <c r="AD50"/>
      <c r="AE50" s="240"/>
      <c r="AF50" s="240"/>
      <c r="AG50" s="240"/>
      <c r="AH50" s="240"/>
      <c r="AI50" s="240"/>
      <c r="AJ50" s="240"/>
      <c r="AK50" s="240"/>
      <c r="AL50" s="241"/>
    </row>
    <row r="51" spans="2:38" ht="15">
      <c r="B51" s="1" t="s">
        <v>261</v>
      </c>
      <c r="C51" s="4" t="s">
        <v>261</v>
      </c>
      <c r="E51" s="26">
        <v>140</v>
      </c>
      <c r="F51" s="26">
        <f t="shared" si="11"/>
        <v>80</v>
      </c>
      <c r="G51" s="27">
        <v>-60</v>
      </c>
      <c r="H51" s="57" t="s">
        <v>57</v>
      </c>
      <c r="I51" s="26">
        <v>80.72</v>
      </c>
      <c r="J51" s="28">
        <f t="shared" si="12"/>
        <v>0.7199999999999989</v>
      </c>
      <c r="K51" s="64"/>
      <c r="L51" s="74">
        <v>80.72</v>
      </c>
      <c r="M51" s="98">
        <f>+L51</f>
        <v>80.72</v>
      </c>
      <c r="N51" s="99">
        <f>+M51-L51</f>
        <v>0</v>
      </c>
      <c r="O51" s="100"/>
      <c r="P51" s="96"/>
      <c r="V51" s="89" t="s">
        <v>115</v>
      </c>
      <c r="X51" s="98"/>
      <c r="Y51" s="43">
        <v>86.54</v>
      </c>
      <c r="Z51" s="43">
        <f>+Y51</f>
        <v>86.54</v>
      </c>
      <c r="AA51" s="215">
        <f>+Z51-Y51</f>
        <v>0</v>
      </c>
      <c r="AB51" s="214"/>
      <c r="AC51">
        <v>53</v>
      </c>
      <c r="AD51"/>
      <c r="AE51" s="240"/>
      <c r="AF51" s="240"/>
      <c r="AG51" s="240"/>
      <c r="AH51" s="240"/>
      <c r="AI51" s="240"/>
      <c r="AJ51" s="240"/>
      <c r="AK51" s="240"/>
      <c r="AL51" s="241"/>
    </row>
    <row r="52" spans="2:38" ht="15">
      <c r="B52" s="1" t="s">
        <v>262</v>
      </c>
      <c r="C52" s="4" t="s">
        <v>262</v>
      </c>
      <c r="E52" s="26">
        <v>388.1</v>
      </c>
      <c r="F52" s="26">
        <f t="shared" si="11"/>
        <v>388.1</v>
      </c>
      <c r="G52" s="27"/>
      <c r="H52" s="27"/>
      <c r="I52" s="26">
        <v>388.7</v>
      </c>
      <c r="J52" s="28">
        <f t="shared" si="12"/>
        <v>0.5999999999999659</v>
      </c>
      <c r="K52" s="64"/>
      <c r="L52" s="74">
        <v>388.7</v>
      </c>
      <c r="M52" s="98">
        <f>+L52</f>
        <v>388.7</v>
      </c>
      <c r="N52" s="99">
        <f>+M52-L52</f>
        <v>0</v>
      </c>
      <c r="O52" s="100"/>
      <c r="P52" s="96"/>
      <c r="V52" s="89" t="s">
        <v>116</v>
      </c>
      <c r="X52" s="98"/>
      <c r="Y52" s="43">
        <v>412.55</v>
      </c>
      <c r="Z52" s="43">
        <f>+Y52</f>
        <v>412.55</v>
      </c>
      <c r="AA52" s="215">
        <f>+Z52-Y52</f>
        <v>0</v>
      </c>
      <c r="AB52" s="216"/>
      <c r="AC52">
        <v>54</v>
      </c>
      <c r="AD52"/>
      <c r="AE52" s="240"/>
      <c r="AF52" s="240"/>
      <c r="AG52" s="240"/>
      <c r="AH52" s="240"/>
      <c r="AI52" s="240"/>
      <c r="AJ52" s="240"/>
      <c r="AK52" s="240"/>
      <c r="AL52" s="241"/>
    </row>
    <row r="53" spans="1:41" s="17" customFormat="1" ht="19.5">
      <c r="A53" s="1"/>
      <c r="B53" s="1" t="s">
        <v>263</v>
      </c>
      <c r="C53" s="4" t="s">
        <v>263</v>
      </c>
      <c r="D53" s="1"/>
      <c r="E53" s="34">
        <v>308.9</v>
      </c>
      <c r="F53" s="34">
        <f t="shared" si="11"/>
        <v>308.9</v>
      </c>
      <c r="G53" s="41">
        <v>0</v>
      </c>
      <c r="H53" s="41"/>
      <c r="I53" s="34">
        <v>308.9</v>
      </c>
      <c r="J53" s="36">
        <f t="shared" si="12"/>
        <v>0</v>
      </c>
      <c r="K53" s="64"/>
      <c r="L53" s="80">
        <v>308.9</v>
      </c>
      <c r="M53" s="189">
        <f>+L53</f>
        <v>308.9</v>
      </c>
      <c r="N53" s="190">
        <f>+M53-L53</f>
        <v>0</v>
      </c>
      <c r="O53" s="191"/>
      <c r="P53" s="196"/>
      <c r="Q53" s="197"/>
      <c r="R53" s="197"/>
      <c r="S53" s="197"/>
      <c r="T53" s="197"/>
      <c r="U53" s="197"/>
      <c r="V53" s="193" t="s">
        <v>117</v>
      </c>
      <c r="W53" s="193" t="s">
        <v>72</v>
      </c>
      <c r="X53" s="189"/>
      <c r="Y53" s="189">
        <v>284.37</v>
      </c>
      <c r="Z53" s="189">
        <f>+Y53</f>
        <v>284.37</v>
      </c>
      <c r="AA53" s="217">
        <f>+Z53-Y53</f>
        <v>0</v>
      </c>
      <c r="AB53" s="216"/>
      <c r="AC53">
        <v>55</v>
      </c>
      <c r="AD53"/>
      <c r="AE53" s="240"/>
      <c r="AF53" s="240"/>
      <c r="AG53" s="240"/>
      <c r="AH53" s="240"/>
      <c r="AI53" s="240"/>
      <c r="AJ53" s="240"/>
      <c r="AK53" s="240"/>
      <c r="AL53" s="241"/>
      <c r="AM53" s="245"/>
      <c r="AN53" s="245"/>
      <c r="AO53" s="245"/>
    </row>
    <row r="54" spans="1:38" ht="15">
      <c r="A54" s="17"/>
      <c r="B54" s="17"/>
      <c r="C54" s="18"/>
      <c r="D54" s="19" t="s">
        <v>89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2">
        <f>SUM(L51:L53)</f>
        <v>778.3199999999999</v>
      </c>
      <c r="M54" s="110">
        <f>SUM(M51:M53)</f>
        <v>778.3199999999999</v>
      </c>
      <c r="N54" s="111">
        <f>SUM(N51:N53)</f>
        <v>0</v>
      </c>
      <c r="O54" s="112"/>
      <c r="P54" s="96"/>
      <c r="X54" s="110">
        <f>+Y54</f>
        <v>783.46</v>
      </c>
      <c r="Y54" s="110">
        <v>783.46</v>
      </c>
      <c r="Z54" s="227">
        <f>SUM(Z51:Z53)</f>
        <v>783.46</v>
      </c>
      <c r="AA54" s="215">
        <f>SUM(AA51:AA53)</f>
        <v>0</v>
      </c>
      <c r="AB54" s="219"/>
      <c r="AC54">
        <v>56</v>
      </c>
      <c r="AD54"/>
      <c r="AE54" s="240"/>
      <c r="AF54" s="240"/>
      <c r="AG54" s="240"/>
      <c r="AH54" s="240"/>
      <c r="AI54" s="240"/>
      <c r="AJ54" s="240"/>
      <c r="AK54" s="240"/>
      <c r="AL54" s="241"/>
    </row>
    <row r="55" spans="2:38" ht="26.25">
      <c r="B55" s="1" t="s">
        <v>264</v>
      </c>
      <c r="C55" s="4" t="s">
        <v>264</v>
      </c>
      <c r="E55" s="26">
        <v>455.6</v>
      </c>
      <c r="F55" s="26">
        <f t="shared" si="11"/>
        <v>455.6</v>
      </c>
      <c r="G55" s="27"/>
      <c r="H55" s="27"/>
      <c r="I55" s="26">
        <v>413.8</v>
      </c>
      <c r="J55" s="28">
        <f t="shared" si="12"/>
        <v>-41.80000000000001</v>
      </c>
      <c r="K55" s="64" t="s">
        <v>83</v>
      </c>
      <c r="L55" s="74">
        <v>413.8</v>
      </c>
      <c r="M55" s="98">
        <f>+L55</f>
        <v>413.8</v>
      </c>
      <c r="N55" s="99">
        <f>+M55-L55</f>
        <v>0</v>
      </c>
      <c r="O55" s="100"/>
      <c r="P55" s="96"/>
      <c r="V55" s="89" t="s">
        <v>118</v>
      </c>
      <c r="X55" s="98"/>
      <c r="Y55" s="43">
        <v>426.35</v>
      </c>
      <c r="Z55" s="43">
        <f>+Y55</f>
        <v>426.35</v>
      </c>
      <c r="AA55" s="215">
        <f>+Z55-Y55</f>
        <v>0</v>
      </c>
      <c r="AB55" s="214"/>
      <c r="AC55">
        <v>58</v>
      </c>
      <c r="AD55"/>
      <c r="AE55" s="240"/>
      <c r="AF55" s="240"/>
      <c r="AG55" s="240"/>
      <c r="AH55" s="240"/>
      <c r="AI55" s="240"/>
      <c r="AJ55" s="240"/>
      <c r="AK55" s="240"/>
      <c r="AL55" s="241"/>
    </row>
    <row r="56" spans="2:38" ht="15">
      <c r="B56" s="1" t="s">
        <v>265</v>
      </c>
      <c r="C56" s="4" t="s">
        <v>265</v>
      </c>
      <c r="E56" s="26">
        <v>43.3</v>
      </c>
      <c r="F56" s="26">
        <f t="shared" si="11"/>
        <v>43.3</v>
      </c>
      <c r="G56" s="27"/>
      <c r="H56" s="27"/>
      <c r="I56" s="26">
        <v>42.9</v>
      </c>
      <c r="J56" s="28">
        <f t="shared" si="12"/>
        <v>-0.3999999999999986</v>
      </c>
      <c r="K56" s="64"/>
      <c r="L56" s="74">
        <v>42.9</v>
      </c>
      <c r="M56" s="98">
        <f>+L56</f>
        <v>42.9</v>
      </c>
      <c r="N56" s="99">
        <f>+M56-L56</f>
        <v>0</v>
      </c>
      <c r="O56" s="100"/>
      <c r="P56" s="96"/>
      <c r="V56" s="89" t="s">
        <v>119</v>
      </c>
      <c r="X56" s="98"/>
      <c r="Y56" s="43">
        <v>45.96</v>
      </c>
      <c r="Z56" s="43">
        <f>+Y56</f>
        <v>45.96</v>
      </c>
      <c r="AA56" s="215">
        <f>+Z56-Y56</f>
        <v>0</v>
      </c>
      <c r="AB56" s="216"/>
      <c r="AC56">
        <v>61</v>
      </c>
      <c r="AD56">
        <v>613</v>
      </c>
      <c r="AE56" s="240"/>
      <c r="AF56" s="240"/>
      <c r="AG56" s="240"/>
      <c r="AH56" s="240"/>
      <c r="AI56" s="240"/>
      <c r="AJ56" s="240"/>
      <c r="AK56" s="240"/>
      <c r="AL56" s="241"/>
    </row>
    <row r="57" spans="2:38" ht="15">
      <c r="B57" s="1" t="s">
        <v>266</v>
      </c>
      <c r="C57" s="4" t="s">
        <v>266</v>
      </c>
      <c r="E57" s="26">
        <v>295.3</v>
      </c>
      <c r="F57" s="26">
        <f t="shared" si="11"/>
        <v>295.3</v>
      </c>
      <c r="G57" s="27"/>
      <c r="H57" s="27"/>
      <c r="I57" s="26">
        <v>290.6</v>
      </c>
      <c r="J57" s="28">
        <f t="shared" si="12"/>
        <v>-4.699999999999989</v>
      </c>
      <c r="K57" s="64"/>
      <c r="L57" s="74">
        <v>290.6</v>
      </c>
      <c r="M57" s="98">
        <f>+L57</f>
        <v>290.6</v>
      </c>
      <c r="N57" s="99">
        <f>+M57-L57</f>
        <v>0</v>
      </c>
      <c r="O57" s="100"/>
      <c r="P57" s="96"/>
      <c r="V57" s="89" t="s">
        <v>120</v>
      </c>
      <c r="X57" s="98"/>
      <c r="Y57" s="43">
        <v>310.09</v>
      </c>
      <c r="Z57" s="43">
        <f>+Y57</f>
        <v>310.09</v>
      </c>
      <c r="AA57" s="215">
        <f>+Z57-Y57</f>
        <v>0</v>
      </c>
      <c r="AB57" s="216"/>
      <c r="AC57">
        <v>62</v>
      </c>
      <c r="AD57">
        <v>621</v>
      </c>
      <c r="AE57" s="240"/>
      <c r="AF57" s="240"/>
      <c r="AG57" s="240"/>
      <c r="AH57" s="240"/>
      <c r="AI57" s="240"/>
      <c r="AJ57" s="240"/>
      <c r="AK57" s="240"/>
      <c r="AL57" s="241"/>
    </row>
    <row r="58" spans="1:41" s="17" customFormat="1" ht="19.5">
      <c r="A58" s="1"/>
      <c r="B58" s="1" t="s">
        <v>26</v>
      </c>
      <c r="C58" s="4" t="s">
        <v>26</v>
      </c>
      <c r="D58" s="1"/>
      <c r="E58" s="34">
        <v>366.7</v>
      </c>
      <c r="F58" s="34">
        <f t="shared" si="11"/>
        <v>366.7</v>
      </c>
      <c r="G58" s="41"/>
      <c r="H58" s="41"/>
      <c r="I58" s="34">
        <v>369.4</v>
      </c>
      <c r="J58" s="36">
        <f t="shared" si="12"/>
        <v>2.6999999999999886</v>
      </c>
      <c r="K58" s="64"/>
      <c r="L58" s="80">
        <v>369.4</v>
      </c>
      <c r="M58" s="189">
        <f>+L58</f>
        <v>369.4</v>
      </c>
      <c r="N58" s="190">
        <f>+M58-L58</f>
        <v>0</v>
      </c>
      <c r="O58" s="191"/>
      <c r="P58" s="196"/>
      <c r="Q58" s="197"/>
      <c r="R58" s="197"/>
      <c r="S58" s="197"/>
      <c r="T58" s="197"/>
      <c r="U58" s="197"/>
      <c r="V58" s="193" t="s">
        <v>121</v>
      </c>
      <c r="W58" s="193"/>
      <c r="X58" s="189"/>
      <c r="Y58" s="229">
        <v>360.52</v>
      </c>
      <c r="Z58" s="233">
        <f>+Y58</f>
        <v>360.52</v>
      </c>
      <c r="AA58" s="230">
        <f>+Z58-Y58</f>
        <v>0</v>
      </c>
      <c r="AB58" s="216"/>
      <c r="AC58">
        <v>62</v>
      </c>
      <c r="AD58">
        <v>622</v>
      </c>
      <c r="AE58" s="240"/>
      <c r="AF58" s="240"/>
      <c r="AG58" s="240"/>
      <c r="AH58" s="240"/>
      <c r="AI58" s="240"/>
      <c r="AJ58" s="240"/>
      <c r="AK58" s="240"/>
      <c r="AL58" s="241"/>
      <c r="AM58" s="245"/>
      <c r="AN58" s="245"/>
      <c r="AO58" s="245"/>
    </row>
    <row r="59" spans="1:38" ht="15">
      <c r="A59" s="17"/>
      <c r="B59" s="17"/>
      <c r="C59" s="18"/>
      <c r="D59" s="19" t="s">
        <v>90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2">
        <f>SUM(L55:L58)</f>
        <v>1116.6999999999998</v>
      </c>
      <c r="M59" s="110">
        <f>SUM(M55:M58)</f>
        <v>1116.6999999999998</v>
      </c>
      <c r="N59" s="113">
        <f>SUM(N55:N58)</f>
        <v>0</v>
      </c>
      <c r="O59" s="112"/>
      <c r="P59" s="56"/>
      <c r="Q59" s="114"/>
      <c r="X59" s="110">
        <f>+Y59</f>
        <v>1142.92</v>
      </c>
      <c r="Y59" s="227">
        <v>1142.92</v>
      </c>
      <c r="Z59" s="111">
        <f>SUM(Z55:Z58)</f>
        <v>1142.92</v>
      </c>
      <c r="AA59" s="231">
        <f>SUM(AA55:AA58)</f>
        <v>0</v>
      </c>
      <c r="AB59" s="219"/>
      <c r="AC59">
        <v>62</v>
      </c>
      <c r="AD59">
        <v>623</v>
      </c>
      <c r="AE59" s="240"/>
      <c r="AF59" s="240"/>
      <c r="AG59" s="240"/>
      <c r="AH59" s="240"/>
      <c r="AI59" s="240"/>
      <c r="AJ59" s="240"/>
      <c r="AK59" s="240"/>
      <c r="AL59" s="241"/>
    </row>
    <row r="60" spans="3:38" ht="15">
      <c r="C60" s="4" t="s">
        <v>27</v>
      </c>
      <c r="E60" s="26"/>
      <c r="F60" s="26">
        <f t="shared" si="11"/>
        <v>0</v>
      </c>
      <c r="G60" s="27"/>
      <c r="H60" s="27"/>
      <c r="I60" s="26"/>
      <c r="J60" s="28">
        <f t="shared" si="12"/>
        <v>0</v>
      </c>
      <c r="K60" s="57"/>
      <c r="L60" s="74"/>
      <c r="M60" s="98"/>
      <c r="N60" s="99">
        <f>+L60-I60</f>
        <v>0</v>
      </c>
      <c r="O60" s="115"/>
      <c r="P60" s="96"/>
      <c r="X60" s="125"/>
      <c r="Y60" s="153"/>
      <c r="Z60" s="124"/>
      <c r="AA60" s="232"/>
      <c r="AB60" s="214"/>
      <c r="AC60">
        <v>63</v>
      </c>
      <c r="AD60"/>
      <c r="AE60" s="240"/>
      <c r="AF60" s="240"/>
      <c r="AG60" s="240"/>
      <c r="AH60" s="240"/>
      <c r="AI60" s="240"/>
      <c r="AJ60" s="240"/>
      <c r="AK60" s="240"/>
      <c r="AL60" s="241"/>
    </row>
    <row r="61" spans="2:38" ht="15">
      <c r="B61" s="1" t="s">
        <v>27</v>
      </c>
      <c r="D61" s="1" t="s">
        <v>237</v>
      </c>
      <c r="E61" s="26">
        <v>471.1</v>
      </c>
      <c r="F61" s="26">
        <f t="shared" si="11"/>
        <v>471.1</v>
      </c>
      <c r="G61" s="27"/>
      <c r="H61" s="27"/>
      <c r="I61" s="26">
        <v>439.83</v>
      </c>
      <c r="J61" s="28">
        <f t="shared" si="12"/>
        <v>-31.27000000000004</v>
      </c>
      <c r="K61" s="64" t="s">
        <v>96</v>
      </c>
      <c r="L61" s="74">
        <v>439.83</v>
      </c>
      <c r="M61" s="98">
        <f aca="true" t="shared" si="13" ref="M61:M78">+L61</f>
        <v>439.83</v>
      </c>
      <c r="N61" s="99">
        <f aca="true" t="shared" si="14" ref="N61:N78">+M61-L61</f>
        <v>0</v>
      </c>
      <c r="O61" s="100"/>
      <c r="P61" s="96"/>
      <c r="V61" s="89" t="s">
        <v>122</v>
      </c>
      <c r="W61" s="89" t="s">
        <v>237</v>
      </c>
      <c r="X61" s="98"/>
      <c r="Y61" s="43">
        <v>382.03</v>
      </c>
      <c r="Z61" s="33">
        <f>+Y61</f>
        <v>382.03</v>
      </c>
      <c r="AA61" s="231">
        <f>+Z61-Y61</f>
        <v>0</v>
      </c>
      <c r="AB61" s="216"/>
      <c r="AC61">
        <v>65</v>
      </c>
      <c r="AD61">
        <v>612</v>
      </c>
      <c r="AE61" s="240"/>
      <c r="AF61" s="240"/>
      <c r="AG61" s="240"/>
      <c r="AH61" s="240"/>
      <c r="AI61" s="240"/>
      <c r="AJ61" s="240"/>
      <c r="AK61" s="240"/>
      <c r="AL61" s="241"/>
    </row>
    <row r="62" spans="2:38" ht="15">
      <c r="B62" s="1" t="s">
        <v>27</v>
      </c>
      <c r="D62" s="1" t="s">
        <v>238</v>
      </c>
      <c r="E62" s="26">
        <v>42.7</v>
      </c>
      <c r="F62" s="26">
        <f t="shared" si="11"/>
        <v>42.7</v>
      </c>
      <c r="G62" s="27"/>
      <c r="H62" s="27"/>
      <c r="I62" s="26">
        <v>45</v>
      </c>
      <c r="J62" s="28">
        <f t="shared" si="12"/>
        <v>2.299999999999997</v>
      </c>
      <c r="K62" s="64"/>
      <c r="L62" s="74">
        <v>45</v>
      </c>
      <c r="M62" s="98">
        <f t="shared" si="13"/>
        <v>45</v>
      </c>
      <c r="N62" s="99">
        <f t="shared" si="14"/>
        <v>0</v>
      </c>
      <c r="O62" s="100"/>
      <c r="P62" s="96"/>
      <c r="V62" s="89" t="s">
        <v>122</v>
      </c>
      <c r="W62" s="89" t="s">
        <v>238</v>
      </c>
      <c r="X62" s="98"/>
      <c r="Y62" s="43">
        <v>48.14</v>
      </c>
      <c r="Z62" s="33">
        <f>+Y62</f>
        <v>48.14</v>
      </c>
      <c r="AA62" s="231">
        <f>+Z62-Y62</f>
        <v>0</v>
      </c>
      <c r="AB62" s="216"/>
      <c r="AC62">
        <v>65</v>
      </c>
      <c r="AD62">
        <v>650</v>
      </c>
      <c r="AE62" s="240"/>
      <c r="AF62" s="240"/>
      <c r="AG62" s="240"/>
      <c r="AH62" s="240"/>
      <c r="AI62" s="240"/>
      <c r="AJ62" s="240"/>
      <c r="AK62" s="240"/>
      <c r="AL62" s="241"/>
    </row>
    <row r="63" spans="3:38" ht="15">
      <c r="C63" s="4" t="s">
        <v>28</v>
      </c>
      <c r="E63" s="26"/>
      <c r="F63" s="26">
        <f t="shared" si="11"/>
        <v>0</v>
      </c>
      <c r="G63" s="27"/>
      <c r="H63" s="27"/>
      <c r="I63" s="26"/>
      <c r="J63" s="28">
        <f t="shared" si="12"/>
        <v>0</v>
      </c>
      <c r="K63" s="64"/>
      <c r="L63" s="74"/>
      <c r="M63" s="98"/>
      <c r="N63" s="99">
        <f t="shared" si="14"/>
        <v>0</v>
      </c>
      <c r="O63" s="100"/>
      <c r="P63" s="96"/>
      <c r="X63" s="98"/>
      <c r="Y63" s="43"/>
      <c r="Z63" s="43"/>
      <c r="AA63" s="215"/>
      <c r="AB63" s="216"/>
      <c r="AC63">
        <v>71</v>
      </c>
      <c r="AD63">
        <v>740</v>
      </c>
      <c r="AE63" s="240"/>
      <c r="AF63" s="240"/>
      <c r="AG63" s="240"/>
      <c r="AH63" s="240"/>
      <c r="AI63" s="240"/>
      <c r="AJ63" s="240"/>
      <c r="AK63" s="240"/>
      <c r="AL63" s="241"/>
    </row>
    <row r="64" spans="2:38" ht="15">
      <c r="B64" s="1" t="s">
        <v>28</v>
      </c>
      <c r="D64" s="1" t="s">
        <v>239</v>
      </c>
      <c r="E64" s="26">
        <v>523.6</v>
      </c>
      <c r="F64" s="26">
        <f t="shared" si="11"/>
        <v>523.6</v>
      </c>
      <c r="G64" s="27"/>
      <c r="H64" s="27"/>
      <c r="I64" s="26">
        <v>445.5</v>
      </c>
      <c r="J64" s="28">
        <f t="shared" si="12"/>
        <v>-78.10000000000002</v>
      </c>
      <c r="K64" s="64"/>
      <c r="L64" s="74">
        <v>445.5</v>
      </c>
      <c r="M64" s="98">
        <f t="shared" si="13"/>
        <v>445.5</v>
      </c>
      <c r="N64" s="99">
        <f t="shared" si="14"/>
        <v>0</v>
      </c>
      <c r="O64" s="100"/>
      <c r="P64" s="96"/>
      <c r="V64" s="89" t="s">
        <v>123</v>
      </c>
      <c r="W64" s="89" t="s">
        <v>239</v>
      </c>
      <c r="X64" s="98"/>
      <c r="Y64" s="43">
        <v>453.94</v>
      </c>
      <c r="Z64" s="43">
        <f>+Y64</f>
        <v>453.94</v>
      </c>
      <c r="AA64" s="215">
        <f>+Z64-Y64</f>
        <v>0</v>
      </c>
      <c r="AB64" s="216"/>
      <c r="AC64">
        <v>72</v>
      </c>
      <c r="AD64">
        <v>720</v>
      </c>
      <c r="AE64" s="240"/>
      <c r="AF64" s="240"/>
      <c r="AG64" s="240"/>
      <c r="AH64" s="240"/>
      <c r="AI64" s="240"/>
      <c r="AJ64" s="240"/>
      <c r="AK64" s="240"/>
      <c r="AL64" s="241"/>
    </row>
    <row r="65" spans="2:38" ht="15">
      <c r="B65" s="1" t="s">
        <v>28</v>
      </c>
      <c r="D65" s="4" t="s">
        <v>240</v>
      </c>
      <c r="E65" s="40">
        <v>453.1</v>
      </c>
      <c r="F65" s="26">
        <v>14</v>
      </c>
      <c r="G65" s="51">
        <f>+F65-E65</f>
        <v>-439.1</v>
      </c>
      <c r="H65" s="57" t="s">
        <v>56</v>
      </c>
      <c r="I65" s="26"/>
      <c r="J65" s="28">
        <f t="shared" si="12"/>
        <v>-14</v>
      </c>
      <c r="K65" s="64"/>
      <c r="L65" s="74"/>
      <c r="M65" s="98">
        <f t="shared" si="13"/>
        <v>0</v>
      </c>
      <c r="N65" s="99">
        <f t="shared" si="14"/>
        <v>0</v>
      </c>
      <c r="O65" s="100"/>
      <c r="P65" s="96"/>
      <c r="X65" s="98"/>
      <c r="Y65" s="43"/>
      <c r="Z65" s="43"/>
      <c r="AA65" s="215">
        <f>Y65-X65</f>
        <v>0</v>
      </c>
      <c r="AB65" s="216"/>
      <c r="AC65">
        <v>73</v>
      </c>
      <c r="AD65">
        <v>730</v>
      </c>
      <c r="AE65" s="240"/>
      <c r="AF65" s="240"/>
      <c r="AG65" s="240"/>
      <c r="AH65" s="240"/>
      <c r="AI65" s="240"/>
      <c r="AJ65" s="240"/>
      <c r="AK65" s="240"/>
      <c r="AL65" s="241"/>
    </row>
    <row r="66" spans="2:38" ht="15">
      <c r="B66" s="1" t="s">
        <v>28</v>
      </c>
      <c r="D66" s="1" t="s">
        <v>241</v>
      </c>
      <c r="E66" s="26">
        <v>13.4</v>
      </c>
      <c r="F66" s="26">
        <f t="shared" si="11"/>
        <v>13.4</v>
      </c>
      <c r="G66" s="27"/>
      <c r="H66" s="27"/>
      <c r="I66" s="26"/>
      <c r="J66" s="28">
        <f t="shared" si="12"/>
        <v>-13.4</v>
      </c>
      <c r="K66" s="64"/>
      <c r="L66" s="74"/>
      <c r="M66" s="98">
        <f t="shared" si="13"/>
        <v>0</v>
      </c>
      <c r="N66" s="99">
        <f t="shared" si="14"/>
        <v>0</v>
      </c>
      <c r="O66" s="100"/>
      <c r="P66" s="96"/>
      <c r="X66" s="98"/>
      <c r="Y66" s="43"/>
      <c r="Z66" s="43"/>
      <c r="AA66" s="215">
        <f>Y66-X66</f>
        <v>0</v>
      </c>
      <c r="AB66" s="216"/>
      <c r="AC66">
        <v>74</v>
      </c>
      <c r="AD66">
        <v>740</v>
      </c>
      <c r="AE66" s="240"/>
      <c r="AF66" s="240"/>
      <c r="AG66" s="240"/>
      <c r="AH66" s="240"/>
      <c r="AI66" s="240"/>
      <c r="AJ66" s="240"/>
      <c r="AK66" s="240"/>
      <c r="AL66" s="241"/>
    </row>
    <row r="67" spans="3:38" ht="15">
      <c r="C67" s="4" t="s">
        <v>29</v>
      </c>
      <c r="E67" s="26"/>
      <c r="F67" s="26">
        <f t="shared" si="11"/>
        <v>0</v>
      </c>
      <c r="G67" s="27"/>
      <c r="H67" s="27"/>
      <c r="I67" s="26"/>
      <c r="J67" s="28">
        <f t="shared" si="12"/>
        <v>0</v>
      </c>
      <c r="K67" s="64"/>
      <c r="L67" s="74"/>
      <c r="M67" s="98">
        <f t="shared" si="13"/>
        <v>0</v>
      </c>
      <c r="N67" s="99">
        <f t="shared" si="14"/>
        <v>0</v>
      </c>
      <c r="O67" s="100"/>
      <c r="P67" s="96"/>
      <c r="X67" s="98"/>
      <c r="Y67" s="43"/>
      <c r="Z67" s="43"/>
      <c r="AA67" s="215"/>
      <c r="AB67" s="216"/>
      <c r="AC67">
        <v>74</v>
      </c>
      <c r="AD67">
        <v>741</v>
      </c>
      <c r="AE67" s="240"/>
      <c r="AF67" s="240"/>
      <c r="AG67" s="240"/>
      <c r="AH67" s="240"/>
      <c r="AI67" s="240"/>
      <c r="AJ67" s="240"/>
      <c r="AK67" s="240"/>
      <c r="AL67" s="241"/>
    </row>
    <row r="68" spans="2:38" ht="15">
      <c r="B68" s="1" t="s">
        <v>29</v>
      </c>
      <c r="D68" s="1" t="s">
        <v>242</v>
      </c>
      <c r="E68" s="26">
        <v>330.4</v>
      </c>
      <c r="F68" s="26">
        <f t="shared" si="11"/>
        <v>330.4</v>
      </c>
      <c r="G68" s="27"/>
      <c r="H68" s="27"/>
      <c r="I68" s="26">
        <v>343.5</v>
      </c>
      <c r="J68" s="28">
        <f t="shared" si="12"/>
        <v>13.100000000000023</v>
      </c>
      <c r="K68" s="64"/>
      <c r="L68" s="74">
        <v>343.5</v>
      </c>
      <c r="M68" s="98">
        <f t="shared" si="13"/>
        <v>343.5</v>
      </c>
      <c r="N68" s="99">
        <f t="shared" si="14"/>
        <v>0</v>
      </c>
      <c r="O68" s="100"/>
      <c r="P68" s="96"/>
      <c r="V68" s="89" t="s">
        <v>124</v>
      </c>
      <c r="W68" s="89" t="s">
        <v>242</v>
      </c>
      <c r="X68" s="98"/>
      <c r="Y68" s="43">
        <v>377.66</v>
      </c>
      <c r="Z68" s="43">
        <f>+Y68</f>
        <v>377.66</v>
      </c>
      <c r="AA68" s="215">
        <f>+Z68-Y68</f>
        <v>0</v>
      </c>
      <c r="AB68" s="216"/>
      <c r="AC68">
        <v>74</v>
      </c>
      <c r="AD68">
        <v>742</v>
      </c>
      <c r="AE68" s="240"/>
      <c r="AF68" s="240"/>
      <c r="AG68" s="240"/>
      <c r="AH68" s="240"/>
      <c r="AI68" s="240"/>
      <c r="AJ68" s="240"/>
      <c r="AK68" s="240"/>
      <c r="AL68" s="241"/>
    </row>
    <row r="69" spans="2:38" ht="15">
      <c r="B69" s="1" t="s">
        <v>29</v>
      </c>
      <c r="D69" s="1" t="s">
        <v>243</v>
      </c>
      <c r="E69" s="26">
        <v>90.2</v>
      </c>
      <c r="F69" s="26">
        <f t="shared" si="11"/>
        <v>90.2</v>
      </c>
      <c r="G69" s="27"/>
      <c r="H69" s="27"/>
      <c r="I69" s="26">
        <v>77.8</v>
      </c>
      <c r="J69" s="28">
        <f t="shared" si="12"/>
        <v>-12.400000000000006</v>
      </c>
      <c r="K69" s="64"/>
      <c r="L69" s="74">
        <v>77.8</v>
      </c>
      <c r="M69" s="98">
        <f t="shared" si="13"/>
        <v>77.8</v>
      </c>
      <c r="N69" s="99">
        <f t="shared" si="14"/>
        <v>0</v>
      </c>
      <c r="O69" s="100"/>
      <c r="P69" s="96"/>
      <c r="V69" s="89" t="s">
        <v>124</v>
      </c>
      <c r="W69" s="89" t="s">
        <v>243</v>
      </c>
      <c r="X69" s="98"/>
      <c r="Y69" s="43">
        <v>82.18</v>
      </c>
      <c r="Z69" s="43">
        <f>+Y69</f>
        <v>82.18</v>
      </c>
      <c r="AA69" s="215">
        <f>+Z69-Y69</f>
        <v>0</v>
      </c>
      <c r="AB69" s="216"/>
      <c r="AC69">
        <v>75</v>
      </c>
      <c r="AD69">
        <v>750</v>
      </c>
      <c r="AE69" s="240"/>
      <c r="AF69" s="240"/>
      <c r="AG69" s="240"/>
      <c r="AH69" s="240"/>
      <c r="AI69" s="240"/>
      <c r="AJ69" s="240"/>
      <c r="AK69" s="240"/>
      <c r="AL69" s="241"/>
    </row>
    <row r="70" spans="2:38" ht="15">
      <c r="B70" s="1" t="s">
        <v>29</v>
      </c>
      <c r="D70" s="1" t="s">
        <v>244</v>
      </c>
      <c r="E70" s="26">
        <v>12.8</v>
      </c>
      <c r="F70" s="26">
        <f t="shared" si="11"/>
        <v>12.8</v>
      </c>
      <c r="G70" s="27"/>
      <c r="H70" s="27"/>
      <c r="I70" s="26">
        <v>13.3</v>
      </c>
      <c r="J70" s="28">
        <f t="shared" si="12"/>
        <v>0.5</v>
      </c>
      <c r="K70" s="64"/>
      <c r="L70" s="74">
        <v>13.3</v>
      </c>
      <c r="M70" s="98">
        <f t="shared" si="13"/>
        <v>13.3</v>
      </c>
      <c r="N70" s="99">
        <f t="shared" si="14"/>
        <v>0</v>
      </c>
      <c r="O70" s="100"/>
      <c r="P70" s="96"/>
      <c r="V70" s="89" t="s">
        <v>124</v>
      </c>
      <c r="W70" s="89" t="s">
        <v>244</v>
      </c>
      <c r="X70" s="98"/>
      <c r="Y70" s="43">
        <v>14.27</v>
      </c>
      <c r="Z70" s="43">
        <f>+Y70</f>
        <v>14.27</v>
      </c>
      <c r="AA70" s="215">
        <f>+Z70-Y70</f>
        <v>0</v>
      </c>
      <c r="AB70" s="216"/>
      <c r="AC70">
        <v>76</v>
      </c>
      <c r="AD70"/>
      <c r="AE70" s="240"/>
      <c r="AF70" s="240"/>
      <c r="AG70" s="240"/>
      <c r="AH70" s="240"/>
      <c r="AI70" s="240"/>
      <c r="AJ70" s="240"/>
      <c r="AK70" s="240"/>
      <c r="AL70" s="241"/>
    </row>
    <row r="71" spans="2:38" ht="15">
      <c r="B71" s="1" t="s">
        <v>29</v>
      </c>
      <c r="D71" s="1" t="s">
        <v>245</v>
      </c>
      <c r="E71" s="26">
        <v>349.1</v>
      </c>
      <c r="F71" s="26">
        <f t="shared" si="11"/>
        <v>349.1</v>
      </c>
      <c r="G71" s="27"/>
      <c r="H71" s="27"/>
      <c r="I71" s="26">
        <v>294.2</v>
      </c>
      <c r="J71" s="28">
        <f t="shared" si="12"/>
        <v>-54.900000000000034</v>
      </c>
      <c r="K71" s="64"/>
      <c r="L71" s="74">
        <v>294.2</v>
      </c>
      <c r="M71" s="98">
        <f t="shared" si="13"/>
        <v>294.2</v>
      </c>
      <c r="N71" s="99">
        <f t="shared" si="14"/>
        <v>0</v>
      </c>
      <c r="O71" s="100"/>
      <c r="P71" s="96"/>
      <c r="V71" s="89" t="s">
        <v>124</v>
      </c>
      <c r="W71" s="89" t="s">
        <v>245</v>
      </c>
      <c r="X71" s="98"/>
      <c r="Y71" s="43">
        <v>312.65</v>
      </c>
      <c r="Z71" s="43">
        <f>+Y71</f>
        <v>312.65</v>
      </c>
      <c r="AA71" s="215">
        <f>+Z71-Y71</f>
        <v>0</v>
      </c>
      <c r="AB71" s="216"/>
      <c r="AC71">
        <v>81</v>
      </c>
      <c r="AD71">
        <v>810</v>
      </c>
      <c r="AE71" s="240"/>
      <c r="AF71" s="240"/>
      <c r="AG71" s="240"/>
      <c r="AH71" s="240"/>
      <c r="AI71" s="240"/>
      <c r="AJ71" s="240"/>
      <c r="AK71" s="240"/>
      <c r="AL71" s="241"/>
    </row>
    <row r="72" spans="2:38" ht="15">
      <c r="B72" s="1" t="s">
        <v>29</v>
      </c>
      <c r="D72" s="1" t="s">
        <v>246</v>
      </c>
      <c r="E72" s="26">
        <v>366.9</v>
      </c>
      <c r="F72" s="26">
        <f t="shared" si="11"/>
        <v>366.9</v>
      </c>
      <c r="G72" s="27"/>
      <c r="H72" s="27"/>
      <c r="I72" s="26">
        <v>485.9</v>
      </c>
      <c r="J72" s="28">
        <f t="shared" si="12"/>
        <v>119</v>
      </c>
      <c r="K72" s="64" t="s">
        <v>66</v>
      </c>
      <c r="L72" s="74">
        <v>485.9</v>
      </c>
      <c r="M72" s="98">
        <f t="shared" si="13"/>
        <v>485.9</v>
      </c>
      <c r="N72" s="99">
        <f t="shared" si="14"/>
        <v>0</v>
      </c>
      <c r="O72" s="100"/>
      <c r="P72" s="96"/>
      <c r="V72" s="89" t="s">
        <v>124</v>
      </c>
      <c r="W72" s="89" t="s">
        <v>246</v>
      </c>
      <c r="X72" s="98"/>
      <c r="Y72" s="43">
        <v>522.1</v>
      </c>
      <c r="Z72" s="43">
        <f>+Y72</f>
        <v>522.1</v>
      </c>
      <c r="AA72" s="215">
        <f>+Z72-Y72</f>
        <v>0</v>
      </c>
      <c r="AB72" s="216"/>
      <c r="AC72">
        <v>82</v>
      </c>
      <c r="AD72">
        <v>820</v>
      </c>
      <c r="AE72" s="240"/>
      <c r="AF72" s="240"/>
      <c r="AG72" s="240"/>
      <c r="AH72" s="240"/>
      <c r="AI72" s="240"/>
      <c r="AJ72" s="240"/>
      <c r="AK72" s="240"/>
      <c r="AL72" s="241"/>
    </row>
    <row r="73" spans="3:38" ht="15">
      <c r="C73" s="4" t="s">
        <v>30</v>
      </c>
      <c r="E73" s="26"/>
      <c r="F73" s="26">
        <f t="shared" si="11"/>
        <v>0</v>
      </c>
      <c r="G73" s="27"/>
      <c r="H73" s="27"/>
      <c r="I73" s="26"/>
      <c r="J73" s="28">
        <f t="shared" si="12"/>
        <v>0</v>
      </c>
      <c r="K73" s="64"/>
      <c r="L73" s="74"/>
      <c r="M73" s="98"/>
      <c r="N73" s="99">
        <f t="shared" si="14"/>
        <v>0</v>
      </c>
      <c r="O73" s="100"/>
      <c r="P73" s="96"/>
      <c r="X73" s="98"/>
      <c r="Y73" s="43"/>
      <c r="Z73" s="43"/>
      <c r="AA73" s="215"/>
      <c r="AB73" s="216"/>
      <c r="AC73">
        <v>84</v>
      </c>
      <c r="AD73">
        <v>840</v>
      </c>
      <c r="AE73" s="240"/>
      <c r="AF73" s="240"/>
      <c r="AG73" s="240"/>
      <c r="AH73" s="240"/>
      <c r="AI73" s="240"/>
      <c r="AJ73" s="240"/>
      <c r="AK73" s="240"/>
      <c r="AL73" s="241"/>
    </row>
    <row r="74" spans="2:38" ht="15">
      <c r="B74" s="1" t="s">
        <v>30</v>
      </c>
      <c r="D74" s="1" t="s">
        <v>6</v>
      </c>
      <c r="E74" s="26">
        <v>510</v>
      </c>
      <c r="F74" s="26">
        <f t="shared" si="11"/>
        <v>510</v>
      </c>
      <c r="G74" s="27"/>
      <c r="H74" s="27"/>
      <c r="I74" s="26">
        <v>518.34</v>
      </c>
      <c r="J74" s="28">
        <f t="shared" si="12"/>
        <v>8.340000000000032</v>
      </c>
      <c r="K74" s="64"/>
      <c r="L74" s="74">
        <v>518.34</v>
      </c>
      <c r="M74" s="98">
        <f t="shared" si="13"/>
        <v>518.34</v>
      </c>
      <c r="N74" s="99">
        <f t="shared" si="14"/>
        <v>0</v>
      </c>
      <c r="O74" s="100"/>
      <c r="P74" s="96"/>
      <c r="V74" s="89" t="s">
        <v>125</v>
      </c>
      <c r="W74" s="89" t="s">
        <v>6</v>
      </c>
      <c r="X74" s="98"/>
      <c r="Y74" s="43">
        <v>520.33</v>
      </c>
      <c r="Z74" s="43">
        <f>+Y74</f>
        <v>520.33</v>
      </c>
      <c r="AA74" s="215">
        <f>+Z74-Y74</f>
        <v>0</v>
      </c>
      <c r="AB74" s="216"/>
      <c r="AC74">
        <v>85</v>
      </c>
      <c r="AD74"/>
      <c r="AE74" s="240"/>
      <c r="AF74" s="240"/>
      <c r="AG74" s="240"/>
      <c r="AH74" s="240"/>
      <c r="AI74" s="240"/>
      <c r="AJ74" s="240"/>
      <c r="AK74" s="240"/>
      <c r="AL74" s="241"/>
    </row>
    <row r="75" spans="2:38" ht="15">
      <c r="B75" s="1" t="s">
        <v>30</v>
      </c>
      <c r="D75" s="1" t="s">
        <v>7</v>
      </c>
      <c r="E75" s="26">
        <v>240.2</v>
      </c>
      <c r="F75" s="26">
        <f t="shared" si="11"/>
        <v>240.2</v>
      </c>
      <c r="G75" s="27"/>
      <c r="H75" s="27"/>
      <c r="I75" s="26">
        <v>243.96</v>
      </c>
      <c r="J75" s="28">
        <f t="shared" si="12"/>
        <v>3.7600000000000193</v>
      </c>
      <c r="K75" s="64"/>
      <c r="L75" s="74">
        <v>243.96</v>
      </c>
      <c r="M75" s="98">
        <f t="shared" si="13"/>
        <v>243.96</v>
      </c>
      <c r="N75" s="99">
        <f t="shared" si="14"/>
        <v>0</v>
      </c>
      <c r="O75" s="100"/>
      <c r="P75" s="96"/>
      <c r="V75" s="89" t="s">
        <v>125</v>
      </c>
      <c r="W75" s="89" t="s">
        <v>7</v>
      </c>
      <c r="X75" s="98"/>
      <c r="Y75" s="43">
        <v>261.74</v>
      </c>
      <c r="Z75" s="43">
        <f>+Y75</f>
        <v>261.74</v>
      </c>
      <c r="AA75" s="215">
        <f>+Z75-Y75</f>
        <v>0</v>
      </c>
      <c r="AB75" s="216"/>
      <c r="AC75" t="s">
        <v>171</v>
      </c>
      <c r="AD75" t="s">
        <v>152</v>
      </c>
      <c r="AE75" s="240"/>
      <c r="AF75" s="240"/>
      <c r="AG75" s="240"/>
      <c r="AH75" s="240"/>
      <c r="AI75" s="240"/>
      <c r="AJ75" s="240"/>
      <c r="AK75" s="240"/>
      <c r="AL75" s="241"/>
    </row>
    <row r="76" spans="2:39" ht="15">
      <c r="B76" s="1" t="s">
        <v>30</v>
      </c>
      <c r="D76" s="1" t="s">
        <v>8</v>
      </c>
      <c r="E76" s="26">
        <v>302.4</v>
      </c>
      <c r="F76" s="26">
        <f t="shared" si="11"/>
        <v>302.4</v>
      </c>
      <c r="G76" s="27"/>
      <c r="H76" s="27"/>
      <c r="I76" s="26">
        <v>305.49</v>
      </c>
      <c r="J76" s="28">
        <f t="shared" si="12"/>
        <v>3.090000000000032</v>
      </c>
      <c r="K76" s="64"/>
      <c r="L76" s="74">
        <v>305.49</v>
      </c>
      <c r="M76" s="98">
        <f t="shared" si="13"/>
        <v>305.49</v>
      </c>
      <c r="N76" s="99">
        <f t="shared" si="14"/>
        <v>0</v>
      </c>
      <c r="O76" s="100"/>
      <c r="P76" s="96"/>
      <c r="V76" s="89" t="s">
        <v>125</v>
      </c>
      <c r="W76" s="89" t="s">
        <v>8</v>
      </c>
      <c r="X76" s="98"/>
      <c r="Y76" s="43">
        <v>324.72</v>
      </c>
      <c r="Z76" s="43">
        <f>+Y76</f>
        <v>324.72</v>
      </c>
      <c r="AA76" s="215">
        <f>+Z76-Y76</f>
        <v>0</v>
      </c>
      <c r="AB76" s="216"/>
      <c r="AC76" t="s">
        <v>172</v>
      </c>
      <c r="AD76" t="s">
        <v>20</v>
      </c>
      <c r="AE76" s="240"/>
      <c r="AF76" s="240"/>
      <c r="AG76" s="240"/>
      <c r="AH76" s="240"/>
      <c r="AI76" s="240"/>
      <c r="AJ76" s="240"/>
      <c r="AK76" s="240"/>
      <c r="AL76" s="241"/>
      <c r="AM76" s="243">
        <v>12804</v>
      </c>
    </row>
    <row r="77" spans="5:38" ht="15">
      <c r="E77" s="26"/>
      <c r="F77" s="26">
        <f t="shared" si="11"/>
        <v>0</v>
      </c>
      <c r="G77" s="27"/>
      <c r="H77" s="27"/>
      <c r="I77" s="26"/>
      <c r="J77" s="28">
        <f t="shared" si="12"/>
        <v>0</v>
      </c>
      <c r="K77" s="64"/>
      <c r="L77" s="74"/>
      <c r="M77" s="98"/>
      <c r="N77" s="99">
        <f t="shared" si="14"/>
        <v>0</v>
      </c>
      <c r="O77" s="100"/>
      <c r="P77" s="96"/>
      <c r="X77" s="125"/>
      <c r="Y77" s="153"/>
      <c r="Z77" s="153"/>
      <c r="AA77" s="213"/>
      <c r="AB77" s="216"/>
      <c r="AC77"/>
      <c r="AD77"/>
      <c r="AE77" s="240"/>
      <c r="AF77" s="240"/>
      <c r="AG77" s="240"/>
      <c r="AH77" s="240"/>
      <c r="AI77" s="240"/>
      <c r="AJ77" s="240"/>
      <c r="AK77" s="240"/>
      <c r="AL77" s="241"/>
    </row>
    <row r="78" spans="1:41" s="17" customFormat="1" ht="19.5">
      <c r="A78" s="1"/>
      <c r="B78" s="1" t="s">
        <v>31</v>
      </c>
      <c r="C78" s="4" t="s">
        <v>31</v>
      </c>
      <c r="D78" s="1"/>
      <c r="E78" s="34">
        <v>1.3</v>
      </c>
      <c r="F78" s="34">
        <f t="shared" si="11"/>
        <v>1.3</v>
      </c>
      <c r="G78" s="41">
        <v>0</v>
      </c>
      <c r="H78" s="41"/>
      <c r="I78" s="34">
        <v>1.3</v>
      </c>
      <c r="J78" s="36">
        <f t="shared" si="12"/>
        <v>0</v>
      </c>
      <c r="K78" s="64"/>
      <c r="L78" s="80">
        <v>1.3</v>
      </c>
      <c r="M78" s="189">
        <f t="shared" si="13"/>
        <v>1.3</v>
      </c>
      <c r="N78" s="190">
        <f t="shared" si="14"/>
        <v>0</v>
      </c>
      <c r="O78" s="191"/>
      <c r="P78" s="196"/>
      <c r="Q78" s="197"/>
      <c r="R78" s="197"/>
      <c r="S78" s="197"/>
      <c r="T78" s="197"/>
      <c r="U78" s="197"/>
      <c r="V78" s="193" t="s">
        <v>126</v>
      </c>
      <c r="W78" s="193">
        <v>460</v>
      </c>
      <c r="X78" s="189"/>
      <c r="Y78" s="189">
        <v>1.3</v>
      </c>
      <c r="Z78" s="189">
        <f>+Y78</f>
        <v>1.3</v>
      </c>
      <c r="AA78" s="217">
        <f>+Z78-Y78</f>
        <v>0</v>
      </c>
      <c r="AB78" s="216"/>
      <c r="AC78"/>
      <c r="AD78" s="183" t="s">
        <v>22</v>
      </c>
      <c r="AE78" s="240"/>
      <c r="AF78" s="240"/>
      <c r="AG78" s="240"/>
      <c r="AH78" s="240"/>
      <c r="AI78" s="240"/>
      <c r="AJ78" s="240"/>
      <c r="AK78" s="240"/>
      <c r="AL78" s="241"/>
      <c r="AM78" s="245"/>
      <c r="AN78" s="245"/>
      <c r="AO78" s="245"/>
    </row>
    <row r="79" spans="1:36" ht="15">
      <c r="A79" s="17"/>
      <c r="B79" s="17"/>
      <c r="C79" s="18"/>
      <c r="D79" s="19" t="s">
        <v>91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2">
        <f>SUM(L61:L78)</f>
        <v>3214.12</v>
      </c>
      <c r="M79" s="110">
        <f>SUM(M61:M78)</f>
        <v>3214.12</v>
      </c>
      <c r="N79" s="113">
        <f>SUM(N61:N78)</f>
        <v>0</v>
      </c>
      <c r="O79" s="112"/>
      <c r="P79" s="96"/>
      <c r="X79" s="110">
        <f>+Y79</f>
        <v>3301.06</v>
      </c>
      <c r="Y79" s="110">
        <v>3301.06</v>
      </c>
      <c r="Z79" s="227">
        <f>SUM(Z61:Z78)</f>
        <v>3301.0600000000004</v>
      </c>
      <c r="AA79" s="215">
        <f>SUM(AA61:AA78)</f>
        <v>0</v>
      </c>
      <c r="AB79" s="219"/>
      <c r="AD79" s="184" t="s">
        <v>23</v>
      </c>
      <c r="AE79" s="246"/>
      <c r="AF79" s="246"/>
      <c r="AJ79" s="243"/>
    </row>
    <row r="80" spans="5:35" ht="15">
      <c r="E80" s="26"/>
      <c r="F80" s="26">
        <f aca="true" t="shared" si="15" ref="F80:F112">+G80+E80</f>
        <v>0</v>
      </c>
      <c r="G80" s="27"/>
      <c r="H80" s="27"/>
      <c r="I80" s="26"/>
      <c r="J80" s="28">
        <f aca="true" t="shared" si="16" ref="J80:J112">+I80-F80</f>
        <v>0</v>
      </c>
      <c r="K80" s="64"/>
      <c r="L80" s="74"/>
      <c r="M80" s="98"/>
      <c r="N80" s="99">
        <f aca="true" t="shared" si="17" ref="N80:N87">+M80-L80</f>
        <v>0</v>
      </c>
      <c r="O80" s="100"/>
      <c r="P80" s="96"/>
      <c r="X80" s="125"/>
      <c r="Y80" s="153"/>
      <c r="Z80" s="153"/>
      <c r="AA80" s="213"/>
      <c r="AB80" s="214"/>
      <c r="AH80" s="246"/>
      <c r="AI80" s="246"/>
    </row>
    <row r="81" spans="2:35" ht="15">
      <c r="B81" s="1" t="s">
        <v>32</v>
      </c>
      <c r="C81" s="4" t="s">
        <v>32</v>
      </c>
      <c r="E81" s="26">
        <v>292.9</v>
      </c>
      <c r="F81" s="26">
        <f t="shared" si="15"/>
        <v>292.9</v>
      </c>
      <c r="G81" s="27"/>
      <c r="H81" s="27"/>
      <c r="I81" s="26">
        <v>288.9</v>
      </c>
      <c r="J81" s="28">
        <f t="shared" si="16"/>
        <v>-4</v>
      </c>
      <c r="K81" s="64"/>
      <c r="L81" s="74">
        <v>288.9</v>
      </c>
      <c r="M81" s="98">
        <f aca="true" t="shared" si="18" ref="M81:M87">+L81</f>
        <v>288.9</v>
      </c>
      <c r="N81" s="99">
        <f t="shared" si="17"/>
        <v>0</v>
      </c>
      <c r="O81" s="100"/>
      <c r="P81" s="96"/>
      <c r="V81" s="89" t="s">
        <v>127</v>
      </c>
      <c r="X81" s="98"/>
      <c r="Y81" s="43">
        <v>310.59</v>
      </c>
      <c r="Z81" s="43">
        <f aca="true" t="shared" si="19" ref="Z81:Z87">+Y81</f>
        <v>310.59</v>
      </c>
      <c r="AA81" s="215">
        <f aca="true" t="shared" si="20" ref="AA81:AA87">+Z81-Y81</f>
        <v>0</v>
      </c>
      <c r="AB81" s="216"/>
      <c r="AH81" s="246"/>
      <c r="AI81" s="246"/>
    </row>
    <row r="82" spans="2:28" ht="15">
      <c r="B82" s="1" t="s">
        <v>33</v>
      </c>
      <c r="C82" s="4" t="s">
        <v>33</v>
      </c>
      <c r="E82" s="26">
        <v>660.7</v>
      </c>
      <c r="F82" s="26">
        <f t="shared" si="15"/>
        <v>660.7</v>
      </c>
      <c r="G82" s="27"/>
      <c r="H82" s="27"/>
      <c r="I82" s="26">
        <v>569.3</v>
      </c>
      <c r="J82" s="28">
        <f t="shared" si="16"/>
        <v>-91.40000000000009</v>
      </c>
      <c r="K82" s="64"/>
      <c r="L82" s="74">
        <v>569.3</v>
      </c>
      <c r="M82" s="98">
        <f t="shared" si="18"/>
        <v>569.3</v>
      </c>
      <c r="N82" s="99">
        <f t="shared" si="17"/>
        <v>0</v>
      </c>
      <c r="O82" s="100"/>
      <c r="P82" s="96"/>
      <c r="V82" s="89" t="s">
        <v>128</v>
      </c>
      <c r="X82" s="98"/>
      <c r="Y82" s="43">
        <v>610.92</v>
      </c>
      <c r="Z82" s="43">
        <f t="shared" si="19"/>
        <v>610.92</v>
      </c>
      <c r="AA82" s="215">
        <f t="shared" si="20"/>
        <v>0</v>
      </c>
      <c r="AB82" s="216"/>
    </row>
    <row r="83" spans="2:28" ht="15">
      <c r="B83" s="1" t="s">
        <v>34</v>
      </c>
      <c r="C83" s="4" t="s">
        <v>34</v>
      </c>
      <c r="E83" s="26">
        <v>414.9</v>
      </c>
      <c r="F83" s="26">
        <f t="shared" si="15"/>
        <v>414.9</v>
      </c>
      <c r="G83" s="27"/>
      <c r="H83" s="27"/>
      <c r="I83" s="26">
        <v>328.4</v>
      </c>
      <c r="J83" s="28">
        <f t="shared" si="16"/>
        <v>-86.5</v>
      </c>
      <c r="K83" s="64"/>
      <c r="L83" s="74">
        <v>328.4</v>
      </c>
      <c r="M83" s="98">
        <f t="shared" si="18"/>
        <v>328.4</v>
      </c>
      <c r="N83" s="99">
        <f t="shared" si="17"/>
        <v>0</v>
      </c>
      <c r="O83" s="100"/>
      <c r="P83" s="96"/>
      <c r="V83" s="89" t="s">
        <v>129</v>
      </c>
      <c r="X83" s="98"/>
      <c r="Y83" s="43">
        <v>351.01</v>
      </c>
      <c r="Z83" s="43">
        <f t="shared" si="19"/>
        <v>351.01</v>
      </c>
      <c r="AA83" s="215">
        <f t="shared" si="20"/>
        <v>0</v>
      </c>
      <c r="AB83" s="216"/>
    </row>
    <row r="84" spans="2:28" ht="15">
      <c r="B84" s="1" t="s">
        <v>35</v>
      </c>
      <c r="C84" s="4" t="s">
        <v>35</v>
      </c>
      <c r="E84" s="26">
        <v>292</v>
      </c>
      <c r="F84" s="26">
        <f t="shared" si="15"/>
        <v>292</v>
      </c>
      <c r="G84" s="27"/>
      <c r="H84" s="27"/>
      <c r="I84" s="26">
        <v>206.8</v>
      </c>
      <c r="J84" s="28">
        <f t="shared" si="16"/>
        <v>-85.19999999999999</v>
      </c>
      <c r="K84" s="64"/>
      <c r="L84" s="74">
        <v>206.8</v>
      </c>
      <c r="M84" s="98">
        <f t="shared" si="18"/>
        <v>206.8</v>
      </c>
      <c r="N84" s="99">
        <f t="shared" si="17"/>
        <v>0</v>
      </c>
      <c r="O84" s="100"/>
      <c r="P84" s="96"/>
      <c r="V84" s="89" t="s">
        <v>130</v>
      </c>
      <c r="X84" s="98"/>
      <c r="Y84" s="43">
        <v>220.96</v>
      </c>
      <c r="Z84" s="43">
        <f t="shared" si="19"/>
        <v>220.96</v>
      </c>
      <c r="AA84" s="215">
        <f t="shared" si="20"/>
        <v>0</v>
      </c>
      <c r="AB84" s="216"/>
    </row>
    <row r="85" spans="2:28" ht="15">
      <c r="B85" s="1" t="s">
        <v>36</v>
      </c>
      <c r="C85" s="4" t="s">
        <v>36</v>
      </c>
      <c r="E85" s="26">
        <v>153.7</v>
      </c>
      <c r="F85" s="26">
        <f t="shared" si="15"/>
        <v>153.7</v>
      </c>
      <c r="G85" s="27"/>
      <c r="H85" s="27"/>
      <c r="I85" s="26">
        <v>151.2</v>
      </c>
      <c r="J85" s="28">
        <f t="shared" si="16"/>
        <v>-2.5</v>
      </c>
      <c r="K85" s="64"/>
      <c r="L85" s="74">
        <v>151.2</v>
      </c>
      <c r="M85" s="98">
        <f t="shared" si="18"/>
        <v>151.2</v>
      </c>
      <c r="N85" s="99">
        <f t="shared" si="17"/>
        <v>0</v>
      </c>
      <c r="O85" s="100"/>
      <c r="P85" s="96"/>
      <c r="V85" s="89" t="s">
        <v>131</v>
      </c>
      <c r="X85" s="98"/>
      <c r="Y85" s="43">
        <v>161.65</v>
      </c>
      <c r="Z85" s="43">
        <f t="shared" si="19"/>
        <v>161.65</v>
      </c>
      <c r="AA85" s="215">
        <f t="shared" si="20"/>
        <v>0</v>
      </c>
      <c r="AB85" s="216"/>
    </row>
    <row r="86" spans="2:28" ht="15">
      <c r="B86" s="1" t="s">
        <v>37</v>
      </c>
      <c r="C86" s="4" t="s">
        <v>37</v>
      </c>
      <c r="E86" s="26">
        <v>361.7</v>
      </c>
      <c r="F86" s="26">
        <f t="shared" si="15"/>
        <v>361.7</v>
      </c>
      <c r="G86" s="27"/>
      <c r="H86" s="27"/>
      <c r="I86" s="26">
        <v>357.7</v>
      </c>
      <c r="J86" s="28">
        <f t="shared" si="16"/>
        <v>-4</v>
      </c>
      <c r="K86" s="64"/>
      <c r="L86" s="74">
        <v>357.7</v>
      </c>
      <c r="M86" s="98">
        <f t="shared" si="18"/>
        <v>357.7</v>
      </c>
      <c r="N86" s="99">
        <f t="shared" si="17"/>
        <v>0</v>
      </c>
      <c r="O86" s="100"/>
      <c r="P86" s="96"/>
      <c r="V86" s="89" t="s">
        <v>132</v>
      </c>
      <c r="X86" s="98"/>
      <c r="Y86" s="43">
        <v>381.94</v>
      </c>
      <c r="Z86" s="43">
        <f t="shared" si="19"/>
        <v>381.94</v>
      </c>
      <c r="AA86" s="215">
        <f t="shared" si="20"/>
        <v>0</v>
      </c>
      <c r="AB86" s="216"/>
    </row>
    <row r="87" spans="1:41" s="17" customFormat="1" ht="19.5">
      <c r="A87" s="1"/>
      <c r="B87" s="1" t="s">
        <v>38</v>
      </c>
      <c r="C87" s="4" t="s">
        <v>38</v>
      </c>
      <c r="D87" s="1"/>
      <c r="E87" s="34">
        <v>12.9</v>
      </c>
      <c r="F87" s="34">
        <f t="shared" si="15"/>
        <v>12.9</v>
      </c>
      <c r="G87" s="41"/>
      <c r="H87" s="41"/>
      <c r="I87" s="34">
        <v>12.9</v>
      </c>
      <c r="J87" s="36">
        <f t="shared" si="16"/>
        <v>0</v>
      </c>
      <c r="K87" s="64"/>
      <c r="L87" s="80">
        <v>12.9</v>
      </c>
      <c r="M87" s="189">
        <f t="shared" si="18"/>
        <v>12.9</v>
      </c>
      <c r="N87" s="190">
        <f t="shared" si="17"/>
        <v>0</v>
      </c>
      <c r="O87" s="191"/>
      <c r="P87" s="196"/>
      <c r="Q87" s="197"/>
      <c r="R87" s="197"/>
      <c r="S87" s="197"/>
      <c r="T87" s="197"/>
      <c r="U87" s="197"/>
      <c r="V87" s="193" t="s">
        <v>133</v>
      </c>
      <c r="W87" s="193"/>
      <c r="X87" s="189"/>
      <c r="Y87" s="189">
        <v>12.46</v>
      </c>
      <c r="Z87" s="189">
        <f t="shared" si="19"/>
        <v>12.46</v>
      </c>
      <c r="AA87" s="217">
        <f t="shared" si="20"/>
        <v>0</v>
      </c>
      <c r="AB87" s="216"/>
      <c r="AE87" s="245"/>
      <c r="AF87" s="245"/>
      <c r="AG87" s="245"/>
      <c r="AH87" s="245"/>
      <c r="AI87" s="245"/>
      <c r="AJ87" s="245"/>
      <c r="AK87" s="245"/>
      <c r="AL87" s="247"/>
      <c r="AM87" s="245"/>
      <c r="AN87" s="245"/>
      <c r="AO87" s="245"/>
    </row>
    <row r="88" spans="1:28" ht="15">
      <c r="A88" s="17"/>
      <c r="B88" s="17"/>
      <c r="C88" s="18"/>
      <c r="D88" s="19" t="s">
        <v>92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2">
        <f>SUM(L81:L87)</f>
        <v>1915.2</v>
      </c>
      <c r="M88" s="110">
        <f>SUM(M81:M87)</f>
        <v>1915.2</v>
      </c>
      <c r="N88" s="111">
        <f>SUM(N81:N87)</f>
        <v>0</v>
      </c>
      <c r="O88" s="112"/>
      <c r="P88" s="96"/>
      <c r="X88" s="110">
        <f>+Y88</f>
        <v>2049.53</v>
      </c>
      <c r="Y88" s="110">
        <v>2049.53</v>
      </c>
      <c r="Z88" s="110">
        <f>SUM(Z80:Z87)</f>
        <v>2049.53</v>
      </c>
      <c r="AA88" s="215">
        <f>SUM(AA81:AA87)</f>
        <v>0</v>
      </c>
      <c r="AB88" s="219"/>
    </row>
    <row r="89" spans="3:28" ht="15">
      <c r="C89" s="4" t="s">
        <v>39</v>
      </c>
      <c r="E89" s="26"/>
      <c r="F89" s="26">
        <f t="shared" si="15"/>
        <v>0</v>
      </c>
      <c r="G89" s="27"/>
      <c r="H89" s="27"/>
      <c r="I89" s="26"/>
      <c r="J89" s="28">
        <f t="shared" si="16"/>
        <v>0</v>
      </c>
      <c r="K89" s="64"/>
      <c r="L89" s="74"/>
      <c r="M89" s="98"/>
      <c r="N89" s="99">
        <f>+L89-I89</f>
        <v>0</v>
      </c>
      <c r="O89" s="100"/>
      <c r="P89" s="96"/>
      <c r="X89" s="125"/>
      <c r="Y89" s="125"/>
      <c r="Z89" s="125"/>
      <c r="AA89" s="222"/>
      <c r="AB89" s="223"/>
    </row>
    <row r="90" spans="2:28" ht="15">
      <c r="B90" s="1" t="s">
        <v>39</v>
      </c>
      <c r="D90" s="1" t="s">
        <v>9</v>
      </c>
      <c r="E90" s="26">
        <v>153.3</v>
      </c>
      <c r="F90" s="26">
        <f t="shared" si="15"/>
        <v>153.3</v>
      </c>
      <c r="G90" s="27"/>
      <c r="H90" s="27"/>
      <c r="I90" s="26">
        <v>151.1</v>
      </c>
      <c r="J90" s="28">
        <f t="shared" si="16"/>
        <v>-2.200000000000017</v>
      </c>
      <c r="K90" s="64"/>
      <c r="L90" s="74">
        <v>151.1</v>
      </c>
      <c r="M90" s="98">
        <f>+L90</f>
        <v>151.1</v>
      </c>
      <c r="N90" s="99">
        <f aca="true" t="shared" si="21" ref="N90:N102">+M90-L90</f>
        <v>0</v>
      </c>
      <c r="O90" s="100"/>
      <c r="P90" s="96"/>
      <c r="V90" s="89" t="s">
        <v>134</v>
      </c>
      <c r="W90" s="89" t="s">
        <v>9</v>
      </c>
      <c r="X90" s="98"/>
      <c r="Y90" s="43" t="s">
        <v>21</v>
      </c>
      <c r="Z90" s="43"/>
      <c r="AA90" s="215"/>
      <c r="AB90" s="216"/>
    </row>
    <row r="91" spans="2:28" ht="15">
      <c r="B91" s="1" t="s">
        <v>39</v>
      </c>
      <c r="D91" s="1" t="s">
        <v>10</v>
      </c>
      <c r="E91" s="26">
        <v>239.9</v>
      </c>
      <c r="F91" s="26">
        <f t="shared" si="15"/>
        <v>-0.09999999999999432</v>
      </c>
      <c r="G91" s="27">
        <v>-240</v>
      </c>
      <c r="H91" s="57" t="s">
        <v>58</v>
      </c>
      <c r="I91" s="26"/>
      <c r="J91" s="28">
        <f t="shared" si="16"/>
        <v>0.09999999999999432</v>
      </c>
      <c r="K91" s="64"/>
      <c r="L91" s="74"/>
      <c r="M91" s="98">
        <f aca="true" t="shared" si="22" ref="M91:M102">+L91</f>
        <v>0</v>
      </c>
      <c r="N91" s="99">
        <f t="shared" si="21"/>
        <v>0</v>
      </c>
      <c r="O91" s="100"/>
      <c r="P91" s="96"/>
      <c r="X91" s="98"/>
      <c r="Y91" s="43"/>
      <c r="Z91" s="43"/>
      <c r="AA91" s="215">
        <f>Y91-X91</f>
        <v>0</v>
      </c>
      <c r="AB91" s="216"/>
    </row>
    <row r="92" spans="2:28" ht="15">
      <c r="B92" s="1" t="s">
        <v>39</v>
      </c>
      <c r="D92" s="1" t="s">
        <v>11</v>
      </c>
      <c r="E92" s="26">
        <v>100</v>
      </c>
      <c r="F92" s="26">
        <f t="shared" si="15"/>
        <v>100</v>
      </c>
      <c r="G92" s="27"/>
      <c r="H92" s="27"/>
      <c r="I92" s="26">
        <v>89.4</v>
      </c>
      <c r="J92" s="28">
        <f t="shared" si="16"/>
        <v>-10.599999999999994</v>
      </c>
      <c r="K92" s="64"/>
      <c r="L92" s="74">
        <v>89.4</v>
      </c>
      <c r="M92" s="98">
        <f t="shared" si="22"/>
        <v>89.4</v>
      </c>
      <c r="N92" s="99">
        <f t="shared" si="21"/>
        <v>0</v>
      </c>
      <c r="O92" s="100"/>
      <c r="P92" s="96"/>
      <c r="V92" s="89" t="s">
        <v>134</v>
      </c>
      <c r="W92" s="89" t="s">
        <v>11</v>
      </c>
      <c r="X92" s="98"/>
      <c r="Y92" s="43">
        <v>94.51</v>
      </c>
      <c r="Z92" s="43">
        <f>+Y92</f>
        <v>94.51</v>
      </c>
      <c r="AA92" s="215">
        <f>+Z92-Y92</f>
        <v>0</v>
      </c>
      <c r="AB92" s="216"/>
    </row>
    <row r="93" spans="2:28" ht="15">
      <c r="B93" s="1" t="s">
        <v>39</v>
      </c>
      <c r="D93" s="1" t="s">
        <v>12</v>
      </c>
      <c r="E93" s="26">
        <v>38.5</v>
      </c>
      <c r="F93" s="26">
        <f t="shared" si="15"/>
        <v>0</v>
      </c>
      <c r="G93" s="27">
        <f>-E93</f>
        <v>-38.5</v>
      </c>
      <c r="H93" s="57" t="s">
        <v>58</v>
      </c>
      <c r="I93" s="26"/>
      <c r="J93" s="28">
        <f t="shared" si="16"/>
        <v>0</v>
      </c>
      <c r="K93" s="64"/>
      <c r="L93" s="74"/>
      <c r="M93" s="98">
        <f t="shared" si="22"/>
        <v>0</v>
      </c>
      <c r="N93" s="99">
        <f t="shared" si="21"/>
        <v>0</v>
      </c>
      <c r="O93" s="100"/>
      <c r="P93" s="96"/>
      <c r="X93" s="98"/>
      <c r="Y93" s="43"/>
      <c r="Z93" s="43"/>
      <c r="AA93" s="215">
        <f>Y93-X93</f>
        <v>0</v>
      </c>
      <c r="AB93" s="216"/>
    </row>
    <row r="94" spans="3:28" ht="15">
      <c r="C94" s="4" t="s">
        <v>40</v>
      </c>
      <c r="E94" s="26"/>
      <c r="F94" s="26">
        <f t="shared" si="15"/>
        <v>0</v>
      </c>
      <c r="G94" s="27"/>
      <c r="H94" s="27"/>
      <c r="I94" s="26"/>
      <c r="J94" s="28">
        <f t="shared" si="16"/>
        <v>0</v>
      </c>
      <c r="K94" s="64"/>
      <c r="L94" s="74"/>
      <c r="M94" s="98"/>
      <c r="N94" s="99">
        <f t="shared" si="21"/>
        <v>0</v>
      </c>
      <c r="O94" s="100"/>
      <c r="P94" s="96"/>
      <c r="X94" s="98"/>
      <c r="Y94" s="43"/>
      <c r="Z94" s="43"/>
      <c r="AA94" s="215"/>
      <c r="AB94" s="216"/>
    </row>
    <row r="95" spans="2:28" ht="15">
      <c r="B95" s="1" t="s">
        <v>40</v>
      </c>
      <c r="D95" s="1" t="s">
        <v>13</v>
      </c>
      <c r="E95" s="26">
        <v>224.9</v>
      </c>
      <c r="F95" s="26">
        <f t="shared" si="15"/>
        <v>224.9</v>
      </c>
      <c r="G95" s="27"/>
      <c r="H95" s="27"/>
      <c r="I95" s="26">
        <v>220.9</v>
      </c>
      <c r="J95" s="28">
        <f t="shared" si="16"/>
        <v>-4</v>
      </c>
      <c r="K95" s="64"/>
      <c r="L95" s="74">
        <v>220.9</v>
      </c>
      <c r="M95" s="98">
        <f t="shared" si="22"/>
        <v>220.9</v>
      </c>
      <c r="N95" s="99">
        <f t="shared" si="21"/>
        <v>0</v>
      </c>
      <c r="O95" s="100"/>
      <c r="P95" s="96"/>
      <c r="V95" s="89" t="s">
        <v>135</v>
      </c>
      <c r="W95" s="89" t="s">
        <v>13</v>
      </c>
      <c r="X95" s="98"/>
      <c r="Y95" s="43">
        <v>233.04</v>
      </c>
      <c r="Z95" s="43">
        <f>+Y95</f>
        <v>233.04</v>
      </c>
      <c r="AA95" s="215">
        <f>+Z95-Y95</f>
        <v>0</v>
      </c>
      <c r="AB95" s="216"/>
    </row>
    <row r="96" spans="2:28" ht="15">
      <c r="B96" s="1" t="s">
        <v>40</v>
      </c>
      <c r="D96" s="1" t="s">
        <v>14</v>
      </c>
      <c r="E96" s="26"/>
      <c r="F96" s="26">
        <f t="shared" si="15"/>
        <v>0</v>
      </c>
      <c r="G96" s="27"/>
      <c r="H96" s="27"/>
      <c r="I96" s="26"/>
      <c r="J96" s="28">
        <f t="shared" si="16"/>
        <v>0</v>
      </c>
      <c r="K96" s="64"/>
      <c r="L96" s="74"/>
      <c r="M96" s="98">
        <f t="shared" si="22"/>
        <v>0</v>
      </c>
      <c r="N96" s="99">
        <f t="shared" si="21"/>
        <v>0</v>
      </c>
      <c r="O96" s="100"/>
      <c r="P96" s="96"/>
      <c r="V96" s="89" t="s">
        <v>135</v>
      </c>
      <c r="W96" s="89" t="s">
        <v>14</v>
      </c>
      <c r="X96" s="98"/>
      <c r="Y96" s="43">
        <v>0</v>
      </c>
      <c r="Z96" s="43">
        <f>+Y96</f>
        <v>0</v>
      </c>
      <c r="AA96" s="215">
        <f>+Z96-Y96</f>
        <v>0</v>
      </c>
      <c r="AB96" s="216"/>
    </row>
    <row r="97" spans="2:28" ht="15">
      <c r="B97" s="1" t="s">
        <v>40</v>
      </c>
      <c r="D97" s="1" t="s">
        <v>15</v>
      </c>
      <c r="E97" s="26">
        <v>222.5</v>
      </c>
      <c r="F97" s="26">
        <f t="shared" si="15"/>
        <v>222.5</v>
      </c>
      <c r="G97" s="27"/>
      <c r="H97" s="27"/>
      <c r="I97" s="26">
        <v>218.7</v>
      </c>
      <c r="J97" s="28">
        <f t="shared" si="16"/>
        <v>-3.8000000000000114</v>
      </c>
      <c r="K97" s="64"/>
      <c r="L97" s="74">
        <v>218.7</v>
      </c>
      <c r="M97" s="98">
        <f t="shared" si="22"/>
        <v>218.7</v>
      </c>
      <c r="N97" s="99">
        <f t="shared" si="21"/>
        <v>0</v>
      </c>
      <c r="O97" s="100"/>
      <c r="P97" s="96"/>
      <c r="V97" s="89" t="s">
        <v>135</v>
      </c>
      <c r="W97" s="89" t="s">
        <v>15</v>
      </c>
      <c r="X97" s="98"/>
      <c r="Y97" s="43">
        <v>230.22</v>
      </c>
      <c r="Z97" s="43">
        <f>+Y97</f>
        <v>230.22</v>
      </c>
      <c r="AA97" s="215">
        <f>+Z97-Y97</f>
        <v>0</v>
      </c>
      <c r="AB97" s="216"/>
    </row>
    <row r="98" spans="5:28" ht="15">
      <c r="E98" s="26"/>
      <c r="F98" s="26">
        <f t="shared" si="15"/>
        <v>0</v>
      </c>
      <c r="G98" s="27"/>
      <c r="H98" s="27"/>
      <c r="I98" s="26"/>
      <c r="J98" s="28">
        <f t="shared" si="16"/>
        <v>0</v>
      </c>
      <c r="K98" s="64"/>
      <c r="L98" s="74"/>
      <c r="M98" s="98"/>
      <c r="N98" s="99">
        <f t="shared" si="21"/>
        <v>0</v>
      </c>
      <c r="O98" s="100"/>
      <c r="P98" s="96"/>
      <c r="X98" s="125"/>
      <c r="Y98" s="153"/>
      <c r="Z98" s="153"/>
      <c r="AA98" s="213"/>
      <c r="AB98" s="216"/>
    </row>
    <row r="99" spans="2:28" ht="15">
      <c r="B99" s="1" t="s">
        <v>41</v>
      </c>
      <c r="C99" s="4" t="s">
        <v>41</v>
      </c>
      <c r="E99" s="26">
        <v>122.7</v>
      </c>
      <c r="F99" s="26">
        <f t="shared" si="15"/>
        <v>122.7</v>
      </c>
      <c r="G99" s="27"/>
      <c r="H99" s="27"/>
      <c r="I99" s="26">
        <v>103.5</v>
      </c>
      <c r="J99" s="28">
        <f t="shared" si="16"/>
        <v>-19.200000000000003</v>
      </c>
      <c r="K99" s="64"/>
      <c r="L99" s="74">
        <v>103.5</v>
      </c>
      <c r="M99" s="98">
        <f t="shared" si="22"/>
        <v>103.5</v>
      </c>
      <c r="N99" s="99">
        <f t="shared" si="21"/>
        <v>0</v>
      </c>
      <c r="O99" s="100"/>
      <c r="P99" s="96"/>
      <c r="U99" s="89" t="s">
        <v>136</v>
      </c>
      <c r="W99" s="97">
        <v>109.29960000000001</v>
      </c>
      <c r="X99" s="98"/>
      <c r="Y99" s="43">
        <v>109.3</v>
      </c>
      <c r="Z99" s="43">
        <f>+Y99</f>
        <v>109.3</v>
      </c>
      <c r="AA99" s="215">
        <f>+Z99-Y99</f>
        <v>0</v>
      </c>
      <c r="AB99" s="216"/>
    </row>
    <row r="100" spans="3:28" ht="15">
      <c r="C100" s="4" t="s">
        <v>42</v>
      </c>
      <c r="E100" s="26"/>
      <c r="F100" s="26">
        <f t="shared" si="15"/>
        <v>0</v>
      </c>
      <c r="G100" s="27"/>
      <c r="H100" s="27"/>
      <c r="I100" s="26"/>
      <c r="J100" s="28">
        <f t="shared" si="16"/>
        <v>0</v>
      </c>
      <c r="K100" s="64"/>
      <c r="L100" s="74"/>
      <c r="M100" s="98"/>
      <c r="N100" s="99">
        <f t="shared" si="21"/>
        <v>0</v>
      </c>
      <c r="O100" s="100"/>
      <c r="P100" s="96"/>
      <c r="X100" s="125"/>
      <c r="Y100" s="153"/>
      <c r="Z100" s="153"/>
      <c r="AA100" s="213"/>
      <c r="AB100" s="216"/>
    </row>
    <row r="101" spans="2:28" ht="15">
      <c r="B101" s="1" t="s">
        <v>42</v>
      </c>
      <c r="D101" s="1" t="s">
        <v>10</v>
      </c>
      <c r="E101" s="26">
        <v>9.4</v>
      </c>
      <c r="F101" s="26">
        <f t="shared" si="15"/>
        <v>9.4</v>
      </c>
      <c r="G101" s="27"/>
      <c r="H101" s="27"/>
      <c r="I101" s="26">
        <v>9.4</v>
      </c>
      <c r="J101" s="28">
        <f t="shared" si="16"/>
        <v>0</v>
      </c>
      <c r="K101" s="64"/>
      <c r="L101" s="74">
        <v>9.4</v>
      </c>
      <c r="M101" s="98">
        <f t="shared" si="22"/>
        <v>9.4</v>
      </c>
      <c r="N101" s="99">
        <f t="shared" si="21"/>
        <v>0</v>
      </c>
      <c r="O101" s="100"/>
      <c r="P101" s="96"/>
      <c r="V101" s="89" t="s">
        <v>137</v>
      </c>
      <c r="W101" s="89" t="s">
        <v>10</v>
      </c>
      <c r="X101" s="98"/>
      <c r="Y101" s="43">
        <v>9.38</v>
      </c>
      <c r="Z101" s="43">
        <f>+Y101</f>
        <v>9.38</v>
      </c>
      <c r="AA101" s="215">
        <f>+Z101-Y101</f>
        <v>0</v>
      </c>
      <c r="AB101" s="216"/>
    </row>
    <row r="102" spans="1:41" s="17" customFormat="1" ht="19.5">
      <c r="A102" s="1"/>
      <c r="B102" s="1" t="s">
        <v>42</v>
      </c>
      <c r="C102" s="4"/>
      <c r="D102" s="1" t="s">
        <v>16</v>
      </c>
      <c r="E102" s="34">
        <v>32.2</v>
      </c>
      <c r="F102" s="34">
        <f t="shared" si="15"/>
        <v>32.2</v>
      </c>
      <c r="G102" s="41">
        <v>0</v>
      </c>
      <c r="H102" s="41"/>
      <c r="I102" s="34">
        <v>32.2</v>
      </c>
      <c r="J102" s="36">
        <f t="shared" si="16"/>
        <v>0</v>
      </c>
      <c r="K102" s="64"/>
      <c r="L102" s="80">
        <v>32.2</v>
      </c>
      <c r="M102" s="189">
        <f t="shared" si="22"/>
        <v>32.2</v>
      </c>
      <c r="N102" s="190">
        <f t="shared" si="21"/>
        <v>0</v>
      </c>
      <c r="O102" s="191"/>
      <c r="P102" s="196"/>
      <c r="Q102" s="197"/>
      <c r="R102" s="197"/>
      <c r="S102" s="197"/>
      <c r="T102" s="197"/>
      <c r="U102" s="197"/>
      <c r="V102" s="193" t="s">
        <v>137</v>
      </c>
      <c r="W102" s="193" t="s">
        <v>16</v>
      </c>
      <c r="X102" s="189"/>
      <c r="Y102" s="189">
        <v>15</v>
      </c>
      <c r="Z102" s="189">
        <f>+Y102</f>
        <v>15</v>
      </c>
      <c r="AA102" s="217">
        <f>+Z102-Y102</f>
        <v>0</v>
      </c>
      <c r="AB102" s="216"/>
      <c r="AE102" s="245"/>
      <c r="AF102" s="245"/>
      <c r="AG102" s="245"/>
      <c r="AH102" s="245"/>
      <c r="AI102" s="245"/>
      <c r="AJ102" s="245"/>
      <c r="AK102" s="245"/>
      <c r="AL102" s="247"/>
      <c r="AM102" s="245"/>
      <c r="AN102" s="245"/>
      <c r="AO102" s="245"/>
    </row>
    <row r="103" spans="1:28" ht="15">
      <c r="A103" s="17"/>
      <c r="B103" s="17"/>
      <c r="C103" s="18"/>
      <c r="D103" s="19" t="s">
        <v>93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2">
        <f>SUM(L90:L102)</f>
        <v>825.1999999999999</v>
      </c>
      <c r="M103" s="110">
        <f>SUM(M90:M102)</f>
        <v>825.1999999999999</v>
      </c>
      <c r="N103" s="111">
        <f>SUM(N90:N102)</f>
        <v>0</v>
      </c>
      <c r="O103" s="112"/>
      <c r="P103" s="96"/>
      <c r="X103" s="110">
        <v>842</v>
      </c>
      <c r="Y103" s="110">
        <v>691.45</v>
      </c>
      <c r="Z103" s="110">
        <f>SUM(Z89:Z102)</f>
        <v>691.4499999999999</v>
      </c>
      <c r="AA103" s="215">
        <f>SUM(AA90:AA102)</f>
        <v>0</v>
      </c>
      <c r="AB103" s="219"/>
    </row>
    <row r="104" spans="2:28" ht="15">
      <c r="B104" s="1" t="s">
        <v>43</v>
      </c>
      <c r="C104" s="4" t="s">
        <v>43</v>
      </c>
      <c r="E104" s="26">
        <v>32.2</v>
      </c>
      <c r="F104" s="26">
        <f t="shared" si="15"/>
        <v>32.2</v>
      </c>
      <c r="G104" s="27"/>
      <c r="H104" s="27"/>
      <c r="I104" s="26">
        <v>32.2</v>
      </c>
      <c r="J104" s="28">
        <f t="shared" si="16"/>
        <v>0</v>
      </c>
      <c r="K104" s="64"/>
      <c r="L104" s="74">
        <v>32.2</v>
      </c>
      <c r="M104" s="98">
        <f>+L104</f>
        <v>32.2</v>
      </c>
      <c r="N104" s="99">
        <f aca="true" t="shared" si="23" ref="N104:N113">+M104-L104</f>
        <v>0</v>
      </c>
      <c r="O104" s="100"/>
      <c r="P104" s="96"/>
      <c r="V104" s="89" t="s">
        <v>138</v>
      </c>
      <c r="W104" s="89" t="s">
        <v>17</v>
      </c>
      <c r="X104" s="98"/>
      <c r="Y104" s="43">
        <v>32.15</v>
      </c>
      <c r="Z104" s="43">
        <f>+Y104</f>
        <v>32.15</v>
      </c>
      <c r="AA104" s="215">
        <f>+Z104-Y104</f>
        <v>0</v>
      </c>
      <c r="AB104" s="214"/>
    </row>
    <row r="105" spans="2:28" ht="15">
      <c r="B105" s="1" t="s">
        <v>44</v>
      </c>
      <c r="C105" s="4" t="s">
        <v>44</v>
      </c>
      <c r="E105" s="26">
        <v>48.8</v>
      </c>
      <c r="F105" s="26">
        <f t="shared" si="15"/>
        <v>48.8</v>
      </c>
      <c r="G105" s="27"/>
      <c r="H105" s="27"/>
      <c r="I105" s="26">
        <v>50.2</v>
      </c>
      <c r="J105" s="28">
        <f t="shared" si="16"/>
        <v>1.4000000000000057</v>
      </c>
      <c r="K105" s="64"/>
      <c r="L105" s="74">
        <v>50.2</v>
      </c>
      <c r="M105" s="98">
        <f aca="true" t="shared" si="24" ref="M105:M113">+L105</f>
        <v>50.2</v>
      </c>
      <c r="N105" s="99">
        <f t="shared" si="23"/>
        <v>0</v>
      </c>
      <c r="O105" s="100"/>
      <c r="P105" s="96"/>
      <c r="V105" s="89" t="s">
        <v>139</v>
      </c>
      <c r="W105" s="89">
        <v>720</v>
      </c>
      <c r="X105" s="98"/>
      <c r="Y105" s="43">
        <v>47.59</v>
      </c>
      <c r="Z105" s="43">
        <f>+Y105-39.5</f>
        <v>8.090000000000003</v>
      </c>
      <c r="AA105" s="215">
        <f>+Z105-Y105</f>
        <v>-39.5</v>
      </c>
      <c r="AB105" s="216" t="s">
        <v>271</v>
      </c>
    </row>
    <row r="106" spans="2:28" ht="15">
      <c r="B106" s="1" t="s">
        <v>45</v>
      </c>
      <c r="C106" s="4" t="s">
        <v>45</v>
      </c>
      <c r="E106" s="26">
        <v>161</v>
      </c>
      <c r="F106" s="26">
        <f t="shared" si="15"/>
        <v>161</v>
      </c>
      <c r="G106" s="27"/>
      <c r="H106" s="27"/>
      <c r="I106" s="26">
        <v>161.3</v>
      </c>
      <c r="J106" s="28">
        <f t="shared" si="16"/>
        <v>0.30000000000001137</v>
      </c>
      <c r="K106" s="64"/>
      <c r="L106" s="74">
        <v>161.3</v>
      </c>
      <c r="M106" s="98">
        <f t="shared" si="24"/>
        <v>161.3</v>
      </c>
      <c r="N106" s="99">
        <f t="shared" si="23"/>
        <v>0</v>
      </c>
      <c r="O106" s="100"/>
      <c r="P106" s="96"/>
      <c r="V106" s="89" t="s">
        <v>140</v>
      </c>
      <c r="W106" s="89" t="s">
        <v>73</v>
      </c>
      <c r="X106" s="98"/>
      <c r="Y106" s="43">
        <v>164.42</v>
      </c>
      <c r="Z106" s="43">
        <f>+Y106</f>
        <v>164.42</v>
      </c>
      <c r="AA106" s="215">
        <f>+Z106-Y106</f>
        <v>0</v>
      </c>
      <c r="AB106" s="216"/>
    </row>
    <row r="107" spans="3:28" ht="15">
      <c r="C107" s="4" t="s">
        <v>46</v>
      </c>
      <c r="E107" s="26"/>
      <c r="F107" s="26">
        <f t="shared" si="15"/>
        <v>0</v>
      </c>
      <c r="G107" s="27"/>
      <c r="H107" s="27"/>
      <c r="I107" s="26"/>
      <c r="J107" s="28">
        <f t="shared" si="16"/>
        <v>0</v>
      </c>
      <c r="K107" s="64"/>
      <c r="L107" s="74"/>
      <c r="M107" s="98"/>
      <c r="N107" s="99">
        <f t="shared" si="23"/>
        <v>0</v>
      </c>
      <c r="O107" s="100"/>
      <c r="P107" s="96"/>
      <c r="X107" s="125"/>
      <c r="Y107" s="153"/>
      <c r="Z107" s="153"/>
      <c r="AA107" s="215">
        <f>+X107-Y107</f>
        <v>0</v>
      </c>
      <c r="AB107" s="216"/>
    </row>
    <row r="108" spans="2:28" ht="15">
      <c r="B108" s="1" t="s">
        <v>46</v>
      </c>
      <c r="D108" s="1" t="s">
        <v>17</v>
      </c>
      <c r="E108" s="26">
        <v>148</v>
      </c>
      <c r="F108" s="26">
        <f t="shared" si="15"/>
        <v>148</v>
      </c>
      <c r="G108" s="27"/>
      <c r="H108" s="27"/>
      <c r="I108" s="61">
        <v>152.55</v>
      </c>
      <c r="J108" s="28">
        <f t="shared" si="16"/>
        <v>4.550000000000011</v>
      </c>
      <c r="K108" s="64"/>
      <c r="L108" s="75">
        <v>152.55</v>
      </c>
      <c r="M108" s="98">
        <f t="shared" si="24"/>
        <v>152.55</v>
      </c>
      <c r="N108" s="99">
        <f t="shared" si="23"/>
        <v>0</v>
      </c>
      <c r="O108" s="100"/>
      <c r="P108" s="96"/>
      <c r="V108" s="89" t="s">
        <v>141</v>
      </c>
      <c r="W108" s="89" t="s">
        <v>17</v>
      </c>
      <c r="X108" s="98"/>
      <c r="Y108" s="43">
        <v>152.71</v>
      </c>
      <c r="Z108" s="43">
        <f>+Y108</f>
        <v>152.71</v>
      </c>
      <c r="AA108" s="215">
        <f>+Z108-Y108</f>
        <v>0</v>
      </c>
      <c r="AB108" s="216"/>
    </row>
    <row r="109" spans="2:28" ht="15">
      <c r="B109" s="1" t="s">
        <v>46</v>
      </c>
      <c r="D109" s="1" t="s">
        <v>247</v>
      </c>
      <c r="E109" s="26">
        <v>281.6</v>
      </c>
      <c r="F109" s="26">
        <f t="shared" si="15"/>
        <v>281.6</v>
      </c>
      <c r="G109" s="27"/>
      <c r="H109" s="27"/>
      <c r="I109" s="61">
        <v>281.57</v>
      </c>
      <c r="J109" s="28">
        <f t="shared" si="16"/>
        <v>-0.03000000000002956</v>
      </c>
      <c r="K109" s="64"/>
      <c r="L109" s="75">
        <v>281.57</v>
      </c>
      <c r="M109" s="98">
        <f t="shared" si="24"/>
        <v>281.57</v>
      </c>
      <c r="N109" s="99">
        <f t="shared" si="23"/>
        <v>0</v>
      </c>
      <c r="O109" s="100"/>
      <c r="P109" s="96"/>
      <c r="V109" s="89" t="s">
        <v>141</v>
      </c>
      <c r="W109" s="89" t="s">
        <v>247</v>
      </c>
      <c r="X109" s="98"/>
      <c r="Y109" s="43">
        <v>312.58</v>
      </c>
      <c r="Z109" s="43">
        <f>+Y109</f>
        <v>312.58</v>
      </c>
      <c r="AA109" s="215">
        <f>+Z109-Y109</f>
        <v>0</v>
      </c>
      <c r="AB109" s="216"/>
    </row>
    <row r="110" spans="2:28" ht="15">
      <c r="B110" s="1" t="s">
        <v>46</v>
      </c>
      <c r="D110" s="1" t="s">
        <v>248</v>
      </c>
      <c r="E110" s="26">
        <v>1194.2</v>
      </c>
      <c r="F110" s="26">
        <f t="shared" si="15"/>
        <v>1194.2</v>
      </c>
      <c r="G110" s="27"/>
      <c r="H110" s="27"/>
      <c r="I110" s="61">
        <v>1068.15</v>
      </c>
      <c r="J110" s="28">
        <f t="shared" si="16"/>
        <v>-126.04999999999995</v>
      </c>
      <c r="K110" s="64"/>
      <c r="L110" s="75">
        <v>1068.15</v>
      </c>
      <c r="M110" s="98">
        <f t="shared" si="24"/>
        <v>1068.15</v>
      </c>
      <c r="N110" s="99">
        <f t="shared" si="23"/>
        <v>0</v>
      </c>
      <c r="O110" s="100"/>
      <c r="P110" s="96"/>
      <c r="V110" s="89" t="s">
        <v>141</v>
      </c>
      <c r="W110" s="89" t="s">
        <v>248</v>
      </c>
      <c r="X110" s="98"/>
      <c r="Y110" s="43">
        <v>1099.47</v>
      </c>
      <c r="Z110" s="43">
        <f>+Y110</f>
        <v>1099.47</v>
      </c>
      <c r="AA110" s="215">
        <f>+Z110-Y110</f>
        <v>0</v>
      </c>
      <c r="AB110" s="216"/>
    </row>
    <row r="111" spans="3:28" ht="15">
      <c r="C111" s="4" t="s">
        <v>47</v>
      </c>
      <c r="E111" s="26"/>
      <c r="F111" s="26">
        <f t="shared" si="15"/>
        <v>0</v>
      </c>
      <c r="G111" s="27"/>
      <c r="H111" s="27"/>
      <c r="I111" s="26"/>
      <c r="J111" s="28">
        <f t="shared" si="16"/>
        <v>0</v>
      </c>
      <c r="K111" s="64"/>
      <c r="L111" s="74"/>
      <c r="M111" s="98">
        <f t="shared" si="24"/>
        <v>0</v>
      </c>
      <c r="N111" s="99">
        <f t="shared" si="23"/>
        <v>0</v>
      </c>
      <c r="O111" s="100"/>
      <c r="P111" s="96"/>
      <c r="X111" s="125"/>
      <c r="Y111" s="153"/>
      <c r="Z111" s="153"/>
      <c r="AA111" s="215">
        <f>+X111-Y111</f>
        <v>0</v>
      </c>
      <c r="AB111" s="216"/>
    </row>
    <row r="112" spans="2:28" ht="15">
      <c r="B112" s="1" t="s">
        <v>47</v>
      </c>
      <c r="D112" s="1" t="s">
        <v>249</v>
      </c>
      <c r="E112" s="26">
        <v>2184.9</v>
      </c>
      <c r="F112" s="26">
        <f t="shared" si="15"/>
        <v>2184.9</v>
      </c>
      <c r="G112" s="27"/>
      <c r="H112" s="27"/>
      <c r="I112" s="61">
        <v>2238.93</v>
      </c>
      <c r="J112" s="28">
        <f t="shared" si="16"/>
        <v>54.029999999999745</v>
      </c>
      <c r="K112" s="64"/>
      <c r="L112" s="75">
        <v>2238.93</v>
      </c>
      <c r="M112" s="98">
        <f t="shared" si="24"/>
        <v>2238.93</v>
      </c>
      <c r="N112" s="99">
        <f t="shared" si="23"/>
        <v>0</v>
      </c>
      <c r="O112" s="100"/>
      <c r="P112" s="96"/>
      <c r="V112" s="89" t="s">
        <v>142</v>
      </c>
      <c r="W112" s="89" t="s">
        <v>249</v>
      </c>
      <c r="X112" s="98"/>
      <c r="Y112" s="43">
        <v>2365.55</v>
      </c>
      <c r="Z112" s="43">
        <f>+Y112</f>
        <v>2365.55</v>
      </c>
      <c r="AA112" s="215">
        <f>+Z112-Y112</f>
        <v>0</v>
      </c>
      <c r="AB112" s="216"/>
    </row>
    <row r="113" spans="1:41" s="17" customFormat="1" ht="19.5">
      <c r="A113" s="1"/>
      <c r="B113" s="1" t="s">
        <v>48</v>
      </c>
      <c r="C113" s="4" t="s">
        <v>48</v>
      </c>
      <c r="D113" s="1"/>
      <c r="E113" s="34">
        <v>223.7</v>
      </c>
      <c r="F113" s="34">
        <f aca="true" t="shared" si="25" ref="F113:F121">+G113+E113</f>
        <v>223.7</v>
      </c>
      <c r="G113" s="41"/>
      <c r="H113" s="41"/>
      <c r="I113" s="63">
        <v>222.99</v>
      </c>
      <c r="J113" s="36">
        <f aca="true" t="shared" si="26" ref="J113:J124">+I113-F113</f>
        <v>-0.7099999999999795</v>
      </c>
      <c r="K113" s="64"/>
      <c r="L113" s="83">
        <v>222.99</v>
      </c>
      <c r="M113" s="189">
        <f t="shared" si="24"/>
        <v>222.99</v>
      </c>
      <c r="N113" s="190">
        <f t="shared" si="23"/>
        <v>0</v>
      </c>
      <c r="O113" s="191"/>
      <c r="P113" s="196"/>
      <c r="Q113" s="197"/>
      <c r="R113" s="197"/>
      <c r="S113" s="197"/>
      <c r="T113" s="197"/>
      <c r="U113" s="197"/>
      <c r="V113" s="193" t="s">
        <v>143</v>
      </c>
      <c r="W113" s="193"/>
      <c r="X113" s="189"/>
      <c r="Y113" s="189">
        <v>238.25</v>
      </c>
      <c r="Z113" s="189">
        <f>+Y113</f>
        <v>238.25</v>
      </c>
      <c r="AA113" s="217">
        <f>+Z113-Y113</f>
        <v>0</v>
      </c>
      <c r="AB113" s="216"/>
      <c r="AE113" s="245"/>
      <c r="AF113" s="245"/>
      <c r="AG113" s="245"/>
      <c r="AH113" s="245"/>
      <c r="AI113" s="245"/>
      <c r="AJ113" s="245"/>
      <c r="AK113" s="245"/>
      <c r="AL113" s="247"/>
      <c r="AM113" s="245"/>
      <c r="AN113" s="245"/>
      <c r="AO113" s="245"/>
    </row>
    <row r="114" spans="1:28" ht="15">
      <c r="A114" s="17"/>
      <c r="B114" s="17"/>
      <c r="C114" s="18"/>
      <c r="D114" s="19" t="s">
        <v>94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2">
        <f>SUM(L104:L113)</f>
        <v>4207.889999999999</v>
      </c>
      <c r="M114" s="110">
        <f>SUM(M104:M113)</f>
        <v>4207.889999999999</v>
      </c>
      <c r="N114" s="111">
        <f>SUM(N104:N113)</f>
        <v>0</v>
      </c>
      <c r="O114" s="112"/>
      <c r="P114" s="96"/>
      <c r="X114" s="110">
        <f>+Y114</f>
        <v>4412.72</v>
      </c>
      <c r="Y114" s="110">
        <v>4412.72</v>
      </c>
      <c r="Z114" s="110">
        <f>SUM(Z104:Z113)</f>
        <v>4373.22</v>
      </c>
      <c r="AA114" s="215">
        <f>SUM(AA104:AA113)</f>
        <v>-39.5</v>
      </c>
      <c r="AB114" s="219"/>
    </row>
    <row r="115" spans="2:28" ht="51.75">
      <c r="B115" s="1" t="s">
        <v>49</v>
      </c>
      <c r="C115" s="4" t="s">
        <v>49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26"/>
        <v>-106.52200000000039</v>
      </c>
      <c r="K115" s="64" t="s">
        <v>84</v>
      </c>
      <c r="L115" s="74">
        <v>3450.278</v>
      </c>
      <c r="M115" s="98">
        <v>3596</v>
      </c>
      <c r="N115" s="117">
        <f>+M115-L115</f>
        <v>145.7220000000002</v>
      </c>
      <c r="O115" s="100" t="s">
        <v>103</v>
      </c>
      <c r="P115" s="96"/>
      <c r="V115" s="89" t="s">
        <v>144</v>
      </c>
      <c r="W115" s="89" t="s">
        <v>74</v>
      </c>
      <c r="X115" s="98"/>
      <c r="Y115" s="43">
        <v>4508.81</v>
      </c>
      <c r="Z115" s="43">
        <f>+Y115</f>
        <v>4508.81</v>
      </c>
      <c r="AA115" s="215">
        <f>+Z115-Y115</f>
        <v>0</v>
      </c>
      <c r="AB115" s="214"/>
    </row>
    <row r="116" spans="2:28" ht="64.5">
      <c r="B116" s="1" t="s">
        <v>50</v>
      </c>
      <c r="C116" s="4" t="s">
        <v>50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63</v>
      </c>
      <c r="I116" s="26">
        <v>4367.5</v>
      </c>
      <c r="J116" s="28">
        <f t="shared" si="26"/>
        <v>160</v>
      </c>
      <c r="K116" s="64"/>
      <c r="L116" s="74">
        <v>4367.5</v>
      </c>
      <c r="M116" s="98">
        <v>4426</v>
      </c>
      <c r="N116" s="117">
        <f>+M116-L116</f>
        <v>58.5</v>
      </c>
      <c r="O116" s="100" t="s">
        <v>104</v>
      </c>
      <c r="P116" s="96"/>
      <c r="V116" s="89" t="s">
        <v>145</v>
      </c>
      <c r="W116" s="89" t="s">
        <v>75</v>
      </c>
      <c r="X116" s="98"/>
      <c r="Y116" s="43">
        <v>4885.08</v>
      </c>
      <c r="Z116" s="43">
        <f>+Y116</f>
        <v>4885.08</v>
      </c>
      <c r="AA116" s="215">
        <f>+Z116-Y116</f>
        <v>0</v>
      </c>
      <c r="AB116" s="216"/>
    </row>
    <row r="117" spans="2:28" ht="15">
      <c r="B117" s="1" t="s">
        <v>51</v>
      </c>
      <c r="C117" s="4" t="s">
        <v>51</v>
      </c>
      <c r="E117" s="26">
        <v>412.2</v>
      </c>
      <c r="F117" s="26">
        <f t="shared" si="25"/>
        <v>412.2</v>
      </c>
      <c r="G117" s="27"/>
      <c r="H117" s="27"/>
      <c r="I117" s="26">
        <v>412.47</v>
      </c>
      <c r="J117" s="28">
        <f t="shared" si="26"/>
        <v>0.27000000000003865</v>
      </c>
      <c r="K117" s="64"/>
      <c r="L117" s="84">
        <v>470.17</v>
      </c>
      <c r="M117" s="98">
        <v>470.17</v>
      </c>
      <c r="N117" s="99">
        <f>+M117-L117</f>
        <v>0</v>
      </c>
      <c r="O117" s="100"/>
      <c r="P117" s="96"/>
      <c r="V117" s="89" t="s">
        <v>146</v>
      </c>
      <c r="W117" s="89" t="s">
        <v>76</v>
      </c>
      <c r="X117" s="98"/>
      <c r="Y117" s="43">
        <v>469.93</v>
      </c>
      <c r="Z117" s="43">
        <f>+Y117</f>
        <v>469.93</v>
      </c>
      <c r="AA117" s="215">
        <f>+Z117-Y117</f>
        <v>0</v>
      </c>
      <c r="AB117" s="216"/>
    </row>
    <row r="118" spans="1:41" s="17" customFormat="1" ht="20.25" thickBot="1">
      <c r="A118" s="1"/>
      <c r="B118" s="1" t="s">
        <v>52</v>
      </c>
      <c r="C118" s="4" t="s">
        <v>52</v>
      </c>
      <c r="D118" s="1"/>
      <c r="E118" s="34">
        <v>1220.1</v>
      </c>
      <c r="F118" s="34">
        <f t="shared" si="25"/>
        <v>1220.1</v>
      </c>
      <c r="G118" s="41">
        <v>0</v>
      </c>
      <c r="H118" s="41"/>
      <c r="I118" s="34">
        <v>1220.68</v>
      </c>
      <c r="J118" s="36">
        <f t="shared" si="26"/>
        <v>0.5800000000001546</v>
      </c>
      <c r="K118" s="64"/>
      <c r="L118" s="80">
        <v>1220.68</v>
      </c>
      <c r="M118" s="198">
        <v>1220.68</v>
      </c>
      <c r="N118" s="199">
        <f>+M118-L118</f>
        <v>0</v>
      </c>
      <c r="O118" s="200"/>
      <c r="P118" s="201"/>
      <c r="Q118" s="202"/>
      <c r="R118" s="202"/>
      <c r="S118" s="202"/>
      <c r="T118" s="202"/>
      <c r="U118" s="202"/>
      <c r="V118" s="203" t="s">
        <v>147</v>
      </c>
      <c r="W118" s="203"/>
      <c r="X118" s="198"/>
      <c r="Y118" s="198">
        <v>1189.18</v>
      </c>
      <c r="Z118" s="189">
        <f>+Y118</f>
        <v>1189.18</v>
      </c>
      <c r="AA118" s="217">
        <f>+Z118-Y118</f>
        <v>0</v>
      </c>
      <c r="AB118" s="216"/>
      <c r="AE118" s="245"/>
      <c r="AF118" s="245"/>
      <c r="AG118" s="245"/>
      <c r="AH118" s="245"/>
      <c r="AI118" s="245"/>
      <c r="AJ118" s="245"/>
      <c r="AK118" s="245"/>
      <c r="AL118" s="247"/>
      <c r="AM118" s="245"/>
      <c r="AN118" s="245"/>
      <c r="AO118" s="245"/>
    </row>
    <row r="119" spans="3:41" s="17" customFormat="1" ht="15">
      <c r="C119" s="18"/>
      <c r="D119" s="19" t="s">
        <v>95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2">
        <f>SUM(L115:L118)</f>
        <v>9508.628</v>
      </c>
      <c r="M119" s="110">
        <f>SUM(M115:M118)</f>
        <v>9712.85</v>
      </c>
      <c r="N119" s="116">
        <f>SUM(N115:N118)</f>
        <v>204.2220000000002</v>
      </c>
      <c r="O119" s="112"/>
      <c r="P119" s="108"/>
      <c r="Q119" s="109"/>
      <c r="R119" s="109"/>
      <c r="S119" s="109"/>
      <c r="T119" s="109"/>
      <c r="U119" s="109"/>
      <c r="V119" s="109"/>
      <c r="W119" s="109"/>
      <c r="X119" s="110">
        <v>11160.2</v>
      </c>
      <c r="Y119" s="110">
        <v>11053</v>
      </c>
      <c r="Z119" s="110">
        <f>SUM(Z115:Z118)</f>
        <v>11053</v>
      </c>
      <c r="AA119" s="215">
        <f>SUM(AA115:AA118)</f>
        <v>0</v>
      </c>
      <c r="AB119" s="219"/>
      <c r="AE119" s="245"/>
      <c r="AF119" s="245"/>
      <c r="AG119" s="245"/>
      <c r="AH119" s="245"/>
      <c r="AI119" s="245"/>
      <c r="AJ119" s="245"/>
      <c r="AK119" s="245"/>
      <c r="AL119" s="247"/>
      <c r="AM119" s="245"/>
      <c r="AN119" s="245"/>
      <c r="AO119" s="245"/>
    </row>
    <row r="120" spans="1:28" ht="29.25">
      <c r="A120" s="17"/>
      <c r="B120" s="17" t="s">
        <v>250</v>
      </c>
      <c r="C120" s="18" t="s">
        <v>250</v>
      </c>
      <c r="D120" s="18"/>
      <c r="E120" s="23">
        <v>983.3</v>
      </c>
      <c r="F120" s="23">
        <f t="shared" si="25"/>
        <v>983.3</v>
      </c>
      <c r="G120" s="24"/>
      <c r="H120" s="24"/>
      <c r="I120" s="23">
        <v>1128.6</v>
      </c>
      <c r="J120" s="25">
        <f t="shared" si="26"/>
        <v>145.29999999999995</v>
      </c>
      <c r="K120" s="69" t="s">
        <v>67</v>
      </c>
      <c r="L120" s="85">
        <v>1128.6</v>
      </c>
      <c r="M120" s="98">
        <f>+L120</f>
        <v>1128.6</v>
      </c>
      <c r="N120" s="99">
        <f>+M120-L120</f>
        <v>0</v>
      </c>
      <c r="O120" s="112"/>
      <c r="P120" s="96"/>
      <c r="V120" s="89" t="s">
        <v>148</v>
      </c>
      <c r="W120" s="89" t="s">
        <v>250</v>
      </c>
      <c r="X120" s="98">
        <f>SUM(Y120)</f>
        <v>1576.89</v>
      </c>
      <c r="Y120" s="43">
        <v>1576.89</v>
      </c>
      <c r="Z120" s="43">
        <f>+Y120</f>
        <v>1576.89</v>
      </c>
      <c r="AA120" s="215">
        <f>+Z120-Y120</f>
        <v>0</v>
      </c>
      <c r="AB120" s="224"/>
    </row>
    <row r="121" spans="1:41" s="17" customFormat="1" ht="15">
      <c r="A121" s="1"/>
      <c r="B121" s="1"/>
      <c r="C121" s="4"/>
      <c r="D121" s="1"/>
      <c r="E121" s="26"/>
      <c r="F121" s="26">
        <f t="shared" si="25"/>
        <v>0</v>
      </c>
      <c r="G121" s="27"/>
      <c r="H121" s="27"/>
      <c r="I121" s="26"/>
      <c r="J121" s="28">
        <f t="shared" si="26"/>
        <v>0</v>
      </c>
      <c r="K121" s="64"/>
      <c r="L121" s="74"/>
      <c r="M121" s="98"/>
      <c r="N121" s="99">
        <f>+L121-I121</f>
        <v>0</v>
      </c>
      <c r="O121" s="100"/>
      <c r="P121" s="108"/>
      <c r="Q121" s="109"/>
      <c r="R121" s="109"/>
      <c r="S121" s="109"/>
      <c r="T121" s="109"/>
      <c r="U121" s="109"/>
      <c r="V121" s="109"/>
      <c r="W121" s="109"/>
      <c r="X121" s="185"/>
      <c r="Y121" s="186"/>
      <c r="Z121" s="186"/>
      <c r="AA121" s="213"/>
      <c r="AB121" s="225"/>
      <c r="AE121" s="245"/>
      <c r="AF121" s="245"/>
      <c r="AG121" s="245"/>
      <c r="AH121" s="245"/>
      <c r="AI121" s="245"/>
      <c r="AJ121" s="245"/>
      <c r="AK121" s="245"/>
      <c r="AL121" s="247"/>
      <c r="AM121" s="245"/>
      <c r="AN121" s="245"/>
      <c r="AO121" s="245"/>
    </row>
    <row r="122" spans="1:28" ht="15.75" thickBot="1">
      <c r="A122" s="17"/>
      <c r="B122" s="17" t="s">
        <v>251</v>
      </c>
      <c r="C122" s="18" t="s">
        <v>251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26"/>
        <v>-402.1100000000006</v>
      </c>
      <c r="K122" s="69"/>
      <c r="L122" s="75">
        <f>13052.89-297</f>
        <v>12755.89</v>
      </c>
      <c r="M122" s="204">
        <f>+L122-N119-N17-400-431</f>
        <v>11609.547999999999</v>
      </c>
      <c r="N122" s="205">
        <f>+M122-L122</f>
        <v>-1146.3420000000006</v>
      </c>
      <c r="O122" s="206"/>
      <c r="P122" s="207"/>
      <c r="Q122" s="208"/>
      <c r="R122" s="208"/>
      <c r="S122" s="208"/>
      <c r="T122" s="208"/>
      <c r="U122" s="208"/>
      <c r="V122" s="208" t="s">
        <v>149</v>
      </c>
      <c r="W122" s="208" t="s">
        <v>251</v>
      </c>
      <c r="X122" s="204">
        <f>SUM(Y122)</f>
        <v>12804.21</v>
      </c>
      <c r="Y122" s="204">
        <v>12804.21</v>
      </c>
      <c r="Z122" s="204">
        <f>+Y122-37.4</f>
        <v>12766.81</v>
      </c>
      <c r="AA122" s="215">
        <f>+Z122-Y122</f>
        <v>-37.399999999999636</v>
      </c>
      <c r="AB122" s="226" t="s">
        <v>272</v>
      </c>
    </row>
    <row r="123" spans="1:27" ht="15.75" thickTop="1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5"/>
      <c r="M123" s="98"/>
      <c r="N123" s="117"/>
      <c r="O123" s="112"/>
      <c r="P123" s="96"/>
      <c r="X123" s="98">
        <f>+M123+AA123</f>
        <v>0</v>
      </c>
      <c r="Y123" s="98"/>
      <c r="Z123" s="98"/>
      <c r="AA123" s="212"/>
    </row>
    <row r="124" spans="3:27" ht="15">
      <c r="C124" s="4" t="s">
        <v>267</v>
      </c>
      <c r="E124" s="26"/>
      <c r="F124" s="26"/>
      <c r="G124" s="27"/>
      <c r="H124" s="27"/>
      <c r="I124" s="26"/>
      <c r="J124" s="28">
        <f t="shared" si="26"/>
        <v>0</v>
      </c>
      <c r="K124" s="64"/>
      <c r="L124" s="74"/>
      <c r="M124" s="98"/>
      <c r="N124" s="117"/>
      <c r="O124" s="100"/>
      <c r="P124" s="96"/>
      <c r="X124" s="98">
        <f>+M124+AA124</f>
        <v>0</v>
      </c>
      <c r="Y124" s="98">
        <v>75</v>
      </c>
      <c r="Z124" s="98">
        <f>+Y124</f>
        <v>75</v>
      </c>
      <c r="AA124" s="212">
        <f>+Z124-Y124</f>
        <v>0</v>
      </c>
    </row>
    <row r="125" spans="5:27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1"/>
      <c r="L125" s="86">
        <f aca="true" t="shared" si="27" ref="L125:Z125">SUM(L122:L124,L120,L119,L114,L103,L88,L79,L59,L54,L49)</f>
        <v>86345.38801</v>
      </c>
      <c r="M125" s="86">
        <f t="shared" si="27"/>
        <v>86345.28801</v>
      </c>
      <c r="N125" s="86">
        <f t="shared" si="27"/>
        <v>-1.2505552149377763E-12</v>
      </c>
      <c r="O125" s="86">
        <f t="shared" si="27"/>
        <v>0</v>
      </c>
      <c r="P125" s="86">
        <f t="shared" si="27"/>
        <v>0</v>
      </c>
      <c r="Q125" s="86">
        <f t="shared" si="27"/>
        <v>0</v>
      </c>
      <c r="R125" s="86">
        <f t="shared" si="27"/>
        <v>0</v>
      </c>
      <c r="S125" s="86">
        <f t="shared" si="27"/>
        <v>0</v>
      </c>
      <c r="T125" s="86">
        <f t="shared" si="27"/>
        <v>0</v>
      </c>
      <c r="U125" s="86">
        <f t="shared" si="27"/>
        <v>0</v>
      </c>
      <c r="V125" s="86">
        <f t="shared" si="27"/>
        <v>0</v>
      </c>
      <c r="W125" s="86">
        <f t="shared" si="27"/>
        <v>0</v>
      </c>
      <c r="X125" s="86">
        <f t="shared" si="27"/>
        <v>92322.47</v>
      </c>
      <c r="Y125" s="86">
        <v>92401.49</v>
      </c>
      <c r="Z125" s="86">
        <f t="shared" si="27"/>
        <v>92401.48999999999</v>
      </c>
      <c r="AA125" s="234">
        <f>SUM(AA122,AA119,AA114,AA103,AA88,AA79,AA59,AA54,AA49)</f>
        <v>0</v>
      </c>
    </row>
    <row r="126" spans="5:28" ht="12.75">
      <c r="E126" s="2"/>
      <c r="F126" s="2"/>
      <c r="G126" s="2"/>
      <c r="H126" s="2"/>
      <c r="N126" s="114"/>
      <c r="X126" s="97"/>
      <c r="Y126" s="97"/>
      <c r="Z126" s="97"/>
      <c r="AA126" s="97"/>
      <c r="AB126" s="97"/>
    </row>
    <row r="127" spans="5:28" ht="12.75">
      <c r="E127" s="2"/>
      <c r="F127" s="2"/>
      <c r="G127" s="2"/>
      <c r="H127" s="2"/>
      <c r="X127" s="119"/>
      <c r="Y127" s="119"/>
      <c r="Z127" s="119"/>
      <c r="AA127" s="97"/>
      <c r="AB127" s="97"/>
    </row>
    <row r="128" spans="5:28" ht="12.75">
      <c r="E128" s="2"/>
      <c r="F128" s="2"/>
      <c r="G128" s="2"/>
      <c r="H128" s="2"/>
      <c r="X128" s="97"/>
      <c r="Y128" s="97"/>
      <c r="Z128" s="97"/>
      <c r="AA128" s="97"/>
      <c r="AB128" s="97"/>
    </row>
    <row r="129" spans="5:28" ht="12.75">
      <c r="E129" s="2"/>
      <c r="F129" s="2"/>
      <c r="G129" s="2"/>
      <c r="H129" s="2"/>
      <c r="AA129" s="97"/>
      <c r="AB129" s="97"/>
    </row>
    <row r="130" spans="27:28" ht="12.75">
      <c r="AA130" s="97"/>
      <c r="AB130" s="97"/>
    </row>
    <row r="131" spans="27:28" ht="12.75">
      <c r="AA131" s="97"/>
      <c r="AB131" s="97"/>
    </row>
    <row r="132" spans="27:28" ht="12.75">
      <c r="AA132" s="97"/>
      <c r="AB132" s="97"/>
    </row>
    <row r="133" spans="27:28" ht="12.75">
      <c r="AA133" s="97"/>
      <c r="AB133" s="97"/>
    </row>
    <row r="134" spans="27:28" ht="12.75">
      <c r="AA134" s="97"/>
      <c r="AB134" s="97"/>
    </row>
    <row r="135" spans="27:28" ht="12.75">
      <c r="AA135" s="97"/>
      <c r="AB135" s="97"/>
    </row>
    <row r="136" spans="27:28" ht="12.75">
      <c r="AA136" s="97"/>
      <c r="AB136" s="97"/>
    </row>
    <row r="137" spans="27:28" ht="12.75">
      <c r="AA137" s="97"/>
      <c r="AB137" s="97"/>
    </row>
    <row r="138" spans="27:28" ht="12.75">
      <c r="AA138" s="97"/>
      <c r="AB138" s="97"/>
    </row>
    <row r="139" spans="27:28" ht="12.75">
      <c r="AA139" s="97"/>
      <c r="AB139" s="97"/>
    </row>
    <row r="140" spans="27:28" ht="12.75">
      <c r="AA140" s="97"/>
      <c r="AB140" s="97"/>
    </row>
    <row r="141" spans="27:28" ht="12.75">
      <c r="AA141" s="97"/>
      <c r="AB141" s="97"/>
    </row>
    <row r="142" spans="27:28" ht="12.75">
      <c r="AA142" s="97"/>
      <c r="AB142" s="97"/>
    </row>
    <row r="143" spans="27:28" ht="12.75">
      <c r="AA143" s="97"/>
      <c r="AB143" s="97"/>
    </row>
    <row r="144" spans="27:28" ht="12.75">
      <c r="AA144" s="97"/>
      <c r="AB144" s="97"/>
    </row>
    <row r="145" spans="27:28" ht="12.75">
      <c r="AA145" s="97"/>
      <c r="AB145" s="97"/>
    </row>
    <row r="146" spans="27:28" ht="12.75">
      <c r="AA146" s="97"/>
      <c r="AB146" s="97"/>
    </row>
    <row r="147" spans="27:28" ht="12.75">
      <c r="AA147" s="97"/>
      <c r="AB147" s="97"/>
    </row>
    <row r="148" spans="27:28" ht="12.75">
      <c r="AA148" s="97"/>
      <c r="AB148" s="97"/>
    </row>
    <row r="149" spans="27:28" ht="12.75">
      <c r="AA149" s="97"/>
      <c r="AB149" s="97"/>
    </row>
    <row r="150" spans="27:28" ht="12.75">
      <c r="AA150" s="97"/>
      <c r="AB150" s="97"/>
    </row>
    <row r="151" spans="27:28" ht="12.75">
      <c r="AA151" s="97"/>
      <c r="AB151" s="97"/>
    </row>
    <row r="152" spans="27:28" ht="12.75">
      <c r="AA152" s="97"/>
      <c r="AB152" s="97"/>
    </row>
    <row r="153" spans="27:28" ht="12.75">
      <c r="AA153" s="97"/>
      <c r="AB153" s="97"/>
    </row>
    <row r="154" spans="27:28" ht="12.75">
      <c r="AA154" s="97"/>
      <c r="AB154" s="97"/>
    </row>
    <row r="155" spans="27:28" ht="12.75">
      <c r="AA155" s="97"/>
      <c r="AB155" s="97"/>
    </row>
    <row r="156" spans="27:28" ht="12.75">
      <c r="AA156" s="97"/>
      <c r="AB156" s="97"/>
    </row>
    <row r="157" spans="27:28" ht="12.75">
      <c r="AA157" s="97"/>
      <c r="AB157" s="97"/>
    </row>
    <row r="158" spans="27:28" ht="12.75">
      <c r="AA158" s="97"/>
      <c r="AB158" s="97"/>
    </row>
    <row r="159" spans="27:28" ht="12.75">
      <c r="AA159" s="97"/>
      <c r="AB159" s="97"/>
    </row>
    <row r="160" spans="27:28" ht="12.75">
      <c r="AA160" s="97"/>
      <c r="AB160" s="97"/>
    </row>
    <row r="161" spans="27:28" ht="12.75">
      <c r="AA161" s="97"/>
      <c r="AB161" s="97"/>
    </row>
    <row r="162" spans="27:28" ht="12.75">
      <c r="AA162" s="97"/>
      <c r="AB162" s="97"/>
    </row>
    <row r="163" spans="27:28" ht="12.75">
      <c r="AA163" s="97"/>
      <c r="AB163" s="97"/>
    </row>
    <row r="164" spans="27:28" ht="12.75">
      <c r="AA164" s="97"/>
      <c r="AB164" s="97"/>
    </row>
    <row r="165" spans="27:28" ht="12.75">
      <c r="AA165" s="97"/>
      <c r="AB165" s="97"/>
    </row>
    <row r="166" spans="27:28" ht="12.75">
      <c r="AA166" s="97"/>
      <c r="AB166" s="97"/>
    </row>
    <row r="167" spans="27:28" ht="12.75">
      <c r="AA167" s="97"/>
      <c r="AB167" s="97"/>
    </row>
    <row r="168" spans="27:28" ht="12.75">
      <c r="AA168" s="97"/>
      <c r="AB168" s="97"/>
    </row>
  </sheetData>
  <printOptions gridLines="1" horizontalCentered="1" verticalCentered="1"/>
  <pageMargins left="0.41" right="0.15" top="0.27" bottom="0.25" header="0.28" footer="0.15"/>
  <pageSetup fitToHeight="3" fitToWidth="1" horizontalDpi="600" verticalDpi="600" orientation="landscape" scale="46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2005-04-29T16:45:26Z</cp:lastPrinted>
  <dcterms:created xsi:type="dcterms:W3CDTF">2004-10-21T11:18:03Z</dcterms:created>
  <dcterms:modified xsi:type="dcterms:W3CDTF">2005-07-11T13:05:14Z</dcterms:modified>
  <cp:category/>
  <cp:version/>
  <cp:contentType/>
  <cp:contentStatus/>
</cp:coreProperties>
</file>