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19170" windowHeight="7080" activeTab="1"/>
  </bookViews>
  <sheets>
    <sheet name="Sheet2" sheetId="1" r:id="rId1"/>
    <sheet name="Sheet1" sheetId="2" r:id="rId2"/>
  </sheets>
  <definedNames>
    <definedName name="days">'Sheet1'!$E$104</definedName>
    <definedName name="_xlnm.Print_Area" localSheetId="1">'Sheet1'!$B$75:$K$98</definedName>
    <definedName name="_xlnm.Print_Area" localSheetId="0">'Sheet2'!$A$1:$AE$47</definedName>
  </definedNames>
  <calcPr fullCalcOnLoad="1"/>
</workbook>
</file>

<file path=xl/comments2.xml><?xml version="1.0" encoding="utf-8"?>
<comments xmlns="http://schemas.openxmlformats.org/spreadsheetml/2006/main">
  <authors>
    <author>rstrykowsky</author>
  </authors>
  <commentList>
    <comment ref="I32" authorId="0">
      <text>
        <r>
          <rPr>
            <b/>
            <sz val="8"/>
            <rFont val="Tahoma"/>
            <family val="0"/>
          </rPr>
          <t>rstrykowsky:</t>
        </r>
        <r>
          <rPr>
            <sz val="8"/>
            <rFont val="Tahoma"/>
            <family val="0"/>
          </rPr>
          <t xml:space="preserve">
129 for EIO, 13x8</t>
        </r>
      </text>
    </comment>
  </commentList>
</comments>
</file>

<file path=xl/sharedStrings.xml><?xml version="1.0" encoding="utf-8"?>
<sst xmlns="http://schemas.openxmlformats.org/spreadsheetml/2006/main" count="153" uniqueCount="141">
  <si>
    <t>Funding</t>
  </si>
  <si>
    <t xml:space="preserve">BA </t>
  </si>
  <si>
    <t>BA Increment</t>
  </si>
  <si>
    <t>1% holdback</t>
  </si>
  <si>
    <t>net BA</t>
  </si>
  <si>
    <t>FY2006 Budget</t>
  </si>
  <si>
    <t>Plan</t>
  </si>
  <si>
    <t>ECP-39 BCWS</t>
  </si>
  <si>
    <t>Management Reserve</t>
  </si>
  <si>
    <t xml:space="preserve">      OCT     FY06</t>
  </si>
  <si>
    <t xml:space="preserve">      NOV     FY06</t>
  </si>
  <si>
    <t xml:space="preserve">      DEC     FY06</t>
  </si>
  <si>
    <t xml:space="preserve">      JAN     FY06</t>
  </si>
  <si>
    <t xml:space="preserve">      FEB     FY06</t>
  </si>
  <si>
    <t xml:space="preserve">      MAR     FY06</t>
  </si>
  <si>
    <t xml:space="preserve">      APR     FY06</t>
  </si>
  <si>
    <t xml:space="preserve">      MAY     FY06</t>
  </si>
  <si>
    <t xml:space="preserve">      JUN     FY06</t>
  </si>
  <si>
    <t xml:space="preserve">      JUL     FY06</t>
  </si>
  <si>
    <t xml:space="preserve">      AUG     FY06</t>
  </si>
  <si>
    <t xml:space="preserve">      SEP     FY06</t>
  </si>
  <si>
    <t>Oct-Jan Actual</t>
  </si>
  <si>
    <t>1403/1421</t>
  </si>
  <si>
    <t>current forecast</t>
  </si>
  <si>
    <t>PMB</t>
  </si>
  <si>
    <t>EAC (bcwr and actual cost)</t>
  </si>
  <si>
    <t>ytd cost variance</t>
  </si>
  <si>
    <t>sxr modification</t>
  </si>
  <si>
    <t>kickless cable testing</t>
  </si>
  <si>
    <t>updated estimate</t>
  </si>
  <si>
    <t>accelerated scope</t>
  </si>
  <si>
    <t>PF design</t>
  </si>
  <si>
    <t>CS supt design</t>
  </si>
  <si>
    <t>coil serv LN2 supply design</t>
  </si>
  <si>
    <t>Base supt structue</t>
  </si>
  <si>
    <t>schedule slip</t>
  </si>
  <si>
    <t>MCWF deliveries</t>
  </si>
  <si>
    <t xml:space="preserve">add'l unbudgeted work etc </t>
  </si>
  <si>
    <t>tech change (50% of 356)</t>
  </si>
  <si>
    <t>incentives if PPPL dates met</t>
  </si>
  <si>
    <t>Unknown</t>
  </si>
  <si>
    <t>add'l if EIO meets their comittment date</t>
  </si>
  <si>
    <t>if winding continues at .8 cpi</t>
  </si>
  <si>
    <t>Add'l if winding continues at .7 cpi instead of .8</t>
  </si>
  <si>
    <t>?</t>
  </si>
  <si>
    <t>TF fab 1351/1361</t>
  </si>
  <si>
    <t>TF fab delayed</t>
  </si>
  <si>
    <t>Baseline scope</t>
  </si>
  <si>
    <t>Cost Variances to date</t>
  </si>
  <si>
    <t>Accelerated Scope</t>
  </si>
  <si>
    <t>Schedule slip into FY07</t>
  </si>
  <si>
    <t>Winding operations</t>
  </si>
  <si>
    <t>MC Design</t>
  </si>
  <si>
    <t>TF Fabr prep</t>
  </si>
  <si>
    <t>Magnetic diagnostics</t>
  </si>
  <si>
    <t>Electr Power sys</t>
  </si>
  <si>
    <t>misc other</t>
  </si>
  <si>
    <t>PF Design</t>
  </si>
  <si>
    <t>CS Suprt Design</t>
  </si>
  <si>
    <t>PPPL Dates met</t>
  </si>
  <si>
    <t>Coil Services Design</t>
  </si>
  <si>
    <t>Base Suprt Structure Design</t>
  </si>
  <si>
    <t>MCWF Schedule slip</t>
  </si>
  <si>
    <t>(relative to Baseline)</t>
  </si>
  <si>
    <t>FY06 EAC =</t>
  </si>
  <si>
    <t>Management Reserve Balance=</t>
  </si>
  <si>
    <t>(balance of  $356 contract mod to be paid in FY07)</t>
  </si>
  <si>
    <t>ETC Update</t>
  </si>
  <si>
    <t>FY2005 carryover</t>
  </si>
  <si>
    <t>Stage 1 FP Assy</t>
  </si>
  <si>
    <t>(assumes balance of year at .8 cpi)</t>
  </si>
  <si>
    <t xml:space="preserve">Project management </t>
  </si>
  <si>
    <t>Project  engr</t>
  </si>
  <si>
    <t>Vac Vessel Design &amp; hardware</t>
  </si>
  <si>
    <t>Coil Testing facility</t>
  </si>
  <si>
    <t>VV H/W (heater tape, Vert suprts)</t>
  </si>
  <si>
    <t>BCWS</t>
  </si>
  <si>
    <t>BCWP</t>
  </si>
  <si>
    <t>ACWP</t>
  </si>
  <si>
    <t>CPI</t>
  </si>
  <si>
    <t>SPI</t>
  </si>
  <si>
    <t>SV</t>
  </si>
  <si>
    <t>CV</t>
  </si>
  <si>
    <t>BCWR</t>
  </si>
  <si>
    <t>FY06 YTD</t>
  </si>
  <si>
    <t>ETC = (BCWR + ETC+accel scope+MCWF slip+scope increase+</t>
  </si>
  <si>
    <t>Spending rate in excess of plan (ACWP-BCWS)/BCWS)</t>
  </si>
  <si>
    <t>Cum</t>
  </si>
  <si>
    <t>Say future cost variance to be offset by schedule slippages</t>
  </si>
  <si>
    <t>Cost Variance in excess of schedule slip =</t>
  </si>
  <si>
    <r>
      <t>EAC</t>
    </r>
    <r>
      <rPr>
        <b/>
        <sz val="8"/>
        <rFont val="Arial"/>
        <family val="2"/>
      </rPr>
      <t xml:space="preserve"> bottoms-up</t>
    </r>
  </si>
  <si>
    <r>
      <t>EAC</t>
    </r>
    <r>
      <rPr>
        <b/>
        <sz val="8"/>
        <rFont val="Arial"/>
        <family val="2"/>
      </rPr>
      <t xml:space="preserve"> straightline costs</t>
    </r>
  </si>
  <si>
    <t>Winding form</t>
  </si>
  <si>
    <t>C3</t>
  </si>
  <si>
    <t>C4</t>
  </si>
  <si>
    <t>C5</t>
  </si>
  <si>
    <t>A1</t>
  </si>
  <si>
    <t>A2</t>
  </si>
  <si>
    <t>A3</t>
  </si>
  <si>
    <t>B1</t>
  </si>
  <si>
    <t>A4</t>
  </si>
  <si>
    <t>B2</t>
  </si>
  <si>
    <t>B3</t>
  </si>
  <si>
    <t>B4</t>
  </si>
  <si>
    <t>B5</t>
  </si>
  <si>
    <t>B6</t>
  </si>
  <si>
    <t>A5</t>
  </si>
  <si>
    <t>A6</t>
  </si>
  <si>
    <t>C6</t>
  </si>
  <si>
    <t>Contract Date</t>
  </si>
  <si>
    <t>On Contract Date</t>
  </si>
  <si>
    <t>1 mo. Late</t>
  </si>
  <si>
    <t>2 mo. Late</t>
  </si>
  <si>
    <t>difference</t>
  </si>
  <si>
    <t>days in average month =</t>
  </si>
  <si>
    <t>Incentives</t>
  </si>
  <si>
    <t xml:space="preserve">Contracy </t>
  </si>
  <si>
    <t>3 mo. Late</t>
  </si>
  <si>
    <t>eio=</t>
  </si>
  <si>
    <t>ECP-43 (march)</t>
  </si>
  <si>
    <t>EIO Incentive Payment plan (Contract vs Project schedule)</t>
  </si>
  <si>
    <t>Opportunities</t>
  </si>
  <si>
    <t>Risks</t>
  </si>
  <si>
    <t>ECP Plans</t>
  </si>
  <si>
    <t>FY06= $161</t>
  </si>
  <si>
    <t>TF Fabrication Facility  (Reclassify as non-MIE future upgrade or other use)</t>
  </si>
  <si>
    <t>Startup manpower (reclassify as non-MIE operating consistent with DOE regs)</t>
  </si>
  <si>
    <t>Maximun cost</t>
  </si>
  <si>
    <t>FY 2006 Budget Status 3/15/06</t>
  </si>
  <si>
    <t>SXR Diagnostic Modification to VVSA (classify as capital upgrade (non-MIE)</t>
  </si>
  <si>
    <t>MCWF Contract mod #11 for technical changes</t>
  </si>
  <si>
    <t>MCWF Contract mod #12 delivery incentives</t>
  </si>
  <si>
    <t>Central Solenoid Support Fabrication</t>
  </si>
  <si>
    <t>Health Physics in support of D-site fabrication</t>
  </si>
  <si>
    <r>
      <t xml:space="preserve">MCWFadditional  if EIO meets their </t>
    </r>
    <r>
      <rPr>
        <i/>
        <sz val="14"/>
        <rFont val="Arial"/>
        <family val="0"/>
      </rPr>
      <t>comittment</t>
    </r>
    <r>
      <rPr>
        <sz val="14"/>
        <rFont val="Arial"/>
        <family val="0"/>
      </rPr>
      <t xml:space="preserve"> dates</t>
    </r>
  </si>
  <si>
    <t>Reduced MCWF Contract oversight (titleIII)</t>
  </si>
  <si>
    <t>First Plasma Acceleration (2 months)</t>
  </si>
  <si>
    <t>Project Incentives Planned (ECP-43)</t>
  </si>
  <si>
    <t>Project ECP-43 Baseline Date</t>
  </si>
  <si>
    <t>Potential Risk Outstanding to DOE =</t>
  </si>
  <si>
    <t>Risk borne by Princeton University=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</si>
</sst>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$&quot;#,##0.0_);\(&quot;$&quot;#,##0.0\)"/>
    <numFmt numFmtId="177" formatCode="0.0%"/>
    <numFmt numFmtId="178" formatCode="0.000%"/>
    <numFmt numFmtId="179" formatCode="0.0000%"/>
    <numFmt numFmtId="180" formatCode="[$-409]dddd\,\ mmmm\ dd\,\ yyyy"/>
    <numFmt numFmtId="181" formatCode="m/d/yy;@"/>
    <numFmt numFmtId="182" formatCode="_(* #,##0.000_);_(* \(#,##0.000\);_(* &quot;-&quot;???_);_(@_)"/>
    <numFmt numFmtId="183" formatCode="_(* #,##0.0_);_(* \(#,##0.0\);_(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#,##0.00;[Red]&quot;$&quot;#,##0.00"/>
    <numFmt numFmtId="187" formatCode="&quot;$&quot;#,##0.0;[Red]&quot;$&quot;#,##0.0"/>
    <numFmt numFmtId="188" formatCode="&quot;$&quot;#,##0;[Red]&quot;$&quot;#,##0"/>
    <numFmt numFmtId="189" formatCode="_(* #,##0.000_);_(* \(#,##0.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.25"/>
      <name val="Arial"/>
      <family val="2"/>
    </font>
    <font>
      <u val="single"/>
      <sz val="10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43" fontId="3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0" fillId="0" borderId="0" xfId="15" applyAlignment="1">
      <alignment wrapText="1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0" fillId="3" borderId="0" xfId="0" applyNumberFormat="1" applyFill="1" applyAlignment="1">
      <alignment/>
    </xf>
    <xf numFmtId="0" fontId="3" fillId="4" borderId="0" xfId="0" applyFont="1" applyFill="1" applyAlignment="1">
      <alignment wrapText="1"/>
    </xf>
    <xf numFmtId="3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/>
    </xf>
    <xf numFmtId="0" fontId="5" fillId="5" borderId="0" xfId="0" applyFont="1" applyFill="1" applyAlignment="1">
      <alignment/>
    </xf>
    <xf numFmtId="43" fontId="1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168" fontId="0" fillId="0" borderId="0" xfId="15" applyNumberFormat="1" applyBorder="1" applyAlignment="1">
      <alignment/>
    </xf>
    <xf numFmtId="168" fontId="2" fillId="0" borderId="0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5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0" fontId="0" fillId="6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168" fontId="0" fillId="0" borderId="0" xfId="15" applyNumberForma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3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9" fontId="11" fillId="0" borderId="0" xfId="19" applyFont="1" applyBorder="1" applyAlignment="1">
      <alignment/>
    </xf>
    <xf numFmtId="168" fontId="0" fillId="0" borderId="0" xfId="15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164" fontId="0" fillId="0" borderId="0" xfId="15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43" fontId="0" fillId="0" borderId="8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81" fontId="0" fillId="0" borderId="15" xfId="0" applyNumberForma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 wrapText="1"/>
    </xf>
    <xf numFmtId="4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8" fontId="1" fillId="0" borderId="18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8" fontId="0" fillId="0" borderId="4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5" xfId="15" applyNumberFormat="1" applyBorder="1" applyAlignment="1">
      <alignment/>
    </xf>
    <xf numFmtId="0" fontId="17" fillId="0" borderId="6" xfId="0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15" applyNumberFormat="1" applyFont="1" applyBorder="1" applyAlignment="1">
      <alignment horizontal="center"/>
    </xf>
    <xf numFmtId="168" fontId="21" fillId="0" borderId="0" xfId="15" applyNumberFormat="1" applyFont="1" applyBorder="1" applyAlignment="1">
      <alignment horizontal="center"/>
    </xf>
    <xf numFmtId="5" fontId="16" fillId="0" borderId="0" xfId="15" applyNumberFormat="1" applyFont="1" applyBorder="1" applyAlignment="1">
      <alignment horizontal="center"/>
    </xf>
    <xf numFmtId="5" fontId="21" fillId="0" borderId="0" xfId="15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3" xfId="15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7" xfId="0" applyFont="1" applyBorder="1" applyAlignment="1">
      <alignment/>
    </xf>
    <xf numFmtId="5" fontId="21" fillId="0" borderId="0" xfId="0" applyNumberFormat="1" applyFont="1" applyBorder="1" applyAlignment="1">
      <alignment horizontal="center"/>
    </xf>
    <xf numFmtId="43" fontId="1" fillId="0" borderId="17" xfId="17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44" fontId="0" fillId="0" borderId="5" xfId="17" applyFill="1" applyBorder="1" applyAlignment="1">
      <alignment horizontal="center"/>
    </xf>
    <xf numFmtId="44" fontId="0" fillId="0" borderId="0" xfId="17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Sheet1!$N$17:$N$21</c:f>
            </c:strRef>
          </c:cat>
          <c:val>
            <c:numRef>
              <c:f>Sheet1!$O$17:$O$21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Sheet1!$N$17:$N$21</c:f>
            </c:strRef>
          </c:cat>
          <c:val>
            <c:numRef>
              <c:f>Sheet1!$P$17:$P$21</c:f>
            </c:numRef>
          </c:val>
        </c:ser>
        <c:overlap val="100"/>
        <c:gapWidth val="20"/>
        <c:axId val="45850119"/>
        <c:axId val="40798236"/>
      </c:barChart>
      <c:catAx>
        <c:axId val="4585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8236"/>
        <c:crosses val="autoZero"/>
        <c:auto val="1"/>
        <c:lblOffset val="100"/>
        <c:noMultiLvlLbl val="0"/>
      </c:catAx>
      <c:valAx>
        <c:axId val="40798236"/>
        <c:scaling>
          <c:orientation val="minMax"/>
          <c:max val="1500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5011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180975</xdr:rowOff>
    </xdr:from>
    <xdr:to>
      <xdr:col>11</xdr:col>
      <xdr:colOff>2847975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5257800" y="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0" zoomScaleNormal="80" workbookViewId="0" topLeftCell="A1">
      <selection activeCell="R21" sqref="R21"/>
    </sheetView>
  </sheetViews>
  <sheetFormatPr defaultColWidth="9.140625" defaultRowHeight="12.75"/>
  <cols>
    <col min="2" max="2" width="2.421875" style="18" customWidth="1"/>
    <col min="3" max="6" width="2.28125" style="0" customWidth="1"/>
    <col min="7" max="7" width="8.7109375" style="0" customWidth="1"/>
    <col min="8" max="8" width="10.28125" style="0" customWidth="1"/>
    <col min="9" max="16" width="5.421875" style="0" customWidth="1"/>
    <col min="17" max="17" width="11.28125" style="0" bestFit="1" customWidth="1"/>
    <col min="18" max="18" width="10.7109375" style="0" customWidth="1"/>
    <col min="19" max="19" width="15.140625" style="0" customWidth="1"/>
    <col min="20" max="20" width="8.421875" style="0" customWidth="1"/>
    <col min="21" max="21" width="25.28125" style="0" customWidth="1"/>
    <col min="22" max="22" width="6.140625" style="0" customWidth="1"/>
    <col min="23" max="23" width="16.7109375" style="0" customWidth="1"/>
    <col min="24" max="24" width="8.421875" style="0" customWidth="1"/>
    <col min="25" max="25" width="9.421875" style="0" bestFit="1" customWidth="1"/>
    <col min="26" max="26" width="7.140625" style="0" customWidth="1"/>
  </cols>
  <sheetData>
    <row r="1" spans="1:26" s="8" customFormat="1" ht="40.5" customHeight="1" thickBot="1">
      <c r="A1" s="8" t="s">
        <v>23</v>
      </c>
      <c r="B1" s="17"/>
      <c r="C1" s="9" t="s">
        <v>9</v>
      </c>
      <c r="D1" s="9" t="s">
        <v>10</v>
      </c>
      <c r="E1" s="9" t="s">
        <v>11</v>
      </c>
      <c r="F1" s="9" t="s">
        <v>12</v>
      </c>
      <c r="G1" s="20" t="s">
        <v>26</v>
      </c>
      <c r="H1" s="10" t="s">
        <v>21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25</v>
      </c>
      <c r="R1" s="14" t="s">
        <v>37</v>
      </c>
      <c r="S1" s="15"/>
      <c r="T1" s="16" t="s">
        <v>30</v>
      </c>
      <c r="U1" s="16"/>
      <c r="V1" s="24" t="s">
        <v>35</v>
      </c>
      <c r="W1" s="24"/>
      <c r="X1" s="8" t="s">
        <v>24</v>
      </c>
      <c r="Z1" s="8" t="s">
        <v>40</v>
      </c>
    </row>
    <row r="2" spans="1:25" ht="12.75">
      <c r="A2">
        <v>1203</v>
      </c>
      <c r="C2" s="3">
        <v>21.4</v>
      </c>
      <c r="D2" s="3">
        <v>24.7</v>
      </c>
      <c r="E2" s="3">
        <v>19.8</v>
      </c>
      <c r="F2" s="3">
        <v>45.4</v>
      </c>
      <c r="G2" s="11">
        <v>17.899000000000115</v>
      </c>
      <c r="H2" s="4">
        <v>105.101</v>
      </c>
      <c r="I2">
        <v>63.9</v>
      </c>
      <c r="Q2" s="7">
        <f>SUM(H2:P2)</f>
        <v>169.001</v>
      </c>
      <c r="X2">
        <v>155.3</v>
      </c>
      <c r="Y2" s="7">
        <f>+Q2-X2</f>
        <v>13.700999999999993</v>
      </c>
    </row>
    <row r="3" spans="1:25" ht="12.75">
      <c r="A3">
        <v>1204</v>
      </c>
      <c r="C3" s="3"/>
      <c r="D3" s="3"/>
      <c r="E3" s="3">
        <v>11.2</v>
      </c>
      <c r="F3" s="3">
        <v>13.8</v>
      </c>
      <c r="G3" s="11">
        <v>28.306000000000004</v>
      </c>
      <c r="H3" s="4">
        <v>52.865</v>
      </c>
      <c r="I3">
        <v>0.8</v>
      </c>
      <c r="J3">
        <v>35.1</v>
      </c>
      <c r="K3">
        <v>96.4</v>
      </c>
      <c r="L3">
        <v>4.4</v>
      </c>
      <c r="M3">
        <v>4.1</v>
      </c>
      <c r="N3">
        <v>0.8</v>
      </c>
      <c r="O3">
        <v>0.9</v>
      </c>
      <c r="P3">
        <v>0.8</v>
      </c>
      <c r="Q3" s="7">
        <f aca="true" t="shared" si="0" ref="Q3:Q41">SUM(H3:P3)</f>
        <v>196.16500000000005</v>
      </c>
      <c r="X3">
        <v>192.9</v>
      </c>
      <c r="Y3" s="7">
        <f aca="true" t="shared" si="1" ref="Y3:Y41">+Q3-X3</f>
        <v>3.265000000000043</v>
      </c>
    </row>
    <row r="4" spans="1:25" ht="12.75">
      <c r="A4">
        <v>1250</v>
      </c>
      <c r="C4" s="3">
        <v>198.7</v>
      </c>
      <c r="D4" s="3">
        <v>120.6</v>
      </c>
      <c r="E4" s="3">
        <v>175.5</v>
      </c>
      <c r="F4" s="3">
        <v>299.7</v>
      </c>
      <c r="G4" s="11">
        <v>52.76299999999901</v>
      </c>
      <c r="H4" s="4">
        <v>1215.919</v>
      </c>
      <c r="I4">
        <v>281.7</v>
      </c>
      <c r="J4">
        <v>236.1</v>
      </c>
      <c r="K4">
        <v>156</v>
      </c>
      <c r="L4">
        <v>217.2</v>
      </c>
      <c r="M4">
        <v>588.2</v>
      </c>
      <c r="N4">
        <v>0.3</v>
      </c>
      <c r="Q4" s="7">
        <f t="shared" si="0"/>
        <v>2695.419</v>
      </c>
      <c r="R4">
        <v>146</v>
      </c>
      <c r="S4" t="s">
        <v>27</v>
      </c>
      <c r="X4">
        <v>2611</v>
      </c>
      <c r="Y4" s="7">
        <f t="shared" si="1"/>
        <v>84.41899999999987</v>
      </c>
    </row>
    <row r="5" spans="1:25" ht="12.75">
      <c r="A5">
        <v>1301</v>
      </c>
      <c r="C5" s="3">
        <v>2.3</v>
      </c>
      <c r="D5" s="3">
        <v>2.2</v>
      </c>
      <c r="E5" s="3">
        <v>1.9</v>
      </c>
      <c r="F5" s="3">
        <v>2.3</v>
      </c>
      <c r="G5" s="11">
        <v>19.043000000000006</v>
      </c>
      <c r="H5" s="4">
        <v>22.509</v>
      </c>
      <c r="I5">
        <v>1.3</v>
      </c>
      <c r="J5">
        <v>0.1</v>
      </c>
      <c r="Q5" s="7">
        <f t="shared" si="0"/>
        <v>23.909000000000002</v>
      </c>
      <c r="X5">
        <v>2.8</v>
      </c>
      <c r="Y5" s="7">
        <f t="shared" si="1"/>
        <v>21.109</v>
      </c>
    </row>
    <row r="6" spans="1:25" ht="12.75">
      <c r="A6">
        <v>1302</v>
      </c>
      <c r="C6" s="3">
        <v>0.1</v>
      </c>
      <c r="D6" s="3">
        <v>0.1</v>
      </c>
      <c r="E6" s="3">
        <v>0.1</v>
      </c>
      <c r="F6" s="3">
        <v>0.1</v>
      </c>
      <c r="G6" s="11">
        <v>-3.115</v>
      </c>
      <c r="H6" s="4"/>
      <c r="I6">
        <v>10.4</v>
      </c>
      <c r="J6">
        <v>7.6</v>
      </c>
      <c r="K6">
        <v>7.8</v>
      </c>
      <c r="L6">
        <v>10.6</v>
      </c>
      <c r="M6">
        <v>15</v>
      </c>
      <c r="N6">
        <v>13.6</v>
      </c>
      <c r="O6">
        <v>15.7</v>
      </c>
      <c r="P6">
        <v>2</v>
      </c>
      <c r="Q6" s="7">
        <f t="shared" si="0"/>
        <v>82.7</v>
      </c>
      <c r="T6">
        <v>70</v>
      </c>
      <c r="U6" t="s">
        <v>31</v>
      </c>
      <c r="X6">
        <v>12.5</v>
      </c>
      <c r="Y6" s="19">
        <f t="shared" si="1"/>
        <v>70.2</v>
      </c>
    </row>
    <row r="7" spans="1:25" ht="12.75">
      <c r="A7">
        <v>1303</v>
      </c>
      <c r="C7" s="3"/>
      <c r="D7" s="3"/>
      <c r="E7" s="3"/>
      <c r="F7" s="3">
        <v>10.9</v>
      </c>
      <c r="G7">
        <v>0</v>
      </c>
      <c r="H7" s="4">
        <v>7.781</v>
      </c>
      <c r="I7">
        <v>34.9</v>
      </c>
      <c r="J7">
        <v>33.5</v>
      </c>
      <c r="K7">
        <v>27.5</v>
      </c>
      <c r="L7">
        <v>30.3</v>
      </c>
      <c r="M7">
        <v>20.6</v>
      </c>
      <c r="Q7" s="7">
        <f t="shared" si="0"/>
        <v>154.581</v>
      </c>
      <c r="T7">
        <v>154</v>
      </c>
      <c r="U7" t="s">
        <v>32</v>
      </c>
      <c r="Y7" s="19">
        <f t="shared" si="1"/>
        <v>154.581</v>
      </c>
    </row>
    <row r="8" spans="1:25" ht="12.75">
      <c r="A8">
        <v>1350</v>
      </c>
      <c r="C8" s="3">
        <v>67.8</v>
      </c>
      <c r="D8" s="3">
        <v>21.9</v>
      </c>
      <c r="E8" s="3">
        <v>15.8</v>
      </c>
      <c r="F8" s="3">
        <v>16.1</v>
      </c>
      <c r="G8" s="11">
        <v>36.73799999999994</v>
      </c>
      <c r="H8" s="4">
        <v>143.386</v>
      </c>
      <c r="I8">
        <v>9.2</v>
      </c>
      <c r="K8">
        <v>56.1</v>
      </c>
      <c r="L8">
        <v>61.7</v>
      </c>
      <c r="M8">
        <v>5.6</v>
      </c>
      <c r="O8">
        <v>62.3</v>
      </c>
      <c r="P8">
        <v>77.3</v>
      </c>
      <c r="Q8" s="7">
        <f t="shared" si="0"/>
        <v>415.586</v>
      </c>
      <c r="X8">
        <v>352.2</v>
      </c>
      <c r="Y8" s="7">
        <f t="shared" si="1"/>
        <v>63.386000000000024</v>
      </c>
    </row>
    <row r="9" spans="1:26" s="25" customFormat="1" ht="12.75">
      <c r="A9" s="25" t="s">
        <v>45</v>
      </c>
      <c r="C9" s="26">
        <v>5.9</v>
      </c>
      <c r="D9" s="26">
        <v>7.4</v>
      </c>
      <c r="E9" s="26">
        <v>6.3</v>
      </c>
      <c r="F9" s="26">
        <v>96.9</v>
      </c>
      <c r="G9" s="26">
        <v>34.096000000000004</v>
      </c>
      <c r="H9" s="26">
        <v>151.463</v>
      </c>
      <c r="I9" s="26">
        <v>22.4</v>
      </c>
      <c r="J9" s="26">
        <v>15.7</v>
      </c>
      <c r="K9" s="26">
        <v>101</v>
      </c>
      <c r="L9" s="26">
        <v>55.2</v>
      </c>
      <c r="M9" s="26">
        <v>65.3</v>
      </c>
      <c r="N9" s="26">
        <v>73.2</v>
      </c>
      <c r="O9" s="26">
        <v>81.2</v>
      </c>
      <c r="P9" s="26">
        <v>118.2</v>
      </c>
      <c r="Q9" s="27">
        <f t="shared" si="0"/>
        <v>683.663</v>
      </c>
      <c r="T9" s="25">
        <v>-200</v>
      </c>
      <c r="U9" s="25" t="s">
        <v>46</v>
      </c>
      <c r="X9" s="26">
        <v>885.1</v>
      </c>
      <c r="Y9" s="27">
        <f t="shared" si="1"/>
        <v>-201.437</v>
      </c>
      <c r="Z9" s="25" t="s">
        <v>44</v>
      </c>
    </row>
    <row r="10" spans="1:25" ht="12.75">
      <c r="A10">
        <v>1353</v>
      </c>
      <c r="C10" s="3"/>
      <c r="D10" s="3"/>
      <c r="E10" s="3"/>
      <c r="F10" s="3"/>
      <c r="G10">
        <v>0</v>
      </c>
      <c r="H10" s="4"/>
      <c r="N10">
        <v>3.2</v>
      </c>
      <c r="O10">
        <v>4.6</v>
      </c>
      <c r="P10">
        <v>15.4</v>
      </c>
      <c r="Q10" s="7">
        <f t="shared" si="0"/>
        <v>23.2</v>
      </c>
      <c r="Y10" s="7">
        <f t="shared" si="1"/>
        <v>23.2</v>
      </c>
    </row>
    <row r="11" spans="1:25" ht="12.75">
      <c r="A11">
        <v>1354</v>
      </c>
      <c r="C11" s="3"/>
      <c r="D11" s="3"/>
      <c r="E11" s="3"/>
      <c r="F11" s="3"/>
      <c r="G11">
        <v>0</v>
      </c>
      <c r="H11" s="4"/>
      <c r="P11">
        <v>8.1</v>
      </c>
      <c r="Q11" s="7">
        <f t="shared" si="0"/>
        <v>8.1</v>
      </c>
      <c r="Y11" s="7">
        <f t="shared" si="1"/>
        <v>8.1</v>
      </c>
    </row>
    <row r="12" spans="1:25" ht="12.75">
      <c r="A12" s="5" t="s">
        <v>22</v>
      </c>
      <c r="C12" s="3">
        <v>29.7</v>
      </c>
      <c r="D12" s="3">
        <v>25.3</v>
      </c>
      <c r="E12" s="3">
        <v>15.6</v>
      </c>
      <c r="F12" s="3">
        <v>19.3</v>
      </c>
      <c r="G12" s="11">
        <v>193.83899999999994</v>
      </c>
      <c r="H12" s="6">
        <v>180.467</v>
      </c>
      <c r="I12" s="3">
        <v>51.1</v>
      </c>
      <c r="J12" s="3">
        <v>27.9</v>
      </c>
      <c r="K12" s="3">
        <v>10.7</v>
      </c>
      <c r="L12" s="3">
        <v>11.8</v>
      </c>
      <c r="M12" s="3">
        <v>11.8</v>
      </c>
      <c r="N12" s="3">
        <v>4.9</v>
      </c>
      <c r="O12" s="3">
        <v>18.8</v>
      </c>
      <c r="P12" s="3">
        <v>11.5</v>
      </c>
      <c r="Q12" s="7">
        <f t="shared" si="0"/>
        <v>328.967</v>
      </c>
      <c r="T12" s="5"/>
      <c r="U12" s="5"/>
      <c r="V12" s="5"/>
      <c r="W12" s="5"/>
      <c r="X12">
        <v>201.7</v>
      </c>
      <c r="Y12" s="7">
        <f t="shared" si="1"/>
        <v>127.267</v>
      </c>
    </row>
    <row r="13" spans="1:25" ht="12.75">
      <c r="A13">
        <v>1408</v>
      </c>
      <c r="C13" s="3">
        <v>60.5</v>
      </c>
      <c r="D13" s="3">
        <v>27.5</v>
      </c>
      <c r="E13" s="3">
        <v>65.5</v>
      </c>
      <c r="F13" s="3">
        <v>214.2</v>
      </c>
      <c r="G13" s="11">
        <v>-17.884000000000015</v>
      </c>
      <c r="H13" s="4">
        <v>335.192</v>
      </c>
      <c r="I13">
        <v>284.3</v>
      </c>
      <c r="J13">
        <v>127.3</v>
      </c>
      <c r="K13">
        <v>17.1</v>
      </c>
      <c r="L13">
        <v>144.4</v>
      </c>
      <c r="M13">
        <v>158.7</v>
      </c>
      <c r="N13">
        <v>35.9</v>
      </c>
      <c r="O13">
        <v>1.9</v>
      </c>
      <c r="P13">
        <v>1.7</v>
      </c>
      <c r="Q13" s="7">
        <f t="shared" si="0"/>
        <v>1106.4920000000002</v>
      </c>
      <c r="X13">
        <v>1065.6</v>
      </c>
      <c r="Y13" s="7">
        <f t="shared" si="1"/>
        <v>40.89200000000028</v>
      </c>
    </row>
    <row r="14" spans="1:27" ht="12.75">
      <c r="A14">
        <v>1411</v>
      </c>
      <c r="C14" s="3">
        <v>277.4</v>
      </c>
      <c r="D14" s="3">
        <v>277.7</v>
      </c>
      <c r="E14" s="3">
        <v>259</v>
      </c>
      <c r="F14" s="3">
        <v>473.9</v>
      </c>
      <c r="G14" s="11">
        <v>-48.47050000000036</v>
      </c>
      <c r="H14" s="4">
        <v>1102.4215</v>
      </c>
      <c r="I14">
        <v>345.3</v>
      </c>
      <c r="J14">
        <v>412.1</v>
      </c>
      <c r="K14">
        <v>401.3</v>
      </c>
      <c r="L14">
        <v>418.4</v>
      </c>
      <c r="M14">
        <v>317.6</v>
      </c>
      <c r="N14">
        <v>205.5</v>
      </c>
      <c r="O14">
        <v>243.7</v>
      </c>
      <c r="P14">
        <v>195.7</v>
      </c>
      <c r="Q14" s="7">
        <f t="shared" si="0"/>
        <v>3642.0215</v>
      </c>
      <c r="R14">
        <f>356/2</f>
        <v>178</v>
      </c>
      <c r="S14" t="s">
        <v>38</v>
      </c>
      <c r="T14">
        <v>165</v>
      </c>
      <c r="U14" t="s">
        <v>39</v>
      </c>
      <c r="V14">
        <v>-411</v>
      </c>
      <c r="W14" t="s">
        <v>36</v>
      </c>
      <c r="X14">
        <v>4053.4</v>
      </c>
      <c r="Y14" s="28">
        <f t="shared" si="1"/>
        <v>-411.37850000000026</v>
      </c>
      <c r="Z14">
        <v>195</v>
      </c>
      <c r="AA14" t="s">
        <v>41</v>
      </c>
    </row>
    <row r="15" spans="1:25" ht="12.75">
      <c r="A15">
        <v>1414</v>
      </c>
      <c r="C15" s="3">
        <v>31.6</v>
      </c>
      <c r="D15" s="3"/>
      <c r="E15" s="3">
        <v>10.7</v>
      </c>
      <c r="F15" s="3">
        <v>23.8</v>
      </c>
      <c r="G15" s="11">
        <v>8.141999999999996</v>
      </c>
      <c r="H15" s="4">
        <v>72.171</v>
      </c>
      <c r="I15">
        <v>23.5</v>
      </c>
      <c r="J15">
        <v>1.2</v>
      </c>
      <c r="K15">
        <v>30.3</v>
      </c>
      <c r="Q15" s="7">
        <f t="shared" si="0"/>
        <v>127.171</v>
      </c>
      <c r="R15">
        <v>63</v>
      </c>
      <c r="S15" t="s">
        <v>28</v>
      </c>
      <c r="X15">
        <v>141.8</v>
      </c>
      <c r="Y15" s="7">
        <f t="shared" si="1"/>
        <v>-14.629000000000005</v>
      </c>
    </row>
    <row r="16" spans="1:25" ht="12.75">
      <c r="A16">
        <v>1416</v>
      </c>
      <c r="C16" s="3">
        <v>23.8</v>
      </c>
      <c r="D16" s="3">
        <v>30</v>
      </c>
      <c r="E16" s="3">
        <v>77.9</v>
      </c>
      <c r="F16" s="3">
        <v>97.1</v>
      </c>
      <c r="G16" s="11">
        <v>-121.81</v>
      </c>
      <c r="H16" s="4">
        <v>126.81299999999999</v>
      </c>
      <c r="I16">
        <v>165.1</v>
      </c>
      <c r="J16">
        <v>198.6</v>
      </c>
      <c r="K16">
        <v>87.2</v>
      </c>
      <c r="L16">
        <v>46.1</v>
      </c>
      <c r="M16">
        <v>14.2</v>
      </c>
      <c r="Q16" s="7">
        <f t="shared" si="0"/>
        <v>638.0130000000001</v>
      </c>
      <c r="X16">
        <v>691.2</v>
      </c>
      <c r="Y16" s="7">
        <f t="shared" si="1"/>
        <v>-53.1869999999999</v>
      </c>
    </row>
    <row r="17" spans="1:25" ht="12.75">
      <c r="A17">
        <v>1451</v>
      </c>
      <c r="C17" s="3">
        <v>145.8</v>
      </c>
      <c r="D17" s="3">
        <v>83.1</v>
      </c>
      <c r="E17" s="3">
        <v>80.3</v>
      </c>
      <c r="F17" s="3">
        <v>152.5</v>
      </c>
      <c r="G17" s="11">
        <v>211.6735</v>
      </c>
      <c r="H17" s="4">
        <v>672.0825</v>
      </c>
      <c r="I17">
        <v>138.6</v>
      </c>
      <c r="J17">
        <v>197</v>
      </c>
      <c r="K17">
        <v>212.5</v>
      </c>
      <c r="L17">
        <v>222.8</v>
      </c>
      <c r="M17">
        <v>254</v>
      </c>
      <c r="N17">
        <v>219.6</v>
      </c>
      <c r="O17">
        <v>247.2</v>
      </c>
      <c r="P17">
        <v>228</v>
      </c>
      <c r="Q17" s="7">
        <f t="shared" si="0"/>
        <v>2391.7825</v>
      </c>
      <c r="R17">
        <f>SUM(I17:P17)</f>
        <v>1719.7</v>
      </c>
      <c r="S17" t="s">
        <v>42</v>
      </c>
      <c r="X17">
        <v>2413.4</v>
      </c>
      <c r="Y17" s="7">
        <f t="shared" si="1"/>
        <v>-21.61750000000029</v>
      </c>
    </row>
    <row r="18" spans="1:27" ht="12.75">
      <c r="A18">
        <v>1459</v>
      </c>
      <c r="C18" s="3"/>
      <c r="D18" s="3"/>
      <c r="E18" s="3"/>
      <c r="F18" s="3"/>
      <c r="G18" s="11">
        <v>42.617000000000004</v>
      </c>
      <c r="H18" s="4">
        <v>49</v>
      </c>
      <c r="Q18" s="7">
        <f t="shared" si="0"/>
        <v>49</v>
      </c>
      <c r="R18">
        <f>+R17/0.75</f>
        <v>2292.9333333333334</v>
      </c>
      <c r="S18">
        <f>2256-598</f>
        <v>1658</v>
      </c>
      <c r="Y18" s="7">
        <f t="shared" si="1"/>
        <v>49</v>
      </c>
      <c r="Z18">
        <v>175</v>
      </c>
      <c r="AA18" t="s">
        <v>43</v>
      </c>
    </row>
    <row r="19" spans="1:25" ht="12.75">
      <c r="A19">
        <v>1501</v>
      </c>
      <c r="C19" s="3"/>
      <c r="D19" s="3"/>
      <c r="E19" s="3"/>
      <c r="F19" s="3"/>
      <c r="G19">
        <v>0</v>
      </c>
      <c r="H19" s="4">
        <v>7.761</v>
      </c>
      <c r="I19">
        <v>11.2</v>
      </c>
      <c r="J19">
        <v>34.8</v>
      </c>
      <c r="K19">
        <v>22.2</v>
      </c>
      <c r="L19">
        <v>41.7</v>
      </c>
      <c r="M19">
        <v>19.9</v>
      </c>
      <c r="N19">
        <v>3.1</v>
      </c>
      <c r="Q19" s="7">
        <f t="shared" si="0"/>
        <v>140.661</v>
      </c>
      <c r="R19">
        <f>+R18-R17</f>
        <v>573.2333333333333</v>
      </c>
      <c r="X19">
        <v>130.6</v>
      </c>
      <c r="Y19" s="7">
        <f t="shared" si="1"/>
        <v>10.061000000000007</v>
      </c>
    </row>
    <row r="20" spans="1:25" ht="12.75">
      <c r="A20">
        <v>1601</v>
      </c>
      <c r="C20" s="3"/>
      <c r="D20" s="3"/>
      <c r="E20" s="3"/>
      <c r="F20" s="3"/>
      <c r="G20">
        <v>0</v>
      </c>
      <c r="H20" s="4"/>
      <c r="N20">
        <v>17.3</v>
      </c>
      <c r="O20">
        <v>19.9</v>
      </c>
      <c r="P20">
        <v>17.3</v>
      </c>
      <c r="Q20" s="7">
        <f t="shared" si="0"/>
        <v>54.5</v>
      </c>
      <c r="R20">
        <f>430/R17</f>
        <v>0.25004361225795196</v>
      </c>
      <c r="T20">
        <v>55</v>
      </c>
      <c r="U20" t="s">
        <v>33</v>
      </c>
      <c r="Y20" s="19">
        <f t="shared" si="1"/>
        <v>54.5</v>
      </c>
    </row>
    <row r="21" spans="1:25" ht="12.75">
      <c r="A21">
        <v>1701</v>
      </c>
      <c r="C21" s="3">
        <v>2.1</v>
      </c>
      <c r="D21" s="3">
        <v>2</v>
      </c>
      <c r="E21" s="3">
        <v>1.7</v>
      </c>
      <c r="F21" s="3">
        <v>2.1</v>
      </c>
      <c r="G21" s="11">
        <v>28.326000000000022</v>
      </c>
      <c r="H21" s="4">
        <v>24.554</v>
      </c>
      <c r="I21">
        <v>1.3</v>
      </c>
      <c r="J21">
        <v>1.5</v>
      </c>
      <c r="K21">
        <v>1.3</v>
      </c>
      <c r="L21">
        <v>1.4</v>
      </c>
      <c r="M21">
        <v>31.6</v>
      </c>
      <c r="N21">
        <v>28.7</v>
      </c>
      <c r="O21">
        <v>25.3</v>
      </c>
      <c r="P21">
        <v>21</v>
      </c>
      <c r="Q21" s="7">
        <f t="shared" si="0"/>
        <v>136.654</v>
      </c>
      <c r="T21">
        <v>131</v>
      </c>
      <c r="U21" t="s">
        <v>34</v>
      </c>
      <c r="X21">
        <v>5.5</v>
      </c>
      <c r="Y21" s="19">
        <f t="shared" si="1"/>
        <v>131.154</v>
      </c>
    </row>
    <row r="22" spans="1:25" ht="12.75">
      <c r="A22">
        <v>1802</v>
      </c>
      <c r="C22" s="3">
        <v>12.4</v>
      </c>
      <c r="D22" s="3">
        <v>11.8</v>
      </c>
      <c r="E22" s="3">
        <v>26.7</v>
      </c>
      <c r="F22" s="3">
        <v>32.9</v>
      </c>
      <c r="G22" s="11">
        <v>-5.600999999999999</v>
      </c>
      <c r="H22" s="4">
        <v>77.805</v>
      </c>
      <c r="I22">
        <v>31.3</v>
      </c>
      <c r="J22">
        <v>36</v>
      </c>
      <c r="K22">
        <v>31.3</v>
      </c>
      <c r="L22">
        <v>34.5</v>
      </c>
      <c r="M22">
        <v>34.5</v>
      </c>
      <c r="N22">
        <v>31.3</v>
      </c>
      <c r="O22">
        <v>36</v>
      </c>
      <c r="P22">
        <v>31.3</v>
      </c>
      <c r="Q22" s="7">
        <f t="shared" si="0"/>
        <v>344.00500000000005</v>
      </c>
      <c r="X22">
        <v>350.2</v>
      </c>
      <c r="Y22" s="7">
        <f t="shared" si="1"/>
        <v>-6.194999999999936</v>
      </c>
    </row>
    <row r="23" spans="1:25" ht="12.75">
      <c r="A23">
        <v>1803</v>
      </c>
      <c r="C23" s="3">
        <v>39.4</v>
      </c>
      <c r="D23" s="3">
        <v>33.8</v>
      </c>
      <c r="E23" s="3">
        <v>29.7</v>
      </c>
      <c r="F23" s="3">
        <v>35.2</v>
      </c>
      <c r="G23" s="11">
        <v>-9.854000000000042</v>
      </c>
      <c r="H23" s="4">
        <v>120.508</v>
      </c>
      <c r="I23">
        <v>27.2</v>
      </c>
      <c r="J23">
        <v>54</v>
      </c>
      <c r="K23">
        <v>60.1</v>
      </c>
      <c r="L23">
        <v>43.8</v>
      </c>
      <c r="M23">
        <v>33.8</v>
      </c>
      <c r="N23">
        <v>37</v>
      </c>
      <c r="O23">
        <v>53.6</v>
      </c>
      <c r="P23">
        <v>45.5</v>
      </c>
      <c r="Q23" s="7">
        <f t="shared" si="0"/>
        <v>475.50800000000004</v>
      </c>
      <c r="X23">
        <v>464.6</v>
      </c>
      <c r="Y23" s="7">
        <f t="shared" si="1"/>
        <v>10.908000000000015</v>
      </c>
    </row>
    <row r="24" spans="1:25" ht="12.75">
      <c r="A24">
        <v>1804</v>
      </c>
      <c r="C24" s="3"/>
      <c r="D24" s="3"/>
      <c r="E24" s="3"/>
      <c r="F24" s="3"/>
      <c r="G24" s="11">
        <v>20.59800000000007</v>
      </c>
      <c r="H24" s="4">
        <v>20.305</v>
      </c>
      <c r="I24">
        <v>6.7</v>
      </c>
      <c r="J24">
        <v>1.5</v>
      </c>
      <c r="K24">
        <v>1.3</v>
      </c>
      <c r="L24">
        <v>0.1</v>
      </c>
      <c r="P24">
        <v>11</v>
      </c>
      <c r="Q24" s="7">
        <f t="shared" si="0"/>
        <v>40.905</v>
      </c>
      <c r="X24">
        <v>14.6</v>
      </c>
      <c r="Y24" s="7">
        <f t="shared" si="1"/>
        <v>26.305</v>
      </c>
    </row>
    <row r="25" spans="1:25" ht="12.75">
      <c r="A25">
        <v>1810</v>
      </c>
      <c r="C25" s="3"/>
      <c r="D25" s="3"/>
      <c r="E25" s="3"/>
      <c r="F25" s="3"/>
      <c r="G25">
        <v>0</v>
      </c>
      <c r="H25" s="4">
        <v>0.575</v>
      </c>
      <c r="I25">
        <v>15.7</v>
      </c>
      <c r="J25">
        <v>25.9</v>
      </c>
      <c r="K25">
        <v>43.4</v>
      </c>
      <c r="L25">
        <v>59</v>
      </c>
      <c r="M25">
        <v>69.5</v>
      </c>
      <c r="N25">
        <v>50.6</v>
      </c>
      <c r="O25">
        <v>77.3</v>
      </c>
      <c r="P25">
        <v>62.8</v>
      </c>
      <c r="Q25" s="7">
        <f t="shared" si="0"/>
        <v>404.77500000000003</v>
      </c>
      <c r="R25">
        <v>312</v>
      </c>
      <c r="S25" t="s">
        <v>29</v>
      </c>
      <c r="X25">
        <v>362.1</v>
      </c>
      <c r="Y25" s="7">
        <f t="shared" si="1"/>
        <v>42.67500000000001</v>
      </c>
    </row>
    <row r="26" spans="1:25" ht="12.75">
      <c r="A26">
        <v>1901</v>
      </c>
      <c r="C26" s="3">
        <v>51.9</v>
      </c>
      <c r="D26" s="3">
        <v>49.4</v>
      </c>
      <c r="E26" s="3">
        <v>42</v>
      </c>
      <c r="F26" s="3">
        <v>51.9</v>
      </c>
      <c r="G26" s="12">
        <v>-12.430000000000064</v>
      </c>
      <c r="H26" s="4">
        <v>150.661</v>
      </c>
      <c r="I26">
        <v>41</v>
      </c>
      <c r="J26">
        <v>47.2</v>
      </c>
      <c r="K26">
        <v>41</v>
      </c>
      <c r="L26">
        <v>45.1</v>
      </c>
      <c r="M26">
        <v>45.1</v>
      </c>
      <c r="N26">
        <v>41</v>
      </c>
      <c r="O26">
        <v>47.2</v>
      </c>
      <c r="P26">
        <v>41</v>
      </c>
      <c r="Q26" s="7">
        <f t="shared" si="0"/>
        <v>499.261</v>
      </c>
      <c r="X26">
        <v>517.7</v>
      </c>
      <c r="Y26" s="7">
        <f t="shared" si="1"/>
        <v>-18.43900000000002</v>
      </c>
    </row>
    <row r="27" spans="1:25" ht="12.75">
      <c r="A27">
        <v>3101</v>
      </c>
      <c r="C27" s="3">
        <v>24.5</v>
      </c>
      <c r="D27" s="3">
        <v>15</v>
      </c>
      <c r="E27" s="3">
        <v>15.9</v>
      </c>
      <c r="F27" s="3">
        <v>20.2</v>
      </c>
      <c r="G27" s="12">
        <v>98.8</v>
      </c>
      <c r="H27" s="4">
        <v>159.521</v>
      </c>
      <c r="I27">
        <v>38.7</v>
      </c>
      <c r="J27">
        <v>12.4</v>
      </c>
      <c r="K27">
        <v>65</v>
      </c>
      <c r="L27">
        <v>10.8</v>
      </c>
      <c r="M27">
        <v>29.7</v>
      </c>
      <c r="N27">
        <v>18.3</v>
      </c>
      <c r="O27">
        <v>25.5</v>
      </c>
      <c r="P27">
        <v>19.6</v>
      </c>
      <c r="Q27" s="7">
        <f t="shared" si="0"/>
        <v>379.521</v>
      </c>
      <c r="X27">
        <v>294.8</v>
      </c>
      <c r="Y27" s="7">
        <f t="shared" si="1"/>
        <v>84.721</v>
      </c>
    </row>
    <row r="28" spans="1:25" ht="12.75">
      <c r="A28">
        <v>3901</v>
      </c>
      <c r="C28" s="3">
        <v>5.9</v>
      </c>
      <c r="D28" s="3">
        <v>5.7</v>
      </c>
      <c r="E28" s="3">
        <v>4.8</v>
      </c>
      <c r="F28" s="3">
        <v>5.9</v>
      </c>
      <c r="G28" s="12">
        <v>-3.4010000000000105</v>
      </c>
      <c r="H28" s="4">
        <v>19.351</v>
      </c>
      <c r="I28">
        <v>5.7</v>
      </c>
      <c r="J28">
        <v>6.5</v>
      </c>
      <c r="K28">
        <v>5.7</v>
      </c>
      <c r="L28">
        <v>6.2</v>
      </c>
      <c r="M28">
        <v>6.2</v>
      </c>
      <c r="N28">
        <v>5.7</v>
      </c>
      <c r="O28">
        <v>6.5</v>
      </c>
      <c r="P28">
        <v>5.7</v>
      </c>
      <c r="Q28" s="7">
        <f t="shared" si="0"/>
        <v>67.551</v>
      </c>
      <c r="X28">
        <v>70.5</v>
      </c>
      <c r="Y28" s="7">
        <f t="shared" si="1"/>
        <v>-2.948999999999998</v>
      </c>
    </row>
    <row r="29" spans="1:25" ht="12.75">
      <c r="A29">
        <v>4101</v>
      </c>
      <c r="C29" s="3">
        <v>1</v>
      </c>
      <c r="D29" s="3">
        <v>0.8</v>
      </c>
      <c r="E29" s="3">
        <v>0.7</v>
      </c>
      <c r="F29" s="3">
        <v>0.9</v>
      </c>
      <c r="G29">
        <v>0</v>
      </c>
      <c r="H29" s="4"/>
      <c r="P29">
        <v>0.1</v>
      </c>
      <c r="Q29" s="7">
        <f t="shared" si="0"/>
        <v>0.1</v>
      </c>
      <c r="X29">
        <v>0.1</v>
      </c>
      <c r="Y29" s="7">
        <f t="shared" si="1"/>
        <v>0</v>
      </c>
    </row>
    <row r="30" spans="1:25" ht="12.75">
      <c r="A30">
        <v>4301</v>
      </c>
      <c r="C30" s="3">
        <v>16</v>
      </c>
      <c r="D30" s="3">
        <v>15.2</v>
      </c>
      <c r="E30" s="3">
        <v>13</v>
      </c>
      <c r="F30" s="3">
        <v>7.8</v>
      </c>
      <c r="G30" s="12">
        <v>74.75200000000001</v>
      </c>
      <c r="H30" s="4">
        <v>119.398</v>
      </c>
      <c r="I30">
        <v>3.5</v>
      </c>
      <c r="J30">
        <v>4.1</v>
      </c>
      <c r="K30">
        <v>1.6</v>
      </c>
      <c r="L30">
        <v>1.8</v>
      </c>
      <c r="M30">
        <v>1.8</v>
      </c>
      <c r="N30">
        <v>1.6</v>
      </c>
      <c r="O30">
        <v>8.3</v>
      </c>
      <c r="P30">
        <v>8.1</v>
      </c>
      <c r="Q30" s="7">
        <f t="shared" si="0"/>
        <v>150.198</v>
      </c>
      <c r="X30">
        <v>88</v>
      </c>
      <c r="Y30" s="7">
        <f t="shared" si="1"/>
        <v>62.19800000000001</v>
      </c>
    </row>
    <row r="31" spans="1:25" ht="12.75">
      <c r="A31">
        <v>4401</v>
      </c>
      <c r="C31" s="3">
        <v>0.4</v>
      </c>
      <c r="D31" s="3">
        <v>0.3</v>
      </c>
      <c r="E31" s="3">
        <v>0.3</v>
      </c>
      <c r="F31" s="3">
        <v>0.4</v>
      </c>
      <c r="G31" s="12">
        <v>15.078000000000017</v>
      </c>
      <c r="H31" s="4">
        <v>19.28</v>
      </c>
      <c r="Q31" s="7">
        <f t="shared" si="0"/>
        <v>19.28</v>
      </c>
      <c r="Y31" s="7">
        <f t="shared" si="1"/>
        <v>19.28</v>
      </c>
    </row>
    <row r="32" spans="1:25" ht="12.75">
      <c r="A32">
        <v>4501</v>
      </c>
      <c r="C32" s="3">
        <v>0.1</v>
      </c>
      <c r="D32" s="3">
        <v>0.4</v>
      </c>
      <c r="E32" s="3">
        <v>0.3</v>
      </c>
      <c r="F32" s="3">
        <v>0.4</v>
      </c>
      <c r="G32">
        <v>0</v>
      </c>
      <c r="H32" s="4"/>
      <c r="I32">
        <v>36</v>
      </c>
      <c r="J32">
        <v>49.1</v>
      </c>
      <c r="K32">
        <v>6.5</v>
      </c>
      <c r="L32">
        <v>7.2</v>
      </c>
      <c r="M32">
        <v>7.2</v>
      </c>
      <c r="N32">
        <v>6.5</v>
      </c>
      <c r="O32">
        <v>7.5</v>
      </c>
      <c r="P32">
        <v>6.5</v>
      </c>
      <c r="Q32" s="7">
        <f t="shared" si="0"/>
        <v>126.5</v>
      </c>
      <c r="X32">
        <v>127.6</v>
      </c>
      <c r="Y32" s="7">
        <f t="shared" si="1"/>
        <v>-1.0999999999999943</v>
      </c>
    </row>
    <row r="33" spans="1:25" ht="12.75">
      <c r="A33">
        <v>7301</v>
      </c>
      <c r="C33" s="3">
        <v>0.7</v>
      </c>
      <c r="D33" s="3"/>
      <c r="E33" s="3"/>
      <c r="F33" s="3"/>
      <c r="G33">
        <v>0</v>
      </c>
      <c r="H33" s="4">
        <v>3.044</v>
      </c>
      <c r="Q33" s="7">
        <f t="shared" si="0"/>
        <v>3.044</v>
      </c>
      <c r="Y33" s="7">
        <f t="shared" si="1"/>
        <v>3.044</v>
      </c>
    </row>
    <row r="34" spans="1:25" ht="12.75">
      <c r="A34">
        <v>7401</v>
      </c>
      <c r="C34" s="3">
        <v>0.3</v>
      </c>
      <c r="D34" s="3"/>
      <c r="E34" s="3"/>
      <c r="F34" s="3"/>
      <c r="G34" s="12">
        <v>23.652000000000044</v>
      </c>
      <c r="H34" s="4">
        <v>29.634</v>
      </c>
      <c r="M34">
        <v>3</v>
      </c>
      <c r="N34">
        <v>2.7</v>
      </c>
      <c r="O34">
        <v>3.1</v>
      </c>
      <c r="P34">
        <v>2.7</v>
      </c>
      <c r="Q34" s="7">
        <f t="shared" si="0"/>
        <v>41.13400000000001</v>
      </c>
      <c r="X34">
        <v>17.6</v>
      </c>
      <c r="Y34" s="7">
        <f t="shared" si="1"/>
        <v>23.534000000000006</v>
      </c>
    </row>
    <row r="35" spans="1:25" ht="12.75">
      <c r="A35">
        <v>8101</v>
      </c>
      <c r="C35" s="3">
        <v>53.3</v>
      </c>
      <c r="D35" s="3">
        <v>50.8</v>
      </c>
      <c r="E35" s="3">
        <v>43.2</v>
      </c>
      <c r="F35" s="3">
        <v>53.3</v>
      </c>
      <c r="G35" s="11">
        <v>17.7800000000002</v>
      </c>
      <c r="H35" s="4">
        <v>218.35600000000002</v>
      </c>
      <c r="I35">
        <v>50.8</v>
      </c>
      <c r="J35">
        <v>58.4</v>
      </c>
      <c r="K35">
        <v>50.8</v>
      </c>
      <c r="L35">
        <v>55.8</v>
      </c>
      <c r="M35">
        <v>55.8</v>
      </c>
      <c r="N35">
        <v>50.8</v>
      </c>
      <c r="O35">
        <v>58.4</v>
      </c>
      <c r="P35">
        <v>53.3</v>
      </c>
      <c r="Q35" s="7">
        <f t="shared" si="0"/>
        <v>652.4559999999999</v>
      </c>
      <c r="X35">
        <v>634.6</v>
      </c>
      <c r="Y35" s="7">
        <f t="shared" si="1"/>
        <v>17.85599999999988</v>
      </c>
    </row>
    <row r="36" spans="1:25" ht="12.75">
      <c r="A36">
        <v>8102</v>
      </c>
      <c r="C36" s="3">
        <v>14.6</v>
      </c>
      <c r="D36" s="3">
        <v>13.9</v>
      </c>
      <c r="E36" s="3">
        <v>11.8</v>
      </c>
      <c r="F36" s="3">
        <v>14.6</v>
      </c>
      <c r="G36" s="11">
        <v>38.91899999999987</v>
      </c>
      <c r="H36" s="4">
        <v>57.8</v>
      </c>
      <c r="I36">
        <v>13.9</v>
      </c>
      <c r="J36">
        <v>16</v>
      </c>
      <c r="K36">
        <v>13.9</v>
      </c>
      <c r="L36">
        <v>15.3</v>
      </c>
      <c r="M36">
        <v>15.3</v>
      </c>
      <c r="N36">
        <v>13.9</v>
      </c>
      <c r="O36">
        <v>16</v>
      </c>
      <c r="P36">
        <v>14.6</v>
      </c>
      <c r="Q36" s="7">
        <f t="shared" si="0"/>
        <v>176.70000000000002</v>
      </c>
      <c r="X36">
        <v>173.6</v>
      </c>
      <c r="Y36" s="7">
        <f t="shared" si="1"/>
        <v>3.1000000000000227</v>
      </c>
    </row>
    <row r="37" spans="1:25" ht="12.75">
      <c r="A37">
        <v>8202</v>
      </c>
      <c r="C37" s="3">
        <v>52.6</v>
      </c>
      <c r="D37" s="3">
        <v>50.1</v>
      </c>
      <c r="E37" s="3">
        <v>42.5</v>
      </c>
      <c r="F37" s="3">
        <v>52.6</v>
      </c>
      <c r="G37">
        <v>0</v>
      </c>
      <c r="H37" s="4">
        <v>236.839</v>
      </c>
      <c r="I37">
        <v>50.1</v>
      </c>
      <c r="J37">
        <v>57.6</v>
      </c>
      <c r="K37">
        <v>50.1</v>
      </c>
      <c r="L37">
        <v>55.1</v>
      </c>
      <c r="M37">
        <v>55.1</v>
      </c>
      <c r="N37">
        <v>50.1</v>
      </c>
      <c r="O37">
        <v>57.6</v>
      </c>
      <c r="P37">
        <v>52.6</v>
      </c>
      <c r="Q37" s="7">
        <f t="shared" si="0"/>
        <v>665.1390000000001</v>
      </c>
      <c r="X37">
        <v>625.6</v>
      </c>
      <c r="Y37" s="7">
        <f t="shared" si="1"/>
        <v>39.5390000000001</v>
      </c>
    </row>
    <row r="38" spans="1:25" ht="12.75">
      <c r="A38">
        <v>8203</v>
      </c>
      <c r="C38" s="3">
        <v>11.8</v>
      </c>
      <c r="D38" s="3">
        <v>11.2</v>
      </c>
      <c r="E38" s="3">
        <v>9.5</v>
      </c>
      <c r="F38" s="3">
        <v>11.8</v>
      </c>
      <c r="G38" s="11">
        <v>-16.226999999999975</v>
      </c>
      <c r="H38" s="4">
        <v>27.923</v>
      </c>
      <c r="I38">
        <v>11.2</v>
      </c>
      <c r="J38">
        <v>12.9</v>
      </c>
      <c r="K38">
        <v>11.2</v>
      </c>
      <c r="L38">
        <v>12.3</v>
      </c>
      <c r="M38">
        <v>12.3</v>
      </c>
      <c r="N38">
        <v>11.2</v>
      </c>
      <c r="O38">
        <v>12.9</v>
      </c>
      <c r="P38">
        <v>11.8</v>
      </c>
      <c r="Q38" s="7">
        <f t="shared" si="0"/>
        <v>123.723</v>
      </c>
      <c r="X38">
        <v>140.2</v>
      </c>
      <c r="Y38" s="7">
        <f t="shared" si="1"/>
        <v>-16.47699999999999</v>
      </c>
    </row>
    <row r="39" spans="1:25" ht="12.75">
      <c r="A39">
        <v>8204</v>
      </c>
      <c r="C39" s="3">
        <v>18.9</v>
      </c>
      <c r="D39" s="3">
        <v>18</v>
      </c>
      <c r="E39" s="3">
        <v>15.3</v>
      </c>
      <c r="F39" s="3">
        <v>18.9</v>
      </c>
      <c r="G39" s="11">
        <v>70.08</v>
      </c>
      <c r="H39" s="4">
        <v>140.861</v>
      </c>
      <c r="I39">
        <v>18</v>
      </c>
      <c r="J39">
        <v>20.7</v>
      </c>
      <c r="K39">
        <v>18</v>
      </c>
      <c r="L39">
        <v>19.8</v>
      </c>
      <c r="M39">
        <v>19.8</v>
      </c>
      <c r="N39">
        <v>18</v>
      </c>
      <c r="O39">
        <v>20.7</v>
      </c>
      <c r="P39">
        <v>18.9</v>
      </c>
      <c r="Q39" s="7">
        <f t="shared" si="0"/>
        <v>294.76099999999997</v>
      </c>
      <c r="X39">
        <v>225.4</v>
      </c>
      <c r="Y39" s="7">
        <f t="shared" si="1"/>
        <v>69.36099999999996</v>
      </c>
    </row>
    <row r="40" spans="1:25" ht="12.75">
      <c r="A40">
        <v>8205</v>
      </c>
      <c r="C40" s="3">
        <v>15.9</v>
      </c>
      <c r="D40" s="3">
        <v>15.1</v>
      </c>
      <c r="E40" s="3">
        <v>12.9</v>
      </c>
      <c r="F40" s="3">
        <v>15.9</v>
      </c>
      <c r="G40" s="11">
        <v>-9.471000000000004</v>
      </c>
      <c r="H40" s="4">
        <v>50.141</v>
      </c>
      <c r="I40">
        <v>15.1</v>
      </c>
      <c r="J40">
        <v>17.4</v>
      </c>
      <c r="K40">
        <v>15.1</v>
      </c>
      <c r="L40">
        <v>16.7</v>
      </c>
      <c r="M40">
        <v>16.7</v>
      </c>
      <c r="N40">
        <v>15.1</v>
      </c>
      <c r="O40">
        <v>17.4</v>
      </c>
      <c r="P40">
        <v>15.9</v>
      </c>
      <c r="Q40" s="7">
        <f t="shared" si="0"/>
        <v>179.541</v>
      </c>
      <c r="X40">
        <v>189.3</v>
      </c>
      <c r="Y40" s="7">
        <f t="shared" si="1"/>
        <v>-9.759000000000015</v>
      </c>
    </row>
    <row r="41" spans="1:25" ht="12.75">
      <c r="A41">
        <v>8998</v>
      </c>
      <c r="C41" s="3">
        <v>27.7</v>
      </c>
      <c r="D41" s="3">
        <v>26.4</v>
      </c>
      <c r="E41" s="3">
        <v>22.4</v>
      </c>
      <c r="F41" s="3">
        <v>27.7</v>
      </c>
      <c r="G41" s="11">
        <v>36.09599999999989</v>
      </c>
      <c r="H41" s="4">
        <v>139.91400000000002</v>
      </c>
      <c r="I41">
        <v>26.4</v>
      </c>
      <c r="J41">
        <v>30.3</v>
      </c>
      <c r="K41">
        <v>26.4</v>
      </c>
      <c r="L41">
        <v>29</v>
      </c>
      <c r="M41">
        <v>29</v>
      </c>
      <c r="N41">
        <v>26.4</v>
      </c>
      <c r="O41">
        <v>30.3</v>
      </c>
      <c r="P41">
        <v>27.7</v>
      </c>
      <c r="Q41" s="7">
        <f t="shared" si="0"/>
        <v>365.414</v>
      </c>
      <c r="X41">
        <v>329.8</v>
      </c>
      <c r="Y41" s="7">
        <f t="shared" si="1"/>
        <v>35.613999999999976</v>
      </c>
    </row>
    <row r="42" spans="3:8" ht="12.75">
      <c r="C42" s="3"/>
      <c r="D42" s="3"/>
      <c r="E42" s="3"/>
      <c r="F42" s="3"/>
      <c r="G42" s="3"/>
      <c r="H42" s="4"/>
    </row>
    <row r="43" spans="7:25" ht="12.75">
      <c r="G43" s="21">
        <f>SUM(G2:G41)</f>
        <v>820.9339999999987</v>
      </c>
      <c r="H43" s="7">
        <f>SUM(H2:H41)</f>
        <v>5861.401999999999</v>
      </c>
      <c r="Q43" s="7">
        <f>SUM(Q2:Q42)</f>
        <v>18077.102000000003</v>
      </c>
      <c r="R43" s="22">
        <f>SUM(R2:R41)</f>
        <v>5285.116710278925</v>
      </c>
      <c r="T43" s="23">
        <f>SUM(T2:T41)</f>
        <v>375</v>
      </c>
      <c r="V43">
        <f>SUM(V2:V41)</f>
        <v>-411</v>
      </c>
      <c r="X43">
        <f>SUM(X2:X41)</f>
        <v>17541.300000000003</v>
      </c>
      <c r="Y43" s="7">
        <f>SUM(Y2:Y42)</f>
        <v>535.8019999999997</v>
      </c>
    </row>
    <row r="44" spans="8:25" ht="12.75">
      <c r="H44" s="7"/>
      <c r="Y44" s="7"/>
    </row>
    <row r="45" spans="17:25" ht="12.75">
      <c r="Q45" s="7"/>
      <c r="Y45" s="7">
        <f>SUM(Y2:Y5,Y8,Y10:Y13,Y15:Y19,Y22:Y41)</f>
        <v>738.1824999999999</v>
      </c>
    </row>
    <row r="46" ht="12.75">
      <c r="Q46">
        <f>SUM(I17:P17)</f>
        <v>1719.7</v>
      </c>
    </row>
    <row r="47" spans="7:17" ht="12.75">
      <c r="G47" s="13">
        <f>SUM(G35:G41)</f>
        <v>137.17699999999996</v>
      </c>
      <c r="Q47">
        <f>+Q46*0.25</f>
        <v>429.925</v>
      </c>
    </row>
  </sheetData>
  <printOptions gridLines="1"/>
  <pageMargins left="0.17" right="0.17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tabSelected="1" zoomScale="75" zoomScaleNormal="75" workbookViewId="0" topLeftCell="A74">
      <pane xSplit="18285" topLeftCell="V1" activePane="topLeft" state="split"/>
      <selection pane="topLeft" activeCell="I109" sqref="I108:I109"/>
      <selection pane="topRight" activeCell="Q108" sqref="Q108"/>
    </sheetView>
  </sheetViews>
  <sheetFormatPr defaultColWidth="9.140625" defaultRowHeight="15" customHeight="1"/>
  <cols>
    <col min="1" max="1" width="5.421875" style="34" customWidth="1"/>
    <col min="2" max="2" width="8.57421875" style="0" customWidth="1"/>
    <col min="3" max="3" width="8.140625" style="0" customWidth="1"/>
    <col min="4" max="5" width="10.8515625" style="0" customWidth="1"/>
    <col min="6" max="6" width="9.421875" style="0" customWidth="1"/>
    <col min="7" max="7" width="10.57421875" style="0" customWidth="1"/>
    <col min="8" max="8" width="10.57421875" style="32" customWidth="1"/>
    <col min="9" max="9" width="10.57421875" style="0" customWidth="1"/>
    <col min="10" max="11" width="15.7109375" style="0" customWidth="1"/>
    <col min="12" max="12" width="49.57421875" style="0" customWidth="1"/>
    <col min="13" max="13" width="45.00390625" style="0" customWidth="1"/>
    <col min="14" max="28" width="2.7109375" style="0" customWidth="1"/>
    <col min="29" max="32" width="6.00390625" style="0" customWidth="1"/>
    <col min="33" max="35" width="9.28125" style="0" customWidth="1"/>
    <col min="36" max="16384" width="11.7109375" style="0" customWidth="1"/>
  </cols>
  <sheetData>
    <row r="1" spans="1:18" ht="15" customHeight="1" hidden="1" thickBot="1">
      <c r="A1" s="33"/>
      <c r="B1" s="1"/>
      <c r="C1" s="1"/>
      <c r="D1" s="1"/>
      <c r="E1" s="1"/>
      <c r="F1" s="1"/>
      <c r="G1" s="1"/>
      <c r="H1" s="29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hidden="1">
      <c r="A2" s="115" t="s">
        <v>128</v>
      </c>
      <c r="B2" s="52"/>
      <c r="C2" s="52"/>
      <c r="D2" s="52"/>
      <c r="E2" s="52"/>
      <c r="F2" s="52"/>
      <c r="G2" s="52"/>
      <c r="H2" s="100"/>
      <c r="I2" s="52"/>
      <c r="J2" s="52"/>
      <c r="K2" s="52"/>
      <c r="L2" s="102"/>
      <c r="M2" s="1"/>
      <c r="N2" s="1"/>
      <c r="O2" s="1"/>
      <c r="P2" s="1"/>
      <c r="Q2" s="1"/>
      <c r="R2" s="1"/>
    </row>
    <row r="3" spans="1:18" ht="15" customHeight="1" hidden="1">
      <c r="A3" s="103" t="s">
        <v>0</v>
      </c>
      <c r="B3" s="1"/>
      <c r="C3" s="1"/>
      <c r="D3" s="1"/>
      <c r="E3" s="1"/>
      <c r="F3" s="1"/>
      <c r="G3" s="1"/>
      <c r="H3" s="29"/>
      <c r="I3" s="1"/>
      <c r="J3" s="1"/>
      <c r="K3" s="1"/>
      <c r="L3" s="104"/>
      <c r="N3" s="38" t="s">
        <v>84</v>
      </c>
      <c r="O3" s="38" t="s">
        <v>87</v>
      </c>
      <c r="P3" s="1"/>
      <c r="Q3" s="1"/>
      <c r="R3" s="1"/>
    </row>
    <row r="4" spans="1:18" ht="15" customHeight="1" hidden="1">
      <c r="A4" s="103"/>
      <c r="B4" s="1"/>
      <c r="C4" s="1"/>
      <c r="D4" s="1" t="s">
        <v>1</v>
      </c>
      <c r="E4" s="1"/>
      <c r="F4" s="1"/>
      <c r="G4" s="1"/>
      <c r="H4" s="29">
        <v>15900</v>
      </c>
      <c r="I4" s="1"/>
      <c r="J4" s="1"/>
      <c r="K4" s="1"/>
      <c r="L4" s="104"/>
      <c r="M4" s="38" t="s">
        <v>76</v>
      </c>
      <c r="N4" s="41">
        <v>7761</v>
      </c>
      <c r="O4" s="35">
        <v>46323</v>
      </c>
      <c r="P4" s="1"/>
      <c r="Q4" s="1"/>
      <c r="R4" s="1"/>
    </row>
    <row r="5" spans="1:18" ht="15" customHeight="1" hidden="1">
      <c r="A5" s="103"/>
      <c r="B5" s="1"/>
      <c r="C5" s="1"/>
      <c r="D5" s="1" t="s">
        <v>2</v>
      </c>
      <c r="E5" s="1"/>
      <c r="F5" s="1"/>
      <c r="G5" s="1"/>
      <c r="H5" s="29">
        <v>1291</v>
      </c>
      <c r="I5" s="1"/>
      <c r="J5" s="1"/>
      <c r="K5" s="1"/>
      <c r="L5" s="104"/>
      <c r="M5" s="38" t="s">
        <v>77</v>
      </c>
      <c r="N5" s="41">
        <v>6429</v>
      </c>
      <c r="O5" s="35">
        <v>44743</v>
      </c>
      <c r="P5" s="1"/>
      <c r="Q5" s="1"/>
      <c r="R5" s="1"/>
    </row>
    <row r="6" spans="1:18" ht="15" customHeight="1" hidden="1">
      <c r="A6" s="103"/>
      <c r="B6" s="1"/>
      <c r="C6" s="1"/>
      <c r="D6" s="1" t="s">
        <v>3</v>
      </c>
      <c r="E6" s="1"/>
      <c r="F6" s="1"/>
      <c r="G6" s="1"/>
      <c r="H6" s="30">
        <v>-171.91</v>
      </c>
      <c r="I6" s="1"/>
      <c r="J6" s="1"/>
      <c r="K6" s="1"/>
      <c r="L6" s="104"/>
      <c r="M6" s="39" t="s">
        <v>78</v>
      </c>
      <c r="N6" s="41">
        <v>7858</v>
      </c>
      <c r="O6" s="35">
        <v>46172</v>
      </c>
      <c r="Q6" s="1"/>
      <c r="R6" s="1"/>
    </row>
    <row r="7" spans="1:18" ht="15" customHeight="1" hidden="1">
      <c r="A7" s="103"/>
      <c r="B7" s="1"/>
      <c r="C7" s="1"/>
      <c r="D7" s="2" t="s">
        <v>4</v>
      </c>
      <c r="E7" s="2"/>
      <c r="F7" s="2"/>
      <c r="G7" s="2"/>
      <c r="H7" s="29">
        <f>SUM(H4:H6)</f>
        <v>17019.09</v>
      </c>
      <c r="I7" s="1"/>
      <c r="J7" s="1"/>
      <c r="K7" s="1"/>
      <c r="L7" s="104"/>
      <c r="M7" s="39" t="s">
        <v>81</v>
      </c>
      <c r="N7" s="1">
        <f>+N5-N4</f>
        <v>-1332</v>
      </c>
      <c r="O7" s="1">
        <f>+O5-O4</f>
        <v>-1580</v>
      </c>
      <c r="P7" s="1"/>
      <c r="Q7" s="1"/>
      <c r="R7" s="1"/>
    </row>
    <row r="8" spans="1:18" ht="15" customHeight="1" hidden="1" thickBot="1">
      <c r="A8" s="103"/>
      <c r="B8" s="1"/>
      <c r="C8" s="1"/>
      <c r="D8" s="2" t="s">
        <v>68</v>
      </c>
      <c r="E8" s="2"/>
      <c r="F8" s="2"/>
      <c r="G8" s="2"/>
      <c r="H8" s="31">
        <v>2930.113</v>
      </c>
      <c r="I8" s="1"/>
      <c r="J8" s="1"/>
      <c r="K8" s="1"/>
      <c r="L8" s="104"/>
      <c r="M8" s="39" t="s">
        <v>80</v>
      </c>
      <c r="N8" s="40">
        <f>+N5/N4</f>
        <v>0.8283726323927328</v>
      </c>
      <c r="O8" s="40">
        <f>+O5/O4</f>
        <v>0.9658916736826199</v>
      </c>
      <c r="P8" s="1"/>
      <c r="Q8" s="1"/>
      <c r="R8" s="1"/>
    </row>
    <row r="9" spans="1:18" ht="15" customHeight="1" hidden="1" thickTop="1">
      <c r="A9" s="103"/>
      <c r="B9" s="1"/>
      <c r="C9" s="1"/>
      <c r="D9" s="2" t="s">
        <v>5</v>
      </c>
      <c r="E9" s="2"/>
      <c r="F9" s="2"/>
      <c r="G9" s="2"/>
      <c r="H9" s="49">
        <f>SUM(H7:H8)</f>
        <v>19949.203</v>
      </c>
      <c r="I9" s="1"/>
      <c r="J9" s="1"/>
      <c r="K9" s="1"/>
      <c r="L9" s="104"/>
      <c r="M9" s="39" t="s">
        <v>82</v>
      </c>
      <c r="N9" s="1">
        <f>+N5-N6</f>
        <v>-1429</v>
      </c>
      <c r="O9" s="1">
        <f>+O5-O6</f>
        <v>-1429</v>
      </c>
      <c r="P9" s="1"/>
      <c r="Q9" s="1"/>
      <c r="R9" s="1"/>
    </row>
    <row r="10" spans="1:18" ht="15" customHeight="1" hidden="1">
      <c r="A10" s="103" t="s">
        <v>6</v>
      </c>
      <c r="B10" s="1"/>
      <c r="C10" s="1"/>
      <c r="D10" s="1"/>
      <c r="E10" s="1"/>
      <c r="F10" s="1"/>
      <c r="G10" s="1"/>
      <c r="H10" s="29"/>
      <c r="I10" s="1"/>
      <c r="J10" s="1"/>
      <c r="K10" s="1"/>
      <c r="L10" s="104"/>
      <c r="M10" s="39" t="s">
        <v>79</v>
      </c>
      <c r="N10" s="40">
        <f>+N5/N6</f>
        <v>0.8181471112242301</v>
      </c>
      <c r="O10" s="40">
        <f>+O5/O6</f>
        <v>0.9690505068006584</v>
      </c>
      <c r="P10" s="1"/>
      <c r="Q10" s="1"/>
      <c r="R10" s="1"/>
    </row>
    <row r="11" spans="1:18" ht="15" customHeight="1" hidden="1">
      <c r="A11" s="103"/>
      <c r="B11" s="1"/>
      <c r="C11" s="1"/>
      <c r="D11" s="1" t="s">
        <v>7</v>
      </c>
      <c r="E11" s="1"/>
      <c r="F11" s="1"/>
      <c r="G11" s="1"/>
      <c r="H11" s="29">
        <v>17534</v>
      </c>
      <c r="I11" s="1"/>
      <c r="J11" s="1"/>
      <c r="K11" s="1"/>
      <c r="L11" s="104"/>
      <c r="M11" s="39" t="s">
        <v>83</v>
      </c>
      <c r="N11" s="35">
        <f>+H11-N5</f>
        <v>11105</v>
      </c>
      <c r="O11" s="44"/>
      <c r="P11" s="1"/>
      <c r="Q11" s="1"/>
      <c r="R11" s="1"/>
    </row>
    <row r="12" spans="1:18" ht="16.5" hidden="1" thickBot="1">
      <c r="A12" s="103"/>
      <c r="B12" s="1"/>
      <c r="C12" s="1"/>
      <c r="D12" s="1" t="s">
        <v>8</v>
      </c>
      <c r="E12" s="1"/>
      <c r="F12" s="1"/>
      <c r="G12" s="1"/>
      <c r="H12" s="31">
        <f>+H9-H11</f>
        <v>2415.2030000000013</v>
      </c>
      <c r="I12" s="1"/>
      <c r="J12" s="1"/>
      <c r="K12" s="1"/>
      <c r="L12" s="104"/>
      <c r="N12" s="35" t="e">
        <f>SUM(N11,H35,#REF!,H42,H44)</f>
        <v>#REF!</v>
      </c>
      <c r="O12" s="44"/>
      <c r="P12" s="71" t="s">
        <v>85</v>
      </c>
      <c r="Q12" s="1"/>
      <c r="R12" s="1"/>
    </row>
    <row r="13" spans="1:18" ht="16.5" hidden="1" thickTop="1">
      <c r="A13" s="103"/>
      <c r="B13" s="1"/>
      <c r="C13" s="1"/>
      <c r="D13" s="1"/>
      <c r="E13" s="1"/>
      <c r="F13" s="1"/>
      <c r="G13" s="1"/>
      <c r="H13" s="29">
        <f>SUM(H11:H12)</f>
        <v>19949.203</v>
      </c>
      <c r="I13" s="1"/>
      <c r="J13" s="1"/>
      <c r="K13" s="1"/>
      <c r="L13" s="104"/>
      <c r="N13" s="43">
        <f>(N6-N4)/N4</f>
        <v>0.012498389382811493</v>
      </c>
      <c r="O13" s="43">
        <f>(O6-O4)/O4</f>
        <v>-0.0032597197936230383</v>
      </c>
      <c r="P13" s="71" t="s">
        <v>86</v>
      </c>
      <c r="Q13" s="1"/>
      <c r="R13" s="1"/>
    </row>
    <row r="14" spans="1:18" ht="15.75" hidden="1">
      <c r="A14" s="103" t="s">
        <v>90</v>
      </c>
      <c r="B14" s="1"/>
      <c r="C14" s="1"/>
      <c r="D14" s="1"/>
      <c r="E14" s="1"/>
      <c r="F14" s="1"/>
      <c r="G14" s="1"/>
      <c r="H14" s="29"/>
      <c r="I14" s="1"/>
      <c r="J14" s="1"/>
      <c r="K14" s="1"/>
      <c r="L14" s="104"/>
      <c r="N14" s="35">
        <f>+N13*N11</f>
        <v>138.79461409612162</v>
      </c>
      <c r="O14" s="42" t="e">
        <f>+O13*N12</f>
        <v>#REF!</v>
      </c>
      <c r="P14" s="71" t="s">
        <v>89</v>
      </c>
      <c r="Q14" s="1"/>
      <c r="R14" s="1"/>
    </row>
    <row r="15" spans="1:18" ht="15" customHeight="1" hidden="1">
      <c r="A15" s="103"/>
      <c r="B15" s="1" t="s">
        <v>47</v>
      </c>
      <c r="C15" s="1"/>
      <c r="D15" s="1"/>
      <c r="E15" s="1"/>
      <c r="F15" s="1"/>
      <c r="G15" s="1"/>
      <c r="H15" s="29">
        <v>17534</v>
      </c>
      <c r="I15" s="1"/>
      <c r="J15" s="1"/>
      <c r="K15" s="1"/>
      <c r="L15" s="104"/>
      <c r="O15" s="45" t="s">
        <v>88</v>
      </c>
      <c r="P15" s="72"/>
      <c r="Q15" s="1"/>
      <c r="R15" s="1"/>
    </row>
    <row r="16" spans="1:18" ht="15" customHeight="1" hidden="1">
      <c r="A16" s="103"/>
      <c r="B16" s="1"/>
      <c r="C16" s="1"/>
      <c r="D16" s="1"/>
      <c r="E16" s="1"/>
      <c r="F16" s="1"/>
      <c r="G16" s="1"/>
      <c r="H16" s="46"/>
      <c r="I16" s="1"/>
      <c r="J16" s="1"/>
      <c r="K16" s="1"/>
      <c r="L16" s="104"/>
      <c r="M16" s="1"/>
      <c r="N16" s="1"/>
      <c r="O16" s="1"/>
      <c r="P16" s="1"/>
      <c r="Q16" s="1"/>
      <c r="R16" s="1"/>
    </row>
    <row r="17" spans="1:18" ht="15" customHeight="1" hidden="1">
      <c r="A17" s="103"/>
      <c r="B17" s="1" t="s">
        <v>48</v>
      </c>
      <c r="C17" s="1"/>
      <c r="D17" s="1"/>
      <c r="E17" s="1"/>
      <c r="F17" s="1"/>
      <c r="G17" s="1"/>
      <c r="H17" s="46"/>
      <c r="I17" s="1"/>
      <c r="J17" s="1"/>
      <c r="K17" s="1"/>
      <c r="L17" s="104"/>
      <c r="M17" s="1">
        <v>1</v>
      </c>
      <c r="N17" s="1" t="s">
        <v>48</v>
      </c>
      <c r="O17" s="35">
        <f>SUM(H28)</f>
        <v>1409</v>
      </c>
      <c r="P17" s="36">
        <f>+O17/O$22</f>
        <v>0.5833878146060596</v>
      </c>
      <c r="Q17" s="1"/>
      <c r="R17" s="1"/>
    </row>
    <row r="18" spans="1:18" ht="15" customHeight="1" hidden="1">
      <c r="A18" s="103"/>
      <c r="B18" s="1"/>
      <c r="C18" s="1"/>
      <c r="D18" s="1" t="s">
        <v>51</v>
      </c>
      <c r="E18" s="1"/>
      <c r="F18" s="1"/>
      <c r="G18" s="1"/>
      <c r="H18" s="46">
        <v>381</v>
      </c>
      <c r="I18" s="1"/>
      <c r="J18" s="1"/>
      <c r="K18" s="1"/>
      <c r="L18" s="104"/>
      <c r="M18" s="1">
        <v>2</v>
      </c>
      <c r="N18" s="1" t="s">
        <v>67</v>
      </c>
      <c r="O18" s="35">
        <f>SUM(H35)</f>
        <v>845.784</v>
      </c>
      <c r="P18" s="36">
        <f>+O18/O$22</f>
        <v>0.3501916816101998</v>
      </c>
      <c r="Q18" s="1"/>
      <c r="R18" s="1"/>
    </row>
    <row r="19" spans="1:18" ht="15" customHeight="1" hidden="1">
      <c r="A19" s="103"/>
      <c r="B19" s="1"/>
      <c r="C19" s="1"/>
      <c r="D19" s="1" t="s">
        <v>72</v>
      </c>
      <c r="E19" s="1"/>
      <c r="F19" s="1"/>
      <c r="G19" s="1"/>
      <c r="H19" s="46">
        <v>143</v>
      </c>
      <c r="I19" s="1"/>
      <c r="J19" s="1"/>
      <c r="K19" s="1"/>
      <c r="L19" s="104"/>
      <c r="M19" s="2">
        <v>3</v>
      </c>
      <c r="N19" s="1" t="s">
        <v>49</v>
      </c>
      <c r="O19" s="35">
        <f>SUM(H42)</f>
        <v>452</v>
      </c>
      <c r="P19" s="36">
        <f>+O19/O$22</f>
        <v>0.18714782980975084</v>
      </c>
      <c r="Q19" s="1"/>
      <c r="R19" s="1"/>
    </row>
    <row r="20" spans="1:18" ht="15" customHeight="1" hidden="1">
      <c r="A20" s="103"/>
      <c r="B20" s="1"/>
      <c r="C20" s="1"/>
      <c r="D20" s="1" t="s">
        <v>73</v>
      </c>
      <c r="E20" s="1"/>
      <c r="F20" s="1"/>
      <c r="G20" s="1"/>
      <c r="H20" s="46">
        <v>134</v>
      </c>
      <c r="I20" s="1"/>
      <c r="J20" s="1"/>
      <c r="K20" s="1"/>
      <c r="L20" s="104"/>
      <c r="M20" s="2">
        <v>5</v>
      </c>
      <c r="N20" s="1" t="s">
        <v>50</v>
      </c>
      <c r="O20" s="35">
        <f>SUM(H44)</f>
        <v>-411</v>
      </c>
      <c r="P20" s="36">
        <f>+O20/O$22</f>
        <v>-0.1701720310880699</v>
      </c>
      <c r="Q20" s="1"/>
      <c r="R20" s="1"/>
    </row>
    <row r="21" spans="1:18" ht="15" customHeight="1" hidden="1">
      <c r="A21" s="103"/>
      <c r="B21" s="1"/>
      <c r="C21" s="1"/>
      <c r="D21" s="1" t="s">
        <v>55</v>
      </c>
      <c r="E21" s="1"/>
      <c r="F21" s="1"/>
      <c r="G21" s="1"/>
      <c r="H21" s="46">
        <v>132</v>
      </c>
      <c r="I21" s="1"/>
      <c r="J21" s="1"/>
      <c r="K21" s="1"/>
      <c r="L21" s="104"/>
      <c r="M21" s="2">
        <v>6</v>
      </c>
      <c r="N21" s="1" t="s">
        <v>65</v>
      </c>
      <c r="O21" s="56">
        <f>SUM(H46)</f>
        <v>119.41900000000169</v>
      </c>
      <c r="P21" s="57">
        <f>+O21/O$22</f>
        <v>0.04944470506205963</v>
      </c>
      <c r="Q21" s="1"/>
      <c r="R21" s="1"/>
    </row>
    <row r="22" spans="1:18" ht="15" customHeight="1" hidden="1">
      <c r="A22" s="103"/>
      <c r="B22" s="1"/>
      <c r="C22" s="1"/>
      <c r="D22" s="1" t="s">
        <v>53</v>
      </c>
      <c r="E22" s="1"/>
      <c r="F22" s="1"/>
      <c r="G22" s="1"/>
      <c r="H22" s="46">
        <v>118</v>
      </c>
      <c r="I22" s="1"/>
      <c r="J22" s="1"/>
      <c r="K22" s="1"/>
      <c r="L22" s="104"/>
      <c r="M22" s="1"/>
      <c r="N22" s="1"/>
      <c r="O22" s="35">
        <f>SUM(O17:O21)</f>
        <v>2415.203000000002</v>
      </c>
      <c r="P22" s="37">
        <f>SUM(P17:P21)</f>
        <v>1</v>
      </c>
      <c r="Q22" s="1"/>
      <c r="R22" s="1"/>
    </row>
    <row r="23" spans="1:18" ht="15" customHeight="1" hidden="1">
      <c r="A23" s="103"/>
      <c r="B23" s="1"/>
      <c r="C23" s="1"/>
      <c r="D23" s="1" t="s">
        <v>74</v>
      </c>
      <c r="E23" s="1"/>
      <c r="F23" s="1"/>
      <c r="G23" s="1"/>
      <c r="H23" s="46">
        <v>102</v>
      </c>
      <c r="I23" s="1"/>
      <c r="J23" s="1"/>
      <c r="K23" s="1"/>
      <c r="L23" s="104"/>
      <c r="M23" s="1"/>
      <c r="P23" s="1"/>
      <c r="Q23" s="1"/>
      <c r="R23" s="1"/>
    </row>
    <row r="24" spans="1:18" ht="15" customHeight="1" hidden="1">
      <c r="A24" s="103"/>
      <c r="B24" s="1"/>
      <c r="C24" s="1"/>
      <c r="D24" s="1" t="s">
        <v>71</v>
      </c>
      <c r="E24" s="1"/>
      <c r="F24" s="1"/>
      <c r="G24" s="1"/>
      <c r="H24" s="46">
        <v>74</v>
      </c>
      <c r="I24" s="1"/>
      <c r="J24" s="1"/>
      <c r="K24" s="1"/>
      <c r="L24" s="104"/>
      <c r="M24" s="1"/>
      <c r="N24" s="35"/>
      <c r="O24" s="37"/>
      <c r="P24" s="1"/>
      <c r="Q24" s="1"/>
      <c r="R24" s="1"/>
    </row>
    <row r="25" spans="1:18" ht="15" customHeight="1" hidden="1">
      <c r="A25" s="103"/>
      <c r="B25" s="1"/>
      <c r="C25" s="1"/>
      <c r="D25" s="1" t="s">
        <v>52</v>
      </c>
      <c r="E25" s="1"/>
      <c r="F25" s="1"/>
      <c r="G25" s="1"/>
      <c r="H25" s="46">
        <v>63</v>
      </c>
      <c r="I25" s="1"/>
      <c r="J25" s="1"/>
      <c r="K25" s="1"/>
      <c r="L25" s="104"/>
      <c r="M25" s="1"/>
      <c r="N25" s="35"/>
      <c r="O25" s="37"/>
      <c r="P25" s="1"/>
      <c r="Q25" s="1"/>
      <c r="R25" s="1"/>
    </row>
    <row r="26" spans="1:18" ht="15" customHeight="1" hidden="1">
      <c r="A26" s="103"/>
      <c r="B26" s="1"/>
      <c r="C26" s="1"/>
      <c r="D26" s="1" t="s">
        <v>54</v>
      </c>
      <c r="E26" s="1"/>
      <c r="F26" s="1"/>
      <c r="G26" s="1"/>
      <c r="H26" s="46">
        <v>50</v>
      </c>
      <c r="I26" s="1"/>
      <c r="J26" s="1"/>
      <c r="K26" s="1"/>
      <c r="L26" s="104"/>
      <c r="M26" s="1"/>
      <c r="N26" s="1"/>
      <c r="O26" s="1"/>
      <c r="P26" s="1"/>
      <c r="Q26" s="1"/>
      <c r="R26" s="1"/>
    </row>
    <row r="27" spans="1:18" ht="15" customHeight="1" hidden="1">
      <c r="A27" s="103"/>
      <c r="B27" s="1"/>
      <c r="C27" s="1"/>
      <c r="D27" s="1" t="s">
        <v>56</v>
      </c>
      <c r="E27" s="1"/>
      <c r="F27" s="1"/>
      <c r="G27" s="1"/>
      <c r="H27" s="47">
        <v>212</v>
      </c>
      <c r="I27" s="1"/>
      <c r="J27" s="1"/>
      <c r="K27" s="1"/>
      <c r="L27" s="104"/>
      <c r="M27" s="1"/>
      <c r="N27" s="1"/>
      <c r="O27" s="1"/>
      <c r="P27" s="1"/>
      <c r="Q27" s="1"/>
      <c r="R27" s="1"/>
    </row>
    <row r="28" spans="1:18" ht="15" customHeight="1" hidden="1">
      <c r="A28" s="103"/>
      <c r="B28" s="1"/>
      <c r="C28" s="1"/>
      <c r="D28" s="1"/>
      <c r="E28" s="1"/>
      <c r="F28" s="1"/>
      <c r="G28" s="1"/>
      <c r="H28" s="46">
        <f>SUM(H18:H27)</f>
        <v>1409</v>
      </c>
      <c r="I28" s="1"/>
      <c r="J28" s="1"/>
      <c r="K28" s="1"/>
      <c r="L28" s="104"/>
      <c r="N28" s="1"/>
      <c r="O28" s="1"/>
      <c r="P28" s="1"/>
      <c r="Q28" s="1"/>
      <c r="R28" s="1"/>
    </row>
    <row r="29" spans="1:18" ht="15" customHeight="1" hidden="1">
      <c r="A29" s="103"/>
      <c r="B29" s="1" t="s">
        <v>67</v>
      </c>
      <c r="C29" s="1"/>
      <c r="D29" s="1"/>
      <c r="E29" s="1"/>
      <c r="F29" s="1"/>
      <c r="G29" s="1"/>
      <c r="H29" s="46"/>
      <c r="I29" s="1"/>
      <c r="J29" s="1"/>
      <c r="K29" s="1"/>
      <c r="L29" s="104"/>
      <c r="N29" s="1"/>
      <c r="O29" s="1"/>
      <c r="P29" s="1"/>
      <c r="Q29" s="1"/>
      <c r="R29" s="1"/>
    </row>
    <row r="30" spans="1:18" ht="15" customHeight="1" hidden="1">
      <c r="A30" s="103"/>
      <c r="B30" s="1"/>
      <c r="C30" s="1"/>
      <c r="D30" s="1" t="s">
        <v>75</v>
      </c>
      <c r="E30" s="1"/>
      <c r="F30" s="1"/>
      <c r="G30" s="1"/>
      <c r="H30" s="46">
        <v>71</v>
      </c>
      <c r="I30" s="1"/>
      <c r="J30" s="1"/>
      <c r="K30" s="1"/>
      <c r="L30" s="104"/>
      <c r="M30" s="1"/>
      <c r="N30" s="1"/>
      <c r="O30" s="1"/>
      <c r="P30" s="1"/>
      <c r="Q30" s="1"/>
      <c r="R30" s="1"/>
    </row>
    <row r="31" spans="1:18" ht="15" customHeight="1" hidden="1">
      <c r="A31" s="103"/>
      <c r="B31" s="1"/>
      <c r="C31" s="1"/>
      <c r="D31" s="1" t="s">
        <v>69</v>
      </c>
      <c r="E31" s="1"/>
      <c r="F31" s="1"/>
      <c r="G31" s="1"/>
      <c r="H31" s="46">
        <v>56</v>
      </c>
      <c r="I31" s="1"/>
      <c r="J31" s="1"/>
      <c r="K31" s="1"/>
      <c r="L31" s="104"/>
      <c r="M31" s="1"/>
      <c r="N31" s="1"/>
      <c r="O31" s="1"/>
      <c r="P31" s="1"/>
      <c r="Q31" s="1"/>
      <c r="R31" s="1"/>
    </row>
    <row r="32" spans="1:18" ht="15" customHeight="1" hidden="1">
      <c r="A32" s="103"/>
      <c r="B32" s="1"/>
      <c r="C32" s="1"/>
      <c r="D32" s="1" t="s">
        <v>130</v>
      </c>
      <c r="E32" s="1"/>
      <c r="F32" s="1"/>
      <c r="G32" s="1"/>
      <c r="H32" s="48">
        <f>(8*13)+4.652+4.652+9.48</f>
        <v>122.784</v>
      </c>
      <c r="I32" s="1" t="s">
        <v>66</v>
      </c>
      <c r="J32" s="1"/>
      <c r="K32" s="1"/>
      <c r="L32" s="104"/>
      <c r="M32" s="1"/>
      <c r="N32" s="1"/>
      <c r="O32" s="1"/>
      <c r="P32" s="1"/>
      <c r="Q32" s="1"/>
      <c r="R32" s="1"/>
    </row>
    <row r="33" spans="1:18" ht="15" customHeight="1" hidden="1">
      <c r="A33" s="103"/>
      <c r="B33" s="1"/>
      <c r="C33" s="1"/>
      <c r="D33" s="1" t="s">
        <v>51</v>
      </c>
      <c r="E33" s="1"/>
      <c r="F33" s="1"/>
      <c r="G33" s="1"/>
      <c r="H33" s="46">
        <v>387</v>
      </c>
      <c r="I33" s="1" t="s">
        <v>70</v>
      </c>
      <c r="J33" s="1"/>
      <c r="K33" s="1"/>
      <c r="L33" s="104"/>
      <c r="M33" s="1"/>
      <c r="N33" s="1"/>
      <c r="O33" s="1"/>
      <c r="P33" s="1"/>
      <c r="Q33" s="1"/>
      <c r="R33" s="1"/>
    </row>
    <row r="34" spans="1:18" ht="15" customHeight="1" hidden="1">
      <c r="A34" s="103"/>
      <c r="B34" s="1"/>
      <c r="C34" s="1"/>
      <c r="D34" s="1" t="s">
        <v>131</v>
      </c>
      <c r="E34" s="1"/>
      <c r="F34" s="1"/>
      <c r="G34" s="1"/>
      <c r="H34" s="47">
        <v>209</v>
      </c>
      <c r="I34" s="1" t="s">
        <v>59</v>
      </c>
      <c r="J34" s="1"/>
      <c r="K34" s="1"/>
      <c r="L34" s="104"/>
      <c r="M34" s="1"/>
      <c r="N34" s="1"/>
      <c r="O34" s="1"/>
      <c r="P34" s="1"/>
      <c r="Q34" s="1"/>
      <c r="R34" s="1"/>
    </row>
    <row r="35" spans="1:18" ht="15" customHeight="1" hidden="1">
      <c r="A35" s="103"/>
      <c r="B35" s="1"/>
      <c r="C35" s="1"/>
      <c r="D35" s="1"/>
      <c r="E35" s="1"/>
      <c r="F35" s="1"/>
      <c r="G35" s="1"/>
      <c r="H35" s="46">
        <f>SUM(H30:H34)</f>
        <v>845.784</v>
      </c>
      <c r="I35" s="1"/>
      <c r="J35" s="1"/>
      <c r="K35" s="1"/>
      <c r="L35" s="104"/>
      <c r="N35" s="1"/>
      <c r="O35" s="1"/>
      <c r="P35" s="1"/>
      <c r="Q35" s="1"/>
      <c r="R35" s="1"/>
    </row>
    <row r="36" spans="1:18" ht="15" customHeight="1" hidden="1">
      <c r="A36" s="103"/>
      <c r="B36" s="1" t="s">
        <v>49</v>
      </c>
      <c r="C36" s="1"/>
      <c r="D36" s="1"/>
      <c r="E36" s="1"/>
      <c r="F36" s="1"/>
      <c r="G36" s="1"/>
      <c r="H36" s="46"/>
      <c r="I36" s="1"/>
      <c r="J36" s="1"/>
      <c r="K36" s="1"/>
      <c r="L36" s="104"/>
      <c r="M36" s="1"/>
      <c r="N36" s="1"/>
      <c r="O36" s="1"/>
      <c r="P36" s="1"/>
      <c r="Q36" s="1"/>
      <c r="R36" s="1"/>
    </row>
    <row r="37" spans="1:18" ht="15" customHeight="1" hidden="1">
      <c r="A37" s="103"/>
      <c r="B37" s="1"/>
      <c r="C37" s="1"/>
      <c r="D37" s="1" t="s">
        <v>57</v>
      </c>
      <c r="E37" s="1"/>
      <c r="F37" s="1"/>
      <c r="G37" s="1"/>
      <c r="H37" s="46">
        <v>70</v>
      </c>
      <c r="I37" s="1"/>
      <c r="J37" s="1"/>
      <c r="K37" s="1"/>
      <c r="L37" s="104"/>
      <c r="N37" s="1"/>
      <c r="O37" s="1"/>
      <c r="P37" s="1"/>
      <c r="Q37" s="1"/>
      <c r="R37" s="1"/>
    </row>
    <row r="38" spans="1:18" ht="15" customHeight="1" hidden="1">
      <c r="A38" s="103"/>
      <c r="B38" s="1"/>
      <c r="C38" s="1"/>
      <c r="D38" s="1" t="s">
        <v>58</v>
      </c>
      <c r="E38" s="1"/>
      <c r="F38" s="1"/>
      <c r="G38" s="1"/>
      <c r="H38" s="46">
        <v>154</v>
      </c>
      <c r="I38" s="1"/>
      <c r="J38" s="1"/>
      <c r="K38" s="1"/>
      <c r="L38" s="104"/>
      <c r="M38" s="1"/>
      <c r="N38" s="1"/>
      <c r="O38" s="1"/>
      <c r="P38" s="1"/>
      <c r="Q38" s="1"/>
      <c r="R38" s="1"/>
    </row>
    <row r="39" spans="1:18" ht="15" customHeight="1" hidden="1">
      <c r="A39" s="103"/>
      <c r="B39" s="1"/>
      <c r="C39" s="1"/>
      <c r="D39" s="1" t="s">
        <v>60</v>
      </c>
      <c r="E39" s="1"/>
      <c r="F39" s="1"/>
      <c r="G39" s="1"/>
      <c r="H39" s="46">
        <v>55</v>
      </c>
      <c r="I39" s="1"/>
      <c r="J39" s="1"/>
      <c r="K39" s="1"/>
      <c r="L39" s="104"/>
      <c r="M39" s="1"/>
      <c r="N39" s="1"/>
      <c r="O39" s="1"/>
      <c r="P39" s="1"/>
      <c r="Q39" s="1"/>
      <c r="R39" s="1"/>
    </row>
    <row r="40" spans="1:18" ht="15" customHeight="1" hidden="1">
      <c r="A40" s="103"/>
      <c r="B40" s="1"/>
      <c r="C40" s="1"/>
      <c r="D40" s="1" t="s">
        <v>61</v>
      </c>
      <c r="E40" s="1"/>
      <c r="F40" s="1"/>
      <c r="G40" s="1"/>
      <c r="H40" s="46">
        <v>131</v>
      </c>
      <c r="I40" s="1"/>
      <c r="J40" s="1"/>
      <c r="K40" s="1"/>
      <c r="L40" s="104"/>
      <c r="M40" s="1"/>
      <c r="N40" s="1"/>
      <c r="O40" s="1"/>
      <c r="P40" s="1"/>
      <c r="Q40" s="1"/>
      <c r="R40" s="1"/>
    </row>
    <row r="41" spans="1:18" ht="15" customHeight="1" hidden="1">
      <c r="A41" s="103"/>
      <c r="B41" s="1"/>
      <c r="C41" s="1"/>
      <c r="D41" s="1" t="s">
        <v>69</v>
      </c>
      <c r="E41" s="1"/>
      <c r="F41" s="1"/>
      <c r="G41" s="1"/>
      <c r="H41" s="47">
        <v>42</v>
      </c>
      <c r="I41" s="1"/>
      <c r="J41" s="1"/>
      <c r="K41" s="1"/>
      <c r="L41" s="104"/>
      <c r="N41" s="1"/>
      <c r="O41" s="1"/>
      <c r="P41" s="1"/>
      <c r="Q41" s="1"/>
      <c r="R41" s="1"/>
    </row>
    <row r="42" spans="1:18" ht="15" customHeight="1" hidden="1">
      <c r="A42" s="103"/>
      <c r="B42" s="1"/>
      <c r="C42" s="1"/>
      <c r="D42" s="1"/>
      <c r="E42" s="1"/>
      <c r="F42" s="1"/>
      <c r="G42" s="1"/>
      <c r="H42" s="46">
        <f>SUM(H37:H41)</f>
        <v>452</v>
      </c>
      <c r="I42" s="1"/>
      <c r="J42" s="1"/>
      <c r="K42" s="1"/>
      <c r="L42" s="104"/>
      <c r="N42" s="1"/>
      <c r="O42" s="1"/>
      <c r="P42" s="1"/>
      <c r="Q42" s="1"/>
      <c r="R42" s="1"/>
    </row>
    <row r="43" spans="1:18" ht="15" customHeight="1" hidden="1">
      <c r="A43" s="103"/>
      <c r="B43" s="1" t="s">
        <v>50</v>
      </c>
      <c r="C43" s="1"/>
      <c r="D43" s="1"/>
      <c r="E43" s="1"/>
      <c r="F43" s="1"/>
      <c r="G43" s="1"/>
      <c r="H43" s="46"/>
      <c r="I43" s="1"/>
      <c r="J43" s="1"/>
      <c r="K43" s="1"/>
      <c r="L43" s="104"/>
      <c r="N43" s="1"/>
      <c r="O43" s="1"/>
      <c r="P43" s="1"/>
      <c r="Q43" s="1"/>
      <c r="R43" s="1"/>
    </row>
    <row r="44" spans="1:18" ht="15" customHeight="1" hidden="1" thickBot="1">
      <c r="A44" s="103"/>
      <c r="B44" s="1"/>
      <c r="C44" s="1"/>
      <c r="D44" s="1" t="s">
        <v>62</v>
      </c>
      <c r="E44" s="1"/>
      <c r="F44" s="1"/>
      <c r="G44" s="1"/>
      <c r="H44" s="54">
        <v>-411</v>
      </c>
      <c r="I44" s="1" t="s">
        <v>63</v>
      </c>
      <c r="J44" s="1"/>
      <c r="K44" s="1"/>
      <c r="L44" s="104"/>
      <c r="M44" s="1"/>
      <c r="N44" s="1"/>
      <c r="O44" s="1"/>
      <c r="P44" s="1"/>
      <c r="Q44" s="1"/>
      <c r="R44" s="1"/>
    </row>
    <row r="45" spans="1:18" ht="15" customHeight="1" hidden="1" thickTop="1">
      <c r="A45" s="103"/>
      <c r="B45" s="1"/>
      <c r="C45" s="1"/>
      <c r="D45" s="55" t="s">
        <v>64</v>
      </c>
      <c r="E45" s="55"/>
      <c r="F45" s="55"/>
      <c r="G45" s="55"/>
      <c r="H45" s="49">
        <f>SUM(H15,H28,H35,H42,H44)</f>
        <v>19829.784</v>
      </c>
      <c r="I45" s="1"/>
      <c r="J45" s="1"/>
      <c r="K45" s="1"/>
      <c r="L45" s="104"/>
      <c r="N45" s="1"/>
      <c r="O45" s="1"/>
      <c r="P45" s="1"/>
      <c r="Q45" s="1"/>
      <c r="R45" s="1"/>
    </row>
    <row r="46" spans="1:18" ht="15" customHeight="1" hidden="1">
      <c r="A46" s="103"/>
      <c r="B46" s="1" t="s">
        <v>65</v>
      </c>
      <c r="C46" s="1"/>
      <c r="D46" s="1"/>
      <c r="E46" s="1"/>
      <c r="F46" s="1"/>
      <c r="G46" s="1"/>
      <c r="H46" s="29">
        <f>+H9-H45</f>
        <v>119.41900000000169</v>
      </c>
      <c r="I46" s="1"/>
      <c r="J46" s="1"/>
      <c r="K46" s="1"/>
      <c r="L46" s="104"/>
      <c r="Q46" s="1"/>
      <c r="R46" s="1"/>
    </row>
    <row r="47" spans="1:12" ht="15" customHeight="1" hidden="1">
      <c r="A47" s="103"/>
      <c r="B47" s="1"/>
      <c r="C47" s="1"/>
      <c r="D47" s="1"/>
      <c r="E47" s="1"/>
      <c r="F47" s="1"/>
      <c r="G47" s="1"/>
      <c r="H47" s="29"/>
      <c r="I47" s="1"/>
      <c r="J47" s="1"/>
      <c r="K47" s="1"/>
      <c r="L47" s="104"/>
    </row>
    <row r="48" spans="1:12" ht="15" customHeight="1" hidden="1">
      <c r="A48" s="103" t="s">
        <v>91</v>
      </c>
      <c r="B48" s="1"/>
      <c r="C48" s="1"/>
      <c r="D48" s="1"/>
      <c r="E48" s="1"/>
      <c r="F48" s="1"/>
      <c r="G48" s="1"/>
      <c r="H48" s="50">
        <f>+N6/4.75*12</f>
        <v>19851.78947368421</v>
      </c>
      <c r="I48" s="1"/>
      <c r="J48" s="1"/>
      <c r="K48" s="1"/>
      <c r="L48" s="104"/>
    </row>
    <row r="49" spans="1:12" ht="15" customHeight="1" hidden="1" thickBot="1">
      <c r="A49" s="109"/>
      <c r="B49" s="53" t="s">
        <v>65</v>
      </c>
      <c r="C49" s="53"/>
      <c r="D49" s="53"/>
      <c r="E49" s="53"/>
      <c r="F49" s="53"/>
      <c r="G49" s="53"/>
      <c r="H49" s="114">
        <f>+H9-H48</f>
        <v>97.41352631579139</v>
      </c>
      <c r="I49" s="53"/>
      <c r="J49" s="53"/>
      <c r="K49" s="53"/>
      <c r="L49" s="110"/>
    </row>
    <row r="50" ht="15" customHeight="1" hidden="1"/>
    <row r="51" ht="15" customHeight="1" hidden="1" thickBot="1"/>
    <row r="52" spans="1:12" ht="23.25" hidden="1">
      <c r="A52" s="115" t="s">
        <v>123</v>
      </c>
      <c r="B52" s="52"/>
      <c r="C52" s="52"/>
      <c r="D52" s="52"/>
      <c r="E52" s="52"/>
      <c r="F52" s="52"/>
      <c r="G52" s="52"/>
      <c r="H52" s="100"/>
      <c r="I52" s="101"/>
      <c r="J52" s="52"/>
      <c r="K52" s="52"/>
      <c r="L52" s="102"/>
    </row>
    <row r="53" spans="1:12" ht="15.75" hidden="1">
      <c r="A53" s="103"/>
      <c r="B53" s="1"/>
      <c r="C53" s="1"/>
      <c r="D53" s="99"/>
      <c r="E53" s="1"/>
      <c r="F53" s="1"/>
      <c r="G53" s="1"/>
      <c r="H53" s="29"/>
      <c r="I53" s="98"/>
      <c r="J53" s="1"/>
      <c r="K53" s="1"/>
      <c r="L53" s="104"/>
    </row>
    <row r="54" spans="1:16" ht="15.75" hidden="1">
      <c r="A54" s="103"/>
      <c r="B54" s="1"/>
      <c r="C54" s="1"/>
      <c r="D54" s="99"/>
      <c r="E54" s="1"/>
      <c r="F54" s="1"/>
      <c r="G54" s="1"/>
      <c r="H54" s="29"/>
      <c r="I54" s="98"/>
      <c r="J54" s="99"/>
      <c r="K54" s="99"/>
      <c r="L54" s="104"/>
      <c r="M54" s="1"/>
      <c r="N54" s="1"/>
      <c r="O54" s="1"/>
      <c r="P54" s="1"/>
    </row>
    <row r="55" spans="1:18" ht="20.25" hidden="1">
      <c r="A55" s="124" t="s">
        <v>119</v>
      </c>
      <c r="B55" s="1"/>
      <c r="C55" s="1"/>
      <c r="D55" s="99"/>
      <c r="E55" s="1"/>
      <c r="F55" s="1"/>
      <c r="G55" s="1"/>
      <c r="H55" s="29"/>
      <c r="I55" s="98"/>
      <c r="J55" s="99"/>
      <c r="K55" s="99"/>
      <c r="L55" s="104"/>
      <c r="M55" s="1"/>
      <c r="N55" s="1"/>
      <c r="O55" s="1"/>
      <c r="P55" s="1"/>
      <c r="Q55" s="1"/>
      <c r="R55" s="1"/>
    </row>
    <row r="56" spans="1:18" ht="20.25" hidden="1">
      <c r="A56" s="124"/>
      <c r="B56" s="116"/>
      <c r="C56" s="116"/>
      <c r="D56" s="116" t="s">
        <v>130</v>
      </c>
      <c r="E56" s="1"/>
      <c r="F56" s="1"/>
      <c r="G56" s="1"/>
      <c r="H56" s="29"/>
      <c r="I56" s="1"/>
      <c r="J56" s="1"/>
      <c r="K56" s="117">
        <v>356</v>
      </c>
      <c r="L56" s="105"/>
      <c r="M56" s="1"/>
      <c r="N56" s="1"/>
      <c r="O56" s="1"/>
      <c r="P56" s="1"/>
      <c r="Q56" s="1"/>
      <c r="R56" s="1"/>
    </row>
    <row r="57" spans="1:18" ht="21" hidden="1" thickBot="1">
      <c r="A57" s="124"/>
      <c r="B57" s="116"/>
      <c r="C57" s="116"/>
      <c r="D57" s="116" t="s">
        <v>131</v>
      </c>
      <c r="E57" s="1"/>
      <c r="F57" s="1"/>
      <c r="G57" s="1"/>
      <c r="H57" s="29"/>
      <c r="I57" s="1"/>
      <c r="J57" s="1"/>
      <c r="K57" s="122">
        <v>535.8767123287671</v>
      </c>
      <c r="L57" s="105"/>
      <c r="M57" s="1"/>
      <c r="N57" s="1"/>
      <c r="O57" s="1"/>
      <c r="P57" s="1"/>
      <c r="Q57" s="1"/>
      <c r="R57" s="1"/>
    </row>
    <row r="58" spans="1:18" ht="21" hidden="1" thickTop="1">
      <c r="A58" s="124"/>
      <c r="B58" s="116"/>
      <c r="C58" s="116"/>
      <c r="D58" s="116"/>
      <c r="E58" s="1"/>
      <c r="F58" s="1"/>
      <c r="G58" s="1"/>
      <c r="H58" s="29"/>
      <c r="I58" s="1"/>
      <c r="J58" s="1"/>
      <c r="K58" s="118">
        <f>SUM(K56:K57)</f>
        <v>891.8767123287671</v>
      </c>
      <c r="L58" s="105"/>
      <c r="M58" s="35">
        <f>SUM(K58:L58,K61)</f>
        <v>1601.876712328767</v>
      </c>
      <c r="N58" s="1"/>
      <c r="O58" s="1"/>
      <c r="P58" s="1"/>
      <c r="Q58" s="1"/>
      <c r="R58" s="1"/>
    </row>
    <row r="59" spans="1:34" ht="20.25" hidden="1">
      <c r="A59" s="124"/>
      <c r="B59" s="116"/>
      <c r="C59" s="116"/>
      <c r="D59" s="116"/>
      <c r="E59" s="1"/>
      <c r="F59" s="1"/>
      <c r="G59" s="1"/>
      <c r="H59" s="29"/>
      <c r="I59" s="1"/>
      <c r="J59" s="1"/>
      <c r="K59" s="117"/>
      <c r="L59" s="105"/>
      <c r="N59" s="1"/>
      <c r="O59" s="1"/>
      <c r="P59" s="1"/>
      <c r="Q59" s="1"/>
      <c r="R59" s="1"/>
      <c r="AD59" s="51"/>
      <c r="AE59" s="51"/>
      <c r="AF59" s="51"/>
      <c r="AG59" s="7"/>
      <c r="AH59" s="7"/>
    </row>
    <row r="60" spans="1:34" ht="20.25" hidden="1">
      <c r="A60" s="124" t="s">
        <v>122</v>
      </c>
      <c r="B60" s="116"/>
      <c r="C60" s="116"/>
      <c r="D60" s="116"/>
      <c r="E60" s="1"/>
      <c r="F60" s="1"/>
      <c r="G60" s="1"/>
      <c r="H60" s="29"/>
      <c r="I60" s="1"/>
      <c r="J60" s="1"/>
      <c r="K60" s="119"/>
      <c r="L60" s="106"/>
      <c r="N60" s="1"/>
      <c r="O60" s="1"/>
      <c r="P60" s="1"/>
      <c r="Q60" s="1"/>
      <c r="R60" s="1"/>
      <c r="AD60" s="51"/>
      <c r="AE60" s="51"/>
      <c r="AF60" s="51"/>
      <c r="AG60" s="7"/>
      <c r="AH60" s="7"/>
    </row>
    <row r="61" spans="1:34" ht="20.25" hidden="1">
      <c r="A61" s="124"/>
      <c r="B61" s="116" t="s">
        <v>134</v>
      </c>
      <c r="C61" s="116"/>
      <c r="D61" s="116"/>
      <c r="E61" s="1"/>
      <c r="F61" s="1"/>
      <c r="G61" s="1"/>
      <c r="H61" s="29"/>
      <c r="I61" s="1"/>
      <c r="J61" s="1"/>
      <c r="K61" s="125">
        <v>710</v>
      </c>
      <c r="L61" s="107" t="s">
        <v>124</v>
      </c>
      <c r="M61" s="1"/>
      <c r="N61" s="1"/>
      <c r="O61" s="1"/>
      <c r="P61" s="1"/>
      <c r="Q61" s="1"/>
      <c r="R61" s="1"/>
      <c r="AD61" s="51"/>
      <c r="AE61" s="51"/>
      <c r="AF61" s="51"/>
      <c r="AG61" s="7"/>
      <c r="AH61" s="7"/>
    </row>
    <row r="62" spans="1:34" ht="20.25" hidden="1">
      <c r="A62" s="124"/>
      <c r="B62" s="116"/>
      <c r="C62" s="116"/>
      <c r="D62" s="116"/>
      <c r="E62" s="1"/>
      <c r="F62" s="1"/>
      <c r="G62" s="1"/>
      <c r="H62" s="29"/>
      <c r="I62" s="1"/>
      <c r="J62" s="1"/>
      <c r="K62" s="120"/>
      <c r="L62" s="108"/>
      <c r="M62" s="1"/>
      <c r="N62" s="1"/>
      <c r="O62" s="1"/>
      <c r="P62" s="1"/>
      <c r="Q62" s="1"/>
      <c r="R62" s="1"/>
      <c r="AD62" s="51"/>
      <c r="AE62" s="51"/>
      <c r="AF62" s="51"/>
      <c r="AG62" s="7"/>
      <c r="AH62" s="7"/>
    </row>
    <row r="63" spans="1:34" ht="20.25" hidden="1">
      <c r="A63" s="124" t="s">
        <v>121</v>
      </c>
      <c r="B63" s="116"/>
      <c r="C63" s="116"/>
      <c r="D63" s="116"/>
      <c r="E63" s="1"/>
      <c r="F63" s="1"/>
      <c r="G63" s="1"/>
      <c r="H63" s="29"/>
      <c r="I63" s="1"/>
      <c r="J63" s="1"/>
      <c r="K63" s="117"/>
      <c r="L63" s="108"/>
      <c r="M63" s="1"/>
      <c r="N63" s="1"/>
      <c r="O63" s="1"/>
      <c r="P63" s="1"/>
      <c r="Q63" s="1"/>
      <c r="R63" s="1"/>
      <c r="AD63" s="51"/>
      <c r="AE63" s="51"/>
      <c r="AF63" s="51"/>
      <c r="AG63" s="7"/>
      <c r="AH63" s="7"/>
    </row>
    <row r="64" spans="1:34" ht="18" hidden="1">
      <c r="A64" s="103"/>
      <c r="B64" s="116" t="s">
        <v>129</v>
      </c>
      <c r="C64" s="116"/>
      <c r="D64" s="116"/>
      <c r="E64" s="1"/>
      <c r="F64" s="1"/>
      <c r="G64" s="1"/>
      <c r="H64" s="29"/>
      <c r="I64" s="1"/>
      <c r="J64" s="1"/>
      <c r="K64" s="117">
        <v>146</v>
      </c>
      <c r="L64" s="108"/>
      <c r="M64" s="1"/>
      <c r="N64" s="1"/>
      <c r="O64" s="1"/>
      <c r="P64" s="1"/>
      <c r="Q64" s="1"/>
      <c r="R64" s="1"/>
      <c r="AD64" s="51"/>
      <c r="AE64" s="51"/>
      <c r="AF64" s="51"/>
      <c r="AG64" s="7"/>
      <c r="AH64" s="7"/>
    </row>
    <row r="65" spans="1:34" ht="18" hidden="1">
      <c r="A65" s="103"/>
      <c r="B65" s="116" t="s">
        <v>126</v>
      </c>
      <c r="C65" s="116"/>
      <c r="D65" s="116"/>
      <c r="E65" s="1"/>
      <c r="F65" s="1"/>
      <c r="G65" s="1"/>
      <c r="H65" s="29"/>
      <c r="I65" s="1"/>
      <c r="J65" s="1"/>
      <c r="K65" s="117">
        <v>711</v>
      </c>
      <c r="L65" s="105"/>
      <c r="M65" s="1"/>
      <c r="N65" s="1"/>
      <c r="O65" s="1"/>
      <c r="P65" s="1"/>
      <c r="Q65" s="1"/>
      <c r="R65" s="1"/>
      <c r="AD65" s="51"/>
      <c r="AE65" s="51"/>
      <c r="AF65" s="51"/>
      <c r="AG65" s="7"/>
      <c r="AH65" s="7"/>
    </row>
    <row r="66" spans="1:34" ht="18" hidden="1">
      <c r="A66" s="103"/>
      <c r="B66" s="116" t="s">
        <v>125</v>
      </c>
      <c r="C66" s="116"/>
      <c r="D66" s="116"/>
      <c r="E66" s="1"/>
      <c r="F66" s="1"/>
      <c r="G66" s="1"/>
      <c r="H66" s="29"/>
      <c r="I66" s="1"/>
      <c r="J66" s="1"/>
      <c r="K66" s="117">
        <v>545</v>
      </c>
      <c r="L66" s="105"/>
      <c r="M66" s="1"/>
      <c r="N66" s="1"/>
      <c r="O66" s="1"/>
      <c r="P66" s="1"/>
      <c r="Q66" s="1"/>
      <c r="R66" s="1"/>
      <c r="AD66" s="51"/>
      <c r="AE66" s="51"/>
      <c r="AF66" s="51"/>
      <c r="AG66" s="7"/>
      <c r="AH66" s="7"/>
    </row>
    <row r="67" spans="1:34" ht="18" hidden="1">
      <c r="A67" s="103"/>
      <c r="B67" s="116" t="s">
        <v>135</v>
      </c>
      <c r="C67" s="116"/>
      <c r="D67" s="116"/>
      <c r="E67" s="1"/>
      <c r="F67" s="1"/>
      <c r="G67" s="1"/>
      <c r="H67" s="29"/>
      <c r="I67" s="1"/>
      <c r="J67" s="1"/>
      <c r="K67" s="117">
        <v>50</v>
      </c>
      <c r="L67" s="105"/>
      <c r="M67" s="1"/>
      <c r="N67" s="1"/>
      <c r="O67" s="1"/>
      <c r="P67" s="1"/>
      <c r="Q67" s="1"/>
      <c r="R67" s="1"/>
      <c r="AD67" s="51"/>
      <c r="AE67" s="51"/>
      <c r="AF67" s="51"/>
      <c r="AG67" s="7"/>
      <c r="AH67" s="7"/>
    </row>
    <row r="68" spans="1:34" ht="18" hidden="1">
      <c r="A68" s="103"/>
      <c r="B68" s="116" t="s">
        <v>136</v>
      </c>
      <c r="C68" s="116"/>
      <c r="D68" s="116"/>
      <c r="E68" s="1"/>
      <c r="F68" s="1"/>
      <c r="G68" s="1"/>
      <c r="H68" s="29"/>
      <c r="I68" s="1"/>
      <c r="J68" s="1"/>
      <c r="K68" s="117">
        <v>400</v>
      </c>
      <c r="L68" s="105"/>
      <c r="M68" s="1"/>
      <c r="N68" s="1"/>
      <c r="O68" s="1"/>
      <c r="P68" s="1"/>
      <c r="Q68" s="1"/>
      <c r="R68" s="1"/>
      <c r="AD68" s="51"/>
      <c r="AE68" s="51"/>
      <c r="AF68" s="51"/>
      <c r="AG68" s="7"/>
      <c r="AH68" s="7"/>
    </row>
    <row r="69" spans="1:34" ht="18" hidden="1">
      <c r="A69" s="103"/>
      <c r="B69" s="116" t="s">
        <v>132</v>
      </c>
      <c r="C69" s="116"/>
      <c r="D69" s="116"/>
      <c r="E69" s="1"/>
      <c r="F69" s="1"/>
      <c r="G69" s="1"/>
      <c r="H69" s="29"/>
      <c r="I69" s="1"/>
      <c r="J69" s="1"/>
      <c r="K69" s="121" t="s">
        <v>44</v>
      </c>
      <c r="L69" s="105"/>
      <c r="M69" s="1"/>
      <c r="N69" s="1"/>
      <c r="O69" s="1"/>
      <c r="P69" s="1"/>
      <c r="Q69" s="1"/>
      <c r="R69" s="1"/>
      <c r="AD69" s="51"/>
      <c r="AE69" s="51"/>
      <c r="AF69" s="51"/>
      <c r="AG69" s="7"/>
      <c r="AH69" s="7"/>
    </row>
    <row r="70" spans="1:34" ht="18.75" hidden="1" thickBot="1">
      <c r="A70" s="103"/>
      <c r="B70" s="116" t="s">
        <v>133</v>
      </c>
      <c r="C70" s="116"/>
      <c r="D70" s="116"/>
      <c r="E70" s="1"/>
      <c r="F70" s="1"/>
      <c r="G70" s="1"/>
      <c r="H70" s="58"/>
      <c r="I70" s="98"/>
      <c r="J70" s="1"/>
      <c r="K70" s="123" t="s">
        <v>44</v>
      </c>
      <c r="L70" s="104"/>
      <c r="Q70" s="1"/>
      <c r="R70" s="1"/>
      <c r="AD70" s="51"/>
      <c r="AE70" s="51"/>
      <c r="AF70" s="51"/>
      <c r="AG70" s="7"/>
      <c r="AH70" s="7"/>
    </row>
    <row r="71" spans="1:34" ht="18.75" hidden="1" thickTop="1">
      <c r="A71" s="103"/>
      <c r="B71" s="1"/>
      <c r="C71" s="1"/>
      <c r="D71" s="1"/>
      <c r="E71" s="1"/>
      <c r="F71" s="1"/>
      <c r="G71" s="1"/>
      <c r="H71" s="58"/>
      <c r="I71" s="1"/>
      <c r="J71" s="1"/>
      <c r="K71" s="118">
        <f>SUM(K64:K68)</f>
        <v>1852</v>
      </c>
      <c r="L71" s="104"/>
      <c r="AD71" s="51">
        <f aca="true" t="shared" si="0" ref="AD71:AD85">(+C79-D79)/days</f>
        <v>0.6575342465753424</v>
      </c>
      <c r="AE71" s="51">
        <f aca="true" t="shared" si="1" ref="AE71:AE85">(+D79-E79)/days</f>
        <v>0.821917808219178</v>
      </c>
      <c r="AF71" s="51">
        <f aca="true" t="shared" si="2" ref="AF71:AF85">(+E79-F79)/days</f>
        <v>0</v>
      </c>
      <c r="AG71" s="7">
        <f aca="true" t="shared" si="3" ref="AG71:AG85">-IF(I79&gt;days,days,I79)*AD71</f>
        <v>-13.80821917808219</v>
      </c>
      <c r="AH71" s="7">
        <f>-IF(AND(I79&gt;days,I79&lt;(3*days)),I79-days,days)*AE71</f>
        <v>-25</v>
      </c>
    </row>
    <row r="72" spans="1:34" ht="16.5" hidden="1" thickBot="1">
      <c r="A72" s="109"/>
      <c r="B72" s="53"/>
      <c r="C72" s="53"/>
      <c r="D72" s="53"/>
      <c r="E72" s="53"/>
      <c r="F72" s="53"/>
      <c r="G72" s="53"/>
      <c r="H72" s="114"/>
      <c r="I72" s="53"/>
      <c r="J72" s="53"/>
      <c r="K72" s="53"/>
      <c r="L72" s="110"/>
      <c r="AD72" s="51">
        <f t="shared" si="0"/>
        <v>0.6575342465753424</v>
      </c>
      <c r="AE72" s="51">
        <f t="shared" si="1"/>
        <v>0.821917808219178</v>
      </c>
      <c r="AF72" s="51">
        <f t="shared" si="2"/>
        <v>0</v>
      </c>
      <c r="AG72" s="7">
        <f t="shared" si="3"/>
        <v>-10.520547945205479</v>
      </c>
      <c r="AH72" s="7">
        <f aca="true" t="shared" si="4" ref="AH72:AH85">-IF(AND(I80&gt;days,I80&lt;(2*days)),I80-days,days)*AE72</f>
        <v>-25</v>
      </c>
    </row>
    <row r="73" spans="13:34" ht="15" customHeight="1" hidden="1">
      <c r="M73" s="1"/>
      <c r="N73" s="1"/>
      <c r="O73" s="1"/>
      <c r="P73" s="1"/>
      <c r="AD73" s="51">
        <f t="shared" si="0"/>
        <v>0.6575342465753424</v>
      </c>
      <c r="AE73" s="51">
        <f t="shared" si="1"/>
        <v>0.821917808219178</v>
      </c>
      <c r="AF73" s="51">
        <f t="shared" si="2"/>
        <v>0</v>
      </c>
      <c r="AG73" s="7">
        <f t="shared" si="3"/>
        <v>-15.123287671232877</v>
      </c>
      <c r="AH73" s="7">
        <f t="shared" si="4"/>
        <v>-25</v>
      </c>
    </row>
    <row r="74" spans="1:34" s="1" customFormat="1" ht="15" customHeight="1" thickBot="1">
      <c r="A74" s="33"/>
      <c r="H74" s="29"/>
      <c r="I74" s="73"/>
      <c r="J74" s="73"/>
      <c r="K74" s="73"/>
      <c r="L74" s="73"/>
      <c r="M74" s="64"/>
      <c r="N74" s="64"/>
      <c r="O74" s="64"/>
      <c r="P74" s="64"/>
      <c r="AD74" s="74">
        <f t="shared" si="0"/>
        <v>0.6575342465753424</v>
      </c>
      <c r="AE74" s="74">
        <f t="shared" si="1"/>
        <v>0.821917808219178</v>
      </c>
      <c r="AF74" s="74">
        <f t="shared" si="2"/>
        <v>0</v>
      </c>
      <c r="AG74" s="75">
        <f t="shared" si="3"/>
        <v>-19.726027397260275</v>
      </c>
      <c r="AH74" s="75">
        <f t="shared" si="4"/>
        <v>-25</v>
      </c>
    </row>
    <row r="75" spans="1:34" s="1" customFormat="1" ht="18">
      <c r="A75" s="33"/>
      <c r="B75" s="59"/>
      <c r="C75" s="60" t="s">
        <v>116</v>
      </c>
      <c r="D75" s="52"/>
      <c r="E75" s="60"/>
      <c r="F75" s="60"/>
      <c r="G75" s="60"/>
      <c r="H75" s="111" t="s">
        <v>120</v>
      </c>
      <c r="I75" s="52"/>
      <c r="J75" s="61"/>
      <c r="K75" s="77"/>
      <c r="L75" s="76"/>
      <c r="M75" s="63"/>
      <c r="N75" s="63"/>
      <c r="O75" s="63"/>
      <c r="P75" s="64"/>
      <c r="Q75" s="64"/>
      <c r="R75" s="2"/>
      <c r="S75" s="2"/>
      <c r="AD75" s="74">
        <f t="shared" si="0"/>
        <v>0.6575342465753424</v>
      </c>
      <c r="AE75" s="74">
        <f t="shared" si="1"/>
        <v>0.821917808219178</v>
      </c>
      <c r="AF75" s="74">
        <f t="shared" si="2"/>
        <v>0</v>
      </c>
      <c r="AG75" s="75">
        <f t="shared" si="3"/>
        <v>-20</v>
      </c>
      <c r="AH75" s="75">
        <f t="shared" si="4"/>
        <v>-4.589041095890409</v>
      </c>
    </row>
    <row r="76" spans="1:34" s="1" customFormat="1" ht="25.5">
      <c r="A76" s="33"/>
      <c r="B76" s="62"/>
      <c r="C76" s="63" t="s">
        <v>115</v>
      </c>
      <c r="E76" s="63"/>
      <c r="F76" s="63"/>
      <c r="G76" s="63"/>
      <c r="H76" s="63"/>
      <c r="I76" s="63"/>
      <c r="J76" s="63"/>
      <c r="K76" s="78"/>
      <c r="L76" s="63"/>
      <c r="Q76" s="64"/>
      <c r="R76" s="2"/>
      <c r="S76" s="2"/>
      <c r="AD76" s="74">
        <f t="shared" si="0"/>
        <v>0.6575342465753424</v>
      </c>
      <c r="AE76" s="74">
        <f t="shared" si="1"/>
        <v>0.821917808219178</v>
      </c>
      <c r="AF76" s="74">
        <f t="shared" si="2"/>
        <v>0</v>
      </c>
      <c r="AG76" s="75">
        <f t="shared" si="3"/>
        <v>-20</v>
      </c>
      <c r="AH76" s="75">
        <f t="shared" si="4"/>
        <v>-10.342465753424657</v>
      </c>
    </row>
    <row r="77" spans="1:34" s="1" customFormat="1" ht="51">
      <c r="A77" s="33"/>
      <c r="B77" s="62" t="s">
        <v>92</v>
      </c>
      <c r="C77" s="82" t="s">
        <v>110</v>
      </c>
      <c r="D77" s="83" t="s">
        <v>111</v>
      </c>
      <c r="E77" s="83" t="s">
        <v>112</v>
      </c>
      <c r="F77" s="83" t="s">
        <v>117</v>
      </c>
      <c r="G77" s="84" t="s">
        <v>109</v>
      </c>
      <c r="H77" s="82" t="s">
        <v>138</v>
      </c>
      <c r="I77" s="83" t="s">
        <v>113</v>
      </c>
      <c r="J77" s="84" t="s">
        <v>137</v>
      </c>
      <c r="K77" s="65"/>
      <c r="L77" s="2"/>
      <c r="AD77" s="74">
        <f t="shared" si="0"/>
        <v>0.6575342465753424</v>
      </c>
      <c r="AE77" s="74">
        <f t="shared" si="1"/>
        <v>0.821917808219178</v>
      </c>
      <c r="AF77" s="74">
        <f t="shared" si="2"/>
        <v>0</v>
      </c>
      <c r="AG77" s="75">
        <f t="shared" si="3"/>
        <v>-20</v>
      </c>
      <c r="AH77" s="75">
        <f t="shared" si="4"/>
        <v>-15.273972602739724</v>
      </c>
    </row>
    <row r="78" spans="1:35" s="1" customFormat="1" ht="15" customHeight="1">
      <c r="A78" s="33"/>
      <c r="B78" s="62" t="s">
        <v>93</v>
      </c>
      <c r="C78" s="85">
        <v>45</v>
      </c>
      <c r="D78" s="63">
        <v>25</v>
      </c>
      <c r="E78" s="63"/>
      <c r="F78" s="63"/>
      <c r="G78" s="86">
        <v>38776</v>
      </c>
      <c r="H78" s="92">
        <v>38779</v>
      </c>
      <c r="I78" s="66">
        <f aca="true" t="shared" si="5" ref="I78:I93">+H78-G78</f>
        <v>3</v>
      </c>
      <c r="J78" s="93">
        <f>+C78-(I78*AD71)</f>
        <v>43.02739726027397</v>
      </c>
      <c r="K78" s="79"/>
      <c r="L78" s="2"/>
      <c r="AD78" s="74">
        <f t="shared" si="0"/>
        <v>2.136986301369863</v>
      </c>
      <c r="AE78" s="74">
        <f t="shared" si="1"/>
        <v>2.4657534246575343</v>
      </c>
      <c r="AF78" s="74">
        <f t="shared" si="2"/>
        <v>4.931506849315069</v>
      </c>
      <c r="AG78" s="75">
        <f t="shared" si="3"/>
        <v>-65</v>
      </c>
      <c r="AH78" s="75">
        <f t="shared" si="4"/>
        <v>-65.54794520547945</v>
      </c>
      <c r="AI78" s="75">
        <f>-IF(AND(I86&gt;(2*days),I86&lt;(3*days)),J86-days,days)*AF78</f>
        <v>-150</v>
      </c>
    </row>
    <row r="79" spans="1:34" s="1" customFormat="1" ht="15" customHeight="1">
      <c r="A79" s="33"/>
      <c r="B79" s="62" t="s">
        <v>94</v>
      </c>
      <c r="C79" s="85">
        <v>45</v>
      </c>
      <c r="D79" s="63">
        <v>25</v>
      </c>
      <c r="E79" s="63"/>
      <c r="F79" s="63"/>
      <c r="G79" s="86">
        <v>38786</v>
      </c>
      <c r="H79" s="92">
        <v>38807</v>
      </c>
      <c r="I79" s="66">
        <f t="shared" si="5"/>
        <v>21</v>
      </c>
      <c r="J79" s="93">
        <f>+C79-(I79*AD71)</f>
        <v>31.19178082191781</v>
      </c>
      <c r="K79" s="79"/>
      <c r="L79" s="2"/>
      <c r="AD79" s="74">
        <f t="shared" si="0"/>
        <v>0.6575342465753424</v>
      </c>
      <c r="AE79" s="74">
        <f t="shared" si="1"/>
        <v>0.821917808219178</v>
      </c>
      <c r="AF79" s="74">
        <f t="shared" si="2"/>
        <v>0</v>
      </c>
      <c r="AG79" s="75">
        <f t="shared" si="3"/>
        <v>-20</v>
      </c>
      <c r="AH79" s="75">
        <f t="shared" si="4"/>
        <v>-25</v>
      </c>
    </row>
    <row r="80" spans="1:34" s="1" customFormat="1" ht="15" customHeight="1">
      <c r="A80" s="33"/>
      <c r="B80" s="62" t="s">
        <v>95</v>
      </c>
      <c r="C80" s="85">
        <v>45</v>
      </c>
      <c r="D80" s="63">
        <v>25</v>
      </c>
      <c r="E80" s="63"/>
      <c r="F80" s="63"/>
      <c r="G80" s="86">
        <v>38825</v>
      </c>
      <c r="H80" s="92">
        <v>38841</v>
      </c>
      <c r="I80" s="66">
        <f t="shared" si="5"/>
        <v>16</v>
      </c>
      <c r="J80" s="93">
        <f>+C80-(I80*AD72)</f>
        <v>34.47945205479452</v>
      </c>
      <c r="K80" s="79"/>
      <c r="L80" s="2"/>
      <c r="AD80" s="74">
        <f t="shared" si="0"/>
        <v>0.821917808219178</v>
      </c>
      <c r="AE80" s="74">
        <f t="shared" si="1"/>
        <v>1.643835616438356</v>
      </c>
      <c r="AF80" s="74">
        <f t="shared" si="2"/>
        <v>1.643835616438356</v>
      </c>
      <c r="AG80" s="75">
        <f t="shared" si="3"/>
        <v>-25</v>
      </c>
      <c r="AH80" s="75">
        <f t="shared" si="4"/>
        <v>-50</v>
      </c>
    </row>
    <row r="81" spans="1:34" s="1" customFormat="1" ht="15" customHeight="1">
      <c r="A81" s="33"/>
      <c r="B81" s="62" t="s">
        <v>96</v>
      </c>
      <c r="C81" s="85">
        <v>45</v>
      </c>
      <c r="D81" s="63">
        <v>25</v>
      </c>
      <c r="E81" s="63"/>
      <c r="F81" s="63"/>
      <c r="G81" s="86">
        <v>38853</v>
      </c>
      <c r="H81" s="92">
        <v>38876</v>
      </c>
      <c r="I81" s="66">
        <f t="shared" si="5"/>
        <v>23</v>
      </c>
      <c r="J81" s="93">
        <f>+C81-(I81*AD73)</f>
        <v>29.876712328767123</v>
      </c>
      <c r="K81" s="79"/>
      <c r="L81" s="2"/>
      <c r="AD81" s="74">
        <f t="shared" si="0"/>
        <v>0.6575342465753424</v>
      </c>
      <c r="AE81" s="74">
        <f t="shared" si="1"/>
        <v>0.821917808219178</v>
      </c>
      <c r="AF81" s="74">
        <f t="shared" si="2"/>
        <v>0</v>
      </c>
      <c r="AG81" s="75">
        <f t="shared" si="3"/>
        <v>-20</v>
      </c>
      <c r="AH81" s="75">
        <f t="shared" si="4"/>
        <v>-25</v>
      </c>
    </row>
    <row r="82" spans="1:34" s="1" customFormat="1" ht="15" customHeight="1">
      <c r="A82" s="33"/>
      <c r="B82" s="62" t="s">
        <v>97</v>
      </c>
      <c r="C82" s="85">
        <v>45</v>
      </c>
      <c r="D82" s="63">
        <v>25</v>
      </c>
      <c r="E82" s="63"/>
      <c r="F82" s="63"/>
      <c r="G82" s="86">
        <v>38881</v>
      </c>
      <c r="H82" s="92">
        <v>38911</v>
      </c>
      <c r="I82" s="66">
        <f t="shared" si="5"/>
        <v>30</v>
      </c>
      <c r="J82" s="93">
        <f>+C82-(I82*AD74)</f>
        <v>25.273972602739725</v>
      </c>
      <c r="K82" s="79"/>
      <c r="L82" s="2"/>
      <c r="AD82" s="74">
        <f t="shared" si="0"/>
        <v>0.6575342465753424</v>
      </c>
      <c r="AE82" s="74">
        <f t="shared" si="1"/>
        <v>0.821917808219178</v>
      </c>
      <c r="AF82" s="74">
        <f t="shared" si="2"/>
        <v>0</v>
      </c>
      <c r="AG82" s="75">
        <f t="shared" si="3"/>
        <v>-20</v>
      </c>
      <c r="AH82" s="75">
        <f t="shared" si="4"/>
        <v>-25</v>
      </c>
    </row>
    <row r="83" spans="1:34" s="1" customFormat="1" ht="15" customHeight="1">
      <c r="A83" s="33"/>
      <c r="B83" s="62" t="s">
        <v>98</v>
      </c>
      <c r="C83" s="85">
        <v>45</v>
      </c>
      <c r="D83" s="63">
        <v>25</v>
      </c>
      <c r="E83" s="63"/>
      <c r="F83" s="63"/>
      <c r="G83" s="86">
        <v>38909</v>
      </c>
      <c r="H83" s="92">
        <v>38945</v>
      </c>
      <c r="I83" s="66">
        <f t="shared" si="5"/>
        <v>36</v>
      </c>
      <c r="J83" s="93">
        <f>25-((I83-days)*AE75)</f>
        <v>20.41095890410959</v>
      </c>
      <c r="K83" s="79"/>
      <c r="L83" s="2"/>
      <c r="AD83" s="74">
        <f t="shared" si="0"/>
        <v>0.6575342465753424</v>
      </c>
      <c r="AE83" s="74">
        <f t="shared" si="1"/>
        <v>0.821917808219178</v>
      </c>
      <c r="AF83" s="74">
        <f t="shared" si="2"/>
        <v>0</v>
      </c>
      <c r="AG83" s="75">
        <f t="shared" si="3"/>
        <v>-20</v>
      </c>
      <c r="AH83" s="75">
        <f t="shared" si="4"/>
        <v>-25</v>
      </c>
    </row>
    <row r="84" spans="1:34" s="1" customFormat="1" ht="15" customHeight="1">
      <c r="A84" s="33"/>
      <c r="B84" s="62" t="s">
        <v>99</v>
      </c>
      <c r="C84" s="85">
        <v>45</v>
      </c>
      <c r="D84" s="63">
        <v>25</v>
      </c>
      <c r="E84" s="63"/>
      <c r="F84" s="63"/>
      <c r="G84" s="86">
        <v>38937</v>
      </c>
      <c r="H84" s="92">
        <v>38980</v>
      </c>
      <c r="I84" s="66">
        <f t="shared" si="5"/>
        <v>43</v>
      </c>
      <c r="J84" s="93">
        <f>25-((I84-days)*AE76)</f>
        <v>14.657534246575343</v>
      </c>
      <c r="K84" s="79"/>
      <c r="L84" s="2"/>
      <c r="AD84" s="74">
        <f t="shared" si="0"/>
        <v>0.6575342465753424</v>
      </c>
      <c r="AE84" s="74">
        <f t="shared" si="1"/>
        <v>0.821917808219178</v>
      </c>
      <c r="AF84" s="74">
        <f t="shared" si="2"/>
        <v>0</v>
      </c>
      <c r="AG84" s="75">
        <f t="shared" si="3"/>
        <v>-20</v>
      </c>
      <c r="AH84" s="75">
        <f t="shared" si="4"/>
        <v>-25</v>
      </c>
    </row>
    <row r="85" spans="1:34" s="1" customFormat="1" ht="15" customHeight="1">
      <c r="A85" s="33"/>
      <c r="B85" s="62" t="s">
        <v>100</v>
      </c>
      <c r="C85" s="85">
        <v>45</v>
      </c>
      <c r="D85" s="63">
        <v>25</v>
      </c>
      <c r="E85" s="63"/>
      <c r="F85" s="63"/>
      <c r="G85" s="86">
        <v>38965</v>
      </c>
      <c r="H85" s="92">
        <v>39014</v>
      </c>
      <c r="I85" s="66">
        <f t="shared" si="5"/>
        <v>49</v>
      </c>
      <c r="J85" s="93">
        <f>25-((I85-days)*AE77)</f>
        <v>9.726027397260276</v>
      </c>
      <c r="K85" s="79"/>
      <c r="L85" s="2"/>
      <c r="AD85" s="74">
        <f t="shared" si="0"/>
        <v>1.643835616438356</v>
      </c>
      <c r="AE85" s="74">
        <f t="shared" si="1"/>
        <v>1.643835616438356</v>
      </c>
      <c r="AF85" s="74">
        <f t="shared" si="2"/>
        <v>0</v>
      </c>
      <c r="AG85" s="75">
        <f t="shared" si="3"/>
        <v>-50</v>
      </c>
      <c r="AH85" s="75">
        <f t="shared" si="4"/>
        <v>-50</v>
      </c>
    </row>
    <row r="86" spans="1:12" s="1" customFormat="1" ht="15" customHeight="1">
      <c r="A86" s="33"/>
      <c r="B86" s="62" t="s">
        <v>101</v>
      </c>
      <c r="C86" s="85">
        <v>290</v>
      </c>
      <c r="D86" s="63">
        <v>225</v>
      </c>
      <c r="E86" s="63">
        <v>150</v>
      </c>
      <c r="F86" s="63"/>
      <c r="G86" s="86">
        <v>38993</v>
      </c>
      <c r="H86" s="92">
        <v>39050</v>
      </c>
      <c r="I86" s="66">
        <f t="shared" si="5"/>
        <v>57</v>
      </c>
      <c r="J86" s="93">
        <f>+D86-((I86-days)*AE78)</f>
        <v>159.45205479452056</v>
      </c>
      <c r="K86" s="79"/>
      <c r="L86" s="2"/>
    </row>
    <row r="87" spans="1:12" s="1" customFormat="1" ht="15" customHeight="1">
      <c r="A87" s="33"/>
      <c r="B87" s="62" t="s">
        <v>102</v>
      </c>
      <c r="C87" s="85">
        <v>45</v>
      </c>
      <c r="D87" s="63">
        <v>25</v>
      </c>
      <c r="E87" s="63"/>
      <c r="F87" s="63"/>
      <c r="G87" s="86">
        <v>39021</v>
      </c>
      <c r="H87" s="92">
        <v>39093</v>
      </c>
      <c r="I87" s="66">
        <f t="shared" si="5"/>
        <v>72</v>
      </c>
      <c r="J87" s="93">
        <v>1E-06</v>
      </c>
      <c r="K87" s="79"/>
      <c r="L87" s="2"/>
    </row>
    <row r="88" spans="1:12" s="1" customFormat="1" ht="15" customHeight="1">
      <c r="A88" s="33"/>
      <c r="B88" s="62" t="s">
        <v>103</v>
      </c>
      <c r="C88" s="85">
        <v>125</v>
      </c>
      <c r="D88" s="63">
        <v>100</v>
      </c>
      <c r="E88" s="63">
        <v>50</v>
      </c>
      <c r="F88" s="63"/>
      <c r="G88" s="86">
        <v>39049</v>
      </c>
      <c r="H88" s="92">
        <v>39127</v>
      </c>
      <c r="I88" s="66">
        <f t="shared" si="5"/>
        <v>78</v>
      </c>
      <c r="J88" s="93">
        <f>+E88-((I88-(2*days))*AF80)</f>
        <v>21.780821917808225</v>
      </c>
      <c r="K88" s="79"/>
      <c r="L88" s="2"/>
    </row>
    <row r="89" spans="1:12" s="1" customFormat="1" ht="15" customHeight="1">
      <c r="A89" s="33"/>
      <c r="B89" s="62" t="s">
        <v>104</v>
      </c>
      <c r="C89" s="85">
        <v>45</v>
      </c>
      <c r="D89" s="63">
        <v>25</v>
      </c>
      <c r="E89" s="63"/>
      <c r="F89" s="63"/>
      <c r="G89" s="86">
        <v>39080</v>
      </c>
      <c r="H89" s="92">
        <v>39161</v>
      </c>
      <c r="I89" s="66">
        <f t="shared" si="5"/>
        <v>81</v>
      </c>
      <c r="J89" s="93">
        <v>1E-06</v>
      </c>
      <c r="K89" s="79"/>
      <c r="L89" s="2"/>
    </row>
    <row r="90" spans="1:12" s="1" customFormat="1" ht="15" customHeight="1">
      <c r="A90" s="33"/>
      <c r="B90" s="62" t="s">
        <v>105</v>
      </c>
      <c r="C90" s="85">
        <v>45</v>
      </c>
      <c r="D90" s="63">
        <v>25</v>
      </c>
      <c r="E90" s="63"/>
      <c r="F90" s="63"/>
      <c r="G90" s="86">
        <v>39105</v>
      </c>
      <c r="H90" s="92">
        <v>39195</v>
      </c>
      <c r="I90" s="66">
        <f t="shared" si="5"/>
        <v>90</v>
      </c>
      <c r="J90" s="93">
        <v>1E-06</v>
      </c>
      <c r="K90" s="79"/>
      <c r="L90" s="2"/>
    </row>
    <row r="91" spans="1:12" s="1" customFormat="1" ht="15" customHeight="1">
      <c r="A91" s="33"/>
      <c r="B91" s="62" t="s">
        <v>106</v>
      </c>
      <c r="C91" s="85">
        <v>45</v>
      </c>
      <c r="D91" s="63">
        <v>25</v>
      </c>
      <c r="E91" s="63"/>
      <c r="F91" s="63"/>
      <c r="G91" s="86">
        <v>39133</v>
      </c>
      <c r="H91" s="92">
        <v>39227</v>
      </c>
      <c r="I91" s="66">
        <f t="shared" si="5"/>
        <v>94</v>
      </c>
      <c r="J91" s="93">
        <v>1E-06</v>
      </c>
      <c r="K91" s="79"/>
      <c r="L91" s="2"/>
    </row>
    <row r="92" spans="1:12" s="1" customFormat="1" ht="15" customHeight="1">
      <c r="A92" s="33"/>
      <c r="B92" s="62" t="s">
        <v>107</v>
      </c>
      <c r="C92" s="85">
        <v>45</v>
      </c>
      <c r="D92" s="63">
        <v>25</v>
      </c>
      <c r="E92" s="63"/>
      <c r="F92" s="63"/>
      <c r="G92" s="86">
        <v>39161</v>
      </c>
      <c r="H92" s="92">
        <v>39262</v>
      </c>
      <c r="I92" s="66">
        <f t="shared" si="5"/>
        <v>101</v>
      </c>
      <c r="J92" s="93">
        <v>1E-06</v>
      </c>
      <c r="K92" s="79"/>
      <c r="L92" s="2"/>
    </row>
    <row r="93" spans="1:12" s="1" customFormat="1" ht="15" customHeight="1">
      <c r="A93" s="33"/>
      <c r="B93" s="62" t="s">
        <v>108</v>
      </c>
      <c r="C93" s="85">
        <v>100</v>
      </c>
      <c r="D93" s="63">
        <v>50</v>
      </c>
      <c r="E93" s="63"/>
      <c r="F93" s="63"/>
      <c r="G93" s="86">
        <v>39189</v>
      </c>
      <c r="H93" s="92">
        <v>39297</v>
      </c>
      <c r="I93" s="66">
        <f t="shared" si="5"/>
        <v>108</v>
      </c>
      <c r="J93" s="93">
        <v>1E-06</v>
      </c>
      <c r="K93" s="79"/>
      <c r="L93" s="2"/>
    </row>
    <row r="94" spans="1:12" s="1" customFormat="1" ht="15" customHeight="1">
      <c r="A94" s="33"/>
      <c r="B94" s="62"/>
      <c r="C94" s="85">
        <f>SUM(C78:C93)</f>
        <v>1100</v>
      </c>
      <c r="D94" s="63"/>
      <c r="E94" s="63"/>
      <c r="F94" s="63"/>
      <c r="G94" s="87"/>
      <c r="H94" s="85"/>
      <c r="I94" s="67"/>
      <c r="J94" s="93"/>
      <c r="K94" s="65"/>
      <c r="L94" s="2"/>
    </row>
    <row r="95" spans="1:12" s="1" customFormat="1" ht="15" customHeight="1">
      <c r="A95" s="33"/>
      <c r="B95" s="62" t="s">
        <v>118</v>
      </c>
      <c r="C95" s="88">
        <v>146</v>
      </c>
      <c r="D95" s="64"/>
      <c r="E95" s="64"/>
      <c r="F95" s="64"/>
      <c r="G95" s="89"/>
      <c r="H95" s="94"/>
      <c r="I95" s="64"/>
      <c r="J95" s="95">
        <v>146</v>
      </c>
      <c r="K95" s="65"/>
      <c r="L95" s="2"/>
    </row>
    <row r="96" spans="1:37" s="1" customFormat="1" ht="15" customHeight="1">
      <c r="A96" s="33"/>
      <c r="B96" s="81"/>
      <c r="C96" s="97">
        <f>SUM(C94:C95)</f>
        <v>1246</v>
      </c>
      <c r="D96" s="90" t="s">
        <v>127</v>
      </c>
      <c r="E96" s="90"/>
      <c r="F96" s="90"/>
      <c r="G96" s="91"/>
      <c r="H96" s="96"/>
      <c r="I96" s="90"/>
      <c r="J96" s="126">
        <f>SUM(J78:J95)</f>
        <v>535.8767183287671</v>
      </c>
      <c r="K96" s="104"/>
      <c r="L96" s="2"/>
      <c r="AK96" s="80">
        <f>+C96-J96</f>
        <v>710.1232816712329</v>
      </c>
    </row>
    <row r="97" spans="1:12" s="1" customFormat="1" ht="15" customHeight="1">
      <c r="A97" s="33"/>
      <c r="B97" s="68"/>
      <c r="C97" s="64"/>
      <c r="D97" s="64"/>
      <c r="E97" s="64"/>
      <c r="F97" s="64"/>
      <c r="G97" s="64"/>
      <c r="I97" s="39" t="s">
        <v>139</v>
      </c>
      <c r="J97" s="129">
        <f>+C96-J96-300</f>
        <v>410.1232816712329</v>
      </c>
      <c r="K97" s="65"/>
      <c r="L97" s="2"/>
    </row>
    <row r="98" spans="1:12" s="1" customFormat="1" ht="15" customHeight="1" thickBot="1">
      <c r="A98" s="33"/>
      <c r="B98" s="112"/>
      <c r="C98" s="113"/>
      <c r="D98" s="113"/>
      <c r="E98" s="113"/>
      <c r="F98" s="113"/>
      <c r="G98" s="113"/>
      <c r="H98" s="113"/>
      <c r="I98" s="127" t="s">
        <v>140</v>
      </c>
      <c r="J98" s="128">
        <v>300</v>
      </c>
      <c r="K98" s="70"/>
      <c r="L98" s="2"/>
    </row>
    <row r="99" spans="1:16" s="1" customFormat="1" ht="15" customHeight="1">
      <c r="A99" s="33"/>
      <c r="M99"/>
      <c r="N99"/>
      <c r="O99"/>
      <c r="P99"/>
    </row>
    <row r="102" ht="15" customHeight="1">
      <c r="AJ102" s="64">
        <f>3*days</f>
        <v>91.25</v>
      </c>
    </row>
    <row r="104" spans="3:5" ht="15" customHeight="1">
      <c r="C104" s="68"/>
      <c r="D104" s="64" t="s">
        <v>114</v>
      </c>
      <c r="E104" s="69">
        <f>365/12</f>
        <v>30.416666666666668</v>
      </c>
    </row>
  </sheetData>
  <printOptions horizontalCentered="1" verticalCentered="1"/>
  <pageMargins left="0.35" right="0.49" top="0.34" bottom="0.23" header="0.23" footer="0.17"/>
  <pageSetup fitToHeight="1" fitToWidth="1" horizontalDpi="600" verticalDpi="600" orientation="landscape" r:id="rId4"/>
  <headerFooter alignWithMargins="0">
    <oddFooter>&amp;R&amp;F      &amp;A    &amp;D 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bsimmons</cp:lastModifiedBy>
  <cp:lastPrinted>2006-03-20T19:49:41Z</cp:lastPrinted>
  <dcterms:created xsi:type="dcterms:W3CDTF">2002-03-21T16:35:03Z</dcterms:created>
  <dcterms:modified xsi:type="dcterms:W3CDTF">2006-03-28T19:13:12Z</dcterms:modified>
  <cp:category/>
  <cp:version/>
  <cp:contentType/>
  <cp:contentStatus/>
</cp:coreProperties>
</file>