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65" windowHeight="11115" activeTab="2"/>
  </bookViews>
  <sheets>
    <sheet name="ECP-Estimate increases" sheetId="1" r:id="rId1"/>
    <sheet name="ECP-cost variances" sheetId="2" r:id="rId2"/>
    <sheet name="Job detail" sheetId="3" r:id="rId3"/>
  </sheets>
  <definedNames>
    <definedName name="_xlnm.Print_Area" localSheetId="1">'ECP-cost variances'!$A$4:$C$16</definedName>
    <definedName name="_xlnm.Print_Area" localSheetId="0">'ECP-Estimate increases'!$A$24:$C$50,'ECP-Estimate increases'!$A$55:$C$71</definedName>
    <definedName name="_xlnm.Print_Area" localSheetId="2">'Job detail'!$C$2:$M$101</definedName>
    <definedName name="_xlnm.Print_Titles" localSheetId="0">'ECP-Estimate increases'!$21:$23</definedName>
    <definedName name="_xlnm.Print_Titles" localSheetId="2">'Job detail'!$1:$1</definedName>
  </definedNames>
  <calcPr fullCalcOnLoad="1"/>
</workbook>
</file>

<file path=xl/sharedStrings.xml><?xml version="1.0" encoding="utf-8"?>
<sst xmlns="http://schemas.openxmlformats.org/spreadsheetml/2006/main" count="158" uniqueCount="143">
  <si>
    <t>Job: 1201 - Vacuum Vessel  Prelim Dsn-**CLOSED**</t>
  </si>
  <si>
    <t>Job: 1202 - Vacuum Vessel R&amp;D</t>
  </si>
  <si>
    <t xml:space="preserve">Job: 1206 - VV Field Weld Joint R&amp;D-**CLOSED**  </t>
  </si>
  <si>
    <t xml:space="preserve">Job:1204-VV Sys Procurements (non VVSA)-DUDEK   </t>
  </si>
  <si>
    <t xml:space="preserve">Job: 1301 - TF Design-KALISH**CLOSED**          </t>
  </si>
  <si>
    <t>Job: 1350 TF Coil Fab Prep-CHRZANOWSKI**CLOSED**</t>
  </si>
  <si>
    <t xml:space="preserve">Job: 1351 - TF Coil Fabr Supplies-KALISH        </t>
  </si>
  <si>
    <t xml:space="preserve">Job: 1361 -  TF Fabrication-KALISH              </t>
  </si>
  <si>
    <t xml:space="preserve">Job: 1302 - PF  Design -KALISH                  </t>
  </si>
  <si>
    <t xml:space="preserve">Job: 1352 - PF Coil Procurement-KALISH          </t>
  </si>
  <si>
    <t>Job: 1354 - Trim Coil Design &amp;Procurement-KALISH</t>
  </si>
  <si>
    <t>Job: 1303 -Central Solenoid Support Dsn-DAHLGREN</t>
  </si>
  <si>
    <t>Job: 1355 - WBS 13 I&amp;C Proc &amp;</t>
  </si>
  <si>
    <t xml:space="preserve">Job: 1401 - Mod Coil  Prel.Dsn**CLOSED**        </t>
  </si>
  <si>
    <t xml:space="preserve">Job: 1402 - Mod.Coil Analyses**CLOSED**         </t>
  </si>
  <si>
    <t xml:space="preserve">Job:1404-MCWF R&amp;D &amp; 1st Prod Casting**CLOSED**  </t>
  </si>
  <si>
    <t xml:space="preserve">Job: 1413 -MCWF Fracture Analysis-**CLOSED**    </t>
  </si>
  <si>
    <t xml:space="preserve">Job: 1405-Mod Coil Winding R&amp;D Prep-**CLOSED**  </t>
  </si>
  <si>
    <t xml:space="preserve">Job: 1407 -Mod Coil Winding Facility-**CLOSED** </t>
  </si>
  <si>
    <t>Job: 1412 - Complete Winding Facilities-*CLOSED*</t>
  </si>
  <si>
    <t>Job: 1406 - Mod. Coil Winding</t>
  </si>
  <si>
    <t xml:space="preserve">Job: 1410 MC Twisted Racetrack Fabr-**CLOSED**  </t>
  </si>
  <si>
    <t>Job: 1409 - Coil Test Stand-GETTELFINGER*CLOSED*</t>
  </si>
  <si>
    <t xml:space="preserve">Job: 1414 Coil Testing-Gettelfinger**CLOSED**   </t>
  </si>
  <si>
    <t>Job: 1415 Dim Cntrl Testing-RAFTOPOLOUS*CLOSED**</t>
  </si>
  <si>
    <t xml:space="preserve">Job: 1419-Winding Fac. Mods-CHRZANOWSKI*CLOSED* </t>
  </si>
  <si>
    <t>Job: 1403 - Modular Coil Final Design-WILLIAMSON</t>
  </si>
  <si>
    <t>Job: 1416-Mod Coil Type A&amp;B Final Dsn-WILLIAMSON</t>
  </si>
  <si>
    <t xml:space="preserve">Job:1408-Mod Coil Winding Supplies-CHRZANOWSKI  </t>
  </si>
  <si>
    <t>Job: 1411-MCWF Fabrication S005242-HEITZENROEDER</t>
  </si>
  <si>
    <t xml:space="preserve">Job:1460  3rd Winding Fixture-CHRZANOWSKI       </t>
  </si>
  <si>
    <t xml:space="preserve">Job: 1451 - Mod Coil Winding-CHRZANOWSKI        </t>
  </si>
  <si>
    <t xml:space="preserve">Job: 1421-Mod Coil Interface Design-WILLIAMSON  </t>
  </si>
  <si>
    <t xml:space="preserve">Job: 1431 - Mod. Coil Interface Hardware-DUDEK  </t>
  </si>
  <si>
    <t xml:space="preserve">Job: 1804-Metrology Hardware-RAFTOPOULOS        </t>
  </si>
  <si>
    <t>Job: 1801-Field Period Assly -CHRZANOWSKI (ORNL)</t>
  </si>
  <si>
    <t xml:space="preserve">Job: 1803- FP Assy Toolg/Constructability-BROWN </t>
  </si>
  <si>
    <t xml:space="preserve">Job: 1802 - FP Assy Oversight&amp;Support-VIOLA     </t>
  </si>
  <si>
    <t xml:space="preserve">Job:1810 - Field Period Assembly-VIOLA          </t>
  </si>
  <si>
    <t xml:space="preserve">Job: 1601 - Coil Services  Design-WILLIAMSON    </t>
  </si>
  <si>
    <t>Job:1701-Cryost&amp;Base Sprt Strct Dsn-GETTLEFINGER</t>
  </si>
  <si>
    <t xml:space="preserve">Job: 1751 - Cryostat Procurement                </t>
  </si>
  <si>
    <t xml:space="preserve">Job: 1752 - Base Support Structure Procurement  </t>
  </si>
  <si>
    <t>Job: 1901 - Stellarator Core Mngtt&amp;Integr-NELSON</t>
  </si>
  <si>
    <t xml:space="preserve">Job: 2001-VPS Gas&amp; Cond Sys Oversight-BLANCHARD </t>
  </si>
  <si>
    <t>Job: 2101 - Fueling Systems</t>
  </si>
  <si>
    <t xml:space="preserve">Job: 2201 - Vacuum Pumping Systems              </t>
  </si>
  <si>
    <t>Job: 2501 - Neutral Beam Refurbishment-STEVENSON</t>
  </si>
  <si>
    <t xml:space="preserve">Job: 3101 Magnetic Diagnostics                  </t>
  </si>
  <si>
    <t>Job: 3601 - Edge and Divertor</t>
  </si>
  <si>
    <t xml:space="preserve">Job: 3801 - Electron Beam Mapping               </t>
  </si>
  <si>
    <t xml:space="preserve">Job: 3901 - Diagnostics sys Integration-JOHNSON </t>
  </si>
  <si>
    <t xml:space="preserve">Job: 4101 - AC Power-RAMAKRISHNAN               </t>
  </si>
  <si>
    <t xml:space="preserve">Job: 4301 - DC Systems-RAMAKRISHNAN             </t>
  </si>
  <si>
    <t xml:space="preserve">Job: 4401 - Control &amp; Protection-RAMAKRISHNAN   </t>
  </si>
  <si>
    <t xml:space="preserve">Job: 4501 - Power Sys Dsn &amp; Integr-RAMAKRISHNAN </t>
  </si>
  <si>
    <t xml:space="preserve">Job: 4601 - FCPC Bldg Mods-RAMAKRISHNAN         </t>
  </si>
  <si>
    <t xml:space="preserve">Job: 5101 - TCP/IP Infrastructure Systems       </t>
  </si>
  <si>
    <t>5201 - I&amp;C Systems</t>
  </si>
  <si>
    <t>5301 - Data Acquisition</t>
  </si>
  <si>
    <t>Job: 5401 - Facility Timing &amp;</t>
  </si>
  <si>
    <t xml:space="preserve">5501 - Real Time Control System                 </t>
  </si>
  <si>
    <t xml:space="preserve">Job: 5601 - Central Safety Interlock Systems    </t>
  </si>
  <si>
    <t>Job: 5801 -Central I&amp;C Integr</t>
  </si>
  <si>
    <t>Job:6101 - Water Systems</t>
  </si>
  <si>
    <t xml:space="preserve">Job: 6163 - Facility Systems Support FY04       </t>
  </si>
  <si>
    <t>Job: 6201 - Cryogenic Systems</t>
  </si>
  <si>
    <t>Job: 6301 - Utility Systems</t>
  </si>
  <si>
    <t xml:space="preserve">Job: 6501 - Facility Systems Integration-DUDEK  </t>
  </si>
  <si>
    <t>Job: 7101 - Shield Wall Modif</t>
  </si>
  <si>
    <t>Job: 7301 - Platform Design &amp;</t>
  </si>
  <si>
    <t xml:space="preserve">Job: 7401 - TC Prep &amp; Mach Assy Planning-PERRY  </t>
  </si>
  <si>
    <t xml:space="preserve">7501 - Construction Support Crew                </t>
  </si>
  <si>
    <t>7503 - Machine Assembly</t>
  </si>
  <si>
    <t xml:space="preserve">Job: 7601 - Tooling Design &amp; Fabrication        </t>
  </si>
  <si>
    <t>Job: 8101 - Project Management &amp; Control-NEILSON</t>
  </si>
  <si>
    <t xml:space="preserve">Job: 8102 - NCSX MIE Management ORNL-LYON       </t>
  </si>
  <si>
    <t>Job: 8202 - Engr Mgmt &amp; Sys Eng Support-REIERSEN</t>
  </si>
  <si>
    <t xml:space="preserve">Job: 8203 - Design Integration-BROWN            </t>
  </si>
  <si>
    <t xml:space="preserve">Job: 8204 - Systems Analysis-BROOKS             </t>
  </si>
  <si>
    <t xml:space="preserve">Job: 8205 - Dimensional Control Coordination    </t>
  </si>
  <si>
    <t xml:space="preserve">Job: 8401 - Project Physcis-ZARNSTORFF          </t>
  </si>
  <si>
    <t xml:space="preserve">Job: 8402 - Project Physics MIE ORNL-LYON       </t>
  </si>
  <si>
    <t xml:space="preserve">Job: 8501 - Integrated Systems Testing          </t>
  </si>
  <si>
    <t>Job: 8998 - Allocations</t>
  </si>
  <si>
    <t>FY2003</t>
  </si>
  <si>
    <t>FY2004</t>
  </si>
  <si>
    <t>FY2005</t>
  </si>
  <si>
    <t>FY2006</t>
  </si>
  <si>
    <t>FY2007</t>
  </si>
  <si>
    <t>FY2008</t>
  </si>
  <si>
    <t>FY2009</t>
  </si>
  <si>
    <t>dcma</t>
  </si>
  <si>
    <t>ECP-50</t>
  </si>
  <si>
    <t>delta</t>
  </si>
  <si>
    <t>Job: 1805 -FP Assy H/W&amp;Fixture</t>
  </si>
  <si>
    <t>Jpb: 1806 - FP Assembly specs &amp; dwgs</t>
  </si>
  <si>
    <t>WBS</t>
  </si>
  <si>
    <t>Contingency</t>
  </si>
  <si>
    <t>bcws</t>
  </si>
  <si>
    <t>p</t>
  </si>
  <si>
    <t xml:space="preserve">Job: 1353 - CS Structure Procurement-DAHLGREN   </t>
  </si>
  <si>
    <t>Job: 1459 - Mod Coil Fabr.Punch List-CHRZANOWSKI</t>
  </si>
  <si>
    <t xml:space="preserve">Job: 1501 - Coil Structures  Design- DAHLGREN   </t>
  </si>
  <si>
    <t>Job:1550 - Coil Structures Procurement -DAHLGREN</t>
  </si>
  <si>
    <t>Estimate updates</t>
  </si>
  <si>
    <t>Cost increment</t>
  </si>
  <si>
    <t>Description</t>
  </si>
  <si>
    <t>misc replanning and estimating</t>
  </si>
  <si>
    <t>vac vessel hardware cost for cooling tube clamps and saddles. (Job1204)</t>
  </si>
  <si>
    <t>Ancillary mod coil hardware designs (ie shear plate test and design, clamp modifications, fiber optic strain gage qualification. (Job 1403 &amp; 1416)</t>
  </si>
  <si>
    <t>Modified clamp hardware, strain gages, data acquisition controllers, and thermocouples. (Job 1408)</t>
  </si>
  <si>
    <t>Additional MCWF vendor incentives consistent with EIO's faster delivery rate. Increase ORNL title III. (Job 1411)</t>
  </si>
  <si>
    <t>3rd winding fixture (Job 1460)</t>
  </si>
  <si>
    <t>Modular coil winding operations including ORNL Title III ($22), fully fund estimates through February ($73), and additional punch list task for coil completion ($234). (Job 1451 &amp; 1459)</t>
  </si>
  <si>
    <t>Modular coil interface design tasks. Test bladder concept and design, bolt reaming concept and design, shear plate/shim testing and design, insulation over wings, and 3 point positioning H/W test and design. (Job 1421)</t>
  </si>
  <si>
    <t>Field period assembly specifications and assembly drawings. (Job 1806)</t>
  </si>
  <si>
    <t>Reduced coil structure procurement oversight. (Job 1550)</t>
  </si>
  <si>
    <t>Increased general diagnostic integration support req'd in FY07</t>
  </si>
  <si>
    <t>Re-estimated cryostat design and procurement based upon simpler design concept. (Job 1701 &amp; 1751</t>
  </si>
  <si>
    <t>Reduced health physics req'd coverage (-$80), reduced metrology supervision support (-$45). Increased cost for field period fixture installation ($27) and ORNL title III during assembly ($193). (Job1802)</t>
  </si>
  <si>
    <t>increased station 1,2&amp;3 estimates including pre-fit of modular coils. (Job 1810)</t>
  </si>
  <si>
    <t>Reduced LOE support of general stellarator core management. Re-allocated to WBS 14 and 18.</t>
  </si>
  <si>
    <t>Reduced support crew coverage and supervision as a result of tightening the final machine assembly schedule. (Job 7401 &amp; 7501)</t>
  </si>
  <si>
    <t>misc replanning and estimating (Job 7503)</t>
  </si>
  <si>
    <t>Re-estiamted req'd engineering management &amp; system engineering support (Job 8202)</t>
  </si>
  <si>
    <t>Re-estimated Design integration,system analysis and dimensional control coordination. (Jobs 8203, 8204, &amp; 8205)</t>
  </si>
  <si>
    <t>Unrecoverable Cost Variances</t>
  </si>
  <si>
    <t>ECP-52</t>
  </si>
  <si>
    <t>JOB</t>
  </si>
  <si>
    <t>FY06 CV plus future Contingency</t>
  </si>
  <si>
    <t>Job: 1203 - Vacuum Vessel Final Dsn-**CLOSED**</t>
  </si>
  <si>
    <t xml:space="preserve">Job: 1250 - Vacuum Vessel Fabrication--**CLOSED**    </t>
  </si>
  <si>
    <t>BCWR =</t>
  </si>
  <si>
    <t>Free balance contingency =</t>
  </si>
  <si>
    <t>TF coil final design completed. Job 1301 closed.</t>
  </si>
  <si>
    <t>Vacuum vessel final design complete. Job 1203 closed</t>
  </si>
  <si>
    <t>Health physics oversight of fabrication activities in the TFTR test cell. Required coverage higher than planned.</t>
  </si>
  <si>
    <t>Project management and engineering management and integration LOE support during FY06.Major increases seen in systems engineering to support integrated modeling and analysis.</t>
  </si>
  <si>
    <t>Vacuum vessel sectors delivered on schedule. Work scope completed. Cost overrun attributed to dispositioning NCR's and resolving fabrication issues. (Job 1250 closed)</t>
  </si>
  <si>
    <t>VVSA final assy dwgs moved to WBS 18.</t>
  </si>
  <si>
    <t>bcwr</t>
  </si>
  <si>
    <t>Field period assembly fixture design  and fabrication . (Job1803 &amp; 1805)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</si>
</sst>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&quot;$&quot;#,##0.00"/>
    <numFmt numFmtId="168" formatCode="&quot;$&quot;#,##0.0"/>
    <numFmt numFmtId="169" formatCode="&quot;$&quot;#,##0"/>
    <numFmt numFmtId="170" formatCode="0.0"/>
    <numFmt numFmtId="171" formatCode="0.000%"/>
  </numFmts>
  <fonts count="1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b/>
      <u val="single"/>
      <sz val="16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u val="single"/>
      <sz val="11"/>
      <name val="Arial"/>
      <family val="2"/>
    </font>
    <font>
      <b/>
      <sz val="11"/>
      <color indexed="10"/>
      <name val="Arial"/>
      <family val="2"/>
    </font>
    <font>
      <b/>
      <sz val="11"/>
      <color indexed="12"/>
      <name val="Arial"/>
      <family val="2"/>
    </font>
    <font>
      <b/>
      <i/>
      <u val="single"/>
      <sz val="11"/>
      <name val="Arial"/>
      <family val="2"/>
    </font>
    <font>
      <i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169" fontId="0" fillId="0" borderId="0" xfId="0" applyNumberFormat="1" applyAlignment="1">
      <alignment vertical="top"/>
    </xf>
    <xf numFmtId="169" fontId="2" fillId="0" borderId="0" xfId="0" applyNumberFormat="1" applyFont="1" applyAlignment="1">
      <alignment vertical="top"/>
    </xf>
    <xf numFmtId="169" fontId="4" fillId="0" borderId="0" xfId="0" applyNumberFormat="1" applyFont="1" applyAlignment="1">
      <alignment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 vertical="top"/>
    </xf>
    <xf numFmtId="169" fontId="5" fillId="0" borderId="0" xfId="0" applyNumberFormat="1" applyFont="1" applyAlignment="1">
      <alignment vertical="top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/>
    </xf>
    <xf numFmtId="169" fontId="0" fillId="0" borderId="1" xfId="0" applyNumberFormat="1" applyBorder="1" applyAlignment="1">
      <alignment vertical="top"/>
    </xf>
    <xf numFmtId="169" fontId="2" fillId="0" borderId="0" xfId="0" applyNumberFormat="1" applyFont="1" applyBorder="1" applyAlignment="1">
      <alignment vertical="top"/>
    </xf>
    <xf numFmtId="0" fontId="3" fillId="0" borderId="0" xfId="0" applyFont="1" applyAlignment="1">
      <alignment vertical="top"/>
    </xf>
    <xf numFmtId="169" fontId="5" fillId="0" borderId="0" xfId="0" applyNumberFormat="1" applyFont="1" applyAlignment="1">
      <alignment vertical="top" wrapText="1"/>
    </xf>
    <xf numFmtId="0" fontId="6" fillId="0" borderId="0" xfId="0" applyFont="1" applyAlignment="1">
      <alignment vertical="top"/>
    </xf>
    <xf numFmtId="169" fontId="7" fillId="0" borderId="0" xfId="0" applyNumberFormat="1" applyFont="1" applyAlignment="1">
      <alignment vertical="top"/>
    </xf>
    <xf numFmtId="169" fontId="2" fillId="0" borderId="2" xfId="0" applyNumberFormat="1" applyFont="1" applyBorder="1" applyAlignment="1">
      <alignment vertical="top"/>
    </xf>
    <xf numFmtId="169" fontId="0" fillId="0" borderId="0" xfId="0" applyNumberFormat="1" applyAlignment="1">
      <alignment horizontal="center" vertical="top"/>
    </xf>
    <xf numFmtId="0" fontId="8" fillId="0" borderId="0" xfId="0" applyFont="1" applyFill="1" applyAlignment="1">
      <alignment/>
    </xf>
    <xf numFmtId="170" fontId="8" fillId="0" borderId="0" xfId="0" applyNumberFormat="1" applyFont="1" applyFill="1" applyAlignment="1">
      <alignment/>
    </xf>
    <xf numFmtId="165" fontId="8" fillId="0" borderId="0" xfId="15" applyNumberFormat="1" applyFont="1" applyFill="1" applyAlignment="1">
      <alignment/>
    </xf>
    <xf numFmtId="0" fontId="9" fillId="0" borderId="0" xfId="0" applyFont="1" applyFill="1" applyAlignment="1">
      <alignment/>
    </xf>
    <xf numFmtId="165" fontId="10" fillId="0" borderId="0" xfId="15" applyNumberFormat="1" applyFont="1" applyFill="1" applyAlignment="1">
      <alignment/>
    </xf>
    <xf numFmtId="165" fontId="11" fillId="0" borderId="0" xfId="15" applyNumberFormat="1" applyFont="1" applyFill="1" applyAlignment="1">
      <alignment/>
    </xf>
    <xf numFmtId="10" fontId="10" fillId="0" borderId="0" xfId="21" applyNumberFormat="1" applyFont="1" applyFill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164" fontId="8" fillId="0" borderId="0" xfId="15" applyNumberFormat="1" applyFont="1" applyFill="1" applyAlignment="1">
      <alignment/>
    </xf>
    <xf numFmtId="164" fontId="13" fillId="0" borderId="0" xfId="15" applyNumberFormat="1" applyFont="1" applyFill="1" applyAlignment="1">
      <alignment/>
    </xf>
    <xf numFmtId="165" fontId="8" fillId="0" borderId="0" xfId="15" applyNumberFormat="1" applyFont="1" applyFill="1" applyAlignment="1">
      <alignment horizontal="right"/>
    </xf>
    <xf numFmtId="169" fontId="0" fillId="0" borderId="1" xfId="0" applyNumberForma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Font="1" applyAlignment="1">
      <alignment horizontal="center" vertical="top"/>
    </xf>
    <xf numFmtId="0" fontId="16" fillId="0" borderId="0" xfId="0" applyFont="1" applyFill="1" applyAlignment="1">
      <alignment/>
    </xf>
    <xf numFmtId="1" fontId="8" fillId="0" borderId="0" xfId="15" applyNumberFormat="1" applyFont="1" applyFill="1" applyAlignment="1">
      <alignment/>
    </xf>
    <xf numFmtId="1" fontId="13" fillId="0" borderId="0" xfId="15" applyNumberFormat="1" applyFont="1" applyFill="1" applyAlignment="1">
      <alignment/>
    </xf>
    <xf numFmtId="1" fontId="8" fillId="0" borderId="0" xfId="0" applyNumberFormat="1" applyFont="1" applyFill="1" applyAlignment="1">
      <alignment/>
    </xf>
    <xf numFmtId="1" fontId="16" fillId="0" borderId="0" xfId="0" applyNumberFormat="1" applyFont="1" applyFill="1" applyAlignment="1">
      <alignment/>
    </xf>
    <xf numFmtId="0" fontId="8" fillId="2" borderId="0" xfId="0" applyFont="1" applyFill="1" applyAlignment="1">
      <alignment/>
    </xf>
    <xf numFmtId="1" fontId="0" fillId="0" borderId="0" xfId="0" applyNumberFormat="1" applyAlignment="1">
      <alignment/>
    </xf>
    <xf numFmtId="0" fontId="0" fillId="3" borderId="0" xfId="0" applyFill="1" applyAlignment="1">
      <alignment/>
    </xf>
    <xf numFmtId="1" fontId="8" fillId="3" borderId="0" xfId="0" applyNumberFormat="1" applyFont="1" applyFill="1" applyAlignment="1">
      <alignment/>
    </xf>
    <xf numFmtId="165" fontId="8" fillId="3" borderId="0" xfId="15" applyNumberFormat="1" applyFont="1" applyFill="1" applyAlignment="1">
      <alignment/>
    </xf>
    <xf numFmtId="0" fontId="6" fillId="0" borderId="0" xfId="0" applyFont="1" applyFill="1" applyAlignment="1">
      <alignment vertical="top"/>
    </xf>
    <xf numFmtId="169" fontId="5" fillId="0" borderId="0" xfId="0" applyNumberFormat="1" applyFont="1" applyFill="1" applyAlignment="1">
      <alignment vertical="top"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vertical="top"/>
    </xf>
    <xf numFmtId="169" fontId="4" fillId="0" borderId="0" xfId="0" applyNumberFormat="1" applyFont="1" applyFill="1" applyAlignment="1">
      <alignment vertical="top"/>
    </xf>
    <xf numFmtId="0" fontId="4" fillId="0" borderId="0" xfId="0" applyFont="1" applyFill="1" applyAlignment="1">
      <alignment horizontal="left" vertical="top" wrapText="1"/>
    </xf>
    <xf numFmtId="169" fontId="5" fillId="0" borderId="0" xfId="0" applyNumberFormat="1" applyFont="1" applyFill="1" applyAlignment="1">
      <alignment vertical="top" wrapText="1"/>
    </xf>
    <xf numFmtId="0" fontId="3" fillId="0" borderId="0" xfId="0" applyFont="1" applyFill="1" applyAlignment="1">
      <alignment vertical="top"/>
    </xf>
    <xf numFmtId="169" fontId="0" fillId="0" borderId="0" xfId="0" applyNumberFormat="1" applyFill="1" applyAlignment="1">
      <alignment vertical="top"/>
    </xf>
    <xf numFmtId="0" fontId="0" fillId="0" borderId="0" xfId="0" applyFill="1" applyAlignment="1">
      <alignment horizontal="left" vertical="top" wrapText="1"/>
    </xf>
    <xf numFmtId="169" fontId="0" fillId="0" borderId="1" xfId="0" applyNumberFormat="1" applyFont="1" applyFill="1" applyBorder="1" applyAlignment="1">
      <alignment vertical="top"/>
    </xf>
    <xf numFmtId="169" fontId="2" fillId="0" borderId="0" xfId="0" applyNumberFormat="1" applyFont="1" applyFill="1" applyAlignment="1">
      <alignment vertical="top"/>
    </xf>
    <xf numFmtId="169" fontId="0" fillId="0" borderId="1" xfId="0" applyNumberFormat="1" applyFill="1" applyBorder="1" applyAlignment="1">
      <alignment vertical="top"/>
    </xf>
    <xf numFmtId="1" fontId="0" fillId="0" borderId="0" xfId="0" applyNumberFormat="1" applyAlignment="1">
      <alignment horizontal="left" vertical="top" wrapText="1"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1:C73"/>
  <sheetViews>
    <sheetView workbookViewId="0" topLeftCell="A46">
      <selection activeCell="A52" sqref="A52:C71"/>
    </sheetView>
  </sheetViews>
  <sheetFormatPr defaultColWidth="9.140625" defaultRowHeight="12.75"/>
  <cols>
    <col min="1" max="1" width="8.421875" style="15" customWidth="1"/>
    <col min="2" max="2" width="12.28125" style="4" customWidth="1"/>
    <col min="3" max="3" width="79.8515625" style="2" customWidth="1"/>
  </cols>
  <sheetData>
    <row r="21" spans="1:3" s="12" customFormat="1" ht="20.25">
      <c r="A21" s="46" t="s">
        <v>105</v>
      </c>
      <c r="B21" s="47"/>
      <c r="C21" s="48"/>
    </row>
    <row r="22" spans="1:3" s="8" customFormat="1" ht="6.75" customHeight="1">
      <c r="A22" s="49"/>
      <c r="B22" s="50"/>
      <c r="C22" s="51"/>
    </row>
    <row r="23" spans="1:3" s="8" customFormat="1" ht="28.5" customHeight="1">
      <c r="A23" s="49" t="s">
        <v>97</v>
      </c>
      <c r="B23" s="52" t="s">
        <v>106</v>
      </c>
      <c r="C23" s="48" t="s">
        <v>107</v>
      </c>
    </row>
    <row r="24" spans="1:3" ht="15.75">
      <c r="A24" s="53">
        <v>12</v>
      </c>
      <c r="B24" s="54">
        <f>SUM('Job detail'!$M$6)</f>
        <v>81.70000000000005</v>
      </c>
      <c r="C24" s="55" t="s">
        <v>109</v>
      </c>
    </row>
    <row r="25" spans="1:3" ht="15.75">
      <c r="A25" s="53"/>
      <c r="B25" s="56">
        <f>SUM('Job detail'!M2:M5)+30</f>
        <v>-22.40000000000009</v>
      </c>
      <c r="C25" s="55" t="s">
        <v>140</v>
      </c>
    </row>
    <row r="26" spans="1:3" ht="15.75">
      <c r="A26" s="53"/>
      <c r="B26" s="57">
        <f>SUM(B24:B25)</f>
        <v>59.299999999999955</v>
      </c>
      <c r="C26" s="55"/>
    </row>
    <row r="27" spans="1:3" ht="6.75" customHeight="1">
      <c r="A27" s="53"/>
      <c r="B27" s="54"/>
      <c r="C27" s="55"/>
    </row>
    <row r="28" spans="1:3" ht="15.75">
      <c r="A28" s="53">
        <v>13</v>
      </c>
      <c r="B28" s="57">
        <f>SUM('Job detail'!M8:M17)-32+1</f>
        <v>-22.09999999999995</v>
      </c>
      <c r="C28" s="55" t="s">
        <v>108</v>
      </c>
    </row>
    <row r="29" spans="1:3" ht="6.75" customHeight="1">
      <c r="A29" s="53"/>
      <c r="B29" s="57"/>
      <c r="C29" s="55"/>
    </row>
    <row r="30" spans="1:3" ht="25.5">
      <c r="A30" s="53">
        <v>14</v>
      </c>
      <c r="B30" s="54">
        <f>SUM('Job detail'!M31:M32)</f>
        <v>53.599999999999966</v>
      </c>
      <c r="C30" s="55" t="s">
        <v>110</v>
      </c>
    </row>
    <row r="31" spans="1:3" ht="25.5">
      <c r="A31" s="53"/>
      <c r="B31" s="54">
        <f>SUM('Job detail'!M33)</f>
        <v>88.10000000000036</v>
      </c>
      <c r="C31" s="55" t="s">
        <v>111</v>
      </c>
    </row>
    <row r="32" spans="1:3" ht="25.5">
      <c r="A32" s="53"/>
      <c r="B32" s="54">
        <f>SUM('Job detail'!M34)</f>
        <v>258.8000000000011</v>
      </c>
      <c r="C32" s="55" t="s">
        <v>112</v>
      </c>
    </row>
    <row r="33" spans="1:3" ht="15.75">
      <c r="A33" s="53"/>
      <c r="B33" s="54">
        <f>SUM('Job detail'!M35)</f>
        <v>63.1</v>
      </c>
      <c r="C33" s="55" t="s">
        <v>113</v>
      </c>
    </row>
    <row r="34" spans="1:3" ht="25.5">
      <c r="A34" s="53"/>
      <c r="B34" s="54">
        <f>SUM('Job detail'!M36)</f>
        <v>329.10000000000036</v>
      </c>
      <c r="C34" s="55" t="s">
        <v>114</v>
      </c>
    </row>
    <row r="35" spans="1:3" ht="38.25">
      <c r="A35" s="53"/>
      <c r="B35" s="56">
        <f>SUM('Job detail'!M38:M39)</f>
        <v>161.9000000000001</v>
      </c>
      <c r="C35" s="55" t="s">
        <v>115</v>
      </c>
    </row>
    <row r="36" spans="1:3" ht="15.75">
      <c r="A36" s="53"/>
      <c r="B36" s="57">
        <f>SUM(B30:B35)</f>
        <v>954.600000000002</v>
      </c>
      <c r="C36" s="55"/>
    </row>
    <row r="37" spans="1:3" ht="6.75" customHeight="1">
      <c r="A37" s="53"/>
      <c r="B37" s="57"/>
      <c r="C37" s="55"/>
    </row>
    <row r="38" spans="1:3" ht="15.75">
      <c r="A38" s="53">
        <v>15</v>
      </c>
      <c r="B38" s="57">
        <f>SUM('Job detail'!M48:M49)</f>
        <v>-42.10000000000011</v>
      </c>
      <c r="C38" s="55" t="s">
        <v>117</v>
      </c>
    </row>
    <row r="39" spans="1:3" ht="6.75" customHeight="1">
      <c r="A39" s="53"/>
      <c r="B39" s="57"/>
      <c r="C39" s="55"/>
    </row>
    <row r="40" spans="1:3" ht="15.75">
      <c r="A40" s="53">
        <v>16</v>
      </c>
      <c r="B40" s="57">
        <f>SUM('Job detail'!M50)+0.4</f>
        <v>11.200000000000182</v>
      </c>
      <c r="C40" s="55" t="s">
        <v>108</v>
      </c>
    </row>
    <row r="41" spans="1:3" ht="6.75" customHeight="1">
      <c r="A41" s="53"/>
      <c r="B41" s="57"/>
      <c r="C41" s="55"/>
    </row>
    <row r="42" spans="1:3" ht="25.5">
      <c r="A42" s="53">
        <v>17</v>
      </c>
      <c r="B42" s="57">
        <f>SUM('Job detail'!M51:M52)</f>
        <v>-287.8</v>
      </c>
      <c r="C42" s="55" t="s">
        <v>119</v>
      </c>
    </row>
    <row r="43" spans="1:3" ht="15.75">
      <c r="A43" s="53"/>
      <c r="B43" s="54"/>
      <c r="C43" s="55"/>
    </row>
    <row r="44" spans="1:3" ht="15.75">
      <c r="A44" s="53">
        <v>18</v>
      </c>
      <c r="B44" s="54">
        <f>SUM('Job detail'!M42,'Job detail'!M43)</f>
        <v>7.999999999999716</v>
      </c>
      <c r="C44" s="55" t="s">
        <v>142</v>
      </c>
    </row>
    <row r="45" spans="1:3" ht="15.75">
      <c r="A45" s="53"/>
      <c r="B45" s="54">
        <f>SUM('Job detail'!M44)</f>
        <v>315.2</v>
      </c>
      <c r="C45" s="55" t="s">
        <v>116</v>
      </c>
    </row>
    <row r="46" spans="1:3" ht="38.25">
      <c r="A46" s="53"/>
      <c r="B46" s="54">
        <f>SUM('Job detail'!M45)-12</f>
        <v>94.90000000000009</v>
      </c>
      <c r="C46" s="55" t="s">
        <v>120</v>
      </c>
    </row>
    <row r="47" spans="1:3" ht="15.75">
      <c r="A47" s="53"/>
      <c r="B47" s="58">
        <f>SUM('Job detail'!M46)</f>
        <v>227.20000000000027</v>
      </c>
      <c r="C47" s="55" t="s">
        <v>121</v>
      </c>
    </row>
    <row r="48" spans="1:3" ht="15.75">
      <c r="A48" s="53"/>
      <c r="B48" s="57">
        <f>SUM(B44:B47)</f>
        <v>645.3000000000001</v>
      </c>
      <c r="C48" s="55"/>
    </row>
    <row r="49" spans="1:3" ht="5.25" customHeight="1">
      <c r="A49" s="53"/>
      <c r="B49" s="54"/>
      <c r="C49" s="55"/>
    </row>
    <row r="50" spans="1:3" ht="25.5">
      <c r="A50" s="53">
        <v>19</v>
      </c>
      <c r="B50" s="57">
        <f>SUM('Job detail'!M54)</f>
        <v>-151.10000000000036</v>
      </c>
      <c r="C50" s="55" t="s">
        <v>122</v>
      </c>
    </row>
    <row r="51" ht="15.75">
      <c r="B51" s="5"/>
    </row>
    <row r="52" spans="1:3" ht="20.25">
      <c r="A52" s="17" t="s">
        <v>105</v>
      </c>
      <c r="B52" s="10"/>
      <c r="C52" s="11"/>
    </row>
    <row r="53" spans="1:3" ht="15.75">
      <c r="A53" s="9"/>
      <c r="B53" s="6"/>
      <c r="C53" s="7"/>
    </row>
    <row r="54" spans="1:3" ht="31.5">
      <c r="A54" s="9" t="s">
        <v>97</v>
      </c>
      <c r="B54" s="16" t="s">
        <v>106</v>
      </c>
      <c r="C54" s="11" t="s">
        <v>107</v>
      </c>
    </row>
    <row r="55" spans="1:3" ht="15.75">
      <c r="A55" s="15">
        <v>2</v>
      </c>
      <c r="B55" s="5">
        <f>SUM('Job detail'!M55:M58)</f>
        <v>2.299999999999976</v>
      </c>
      <c r="C55" s="2" t="s">
        <v>108</v>
      </c>
    </row>
    <row r="56" spans="1:3" ht="15.75">
      <c r="A56" s="15">
        <v>3</v>
      </c>
      <c r="B56" s="5">
        <f>SUM('Job detail'!M59:M62)+0.45</f>
        <v>33.750000000000014</v>
      </c>
      <c r="C56" s="2" t="s">
        <v>118</v>
      </c>
    </row>
    <row r="57" spans="1:3" ht="15.75">
      <c r="A57" s="15">
        <v>4</v>
      </c>
      <c r="B57" s="5">
        <f>SUM('Job detail'!M63:M67)+0.45</f>
        <v>47.24999999999996</v>
      </c>
      <c r="C57" s="2" t="s">
        <v>108</v>
      </c>
    </row>
    <row r="58" spans="1:3" ht="15.75">
      <c r="A58" s="15">
        <v>5</v>
      </c>
      <c r="B58" s="5">
        <f>SUM('Job detail'!M69:M74)</f>
        <v>1.8000000000000114</v>
      </c>
      <c r="C58" s="2" t="s">
        <v>108</v>
      </c>
    </row>
    <row r="59" spans="1:3" ht="15.75">
      <c r="A59" s="15">
        <v>6</v>
      </c>
      <c r="B59" s="5">
        <f>SUM('Job detail'!M75:M79)</f>
        <v>1.1999999999999886</v>
      </c>
      <c r="C59" s="2" t="s">
        <v>108</v>
      </c>
    </row>
    <row r="62" spans="1:3" ht="25.5">
      <c r="A62" s="15">
        <v>7</v>
      </c>
      <c r="B62" s="4">
        <f>SUM('Job detail'!M82:M83)</f>
        <v>-569</v>
      </c>
      <c r="C62" s="2" t="s">
        <v>123</v>
      </c>
    </row>
    <row r="63" spans="2:3" ht="15.75">
      <c r="B63" s="13">
        <f>SUM('Job detail'!M80:M81,'Job detail'!M84)+0.4</f>
        <v>35.70000000000003</v>
      </c>
      <c r="C63" s="2" t="s">
        <v>124</v>
      </c>
    </row>
    <row r="64" ht="15.75">
      <c r="B64" s="14">
        <f>SUM(B62:B63)</f>
        <v>-533.3</v>
      </c>
    </row>
    <row r="66" spans="1:3" ht="15.75">
      <c r="A66" s="15">
        <v>8</v>
      </c>
      <c r="B66" s="4">
        <f>SUM('Job detail'!M88)-40</f>
        <v>131.5</v>
      </c>
      <c r="C66" s="2" t="s">
        <v>125</v>
      </c>
    </row>
    <row r="67" spans="2:3" ht="25.5">
      <c r="B67" s="4">
        <f>SUM('Job detail'!M89:M91)-131</f>
        <v>14.399999999999977</v>
      </c>
      <c r="C67" s="2" t="s">
        <v>126</v>
      </c>
    </row>
    <row r="68" spans="2:3" ht="15.75">
      <c r="B68" s="13">
        <f>SUM('Job detail'!M92:M94)+0.4</f>
        <v>6.500000000000023</v>
      </c>
      <c r="C68" s="2" t="s">
        <v>108</v>
      </c>
    </row>
    <row r="69" ht="15.75">
      <c r="B69" s="5">
        <f>SUM(B66:B68)</f>
        <v>152.4</v>
      </c>
    </row>
    <row r="70" ht="16.5" thickBot="1">
      <c r="B70" s="19"/>
    </row>
    <row r="71" ht="21" thickTop="1">
      <c r="B71" s="18">
        <f>SUM(B69,B64,B50:B59,B48,B38:B42,B36,B28,B26)</f>
        <v>872.7000000000016</v>
      </c>
    </row>
    <row r="73" spans="2:3" ht="15.75">
      <c r="B73" s="4">
        <f>+B71+'ECP-cost variances'!B18</f>
        <v>1246.5000000000016</v>
      </c>
      <c r="C73" s="59">
        <f>SUM('Job detail'!M96)</f>
        <v>-1246.8999999999996</v>
      </c>
    </row>
  </sheetData>
  <printOptions/>
  <pageMargins left="0.75" right="0.75" top="0.62" bottom="0.83" header="0.5" footer="0.5"/>
  <pageSetup fitToHeight="1" fitToWidth="1" horizontalDpi="600" verticalDpi="600" orientation="portrait" r:id="rId1"/>
  <headerFooter alignWithMargins="0">
    <oddFooter xml:space="preserve">&amp;Lpage &amp;P of &amp;N&amp;R&amp;F        &amp;A     &amp;D   &amp;T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C76"/>
  <sheetViews>
    <sheetView workbookViewId="0" topLeftCell="A1">
      <selection activeCell="A4" sqref="A4:C18"/>
    </sheetView>
  </sheetViews>
  <sheetFormatPr defaultColWidth="9.140625" defaultRowHeight="12.75"/>
  <cols>
    <col min="1" max="1" width="8.421875" style="15" customWidth="1"/>
    <col min="2" max="2" width="12.28125" style="4" customWidth="1"/>
    <col min="3" max="3" width="57.57421875" style="2" customWidth="1"/>
  </cols>
  <sheetData>
    <row r="4" spans="1:3" ht="20.25">
      <c r="A4" s="17" t="s">
        <v>127</v>
      </c>
      <c r="B4" s="10"/>
      <c r="C4" s="11"/>
    </row>
    <row r="5" spans="1:3" ht="15.75">
      <c r="A5" s="9"/>
      <c r="B5" s="6"/>
      <c r="C5" s="7"/>
    </row>
    <row r="6" spans="1:3" ht="31.5">
      <c r="A6" s="9" t="s">
        <v>97</v>
      </c>
      <c r="B6" s="16" t="s">
        <v>106</v>
      </c>
      <c r="C6" s="11" t="s">
        <v>107</v>
      </c>
    </row>
    <row r="7" spans="1:3" ht="12.75">
      <c r="A7" s="1"/>
      <c r="C7" s="3"/>
    </row>
    <row r="8" spans="1:3" ht="38.25">
      <c r="A8" s="35">
        <v>12</v>
      </c>
      <c r="B8" s="20">
        <v>126.4</v>
      </c>
      <c r="C8" s="3" t="s">
        <v>139</v>
      </c>
    </row>
    <row r="9" spans="1:3" ht="12.75">
      <c r="A9" s="35">
        <v>12</v>
      </c>
      <c r="B9" s="20">
        <v>-30</v>
      </c>
      <c r="C9" s="3" t="s">
        <v>136</v>
      </c>
    </row>
    <row r="10" spans="1:3" ht="12.75">
      <c r="A10" s="35"/>
      <c r="B10" s="20"/>
      <c r="C10" s="3"/>
    </row>
    <row r="11" spans="1:3" ht="12.75">
      <c r="A11" s="35">
        <v>13</v>
      </c>
      <c r="B11" s="20">
        <v>32</v>
      </c>
      <c r="C11" s="3" t="s">
        <v>135</v>
      </c>
    </row>
    <row r="12" spans="1:3" ht="12.75">
      <c r="A12" s="35"/>
      <c r="B12" s="20"/>
      <c r="C12" s="3"/>
    </row>
    <row r="13" spans="1:3" ht="25.5">
      <c r="A13" s="35">
        <v>18</v>
      </c>
      <c r="B13" s="20">
        <v>12</v>
      </c>
      <c r="C13" s="3" t="s">
        <v>137</v>
      </c>
    </row>
    <row r="14" spans="1:3" ht="12.75">
      <c r="A14" s="35"/>
      <c r="B14" s="20"/>
      <c r="C14" s="3"/>
    </row>
    <row r="15" spans="1:3" ht="12.75">
      <c r="A15" s="35"/>
      <c r="B15" s="20"/>
      <c r="C15" s="3"/>
    </row>
    <row r="16" spans="1:3" ht="38.25">
      <c r="A16" s="35">
        <v>8</v>
      </c>
      <c r="B16" s="33">
        <v>233.4</v>
      </c>
      <c r="C16" s="3" t="s">
        <v>138</v>
      </c>
    </row>
    <row r="17" spans="1:3" ht="12.75">
      <c r="A17" s="34"/>
      <c r="C17" s="3"/>
    </row>
    <row r="18" spans="1:3" ht="12.75">
      <c r="A18" s="1"/>
      <c r="B18" s="20">
        <f>SUM(B8:B16)</f>
        <v>373.8</v>
      </c>
      <c r="C18" s="3"/>
    </row>
    <row r="19" spans="1:3" ht="12.75">
      <c r="A19" s="1"/>
      <c r="C19" s="3"/>
    </row>
    <row r="20" spans="1:3" ht="12.75">
      <c r="A20" s="1"/>
      <c r="C20" s="3"/>
    </row>
    <row r="21" spans="1:3" ht="12.75">
      <c r="A21" s="1"/>
      <c r="C21" s="3"/>
    </row>
    <row r="22" spans="1:3" ht="12.75">
      <c r="A22" s="1"/>
      <c r="C22" s="3"/>
    </row>
    <row r="23" spans="1:3" ht="12.75">
      <c r="A23" s="1"/>
      <c r="C23" s="3"/>
    </row>
    <row r="24" spans="1:3" ht="12.75">
      <c r="A24" s="1"/>
      <c r="C24" s="3"/>
    </row>
    <row r="25" spans="1:3" ht="12.75">
      <c r="A25" s="1"/>
      <c r="C25" s="3"/>
    </row>
    <row r="26" spans="1:3" ht="12.75">
      <c r="A26" s="1"/>
      <c r="C26" s="3"/>
    </row>
    <row r="27" spans="1:3" ht="12.75">
      <c r="A27" s="1"/>
      <c r="C27" s="3"/>
    </row>
    <row r="28" spans="1:3" ht="12.75">
      <c r="A28" s="1"/>
      <c r="C28" s="3"/>
    </row>
    <row r="29" spans="1:3" ht="12.75">
      <c r="A29" s="1"/>
      <c r="C29" s="3"/>
    </row>
    <row r="30" spans="1:3" ht="12.75">
      <c r="A30" s="1"/>
      <c r="C30" s="3"/>
    </row>
    <row r="31" spans="1:3" ht="12.75">
      <c r="A31" s="1"/>
      <c r="C31" s="3"/>
    </row>
    <row r="32" spans="1:3" ht="12.75">
      <c r="A32" s="1"/>
      <c r="C32" s="3"/>
    </row>
    <row r="33" spans="1:3" ht="12.75">
      <c r="A33" s="1"/>
      <c r="C33" s="3"/>
    </row>
    <row r="34" spans="1:3" ht="12.75">
      <c r="A34" s="1"/>
      <c r="C34" s="3"/>
    </row>
    <row r="35" spans="1:3" ht="12.75">
      <c r="A35" s="1"/>
      <c r="C35" s="3"/>
    </row>
    <row r="36" spans="1:3" ht="12.75">
      <c r="A36" s="1"/>
      <c r="C36" s="3"/>
    </row>
    <row r="37" spans="1:3" ht="12.75">
      <c r="A37" s="1"/>
      <c r="C37" s="3"/>
    </row>
    <row r="38" spans="1:3" ht="12.75">
      <c r="A38" s="1"/>
      <c r="C38" s="3"/>
    </row>
    <row r="39" spans="1:3" ht="12.75">
      <c r="A39" s="1"/>
      <c r="C39" s="3"/>
    </row>
    <row r="40" spans="1:3" ht="12.75">
      <c r="A40" s="1"/>
      <c r="C40" s="3"/>
    </row>
    <row r="41" spans="1:3" ht="12.75">
      <c r="A41" s="1"/>
      <c r="C41" s="3"/>
    </row>
    <row r="42" spans="1:3" ht="12.75">
      <c r="A42" s="1"/>
      <c r="C42" s="3"/>
    </row>
    <row r="43" spans="1:3" ht="12.75">
      <c r="A43" s="1"/>
      <c r="C43" s="3"/>
    </row>
    <row r="44" spans="1:3" ht="12.75">
      <c r="A44" s="1"/>
      <c r="C44" s="3"/>
    </row>
    <row r="45" spans="1:3" ht="12.75">
      <c r="A45" s="1"/>
      <c r="C45" s="3"/>
    </row>
    <row r="46" spans="1:3" ht="12.75">
      <c r="A46" s="1"/>
      <c r="C46" s="3"/>
    </row>
    <row r="47" spans="1:3" ht="12.75">
      <c r="A47" s="1"/>
      <c r="C47" s="3"/>
    </row>
    <row r="48" spans="1:3" ht="12.75">
      <c r="A48" s="1"/>
      <c r="C48" s="3"/>
    </row>
    <row r="49" spans="1:3" ht="12.75">
      <c r="A49" s="1"/>
      <c r="C49" s="3"/>
    </row>
    <row r="50" spans="1:3" ht="12.75">
      <c r="A50" s="1"/>
      <c r="C50" s="3"/>
    </row>
    <row r="51" spans="1:3" ht="12.75">
      <c r="A51" s="1"/>
      <c r="C51" s="3"/>
    </row>
    <row r="52" spans="1:3" ht="12.75">
      <c r="A52" s="1"/>
      <c r="C52" s="3"/>
    </row>
    <row r="53" spans="1:3" ht="12.75">
      <c r="A53" s="1"/>
      <c r="C53" s="3"/>
    </row>
    <row r="54" spans="1:3" ht="12.75">
      <c r="A54" s="1"/>
      <c r="C54" s="3"/>
    </row>
    <row r="55" spans="1:3" ht="12.75">
      <c r="A55" s="1"/>
      <c r="C55" s="3"/>
    </row>
    <row r="56" spans="1:3" ht="12.75">
      <c r="A56" s="1"/>
      <c r="C56" s="3"/>
    </row>
    <row r="57" spans="1:3" ht="12.75">
      <c r="A57" s="1"/>
      <c r="C57" s="3"/>
    </row>
    <row r="58" spans="1:3" ht="12.75">
      <c r="A58" s="1"/>
      <c r="C58" s="3"/>
    </row>
    <row r="59" spans="1:3" ht="12.75">
      <c r="A59" s="1"/>
      <c r="C59" s="3"/>
    </row>
    <row r="60" spans="1:3" ht="12.75">
      <c r="A60" s="1"/>
      <c r="C60" s="3"/>
    </row>
    <row r="61" spans="1:3" ht="12.75">
      <c r="A61" s="1"/>
      <c r="C61" s="3"/>
    </row>
    <row r="62" spans="1:3" ht="12.75">
      <c r="A62" s="1"/>
      <c r="C62" s="3"/>
    </row>
    <row r="63" spans="1:3" ht="12.75">
      <c r="A63" s="1"/>
      <c r="C63" s="3"/>
    </row>
    <row r="64" spans="1:3" ht="12.75">
      <c r="A64" s="1"/>
      <c r="C64" s="3"/>
    </row>
    <row r="65" spans="1:3" ht="12.75">
      <c r="A65" s="1"/>
      <c r="C65" s="3"/>
    </row>
    <row r="66" spans="1:3" ht="12.75">
      <c r="A66" s="1"/>
      <c r="C66" s="3"/>
    </row>
    <row r="67" spans="1:3" ht="12.75">
      <c r="A67" s="1"/>
      <c r="C67" s="3"/>
    </row>
    <row r="68" spans="1:3" ht="12.75">
      <c r="A68" s="1"/>
      <c r="C68" s="3"/>
    </row>
    <row r="69" spans="1:3" ht="12.75">
      <c r="A69" s="1"/>
      <c r="C69" s="3"/>
    </row>
    <row r="70" spans="1:3" ht="12.75">
      <c r="A70" s="1"/>
      <c r="C70" s="3"/>
    </row>
    <row r="71" spans="1:3" ht="12.75">
      <c r="A71" s="1"/>
      <c r="C71" s="3"/>
    </row>
    <row r="72" spans="1:3" ht="12.75">
      <c r="A72" s="1"/>
      <c r="C72" s="3"/>
    </row>
    <row r="73" spans="1:3" ht="12.75">
      <c r="A73" s="1"/>
      <c r="C73" s="3"/>
    </row>
    <row r="74" spans="1:3" ht="12.75">
      <c r="A74" s="1"/>
      <c r="C74" s="3"/>
    </row>
    <row r="75" spans="1:3" ht="12.75">
      <c r="A75" s="1"/>
      <c r="C75" s="3"/>
    </row>
    <row r="76" spans="1:3" ht="12.75">
      <c r="A76" s="1"/>
      <c r="C76" s="3"/>
    </row>
  </sheetData>
  <printOptions/>
  <pageMargins left="0.75" right="0.75" top="1" bottom="1" header="0.5" footer="0.5"/>
  <pageSetup horizontalDpi="600" verticalDpi="600" orientation="portrait" r:id="rId1"/>
  <headerFooter alignWithMargins="0">
    <oddFooter>&amp;LPage &amp;P of &amp;N&amp;R&amp;F          &amp;A     &amp;D    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127"/>
  <sheetViews>
    <sheetView showZeros="0" tabSelected="1" zoomScale="75" zoomScaleNormal="75" workbookViewId="0" topLeftCell="C1">
      <selection activeCell="O11" sqref="O11"/>
    </sheetView>
  </sheetViews>
  <sheetFormatPr defaultColWidth="9.140625" defaultRowHeight="12.75"/>
  <cols>
    <col min="1" max="1" width="9.140625" style="21" customWidth="1"/>
    <col min="2" max="2" width="5.28125" style="21" bestFit="1" customWidth="1"/>
    <col min="3" max="3" width="56.8515625" style="21" customWidth="1"/>
    <col min="4" max="4" width="11.140625" style="21" customWidth="1"/>
    <col min="5" max="9" width="10.421875" style="21" bestFit="1" customWidth="1"/>
    <col min="10" max="10" width="9.00390625" style="21" bestFit="1" customWidth="1"/>
    <col min="11" max="11" width="12.140625" style="21" bestFit="1" customWidth="1"/>
    <col min="12" max="12" width="11.140625" style="29" customWidth="1"/>
    <col min="13" max="13" width="8.28125" style="21" bestFit="1" customWidth="1"/>
    <col min="14" max="14" width="9.28125" style="21" customWidth="1"/>
    <col min="15" max="15" width="23.421875" style="36" bestFit="1" customWidth="1"/>
    <col min="16" max="16" width="7.00390625" style="21" bestFit="1" customWidth="1"/>
    <col min="17" max="16384" width="9.140625" style="21" customWidth="1"/>
  </cols>
  <sheetData>
    <row r="1" spans="2:14" s="24" customFormat="1" ht="15">
      <c r="B1" s="24" t="s">
        <v>97</v>
      </c>
      <c r="C1" s="24" t="s">
        <v>129</v>
      </c>
      <c r="D1" s="24" t="s">
        <v>85</v>
      </c>
      <c r="E1" s="24" t="s">
        <v>86</v>
      </c>
      <c r="F1" s="24" t="s">
        <v>87</v>
      </c>
      <c r="G1" s="24" t="s">
        <v>88</v>
      </c>
      <c r="H1" s="24" t="s">
        <v>89</v>
      </c>
      <c r="I1" s="24" t="s">
        <v>90</v>
      </c>
      <c r="J1" s="24" t="s">
        <v>91</v>
      </c>
      <c r="K1" s="24" t="s">
        <v>128</v>
      </c>
      <c r="L1" s="28" t="s">
        <v>93</v>
      </c>
      <c r="M1" s="24" t="s">
        <v>94</v>
      </c>
      <c r="N1" s="24" t="s">
        <v>141</v>
      </c>
    </row>
    <row r="2" spans="2:17" ht="15">
      <c r="B2" s="21">
        <v>12</v>
      </c>
      <c r="C2" s="21" t="s">
        <v>0</v>
      </c>
      <c r="D2" s="43">
        <v>424.4</v>
      </c>
      <c r="E2" s="43"/>
      <c r="F2" s="43"/>
      <c r="G2" s="43"/>
      <c r="H2"/>
      <c r="I2"/>
      <c r="J2"/>
      <c r="K2" s="37">
        <f>SUM(D2:J2)</f>
        <v>424.4</v>
      </c>
      <c r="L2" s="38">
        <v>424.4</v>
      </c>
      <c r="M2" s="39">
        <f aca="true" t="shared" si="0" ref="M2:M35">+K2-L2</f>
        <v>0</v>
      </c>
      <c r="N2" s="39">
        <f>SUM(H2:J2)</f>
        <v>0</v>
      </c>
      <c r="O2" s="40">
        <f>SUM(N2:N10,N12:N33,N38:N39,N47:N53)</f>
        <v>6487.3</v>
      </c>
      <c r="P2"/>
      <c r="Q2" s="42"/>
    </row>
    <row r="3" spans="2:17" ht="15">
      <c r="B3" s="21">
        <v>12</v>
      </c>
      <c r="C3" s="21" t="s">
        <v>1</v>
      </c>
      <c r="D3" s="43">
        <v>793</v>
      </c>
      <c r="E3" s="43">
        <v>998.2</v>
      </c>
      <c r="F3" s="43">
        <v>-21</v>
      </c>
      <c r="G3" s="43"/>
      <c r="H3"/>
      <c r="I3"/>
      <c r="J3"/>
      <c r="K3" s="37">
        <f aca="true" t="shared" si="1" ref="K3:K66">SUM(D3:J3)</f>
        <v>1770.2</v>
      </c>
      <c r="L3" s="38">
        <v>1770.2</v>
      </c>
      <c r="M3" s="39">
        <f t="shared" si="0"/>
        <v>0</v>
      </c>
      <c r="N3" s="39">
        <f aca="true" t="shared" si="2" ref="N3:N66">SUM(H3:J3)</f>
        <v>0</v>
      </c>
      <c r="O3" s="40"/>
      <c r="P3"/>
      <c r="Q3" s="42"/>
    </row>
    <row r="4" spans="2:17" ht="15">
      <c r="B4" s="21">
        <v>12</v>
      </c>
      <c r="C4" s="21" t="s">
        <v>2</v>
      </c>
      <c r="D4" s="43"/>
      <c r="E4" s="43">
        <v>3.4</v>
      </c>
      <c r="F4" s="43">
        <v>12.2</v>
      </c>
      <c r="G4" s="43"/>
      <c r="H4"/>
      <c r="I4"/>
      <c r="J4"/>
      <c r="K4" s="37">
        <f t="shared" si="1"/>
        <v>15.6</v>
      </c>
      <c r="L4" s="38">
        <v>15.6</v>
      </c>
      <c r="M4" s="39">
        <f t="shared" si="0"/>
        <v>0</v>
      </c>
      <c r="N4" s="39">
        <f t="shared" si="2"/>
        <v>0</v>
      </c>
      <c r="O4" s="40"/>
      <c r="P4"/>
      <c r="Q4" s="42"/>
    </row>
    <row r="5" spans="2:17" ht="15">
      <c r="B5" s="21">
        <v>12</v>
      </c>
      <c r="C5" s="21" t="s">
        <v>131</v>
      </c>
      <c r="D5" s="43"/>
      <c r="E5" s="43">
        <v>628.3</v>
      </c>
      <c r="F5" s="43">
        <v>299.8</v>
      </c>
      <c r="G5" s="43">
        <v>289.8</v>
      </c>
      <c r="H5"/>
      <c r="I5"/>
      <c r="J5"/>
      <c r="K5" s="37">
        <f t="shared" si="1"/>
        <v>1217.8999999999999</v>
      </c>
      <c r="L5" s="38">
        <v>1270.3</v>
      </c>
      <c r="M5" s="39">
        <f t="shared" si="0"/>
        <v>-52.40000000000009</v>
      </c>
      <c r="N5" s="39">
        <f t="shared" si="2"/>
        <v>0</v>
      </c>
      <c r="O5" s="40"/>
      <c r="P5"/>
      <c r="Q5" s="42"/>
    </row>
    <row r="6" spans="2:17" ht="15">
      <c r="B6" s="21">
        <v>12</v>
      </c>
      <c r="C6" s="21" t="s">
        <v>3</v>
      </c>
      <c r="D6" s="43"/>
      <c r="E6" s="43"/>
      <c r="F6" s="43"/>
      <c r="G6" s="43">
        <v>187.5</v>
      </c>
      <c r="H6">
        <v>253.2</v>
      </c>
      <c r="I6">
        <v>244.5</v>
      </c>
      <c r="J6"/>
      <c r="K6" s="37">
        <f t="shared" si="1"/>
        <v>685.2</v>
      </c>
      <c r="L6" s="38">
        <v>603.5</v>
      </c>
      <c r="M6" s="39">
        <f t="shared" si="0"/>
        <v>81.70000000000005</v>
      </c>
      <c r="N6" s="39">
        <f t="shared" si="2"/>
        <v>497.7</v>
      </c>
      <c r="O6" s="40"/>
      <c r="P6"/>
      <c r="Q6" s="42"/>
    </row>
    <row r="7" spans="2:17" ht="15">
      <c r="B7" s="21">
        <v>12</v>
      </c>
      <c r="C7" s="21" t="s">
        <v>132</v>
      </c>
      <c r="D7" s="43"/>
      <c r="E7" s="43">
        <v>36.9</v>
      </c>
      <c r="F7" s="43">
        <v>3416.1</v>
      </c>
      <c r="G7" s="43">
        <v>2355.6</v>
      </c>
      <c r="H7"/>
      <c r="I7"/>
      <c r="J7"/>
      <c r="K7" s="37">
        <f t="shared" si="1"/>
        <v>5808.6</v>
      </c>
      <c r="L7" s="38">
        <v>5681.6</v>
      </c>
      <c r="M7" s="39">
        <f t="shared" si="0"/>
        <v>127</v>
      </c>
      <c r="N7" s="39">
        <f t="shared" si="2"/>
        <v>0</v>
      </c>
      <c r="O7" s="40"/>
      <c r="P7"/>
      <c r="Q7" s="42"/>
    </row>
    <row r="8" spans="2:17" ht="15">
      <c r="B8" s="21">
        <v>13</v>
      </c>
      <c r="C8" s="21" t="s">
        <v>4</v>
      </c>
      <c r="D8" s="43">
        <v>91.7</v>
      </c>
      <c r="E8" s="43">
        <v>333.9</v>
      </c>
      <c r="F8" s="43">
        <v>494.1</v>
      </c>
      <c r="G8" s="43">
        <v>50.9</v>
      </c>
      <c r="H8"/>
      <c r="I8"/>
      <c r="J8"/>
      <c r="K8" s="37">
        <f t="shared" si="1"/>
        <v>970.6</v>
      </c>
      <c r="L8" s="38">
        <v>965.8</v>
      </c>
      <c r="M8" s="39">
        <f t="shared" si="0"/>
        <v>4.800000000000068</v>
      </c>
      <c r="N8" s="39">
        <f t="shared" si="2"/>
        <v>0</v>
      </c>
      <c r="O8" s="40"/>
      <c r="P8"/>
      <c r="Q8" s="42"/>
    </row>
    <row r="9" spans="2:17" ht="15">
      <c r="B9" s="21">
        <v>13</v>
      </c>
      <c r="C9" s="21" t="s">
        <v>5</v>
      </c>
      <c r="D9" s="43"/>
      <c r="E9" s="43"/>
      <c r="F9" s="43">
        <v>346.1</v>
      </c>
      <c r="G9" s="43">
        <v>200.9</v>
      </c>
      <c r="H9"/>
      <c r="I9"/>
      <c r="J9"/>
      <c r="K9" s="37">
        <f t="shared" si="1"/>
        <v>547</v>
      </c>
      <c r="L9" s="38">
        <v>560.3</v>
      </c>
      <c r="M9" s="39">
        <f t="shared" si="0"/>
        <v>-13.299999999999955</v>
      </c>
      <c r="N9" s="39">
        <f t="shared" si="2"/>
        <v>0</v>
      </c>
      <c r="O9" s="40"/>
      <c r="P9"/>
      <c r="Q9" s="42"/>
    </row>
    <row r="10" spans="2:17" ht="15">
      <c r="B10" s="21">
        <v>13</v>
      </c>
      <c r="C10" s="21" t="s">
        <v>6</v>
      </c>
      <c r="D10" s="43"/>
      <c r="E10" s="43"/>
      <c r="F10" s="43">
        <v>179.9</v>
      </c>
      <c r="G10" s="43">
        <v>281.2</v>
      </c>
      <c r="H10">
        <v>8.9</v>
      </c>
      <c r="I10"/>
      <c r="J10"/>
      <c r="K10" s="37">
        <f t="shared" si="1"/>
        <v>470</v>
      </c>
      <c r="L10" s="38">
        <v>469.6</v>
      </c>
      <c r="M10" s="39">
        <f t="shared" si="0"/>
        <v>0.39999999999997726</v>
      </c>
      <c r="N10" s="39">
        <f t="shared" si="2"/>
        <v>8.9</v>
      </c>
      <c r="O10" s="40"/>
      <c r="P10"/>
      <c r="Q10" s="42"/>
    </row>
    <row r="11" spans="2:17" ht="15">
      <c r="B11" s="21">
        <v>13</v>
      </c>
      <c r="C11" s="21" t="s">
        <v>7</v>
      </c>
      <c r="D11" s="43"/>
      <c r="E11" s="43"/>
      <c r="F11" s="43">
        <v>9.9</v>
      </c>
      <c r="G11" s="43">
        <v>642.5</v>
      </c>
      <c r="H11">
        <v>1145</v>
      </c>
      <c r="I11">
        <v>247.9</v>
      </c>
      <c r="J11"/>
      <c r="K11" s="37">
        <f t="shared" si="1"/>
        <v>2045.3000000000002</v>
      </c>
      <c r="L11" s="38">
        <v>2017.9</v>
      </c>
      <c r="M11" s="39">
        <f t="shared" si="0"/>
        <v>27.40000000000009</v>
      </c>
      <c r="N11" s="39">
        <f t="shared" si="2"/>
        <v>1392.9</v>
      </c>
      <c r="O11" s="40">
        <f>SUM(N11,N34)</f>
        <v>3159.1000000000004</v>
      </c>
      <c r="P11"/>
      <c r="Q11" s="42"/>
    </row>
    <row r="12" spans="2:17" ht="15">
      <c r="B12" s="21">
        <v>13</v>
      </c>
      <c r="C12" s="21" t="s">
        <v>8</v>
      </c>
      <c r="D12" s="43"/>
      <c r="E12" s="43"/>
      <c r="F12" s="43">
        <v>-13.7</v>
      </c>
      <c r="G12" s="43">
        <v>7.3</v>
      </c>
      <c r="H12">
        <v>138.4</v>
      </c>
      <c r="I12"/>
      <c r="J12"/>
      <c r="K12" s="37">
        <f t="shared" si="1"/>
        <v>132</v>
      </c>
      <c r="L12" s="38">
        <v>132</v>
      </c>
      <c r="M12" s="39">
        <f t="shared" si="0"/>
        <v>0</v>
      </c>
      <c r="N12" s="39">
        <f t="shared" si="2"/>
        <v>138.4</v>
      </c>
      <c r="O12" s="40"/>
      <c r="P12"/>
      <c r="Q12" s="42"/>
    </row>
    <row r="13" spans="2:17" ht="15">
      <c r="B13" s="21">
        <v>13</v>
      </c>
      <c r="C13" s="21" t="s">
        <v>9</v>
      </c>
      <c r="D13" s="43"/>
      <c r="E13" s="43"/>
      <c r="F13" s="43"/>
      <c r="G13" s="43"/>
      <c r="H13">
        <v>276.4</v>
      </c>
      <c r="I13">
        <v>511.7</v>
      </c>
      <c r="J13"/>
      <c r="K13" s="37">
        <f t="shared" si="1"/>
        <v>788.0999999999999</v>
      </c>
      <c r="L13" s="38">
        <v>794.6</v>
      </c>
      <c r="M13" s="39">
        <f t="shared" si="0"/>
        <v>-6.500000000000114</v>
      </c>
      <c r="N13" s="39">
        <f t="shared" si="2"/>
        <v>788.0999999999999</v>
      </c>
      <c r="O13" s="40"/>
      <c r="P13"/>
      <c r="Q13" s="42"/>
    </row>
    <row r="14" spans="2:17" ht="15">
      <c r="B14" s="21">
        <v>13</v>
      </c>
      <c r="C14" s="21" t="s">
        <v>10</v>
      </c>
      <c r="D14" s="43"/>
      <c r="E14" s="43"/>
      <c r="F14" s="43"/>
      <c r="G14" s="43"/>
      <c r="H14"/>
      <c r="I14">
        <v>106.1</v>
      </c>
      <c r="J14"/>
      <c r="K14" s="37">
        <f t="shared" si="1"/>
        <v>106.1</v>
      </c>
      <c r="L14" s="38">
        <v>103.4</v>
      </c>
      <c r="M14" s="39">
        <f t="shared" si="0"/>
        <v>2.6999999999999886</v>
      </c>
      <c r="N14" s="39">
        <f t="shared" si="2"/>
        <v>106.1</v>
      </c>
      <c r="O14" s="40"/>
      <c r="P14"/>
      <c r="Q14" s="42"/>
    </row>
    <row r="15" spans="2:17" ht="15">
      <c r="B15" s="21">
        <v>13</v>
      </c>
      <c r="C15" s="21" t="s">
        <v>11</v>
      </c>
      <c r="D15" s="43"/>
      <c r="E15" s="43"/>
      <c r="F15" s="43"/>
      <c r="G15" s="43">
        <v>106.4</v>
      </c>
      <c r="H15"/>
      <c r="I15"/>
      <c r="J15"/>
      <c r="K15" s="37">
        <f t="shared" si="1"/>
        <v>106.4</v>
      </c>
      <c r="L15" s="38">
        <v>116.9</v>
      </c>
      <c r="M15" s="39">
        <f t="shared" si="0"/>
        <v>-10.5</v>
      </c>
      <c r="N15" s="39">
        <f t="shared" si="2"/>
        <v>0</v>
      </c>
      <c r="O15" s="40"/>
      <c r="P15"/>
      <c r="Q15" s="42"/>
    </row>
    <row r="16" spans="2:17" ht="15">
      <c r="B16" s="21">
        <v>13</v>
      </c>
      <c r="C16" s="21" t="s">
        <v>101</v>
      </c>
      <c r="D16" s="43"/>
      <c r="E16" s="43"/>
      <c r="F16" s="43"/>
      <c r="G16" s="43"/>
      <c r="H16">
        <v>32.5</v>
      </c>
      <c r="I16">
        <v>90.1</v>
      </c>
      <c r="J16"/>
      <c r="K16" s="37">
        <f t="shared" si="1"/>
        <v>122.6</v>
      </c>
      <c r="L16" s="38">
        <v>120.9</v>
      </c>
      <c r="M16" s="39">
        <f t="shared" si="0"/>
        <v>1.6999999999999886</v>
      </c>
      <c r="N16" s="39">
        <f t="shared" si="2"/>
        <v>122.6</v>
      </c>
      <c r="O16" s="40"/>
      <c r="P16"/>
      <c r="Q16" s="42"/>
    </row>
    <row r="17" spans="2:17" ht="15">
      <c r="B17" s="21">
        <v>13</v>
      </c>
      <c r="C17" s="21" t="s">
        <v>12</v>
      </c>
      <c r="D17" s="43"/>
      <c r="E17" s="43"/>
      <c r="F17" s="43"/>
      <c r="G17" s="43"/>
      <c r="H17"/>
      <c r="I17">
        <v>93.4</v>
      </c>
      <c r="J17"/>
      <c r="K17" s="37">
        <f t="shared" si="1"/>
        <v>93.4</v>
      </c>
      <c r="L17" s="38">
        <v>91.2</v>
      </c>
      <c r="M17" s="39">
        <f t="shared" si="0"/>
        <v>2.200000000000003</v>
      </c>
      <c r="N17" s="39">
        <f t="shared" si="2"/>
        <v>93.4</v>
      </c>
      <c r="O17" s="40"/>
      <c r="P17"/>
      <c r="Q17" s="42"/>
    </row>
    <row r="18" spans="2:17" ht="15">
      <c r="B18" s="21">
        <v>14</v>
      </c>
      <c r="C18" s="21" t="s">
        <v>13</v>
      </c>
      <c r="D18" s="43">
        <v>303</v>
      </c>
      <c r="E18" s="43"/>
      <c r="F18" s="43">
        <v>1</v>
      </c>
      <c r="G18" s="43"/>
      <c r="H18"/>
      <c r="I18"/>
      <c r="J18"/>
      <c r="K18" s="37">
        <f t="shared" si="1"/>
        <v>304</v>
      </c>
      <c r="L18" s="38">
        <v>304</v>
      </c>
      <c r="M18" s="39">
        <f t="shared" si="0"/>
        <v>0</v>
      </c>
      <c r="N18" s="39">
        <f t="shared" si="2"/>
        <v>0</v>
      </c>
      <c r="O18" s="40"/>
      <c r="P18"/>
      <c r="Q18" s="42"/>
    </row>
    <row r="19" spans="2:17" ht="15">
      <c r="B19" s="21">
        <v>14</v>
      </c>
      <c r="C19" s="21" t="s">
        <v>14</v>
      </c>
      <c r="D19" s="43">
        <v>239.1</v>
      </c>
      <c r="E19" s="43"/>
      <c r="F19" s="43"/>
      <c r="G19" s="43"/>
      <c r="H19"/>
      <c r="I19"/>
      <c r="J19"/>
      <c r="K19" s="37">
        <f t="shared" si="1"/>
        <v>239.1</v>
      </c>
      <c r="L19" s="38">
        <v>239.1</v>
      </c>
      <c r="M19" s="39">
        <f t="shared" si="0"/>
        <v>0</v>
      </c>
      <c r="N19" s="39">
        <f t="shared" si="2"/>
        <v>0</v>
      </c>
      <c r="O19" s="40"/>
      <c r="P19"/>
      <c r="Q19" s="42"/>
    </row>
    <row r="20" spans="2:17" ht="15">
      <c r="B20" s="21">
        <v>14</v>
      </c>
      <c r="C20" s="21" t="s">
        <v>15</v>
      </c>
      <c r="D20" s="43">
        <v>586</v>
      </c>
      <c r="E20" s="43">
        <v>1625.8</v>
      </c>
      <c r="F20" s="43">
        <v>331.6</v>
      </c>
      <c r="G20" s="43"/>
      <c r="H20"/>
      <c r="I20"/>
      <c r="J20"/>
      <c r="K20" s="37">
        <f t="shared" si="1"/>
        <v>2543.4</v>
      </c>
      <c r="L20" s="38">
        <v>2543.5</v>
      </c>
      <c r="M20" s="39">
        <f t="shared" si="0"/>
        <v>-0.09999999999990905</v>
      </c>
      <c r="N20" s="39">
        <f t="shared" si="2"/>
        <v>0</v>
      </c>
      <c r="O20" s="40"/>
      <c r="P20"/>
      <c r="Q20" s="42"/>
    </row>
    <row r="21" spans="2:17" ht="15">
      <c r="B21" s="21">
        <v>14</v>
      </c>
      <c r="C21" s="21" t="s">
        <v>16</v>
      </c>
      <c r="D21" s="43"/>
      <c r="E21" s="43"/>
      <c r="F21" s="43">
        <v>28.2</v>
      </c>
      <c r="G21" s="43">
        <v>-0.3</v>
      </c>
      <c r="H21"/>
      <c r="I21"/>
      <c r="J21"/>
      <c r="K21" s="37">
        <f t="shared" si="1"/>
        <v>27.9</v>
      </c>
      <c r="L21" s="38">
        <v>27.8</v>
      </c>
      <c r="M21" s="39">
        <f t="shared" si="0"/>
        <v>0.09999999999999787</v>
      </c>
      <c r="N21" s="39">
        <f t="shared" si="2"/>
        <v>0</v>
      </c>
      <c r="O21" s="40"/>
      <c r="P21"/>
      <c r="Q21" s="42"/>
    </row>
    <row r="22" spans="2:17" ht="15">
      <c r="B22" s="21">
        <v>14</v>
      </c>
      <c r="C22" s="21" t="s">
        <v>17</v>
      </c>
      <c r="D22" s="43">
        <v>168.1</v>
      </c>
      <c r="E22" s="43"/>
      <c r="F22" s="43"/>
      <c r="G22" s="43"/>
      <c r="H22"/>
      <c r="I22"/>
      <c r="J22"/>
      <c r="K22" s="37">
        <f t="shared" si="1"/>
        <v>168.1</v>
      </c>
      <c r="L22" s="38">
        <v>168.1</v>
      </c>
      <c r="M22" s="39">
        <f t="shared" si="0"/>
        <v>0</v>
      </c>
      <c r="N22" s="39">
        <f t="shared" si="2"/>
        <v>0</v>
      </c>
      <c r="O22" s="40"/>
      <c r="P22"/>
      <c r="Q22" s="42"/>
    </row>
    <row r="23" spans="2:17" ht="15">
      <c r="B23" s="21">
        <v>14</v>
      </c>
      <c r="C23" s="21" t="s">
        <v>18</v>
      </c>
      <c r="D23" s="43">
        <v>267.6</v>
      </c>
      <c r="E23" s="43">
        <v>2236.3</v>
      </c>
      <c r="F23" s="43">
        <v>42.2</v>
      </c>
      <c r="G23" s="43">
        <v>25.4</v>
      </c>
      <c r="H23"/>
      <c r="I23"/>
      <c r="J23"/>
      <c r="K23" s="37">
        <f t="shared" si="1"/>
        <v>2571.5</v>
      </c>
      <c r="L23" s="38">
        <v>2571.4</v>
      </c>
      <c r="M23" s="39">
        <f t="shared" si="0"/>
        <v>0.09999999999990905</v>
      </c>
      <c r="N23" s="39">
        <f t="shared" si="2"/>
        <v>0</v>
      </c>
      <c r="O23" s="40"/>
      <c r="P23"/>
      <c r="Q23" s="42"/>
    </row>
    <row r="24" spans="2:17" ht="15">
      <c r="B24" s="21">
        <v>14</v>
      </c>
      <c r="C24" s="21" t="s">
        <v>19</v>
      </c>
      <c r="D24" s="43"/>
      <c r="E24" s="43"/>
      <c r="F24" s="43">
        <v>537.4</v>
      </c>
      <c r="G24" s="43">
        <v>3.6</v>
      </c>
      <c r="H24"/>
      <c r="I24"/>
      <c r="J24"/>
      <c r="K24" s="37">
        <f t="shared" si="1"/>
        <v>541</v>
      </c>
      <c r="L24" s="38">
        <v>541</v>
      </c>
      <c r="M24" s="39">
        <f t="shared" si="0"/>
        <v>0</v>
      </c>
      <c r="N24" s="39">
        <f t="shared" si="2"/>
        <v>0</v>
      </c>
      <c r="O24" s="40"/>
      <c r="P24"/>
      <c r="Q24" s="42"/>
    </row>
    <row r="25" spans="2:17" ht="15">
      <c r="B25" s="21">
        <v>14</v>
      </c>
      <c r="C25" s="21" t="s">
        <v>20</v>
      </c>
      <c r="D25" s="43">
        <v>831.1</v>
      </c>
      <c r="E25" s="43">
        <v>1266.5</v>
      </c>
      <c r="F25" s="43">
        <v>149</v>
      </c>
      <c r="G25" s="43">
        <v>17</v>
      </c>
      <c r="H25"/>
      <c r="I25"/>
      <c r="J25"/>
      <c r="K25" s="37">
        <f t="shared" si="1"/>
        <v>2263.6</v>
      </c>
      <c r="L25" s="38">
        <v>2263.6</v>
      </c>
      <c r="M25" s="39">
        <f t="shared" si="0"/>
        <v>0</v>
      </c>
      <c r="N25" s="39">
        <f t="shared" si="2"/>
        <v>0</v>
      </c>
      <c r="O25" s="40"/>
      <c r="P25"/>
      <c r="Q25" s="42"/>
    </row>
    <row r="26" spans="2:17" ht="15">
      <c r="B26" s="21">
        <v>14</v>
      </c>
      <c r="C26" s="21" t="s">
        <v>21</v>
      </c>
      <c r="D26" s="43"/>
      <c r="E26" s="43"/>
      <c r="F26" s="43">
        <v>1050.2</v>
      </c>
      <c r="G26" s="43">
        <v>-0.2</v>
      </c>
      <c r="H26"/>
      <c r="I26"/>
      <c r="J26"/>
      <c r="K26" s="37">
        <f t="shared" si="1"/>
        <v>1050</v>
      </c>
      <c r="L26" s="38">
        <v>1050</v>
      </c>
      <c r="M26" s="39">
        <f t="shared" si="0"/>
        <v>0</v>
      </c>
      <c r="N26" s="39">
        <f t="shared" si="2"/>
        <v>0</v>
      </c>
      <c r="O26" s="40"/>
      <c r="P26"/>
      <c r="Q26" s="42"/>
    </row>
    <row r="27" spans="2:17" ht="15">
      <c r="B27" s="21">
        <v>14</v>
      </c>
      <c r="C27" s="21" t="s">
        <v>22</v>
      </c>
      <c r="D27" s="43"/>
      <c r="E27" s="43">
        <v>363.8</v>
      </c>
      <c r="F27" s="43">
        <v>552.1</v>
      </c>
      <c r="G27" s="43">
        <v>-90</v>
      </c>
      <c r="H27"/>
      <c r="I27"/>
      <c r="J27"/>
      <c r="K27" s="37">
        <f t="shared" si="1"/>
        <v>825.9000000000001</v>
      </c>
      <c r="L27" s="38">
        <v>825.9</v>
      </c>
      <c r="M27" s="39">
        <f t="shared" si="0"/>
        <v>0</v>
      </c>
      <c r="N27" s="39">
        <f t="shared" si="2"/>
        <v>0</v>
      </c>
      <c r="O27" s="40"/>
      <c r="P27"/>
      <c r="Q27" s="42"/>
    </row>
    <row r="28" spans="2:17" ht="15">
      <c r="B28" s="21">
        <v>14</v>
      </c>
      <c r="C28" s="21" t="s">
        <v>23</v>
      </c>
      <c r="D28" s="43"/>
      <c r="E28" s="43"/>
      <c r="F28" s="43">
        <v>132.1</v>
      </c>
      <c r="G28" s="43">
        <v>542.8</v>
      </c>
      <c r="H28"/>
      <c r="I28"/>
      <c r="J28"/>
      <c r="K28" s="37">
        <f t="shared" si="1"/>
        <v>674.9</v>
      </c>
      <c r="L28" s="38">
        <v>674.8</v>
      </c>
      <c r="M28" s="39">
        <f t="shared" si="0"/>
        <v>0.10000000000002274</v>
      </c>
      <c r="N28" s="39">
        <f t="shared" si="2"/>
        <v>0</v>
      </c>
      <c r="O28" s="40"/>
      <c r="P28"/>
      <c r="Q28" s="42"/>
    </row>
    <row r="29" spans="2:17" ht="15">
      <c r="B29" s="21">
        <v>14</v>
      </c>
      <c r="C29" s="21" t="s">
        <v>24</v>
      </c>
      <c r="D29" s="43"/>
      <c r="E29" s="43"/>
      <c r="F29" s="43">
        <v>23.9</v>
      </c>
      <c r="G29" s="43"/>
      <c r="H29"/>
      <c r="I29"/>
      <c r="J29"/>
      <c r="K29" s="37">
        <f t="shared" si="1"/>
        <v>23.9</v>
      </c>
      <c r="L29" s="38">
        <v>23.9</v>
      </c>
      <c r="M29" s="39">
        <f t="shared" si="0"/>
        <v>0</v>
      </c>
      <c r="N29" s="39">
        <f t="shared" si="2"/>
        <v>0</v>
      </c>
      <c r="O29" s="40"/>
      <c r="P29"/>
      <c r="Q29" s="42"/>
    </row>
    <row r="30" spans="2:17" ht="15.75" customHeight="1">
      <c r="B30" s="21">
        <v>14</v>
      </c>
      <c r="C30" s="21" t="s">
        <v>25</v>
      </c>
      <c r="D30" s="43"/>
      <c r="E30" s="43"/>
      <c r="F30" s="43">
        <v>48</v>
      </c>
      <c r="G30" s="43">
        <v>7.2</v>
      </c>
      <c r="H30"/>
      <c r="I30"/>
      <c r="J30"/>
      <c r="K30" s="37">
        <f t="shared" si="1"/>
        <v>55.2</v>
      </c>
      <c r="L30" s="38">
        <v>55.2</v>
      </c>
      <c r="M30" s="39">
        <f t="shared" si="0"/>
        <v>0</v>
      </c>
      <c r="N30" s="39">
        <f t="shared" si="2"/>
        <v>0</v>
      </c>
      <c r="O30" s="40"/>
      <c r="P30"/>
      <c r="Q30" s="42"/>
    </row>
    <row r="31" spans="2:17" ht="15">
      <c r="B31" s="21">
        <v>14</v>
      </c>
      <c r="C31" s="21" t="s">
        <v>26</v>
      </c>
      <c r="D31" s="43"/>
      <c r="E31" s="43">
        <v>1773.9</v>
      </c>
      <c r="F31" s="43">
        <v>1139</v>
      </c>
      <c r="G31" s="43">
        <v>397.7</v>
      </c>
      <c r="H31"/>
      <c r="I31"/>
      <c r="J31"/>
      <c r="K31" s="37">
        <f t="shared" si="1"/>
        <v>3310.6</v>
      </c>
      <c r="L31" s="38">
        <v>3496.6</v>
      </c>
      <c r="M31" s="39">
        <f t="shared" si="0"/>
        <v>-186</v>
      </c>
      <c r="N31" s="39">
        <f t="shared" si="2"/>
        <v>0</v>
      </c>
      <c r="O31" s="40"/>
      <c r="P31"/>
      <c r="Q31" s="42"/>
    </row>
    <row r="32" spans="2:17" ht="15">
      <c r="B32" s="21">
        <v>14</v>
      </c>
      <c r="C32" s="21" t="s">
        <v>27</v>
      </c>
      <c r="D32" s="43"/>
      <c r="E32" s="43">
        <v>6.5</v>
      </c>
      <c r="F32" s="43">
        <v>76.6</v>
      </c>
      <c r="G32" s="43">
        <v>388.3</v>
      </c>
      <c r="H32">
        <v>214.4</v>
      </c>
      <c r="I32"/>
      <c r="J32"/>
      <c r="K32" s="37">
        <f t="shared" si="1"/>
        <v>685.8</v>
      </c>
      <c r="L32" s="38">
        <v>446.2</v>
      </c>
      <c r="M32" s="39">
        <f t="shared" si="0"/>
        <v>239.59999999999997</v>
      </c>
      <c r="N32" s="39">
        <f t="shared" si="2"/>
        <v>214.4</v>
      </c>
      <c r="O32" s="40"/>
      <c r="P32"/>
      <c r="Q32" s="42"/>
    </row>
    <row r="33" spans="2:17" ht="15">
      <c r="B33" s="21">
        <v>14</v>
      </c>
      <c r="C33" s="21" t="s">
        <v>28</v>
      </c>
      <c r="D33" s="43">
        <v>29.8</v>
      </c>
      <c r="E33" s="43">
        <v>2.5</v>
      </c>
      <c r="F33" s="43">
        <v>529.6</v>
      </c>
      <c r="G33" s="43">
        <v>1083.4</v>
      </c>
      <c r="H33">
        <v>303.4</v>
      </c>
      <c r="I33">
        <v>4.2</v>
      </c>
      <c r="J33"/>
      <c r="K33" s="37">
        <f t="shared" si="1"/>
        <v>1952.9000000000003</v>
      </c>
      <c r="L33" s="38">
        <v>1864.8</v>
      </c>
      <c r="M33" s="39">
        <f t="shared" si="0"/>
        <v>88.10000000000036</v>
      </c>
      <c r="N33" s="39">
        <f t="shared" si="2"/>
        <v>307.59999999999997</v>
      </c>
      <c r="O33" s="40"/>
      <c r="P33"/>
      <c r="Q33" s="42"/>
    </row>
    <row r="34" spans="2:17" ht="15">
      <c r="B34" s="21">
        <v>14</v>
      </c>
      <c r="C34" s="21" t="s">
        <v>29</v>
      </c>
      <c r="D34" s="43"/>
      <c r="E34" s="43">
        <v>20.4</v>
      </c>
      <c r="F34" s="43">
        <v>3905.9</v>
      </c>
      <c r="G34" s="43">
        <v>4153.3</v>
      </c>
      <c r="H34">
        <v>1766.2</v>
      </c>
      <c r="I34"/>
      <c r="J34"/>
      <c r="K34" s="37">
        <f t="shared" si="1"/>
        <v>9845.800000000001</v>
      </c>
      <c r="L34" s="38">
        <v>9587</v>
      </c>
      <c r="M34" s="39">
        <f t="shared" si="0"/>
        <v>258.8000000000011</v>
      </c>
      <c r="N34" s="39">
        <f t="shared" si="2"/>
        <v>1766.2</v>
      </c>
      <c r="O34" s="40"/>
      <c r="P34"/>
      <c r="Q34" s="42"/>
    </row>
    <row r="35" spans="2:17" ht="15">
      <c r="B35" s="21">
        <v>14</v>
      </c>
      <c r="C35" s="21" t="s">
        <v>30</v>
      </c>
      <c r="D35" s="43"/>
      <c r="E35" s="43"/>
      <c r="F35" s="43"/>
      <c r="G35" s="43"/>
      <c r="H35">
        <v>63.1</v>
      </c>
      <c r="I35"/>
      <c r="J35"/>
      <c r="K35" s="37">
        <f t="shared" si="1"/>
        <v>63.1</v>
      </c>
      <c r="L35" s="38"/>
      <c r="M35" s="39">
        <f t="shared" si="0"/>
        <v>63.1</v>
      </c>
      <c r="N35" s="39">
        <f t="shared" si="2"/>
        <v>63.1</v>
      </c>
      <c r="O35" s="40">
        <f>SUM(N35:N37)</f>
        <v>4118.4</v>
      </c>
      <c r="P35"/>
      <c r="Q35" s="42"/>
    </row>
    <row r="36" spans="2:17" ht="15">
      <c r="B36" s="21">
        <v>14</v>
      </c>
      <c r="C36" s="21" t="s">
        <v>31</v>
      </c>
      <c r="D36" s="43"/>
      <c r="E36" s="43"/>
      <c r="F36" s="43">
        <v>134.4</v>
      </c>
      <c r="G36" s="43">
        <v>2178.7</v>
      </c>
      <c r="H36">
        <v>3218.5</v>
      </c>
      <c r="I36">
        <v>462.3</v>
      </c>
      <c r="J36"/>
      <c r="K36" s="37">
        <f t="shared" si="1"/>
        <v>5993.900000000001</v>
      </c>
      <c r="L36" s="38">
        <v>6087.6</v>
      </c>
      <c r="M36" s="39">
        <f>+K36+K37-L36</f>
        <v>329.10000000000036</v>
      </c>
      <c r="N36" s="39">
        <f t="shared" si="2"/>
        <v>3680.8</v>
      </c>
      <c r="O36" s="40"/>
      <c r="P36"/>
      <c r="Q36" s="42"/>
    </row>
    <row r="37" spans="3:17" ht="15">
      <c r="C37" s="21" t="s">
        <v>102</v>
      </c>
      <c r="D37" s="43"/>
      <c r="E37" s="43"/>
      <c r="F37" s="43"/>
      <c r="G37" s="43">
        <v>48.3</v>
      </c>
      <c r="H37">
        <v>330.8</v>
      </c>
      <c r="I37">
        <v>43.7</v>
      </c>
      <c r="J37"/>
      <c r="K37" s="37">
        <f t="shared" si="1"/>
        <v>422.8</v>
      </c>
      <c r="L37" s="38"/>
      <c r="M37" s="39"/>
      <c r="N37" s="39">
        <f t="shared" si="2"/>
        <v>374.5</v>
      </c>
      <c r="O37" s="40"/>
      <c r="P37"/>
      <c r="Q37" s="42"/>
    </row>
    <row r="38" spans="2:17" ht="15">
      <c r="B38" s="21">
        <v>14</v>
      </c>
      <c r="C38" s="21" t="s">
        <v>32</v>
      </c>
      <c r="D38" s="43"/>
      <c r="E38" s="43"/>
      <c r="F38" s="43">
        <v>70.4</v>
      </c>
      <c r="G38" s="43">
        <v>-15.3</v>
      </c>
      <c r="H38">
        <v>324.7</v>
      </c>
      <c r="I38"/>
      <c r="J38"/>
      <c r="K38" s="37">
        <f t="shared" si="1"/>
        <v>379.8</v>
      </c>
      <c r="L38" s="38">
        <v>916.9</v>
      </c>
      <c r="M38" s="39">
        <f aca="true" t="shared" si="3" ref="M38:M69">+K38-L38</f>
        <v>-537.0999999999999</v>
      </c>
      <c r="N38" s="39">
        <f t="shared" si="2"/>
        <v>324.7</v>
      </c>
      <c r="O38" s="40"/>
      <c r="P38"/>
      <c r="Q38" s="42"/>
    </row>
    <row r="39" spans="2:17" ht="15">
      <c r="B39" s="21">
        <v>14</v>
      </c>
      <c r="C39" s="21" t="s">
        <v>33</v>
      </c>
      <c r="D39" s="43"/>
      <c r="E39" s="43"/>
      <c r="F39" s="43"/>
      <c r="G39" s="43"/>
      <c r="H39">
        <v>699</v>
      </c>
      <c r="I39"/>
      <c r="J39"/>
      <c r="K39" s="37">
        <f t="shared" si="1"/>
        <v>699</v>
      </c>
      <c r="L39" s="38"/>
      <c r="M39" s="39">
        <f t="shared" si="3"/>
        <v>699</v>
      </c>
      <c r="N39" s="39">
        <f t="shared" si="2"/>
        <v>699</v>
      </c>
      <c r="O39" s="40"/>
      <c r="P39"/>
      <c r="Q39" s="42"/>
    </row>
    <row r="40" spans="2:17" ht="15">
      <c r="B40" s="21">
        <v>18</v>
      </c>
      <c r="C40" s="21" t="s">
        <v>34</v>
      </c>
      <c r="D40" s="43"/>
      <c r="E40" s="43">
        <v>198</v>
      </c>
      <c r="F40" s="43">
        <v>239.6</v>
      </c>
      <c r="G40" s="43">
        <v>111.4</v>
      </c>
      <c r="H40">
        <v>15.3</v>
      </c>
      <c r="I40">
        <v>11.7</v>
      </c>
      <c r="J40">
        <v>11.5</v>
      </c>
      <c r="K40" s="37">
        <f t="shared" si="1"/>
        <v>587.5</v>
      </c>
      <c r="L40" s="38">
        <v>585.9</v>
      </c>
      <c r="M40" s="39">
        <f t="shared" si="3"/>
        <v>1.6000000000000227</v>
      </c>
      <c r="N40" s="39">
        <f t="shared" si="2"/>
        <v>38.5</v>
      </c>
      <c r="O40" s="40">
        <f>SUM(N40:N46)</f>
        <v>4321.1</v>
      </c>
      <c r="P40"/>
      <c r="Q40" s="42"/>
    </row>
    <row r="41" spans="2:17" ht="15">
      <c r="B41" s="21">
        <v>18</v>
      </c>
      <c r="C41" s="21" t="s">
        <v>35</v>
      </c>
      <c r="D41" s="43">
        <v>60.8</v>
      </c>
      <c r="E41" s="43"/>
      <c r="F41" s="43"/>
      <c r="G41" s="43">
        <v>3.9</v>
      </c>
      <c r="H41"/>
      <c r="I41"/>
      <c r="J41"/>
      <c r="K41" s="37">
        <f t="shared" si="1"/>
        <v>64.7</v>
      </c>
      <c r="L41" s="38">
        <v>64.7</v>
      </c>
      <c r="M41" s="39">
        <f t="shared" si="3"/>
        <v>0</v>
      </c>
      <c r="N41" s="39">
        <f t="shared" si="2"/>
        <v>0</v>
      </c>
      <c r="O41" s="40"/>
      <c r="P41"/>
      <c r="Q41" s="42"/>
    </row>
    <row r="42" spans="2:20" s="41" customFormat="1" ht="15">
      <c r="B42" s="41">
        <v>18</v>
      </c>
      <c r="C42" s="21" t="s">
        <v>36</v>
      </c>
      <c r="D42" s="43"/>
      <c r="E42" s="43"/>
      <c r="F42" s="43">
        <v>461.4</v>
      </c>
      <c r="G42" s="43">
        <v>366.4</v>
      </c>
      <c r="H42">
        <v>342.4</v>
      </c>
      <c r="I42"/>
      <c r="J42"/>
      <c r="K42" s="37">
        <f t="shared" si="1"/>
        <v>1170.1999999999998</v>
      </c>
      <c r="L42" s="38">
        <v>1372.4</v>
      </c>
      <c r="M42" s="39">
        <f t="shared" si="3"/>
        <v>-202.20000000000027</v>
      </c>
      <c r="N42" s="39">
        <f t="shared" si="2"/>
        <v>342.4</v>
      </c>
      <c r="O42" s="40"/>
      <c r="P42" s="60"/>
      <c r="Q42" s="61"/>
      <c r="R42" s="21"/>
      <c r="S42" s="21"/>
      <c r="T42" s="21"/>
    </row>
    <row r="43" spans="2:20" s="41" customFormat="1" ht="15">
      <c r="B43" s="41">
        <v>18</v>
      </c>
      <c r="C43" s="21" t="s">
        <v>95</v>
      </c>
      <c r="D43" s="43"/>
      <c r="E43" s="43"/>
      <c r="F43" s="43"/>
      <c r="G43" s="43">
        <v>13.1</v>
      </c>
      <c r="H43">
        <v>197.1</v>
      </c>
      <c r="I43"/>
      <c r="J43"/>
      <c r="K43" s="37">
        <f t="shared" si="1"/>
        <v>210.2</v>
      </c>
      <c r="L43" s="38"/>
      <c r="M43" s="39">
        <f t="shared" si="3"/>
        <v>210.2</v>
      </c>
      <c r="N43" s="39">
        <f t="shared" si="2"/>
        <v>197.1</v>
      </c>
      <c r="O43" s="40"/>
      <c r="P43" s="60"/>
      <c r="Q43" s="61"/>
      <c r="R43" s="21"/>
      <c r="S43" s="21"/>
      <c r="T43" s="21"/>
    </row>
    <row r="44" spans="2:17" ht="15">
      <c r="B44" s="21">
        <v>18</v>
      </c>
      <c r="C44" s="21" t="s">
        <v>96</v>
      </c>
      <c r="D44" s="43"/>
      <c r="E44" s="43"/>
      <c r="F44" s="43"/>
      <c r="G44" s="43"/>
      <c r="H44">
        <v>304.8</v>
      </c>
      <c r="I44">
        <v>10.4</v>
      </c>
      <c r="J44"/>
      <c r="K44" s="37">
        <f t="shared" si="1"/>
        <v>315.2</v>
      </c>
      <c r="L44" s="38"/>
      <c r="M44" s="39">
        <f t="shared" si="3"/>
        <v>315.2</v>
      </c>
      <c r="N44" s="39">
        <f t="shared" si="2"/>
        <v>315.2</v>
      </c>
      <c r="O44" s="40"/>
      <c r="P44" s="60"/>
      <c r="Q44" s="61"/>
    </row>
    <row r="45" spans="2:17" ht="15">
      <c r="B45" s="21">
        <v>18</v>
      </c>
      <c r="C45" s="21" t="s">
        <v>37</v>
      </c>
      <c r="D45" s="43"/>
      <c r="E45" s="43">
        <v>164.6</v>
      </c>
      <c r="F45" s="43">
        <v>203.2</v>
      </c>
      <c r="G45" s="43">
        <v>308.8</v>
      </c>
      <c r="H45">
        <v>661.7</v>
      </c>
      <c r="I45">
        <v>276.1</v>
      </c>
      <c r="J45"/>
      <c r="K45" s="37">
        <f t="shared" si="1"/>
        <v>1614.4</v>
      </c>
      <c r="L45" s="38">
        <v>1507.5</v>
      </c>
      <c r="M45" s="39">
        <f t="shared" si="3"/>
        <v>106.90000000000009</v>
      </c>
      <c r="N45" s="39">
        <f t="shared" si="2"/>
        <v>937.8000000000001</v>
      </c>
      <c r="O45" s="40"/>
      <c r="P45"/>
      <c r="Q45" s="42"/>
    </row>
    <row r="46" spans="2:17" ht="15">
      <c r="B46" s="21">
        <v>18</v>
      </c>
      <c r="C46" s="21" t="s">
        <v>38</v>
      </c>
      <c r="D46" s="43"/>
      <c r="E46" s="43"/>
      <c r="F46" s="43"/>
      <c r="G46" s="43">
        <v>127.5</v>
      </c>
      <c r="H46">
        <v>1157.4</v>
      </c>
      <c r="I46">
        <v>1332.7</v>
      </c>
      <c r="J46"/>
      <c r="K46" s="37">
        <f t="shared" si="1"/>
        <v>2617.6000000000004</v>
      </c>
      <c r="L46" s="38">
        <v>2390.4</v>
      </c>
      <c r="M46" s="39">
        <f t="shared" si="3"/>
        <v>227.20000000000027</v>
      </c>
      <c r="N46" s="39">
        <f t="shared" si="2"/>
        <v>2490.1000000000004</v>
      </c>
      <c r="O46" s="40"/>
      <c r="P46"/>
      <c r="Q46" s="42"/>
    </row>
    <row r="47" spans="2:17" ht="15">
      <c r="B47" s="21" t="s">
        <v>92</v>
      </c>
      <c r="C47" s="21" t="s">
        <v>92</v>
      </c>
      <c r="D47" s="43"/>
      <c r="E47" s="43">
        <v>75</v>
      </c>
      <c r="F47" s="43"/>
      <c r="G47" s="43"/>
      <c r="H47"/>
      <c r="I47"/>
      <c r="J47"/>
      <c r="K47" s="37">
        <f t="shared" si="1"/>
        <v>75</v>
      </c>
      <c r="L47" s="38">
        <v>75</v>
      </c>
      <c r="M47" s="39">
        <f t="shared" si="3"/>
        <v>0</v>
      </c>
      <c r="N47" s="39">
        <f t="shared" si="2"/>
        <v>0</v>
      </c>
      <c r="O47" s="40"/>
      <c r="P47"/>
      <c r="Q47" s="42"/>
    </row>
    <row r="48" spans="2:17" ht="15">
      <c r="B48" s="21">
        <v>15</v>
      </c>
      <c r="C48" s="21" t="s">
        <v>103</v>
      </c>
      <c r="D48" s="43"/>
      <c r="E48" s="43">
        <v>34.6</v>
      </c>
      <c r="F48" s="43">
        <v>45.4</v>
      </c>
      <c r="G48" s="43">
        <v>18.8</v>
      </c>
      <c r="H48">
        <v>119.1</v>
      </c>
      <c r="I48"/>
      <c r="J48"/>
      <c r="K48" s="37">
        <f t="shared" si="1"/>
        <v>217.89999999999998</v>
      </c>
      <c r="L48" s="38">
        <v>217.1</v>
      </c>
      <c r="M48" s="39">
        <f t="shared" si="3"/>
        <v>0.799999999999983</v>
      </c>
      <c r="N48" s="39">
        <f t="shared" si="2"/>
        <v>119.1</v>
      </c>
      <c r="O48" s="40"/>
      <c r="P48"/>
      <c r="Q48" s="42"/>
    </row>
    <row r="49" spans="2:17" ht="15">
      <c r="B49" s="21">
        <v>15</v>
      </c>
      <c r="C49" s="21" t="s">
        <v>104</v>
      </c>
      <c r="D49" s="43"/>
      <c r="E49" s="43"/>
      <c r="F49" s="43"/>
      <c r="G49" s="43"/>
      <c r="H49">
        <v>489.7</v>
      </c>
      <c r="I49">
        <v>642.8</v>
      </c>
      <c r="J49"/>
      <c r="K49" s="37">
        <f t="shared" si="1"/>
        <v>1132.5</v>
      </c>
      <c r="L49" s="38">
        <v>1175.4</v>
      </c>
      <c r="M49" s="39">
        <f t="shared" si="3"/>
        <v>-42.90000000000009</v>
      </c>
      <c r="N49" s="39">
        <f t="shared" si="2"/>
        <v>1132.5</v>
      </c>
      <c r="O49" s="40"/>
      <c r="P49"/>
      <c r="Q49" s="42"/>
    </row>
    <row r="50" spans="2:17" ht="15">
      <c r="B50" s="21">
        <v>16</v>
      </c>
      <c r="C50" s="21" t="s">
        <v>39</v>
      </c>
      <c r="D50" s="43"/>
      <c r="E50" s="43"/>
      <c r="F50" s="43"/>
      <c r="G50" s="43">
        <v>2.8</v>
      </c>
      <c r="H50">
        <v>171</v>
      </c>
      <c r="I50">
        <v>956.9</v>
      </c>
      <c r="J50">
        <v>17.9</v>
      </c>
      <c r="K50" s="37">
        <f t="shared" si="1"/>
        <v>1148.6000000000001</v>
      </c>
      <c r="L50" s="38">
        <v>1137.8</v>
      </c>
      <c r="M50" s="39">
        <f t="shared" si="3"/>
        <v>10.800000000000182</v>
      </c>
      <c r="N50" s="39">
        <f t="shared" si="2"/>
        <v>1145.8000000000002</v>
      </c>
      <c r="O50" s="40"/>
      <c r="P50"/>
      <c r="Q50" s="42"/>
    </row>
    <row r="51" spans="2:17" ht="15">
      <c r="B51" s="21">
        <v>17</v>
      </c>
      <c r="C51" s="21" t="s">
        <v>40</v>
      </c>
      <c r="D51" s="43">
        <v>12.2</v>
      </c>
      <c r="E51" s="43">
        <v>65.7</v>
      </c>
      <c r="F51" s="43">
        <v>244.2</v>
      </c>
      <c r="G51" s="43">
        <v>103.2</v>
      </c>
      <c r="H51">
        <v>56.5</v>
      </c>
      <c r="I51">
        <v>124</v>
      </c>
      <c r="J51"/>
      <c r="K51" s="37">
        <f t="shared" si="1"/>
        <v>605.8</v>
      </c>
      <c r="L51" s="38">
        <v>730.4</v>
      </c>
      <c r="M51" s="39">
        <f t="shared" si="3"/>
        <v>-124.60000000000002</v>
      </c>
      <c r="N51" s="39">
        <f t="shared" si="2"/>
        <v>180.5</v>
      </c>
      <c r="O51" s="40"/>
      <c r="P51"/>
      <c r="Q51" s="42"/>
    </row>
    <row r="52" spans="2:17" ht="15">
      <c r="B52" s="21">
        <v>17</v>
      </c>
      <c r="C52" s="21" t="s">
        <v>41</v>
      </c>
      <c r="D52" s="43"/>
      <c r="E52" s="43"/>
      <c r="F52" s="43"/>
      <c r="G52" s="43"/>
      <c r="H52"/>
      <c r="I52">
        <v>322</v>
      </c>
      <c r="J52">
        <v>55.3</v>
      </c>
      <c r="K52" s="37">
        <f t="shared" si="1"/>
        <v>377.3</v>
      </c>
      <c r="L52" s="38">
        <v>540.5</v>
      </c>
      <c r="M52" s="39">
        <f t="shared" si="3"/>
        <v>-163.2</v>
      </c>
      <c r="N52" s="39">
        <f t="shared" si="2"/>
        <v>377.3</v>
      </c>
      <c r="O52" s="40"/>
      <c r="P52"/>
      <c r="Q52" s="42"/>
    </row>
    <row r="53" spans="2:17" ht="15">
      <c r="B53" s="21">
        <v>17</v>
      </c>
      <c r="C53" s="21" t="s">
        <v>42</v>
      </c>
      <c r="D53" s="43"/>
      <c r="E53" s="43"/>
      <c r="F53" s="43"/>
      <c r="G53" s="43"/>
      <c r="H53">
        <v>2.7</v>
      </c>
      <c r="I53">
        <v>228.5</v>
      </c>
      <c r="J53"/>
      <c r="K53" s="37">
        <f t="shared" si="1"/>
        <v>231.2</v>
      </c>
      <c r="L53" s="38">
        <v>230.9</v>
      </c>
      <c r="M53" s="39">
        <f t="shared" si="3"/>
        <v>0.29999999999998295</v>
      </c>
      <c r="N53" s="39">
        <f t="shared" si="2"/>
        <v>231.2</v>
      </c>
      <c r="O53" s="40"/>
      <c r="P53"/>
      <c r="Q53" s="42"/>
    </row>
    <row r="54" spans="2:17" ht="15">
      <c r="B54" s="21">
        <v>19</v>
      </c>
      <c r="C54" s="21" t="s">
        <v>43</v>
      </c>
      <c r="D54" s="43">
        <v>254.2</v>
      </c>
      <c r="E54" s="43">
        <v>640.7</v>
      </c>
      <c r="F54" s="43">
        <v>557.5</v>
      </c>
      <c r="G54" s="43">
        <v>554.3</v>
      </c>
      <c r="H54">
        <v>208.3</v>
      </c>
      <c r="I54">
        <v>251.5</v>
      </c>
      <c r="J54">
        <v>153.7</v>
      </c>
      <c r="K54" s="37">
        <f t="shared" si="1"/>
        <v>2620.2</v>
      </c>
      <c r="L54" s="38">
        <v>2771.3</v>
      </c>
      <c r="M54" s="39">
        <f t="shared" si="3"/>
        <v>-151.10000000000036</v>
      </c>
      <c r="N54" s="39">
        <f t="shared" si="2"/>
        <v>613.5</v>
      </c>
      <c r="O54" s="40"/>
      <c r="P54"/>
      <c r="Q54" s="42"/>
    </row>
    <row r="55" spans="2:17" ht="15">
      <c r="B55" s="21">
        <v>2</v>
      </c>
      <c r="C55" s="21" t="s">
        <v>44</v>
      </c>
      <c r="D55" s="43">
        <v>63.7</v>
      </c>
      <c r="E55" s="43"/>
      <c r="F55" s="43"/>
      <c r="G55" s="43">
        <v>-0.8</v>
      </c>
      <c r="H55"/>
      <c r="I55"/>
      <c r="J55"/>
      <c r="K55" s="37">
        <f t="shared" si="1"/>
        <v>62.900000000000006</v>
      </c>
      <c r="L55" s="38">
        <v>62.9</v>
      </c>
      <c r="M55" s="39">
        <f t="shared" si="3"/>
        <v>0</v>
      </c>
      <c r="N55" s="39">
        <f t="shared" si="2"/>
        <v>0</v>
      </c>
      <c r="O55" s="40">
        <f>SUM(N55:N79)</f>
        <v>4138.5</v>
      </c>
      <c r="P55"/>
      <c r="Q55" s="42"/>
    </row>
    <row r="56" spans="2:17" ht="15">
      <c r="B56" s="21">
        <v>2</v>
      </c>
      <c r="C56" s="21" t="s">
        <v>45</v>
      </c>
      <c r="D56" s="43"/>
      <c r="E56" s="43"/>
      <c r="F56" s="43"/>
      <c r="G56" s="43"/>
      <c r="H56"/>
      <c r="I56">
        <v>61.2</v>
      </c>
      <c r="J56"/>
      <c r="K56" s="37">
        <f t="shared" si="1"/>
        <v>61.2</v>
      </c>
      <c r="L56" s="38">
        <v>60.1</v>
      </c>
      <c r="M56" s="39">
        <f t="shared" si="3"/>
        <v>1.1000000000000014</v>
      </c>
      <c r="N56" s="39">
        <f t="shared" si="2"/>
        <v>61.2</v>
      </c>
      <c r="O56" s="40"/>
      <c r="P56"/>
      <c r="Q56" s="42"/>
    </row>
    <row r="57" spans="2:17" ht="15">
      <c r="B57" s="21">
        <v>2</v>
      </c>
      <c r="C57" s="21" t="s">
        <v>46</v>
      </c>
      <c r="D57" s="43"/>
      <c r="E57" s="43"/>
      <c r="F57" s="43"/>
      <c r="G57" s="43"/>
      <c r="H57"/>
      <c r="I57">
        <v>77.2</v>
      </c>
      <c r="J57"/>
      <c r="K57" s="37">
        <f t="shared" si="1"/>
        <v>77.2</v>
      </c>
      <c r="L57" s="38">
        <v>76.1</v>
      </c>
      <c r="M57" s="39">
        <f t="shared" si="3"/>
        <v>1.1000000000000085</v>
      </c>
      <c r="N57" s="39">
        <f t="shared" si="2"/>
        <v>77.2</v>
      </c>
      <c r="O57" s="40"/>
      <c r="P57"/>
      <c r="Q57" s="42"/>
    </row>
    <row r="58" spans="2:17" ht="15">
      <c r="B58" s="21">
        <v>2</v>
      </c>
      <c r="C58" s="21" t="s">
        <v>47</v>
      </c>
      <c r="D58" s="43">
        <v>123</v>
      </c>
      <c r="E58" s="43">
        <v>161.4</v>
      </c>
      <c r="F58" s="43"/>
      <c r="G58" s="43">
        <v>0.7</v>
      </c>
      <c r="H58"/>
      <c r="I58"/>
      <c r="J58"/>
      <c r="K58" s="37">
        <f t="shared" si="1"/>
        <v>285.09999999999997</v>
      </c>
      <c r="L58" s="38">
        <v>285</v>
      </c>
      <c r="M58" s="39">
        <f t="shared" si="3"/>
        <v>0.0999999999999659</v>
      </c>
      <c r="N58" s="39">
        <f t="shared" si="2"/>
        <v>0</v>
      </c>
      <c r="O58" s="40"/>
      <c r="P58"/>
      <c r="Q58" s="42"/>
    </row>
    <row r="59" spans="2:17" ht="15">
      <c r="B59" s="21">
        <v>3</v>
      </c>
      <c r="C59" s="21" t="s">
        <v>48</v>
      </c>
      <c r="D59" s="43"/>
      <c r="E59" s="43"/>
      <c r="F59" s="43">
        <v>117.2</v>
      </c>
      <c r="G59" s="43">
        <v>269.9</v>
      </c>
      <c r="H59">
        <v>112.9</v>
      </c>
      <c r="I59">
        <v>21.6</v>
      </c>
      <c r="J59">
        <v>0.1</v>
      </c>
      <c r="K59" s="37">
        <f t="shared" si="1"/>
        <v>521.7</v>
      </c>
      <c r="L59" s="38">
        <v>518.5</v>
      </c>
      <c r="M59" s="39">
        <f t="shared" si="3"/>
        <v>3.2000000000000455</v>
      </c>
      <c r="N59" s="39">
        <f t="shared" si="2"/>
        <v>134.6</v>
      </c>
      <c r="O59" s="40"/>
      <c r="P59"/>
      <c r="Q59" s="42"/>
    </row>
    <row r="60" spans="2:17" ht="15">
      <c r="B60" s="21">
        <v>3</v>
      </c>
      <c r="C60" s="21" t="s">
        <v>49</v>
      </c>
      <c r="D60" s="43"/>
      <c r="E60" s="43"/>
      <c r="F60" s="43"/>
      <c r="G60" s="43"/>
      <c r="H60"/>
      <c r="I60">
        <v>9.4</v>
      </c>
      <c r="J60"/>
      <c r="K60" s="37">
        <f t="shared" si="1"/>
        <v>9.4</v>
      </c>
      <c r="L60" s="38">
        <v>9.4</v>
      </c>
      <c r="M60" s="39">
        <f t="shared" si="3"/>
        <v>0</v>
      </c>
      <c r="N60" s="39">
        <f t="shared" si="2"/>
        <v>9.4</v>
      </c>
      <c r="O60" s="40"/>
      <c r="P60"/>
      <c r="Q60" s="42"/>
    </row>
    <row r="61" spans="2:17" ht="15">
      <c r="B61" s="21">
        <v>3</v>
      </c>
      <c r="C61" s="21" t="s">
        <v>50</v>
      </c>
      <c r="D61" s="43"/>
      <c r="E61" s="43"/>
      <c r="F61" s="43"/>
      <c r="G61" s="43"/>
      <c r="H61"/>
      <c r="I61">
        <v>29.6</v>
      </c>
      <c r="J61"/>
      <c r="K61" s="37">
        <f t="shared" si="1"/>
        <v>29.6</v>
      </c>
      <c r="L61" s="38">
        <v>29.6</v>
      </c>
      <c r="M61" s="39">
        <f t="shared" si="3"/>
        <v>0</v>
      </c>
      <c r="N61" s="39">
        <f t="shared" si="2"/>
        <v>29.6</v>
      </c>
      <c r="O61" s="40"/>
      <c r="P61"/>
      <c r="Q61" s="42"/>
    </row>
    <row r="62" spans="2:17" ht="15">
      <c r="B62" s="21">
        <v>3</v>
      </c>
      <c r="C62" s="21" t="s">
        <v>51</v>
      </c>
      <c r="D62" s="43">
        <v>155.5</v>
      </c>
      <c r="E62" s="43">
        <v>65</v>
      </c>
      <c r="F62" s="43">
        <v>54.4</v>
      </c>
      <c r="G62" s="43">
        <v>70.5</v>
      </c>
      <c r="H62">
        <v>30</v>
      </c>
      <c r="I62"/>
      <c r="J62"/>
      <c r="K62" s="37">
        <f t="shared" si="1"/>
        <v>375.4</v>
      </c>
      <c r="L62" s="38">
        <v>345.3</v>
      </c>
      <c r="M62" s="39">
        <f t="shared" si="3"/>
        <v>30.099999999999966</v>
      </c>
      <c r="N62" s="39">
        <f t="shared" si="2"/>
        <v>30</v>
      </c>
      <c r="O62" s="40"/>
      <c r="P62"/>
      <c r="Q62" s="42"/>
    </row>
    <row r="63" spans="2:17" ht="15">
      <c r="B63" s="21">
        <v>4</v>
      </c>
      <c r="C63" s="21" t="s">
        <v>52</v>
      </c>
      <c r="D63" s="43"/>
      <c r="E63" s="43">
        <v>81.4</v>
      </c>
      <c r="F63" s="43">
        <v>10.6</v>
      </c>
      <c r="G63" s="43">
        <v>15.9</v>
      </c>
      <c r="H63"/>
      <c r="I63">
        <v>256.1</v>
      </c>
      <c r="J63"/>
      <c r="K63" s="37">
        <f t="shared" si="1"/>
        <v>364</v>
      </c>
      <c r="L63" s="38">
        <v>357.4</v>
      </c>
      <c r="M63" s="39">
        <f t="shared" si="3"/>
        <v>6.600000000000023</v>
      </c>
      <c r="N63" s="39">
        <f t="shared" si="2"/>
        <v>256.1</v>
      </c>
      <c r="O63" s="40"/>
      <c r="P63"/>
      <c r="Q63" s="42"/>
    </row>
    <row r="64" spans="2:17" ht="15">
      <c r="B64" s="21">
        <v>4</v>
      </c>
      <c r="C64" s="21" t="s">
        <v>53</v>
      </c>
      <c r="D64" s="43"/>
      <c r="E64" s="43"/>
      <c r="F64" s="43">
        <v>212</v>
      </c>
      <c r="G64" s="43">
        <v>169.8</v>
      </c>
      <c r="H64"/>
      <c r="I64">
        <v>347.4</v>
      </c>
      <c r="J64"/>
      <c r="K64" s="37">
        <f t="shared" si="1"/>
        <v>729.2</v>
      </c>
      <c r="L64" s="38">
        <v>726.1</v>
      </c>
      <c r="M64" s="39">
        <f t="shared" si="3"/>
        <v>3.1000000000000227</v>
      </c>
      <c r="N64" s="39">
        <f t="shared" si="2"/>
        <v>347.4</v>
      </c>
      <c r="O64" s="40"/>
      <c r="P64"/>
      <c r="Q64" s="42"/>
    </row>
    <row r="65" spans="2:17" ht="15">
      <c r="B65" s="21">
        <v>4</v>
      </c>
      <c r="C65" s="21" t="s">
        <v>54</v>
      </c>
      <c r="D65" s="43"/>
      <c r="E65" s="43">
        <v>1.1</v>
      </c>
      <c r="F65" s="43">
        <v>55.5</v>
      </c>
      <c r="G65" s="43">
        <v>25.8</v>
      </c>
      <c r="H65"/>
      <c r="I65">
        <v>757</v>
      </c>
      <c r="J65">
        <v>173.2</v>
      </c>
      <c r="K65" s="37">
        <f t="shared" si="1"/>
        <v>1012.5999999999999</v>
      </c>
      <c r="L65" s="38">
        <v>989</v>
      </c>
      <c r="M65" s="39">
        <f t="shared" si="3"/>
        <v>23.59999999999991</v>
      </c>
      <c r="N65" s="39">
        <f t="shared" si="2"/>
        <v>930.2</v>
      </c>
      <c r="O65" s="40"/>
      <c r="P65"/>
      <c r="Q65" s="42"/>
    </row>
    <row r="66" spans="2:17" ht="15">
      <c r="B66" s="21">
        <v>4</v>
      </c>
      <c r="C66" s="21" t="s">
        <v>55</v>
      </c>
      <c r="D66" s="43">
        <v>112.3</v>
      </c>
      <c r="E66" s="43">
        <v>29.9</v>
      </c>
      <c r="F66" s="43">
        <v>-10.5</v>
      </c>
      <c r="G66" s="43">
        <v>16.2</v>
      </c>
      <c r="H66"/>
      <c r="I66">
        <v>928.1</v>
      </c>
      <c r="J66"/>
      <c r="K66" s="37">
        <f t="shared" si="1"/>
        <v>1076</v>
      </c>
      <c r="L66" s="38">
        <v>1062.5</v>
      </c>
      <c r="M66" s="39">
        <f t="shared" si="3"/>
        <v>13.5</v>
      </c>
      <c r="N66" s="39">
        <f t="shared" si="2"/>
        <v>928.1</v>
      </c>
      <c r="O66" s="40"/>
      <c r="P66"/>
      <c r="Q66" s="42"/>
    </row>
    <row r="67" spans="2:17" ht="15">
      <c r="B67" s="21">
        <v>4</v>
      </c>
      <c r="C67" s="21" t="s">
        <v>56</v>
      </c>
      <c r="D67" s="43">
        <v>1.3</v>
      </c>
      <c r="E67" s="43"/>
      <c r="F67" s="43"/>
      <c r="G67" s="43"/>
      <c r="H67"/>
      <c r="I67"/>
      <c r="J67"/>
      <c r="K67" s="37">
        <f aca="true" t="shared" si="4" ref="K67:K96">SUM(D67:J67)</f>
        <v>1.3</v>
      </c>
      <c r="L67" s="38">
        <v>1.3</v>
      </c>
      <c r="M67" s="39">
        <f t="shared" si="3"/>
        <v>0</v>
      </c>
      <c r="N67" s="39">
        <f aca="true" t="shared" si="5" ref="N67:N95">SUM(H67:J67)</f>
        <v>0</v>
      </c>
      <c r="O67" s="40"/>
      <c r="P67"/>
      <c r="Q67" s="42"/>
    </row>
    <row r="68" spans="2:17" ht="15">
      <c r="B68" s="21">
        <v>5</v>
      </c>
      <c r="C68" s="21" t="s">
        <v>57</v>
      </c>
      <c r="D68" s="43"/>
      <c r="E68" s="43"/>
      <c r="F68" s="43"/>
      <c r="G68" s="43"/>
      <c r="H68"/>
      <c r="I68">
        <v>150.8</v>
      </c>
      <c r="J68"/>
      <c r="K68" s="37">
        <f t="shared" si="4"/>
        <v>150.8</v>
      </c>
      <c r="L68" s="38">
        <v>150.8</v>
      </c>
      <c r="M68" s="39">
        <f t="shared" si="3"/>
        <v>0</v>
      </c>
      <c r="N68" s="39">
        <f t="shared" si="5"/>
        <v>150.8</v>
      </c>
      <c r="O68" s="40"/>
      <c r="P68"/>
      <c r="Q68" s="42"/>
    </row>
    <row r="69" spans="2:17" ht="15">
      <c r="B69" s="21">
        <v>5</v>
      </c>
      <c r="C69" s="21" t="s">
        <v>58</v>
      </c>
      <c r="D69" s="43"/>
      <c r="E69" s="43"/>
      <c r="F69" s="43"/>
      <c r="G69" s="43"/>
      <c r="H69"/>
      <c r="I69">
        <v>122.9</v>
      </c>
      <c r="J69">
        <v>15.9</v>
      </c>
      <c r="K69" s="37">
        <f t="shared" si="4"/>
        <v>138.8</v>
      </c>
      <c r="L69" s="38">
        <v>138.1</v>
      </c>
      <c r="M69" s="39">
        <f t="shared" si="3"/>
        <v>0.700000000000017</v>
      </c>
      <c r="N69" s="39">
        <f t="shared" si="5"/>
        <v>138.8</v>
      </c>
      <c r="O69" s="40"/>
      <c r="P69"/>
      <c r="Q69" s="42"/>
    </row>
    <row r="70" spans="2:17" ht="15">
      <c r="B70" s="21">
        <v>5</v>
      </c>
      <c r="C70" s="21" t="s">
        <v>59</v>
      </c>
      <c r="D70" s="43"/>
      <c r="E70" s="43"/>
      <c r="F70" s="43"/>
      <c r="G70" s="43"/>
      <c r="H70"/>
      <c r="I70">
        <v>150.1</v>
      </c>
      <c r="J70"/>
      <c r="K70" s="37">
        <f t="shared" si="4"/>
        <v>150.1</v>
      </c>
      <c r="L70" s="38">
        <v>149.8</v>
      </c>
      <c r="M70" s="39">
        <f aca="true" t="shared" si="6" ref="M70:M98">+K70-L70</f>
        <v>0.29999999999998295</v>
      </c>
      <c r="N70" s="39">
        <f t="shared" si="5"/>
        <v>150.1</v>
      </c>
      <c r="O70" s="40"/>
      <c r="P70"/>
      <c r="Q70" s="42"/>
    </row>
    <row r="71" spans="2:17" ht="15">
      <c r="B71" s="21">
        <v>5</v>
      </c>
      <c r="C71" s="21" t="s">
        <v>60</v>
      </c>
      <c r="D71" s="43"/>
      <c r="E71" s="43"/>
      <c r="F71" s="43"/>
      <c r="G71" s="43"/>
      <c r="H71"/>
      <c r="I71">
        <v>82.2</v>
      </c>
      <c r="J71"/>
      <c r="K71" s="37">
        <f t="shared" si="4"/>
        <v>82.2</v>
      </c>
      <c r="L71" s="38">
        <v>82.2</v>
      </c>
      <c r="M71" s="39">
        <f t="shared" si="6"/>
        <v>0</v>
      </c>
      <c r="N71" s="39">
        <f t="shared" si="5"/>
        <v>82.2</v>
      </c>
      <c r="O71" s="40"/>
      <c r="P71"/>
      <c r="Q71" s="42"/>
    </row>
    <row r="72" spans="2:17" ht="15">
      <c r="B72" s="21">
        <v>5</v>
      </c>
      <c r="C72" s="21" t="s">
        <v>61</v>
      </c>
      <c r="D72" s="43"/>
      <c r="E72" s="43"/>
      <c r="F72" s="43"/>
      <c r="G72" s="43"/>
      <c r="H72"/>
      <c r="I72">
        <v>85.9</v>
      </c>
      <c r="J72">
        <v>8.1</v>
      </c>
      <c r="K72" s="37">
        <f t="shared" si="4"/>
        <v>94</v>
      </c>
      <c r="L72" s="38">
        <v>93.6</v>
      </c>
      <c r="M72" s="39">
        <f t="shared" si="6"/>
        <v>0.4000000000000057</v>
      </c>
      <c r="N72" s="39">
        <f t="shared" si="5"/>
        <v>94</v>
      </c>
      <c r="O72" s="40"/>
      <c r="P72"/>
      <c r="Q72" s="42"/>
    </row>
    <row r="73" spans="2:17" ht="15">
      <c r="B73" s="21">
        <v>5</v>
      </c>
      <c r="C73" s="21" t="s">
        <v>62</v>
      </c>
      <c r="D73" s="43"/>
      <c r="E73" s="43"/>
      <c r="F73" s="43"/>
      <c r="G73" s="43"/>
      <c r="H73"/>
      <c r="I73">
        <v>129.4</v>
      </c>
      <c r="J73"/>
      <c r="K73" s="37">
        <f t="shared" si="4"/>
        <v>129.4</v>
      </c>
      <c r="L73" s="38">
        <v>129.4</v>
      </c>
      <c r="M73" s="39">
        <f t="shared" si="6"/>
        <v>0</v>
      </c>
      <c r="N73" s="39">
        <f t="shared" si="5"/>
        <v>129.4</v>
      </c>
      <c r="O73" s="40"/>
      <c r="P73"/>
      <c r="Q73" s="42"/>
    </row>
    <row r="74" spans="2:17" ht="15">
      <c r="B74" s="21">
        <v>5</v>
      </c>
      <c r="C74" s="21" t="s">
        <v>63</v>
      </c>
      <c r="D74" s="43">
        <v>11.9</v>
      </c>
      <c r="E74" s="43">
        <v>16</v>
      </c>
      <c r="F74" s="43">
        <v>5.5</v>
      </c>
      <c r="G74" s="43">
        <v>12.3</v>
      </c>
      <c r="H74"/>
      <c r="I74">
        <v>12.5</v>
      </c>
      <c r="J74"/>
      <c r="K74" s="37">
        <f t="shared" si="4"/>
        <v>58.2</v>
      </c>
      <c r="L74" s="38">
        <v>57.8</v>
      </c>
      <c r="M74" s="39">
        <f t="shared" si="6"/>
        <v>0.4000000000000057</v>
      </c>
      <c r="N74" s="39">
        <f t="shared" si="5"/>
        <v>12.5</v>
      </c>
      <c r="O74" s="40"/>
      <c r="P74"/>
      <c r="Q74" s="42"/>
    </row>
    <row r="75" spans="2:17" ht="15">
      <c r="B75" s="21">
        <v>6</v>
      </c>
      <c r="C75" s="21" t="s">
        <v>64</v>
      </c>
      <c r="D75" s="43"/>
      <c r="E75" s="43"/>
      <c r="F75" s="43"/>
      <c r="G75" s="43"/>
      <c r="H75"/>
      <c r="I75">
        <v>13.8</v>
      </c>
      <c r="J75"/>
      <c r="K75" s="37">
        <f t="shared" si="4"/>
        <v>13.8</v>
      </c>
      <c r="L75" s="38">
        <v>13.8</v>
      </c>
      <c r="M75" s="39">
        <f t="shared" si="6"/>
        <v>0</v>
      </c>
      <c r="N75" s="39">
        <f t="shared" si="5"/>
        <v>13.8</v>
      </c>
      <c r="O75" s="40"/>
      <c r="P75"/>
      <c r="Q75" s="42"/>
    </row>
    <row r="76" spans="2:17" ht="15">
      <c r="B76" s="21">
        <v>6</v>
      </c>
      <c r="C76" s="21" t="s">
        <v>65</v>
      </c>
      <c r="D76" s="43"/>
      <c r="E76" s="43">
        <v>15</v>
      </c>
      <c r="F76" s="43"/>
      <c r="G76" s="43"/>
      <c r="H76"/>
      <c r="I76"/>
      <c r="J76"/>
      <c r="K76" s="37">
        <f t="shared" si="4"/>
        <v>15</v>
      </c>
      <c r="L76" s="38">
        <v>15</v>
      </c>
      <c r="M76" s="39">
        <f t="shared" si="6"/>
        <v>0</v>
      </c>
      <c r="N76" s="39">
        <f t="shared" si="5"/>
        <v>0</v>
      </c>
      <c r="O76" s="40"/>
      <c r="P76"/>
      <c r="Q76" s="42"/>
    </row>
    <row r="77" spans="2:17" ht="15">
      <c r="B77" s="21">
        <v>6</v>
      </c>
      <c r="C77" s="21" t="s">
        <v>66</v>
      </c>
      <c r="D77" s="43"/>
      <c r="E77" s="43"/>
      <c r="F77" s="43"/>
      <c r="G77" s="43"/>
      <c r="H77"/>
      <c r="I77">
        <v>456.2</v>
      </c>
      <c r="J77"/>
      <c r="K77" s="37">
        <f t="shared" si="4"/>
        <v>456.2</v>
      </c>
      <c r="L77" s="38">
        <v>455</v>
      </c>
      <c r="M77" s="39">
        <f t="shared" si="6"/>
        <v>1.1999999999999886</v>
      </c>
      <c r="N77" s="39">
        <f t="shared" si="5"/>
        <v>456.2</v>
      </c>
      <c r="O77" s="40"/>
      <c r="P77"/>
      <c r="Q77" s="42"/>
    </row>
    <row r="78" spans="2:17" ht="15">
      <c r="B78" s="21">
        <v>6</v>
      </c>
      <c r="C78" s="21" t="s">
        <v>67</v>
      </c>
      <c r="D78" s="43"/>
      <c r="E78" s="43"/>
      <c r="F78" s="43"/>
      <c r="G78" s="43"/>
      <c r="H78"/>
      <c r="I78">
        <v>106.9</v>
      </c>
      <c r="J78"/>
      <c r="K78" s="37">
        <f t="shared" si="4"/>
        <v>106.9</v>
      </c>
      <c r="L78" s="38">
        <v>106.9</v>
      </c>
      <c r="M78" s="39">
        <f t="shared" si="6"/>
        <v>0</v>
      </c>
      <c r="N78" s="39">
        <f t="shared" si="5"/>
        <v>106.9</v>
      </c>
      <c r="O78" s="40"/>
      <c r="P78"/>
      <c r="Q78" s="42"/>
    </row>
    <row r="79" spans="2:17" ht="15">
      <c r="B79" s="21">
        <v>6</v>
      </c>
      <c r="C79" s="21" t="s">
        <v>68</v>
      </c>
      <c r="D79" s="43">
        <v>9.4</v>
      </c>
      <c r="E79" s="43"/>
      <c r="F79" s="43"/>
      <c r="G79" s="43"/>
      <c r="H79"/>
      <c r="I79"/>
      <c r="J79"/>
      <c r="K79" s="37">
        <f t="shared" si="4"/>
        <v>9.4</v>
      </c>
      <c r="L79" s="38">
        <v>9.4</v>
      </c>
      <c r="M79" s="39">
        <f t="shared" si="6"/>
        <v>0</v>
      </c>
      <c r="N79" s="39">
        <f t="shared" si="5"/>
        <v>0</v>
      </c>
      <c r="O79" s="40"/>
      <c r="P79"/>
      <c r="Q79" s="42"/>
    </row>
    <row r="80" spans="2:17" ht="15">
      <c r="B80" s="21">
        <v>7</v>
      </c>
      <c r="C80" s="21" t="s">
        <v>69</v>
      </c>
      <c r="D80" s="43">
        <v>32.2</v>
      </c>
      <c r="E80" s="43"/>
      <c r="F80" s="43"/>
      <c r="G80" s="43">
        <v>0.5</v>
      </c>
      <c r="H80"/>
      <c r="I80"/>
      <c r="J80"/>
      <c r="K80" s="37">
        <f t="shared" si="4"/>
        <v>32.7</v>
      </c>
      <c r="L80" s="38">
        <v>32.6</v>
      </c>
      <c r="M80" s="39">
        <f t="shared" si="6"/>
        <v>0.10000000000000142</v>
      </c>
      <c r="N80" s="39">
        <f t="shared" si="5"/>
        <v>0</v>
      </c>
      <c r="O80" s="40">
        <f>SUM(N80:N85)</f>
        <v>2892.3</v>
      </c>
      <c r="P80"/>
      <c r="Q80" s="42"/>
    </row>
    <row r="81" spans="2:17" ht="15">
      <c r="B81" s="21">
        <v>7</v>
      </c>
      <c r="C81" s="21" t="s">
        <v>70</v>
      </c>
      <c r="D81" s="43"/>
      <c r="E81" s="43"/>
      <c r="F81" s="43">
        <v>70.1</v>
      </c>
      <c r="G81" s="43">
        <v>4.5</v>
      </c>
      <c r="H81"/>
      <c r="I81">
        <v>39.3</v>
      </c>
      <c r="J81"/>
      <c r="K81" s="37">
        <f t="shared" si="4"/>
        <v>113.89999999999999</v>
      </c>
      <c r="L81" s="38">
        <v>112.9</v>
      </c>
      <c r="M81" s="39">
        <f t="shared" si="6"/>
        <v>0.9999999999999858</v>
      </c>
      <c r="N81" s="39">
        <f t="shared" si="5"/>
        <v>39.3</v>
      </c>
      <c r="O81" s="40"/>
      <c r="P81"/>
      <c r="Q81" s="42"/>
    </row>
    <row r="82" spans="2:17" ht="15">
      <c r="B82" s="21">
        <v>7</v>
      </c>
      <c r="C82" s="21" t="s">
        <v>71</v>
      </c>
      <c r="D82" s="43">
        <v>164</v>
      </c>
      <c r="E82" s="43">
        <v>238.2</v>
      </c>
      <c r="F82" s="43">
        <v>396.5</v>
      </c>
      <c r="G82" s="43">
        <v>32.4</v>
      </c>
      <c r="H82">
        <v>34.5</v>
      </c>
      <c r="I82">
        <v>424.6</v>
      </c>
      <c r="J82">
        <v>261</v>
      </c>
      <c r="K82" s="37">
        <f t="shared" si="4"/>
        <v>1551.2</v>
      </c>
      <c r="L82" s="38">
        <v>1773</v>
      </c>
      <c r="M82" s="39">
        <f t="shared" si="6"/>
        <v>-221.79999999999995</v>
      </c>
      <c r="N82" s="39">
        <f t="shared" si="5"/>
        <v>720.1</v>
      </c>
      <c r="O82" s="40"/>
      <c r="P82"/>
      <c r="Q82" s="42"/>
    </row>
    <row r="83" spans="2:17" ht="15">
      <c r="B83" s="21">
        <v>7</v>
      </c>
      <c r="C83" s="21" t="s">
        <v>72</v>
      </c>
      <c r="D83" s="43"/>
      <c r="E83" s="43"/>
      <c r="F83" s="43"/>
      <c r="G83" s="43"/>
      <c r="H83"/>
      <c r="I83">
        <v>284.2</v>
      </c>
      <c r="J83">
        <v>304.8</v>
      </c>
      <c r="K83" s="37">
        <f t="shared" si="4"/>
        <v>589</v>
      </c>
      <c r="L83" s="38">
        <v>936.2</v>
      </c>
      <c r="M83" s="39">
        <f t="shared" si="6"/>
        <v>-347.20000000000005</v>
      </c>
      <c r="N83" s="39">
        <f t="shared" si="5"/>
        <v>589</v>
      </c>
      <c r="O83" s="40"/>
      <c r="P83"/>
      <c r="Q83" s="42"/>
    </row>
    <row r="84" spans="2:17" ht="15">
      <c r="B84" s="21">
        <v>7</v>
      </c>
      <c r="C84" s="21" t="s">
        <v>73</v>
      </c>
      <c r="D84" s="43"/>
      <c r="E84" s="43"/>
      <c r="F84" s="43"/>
      <c r="G84" s="43"/>
      <c r="H84"/>
      <c r="I84">
        <v>800.4</v>
      </c>
      <c r="J84">
        <v>505.8</v>
      </c>
      <c r="K84" s="37">
        <f t="shared" si="4"/>
        <v>1306.2</v>
      </c>
      <c r="L84" s="38">
        <v>1272</v>
      </c>
      <c r="M84" s="39">
        <f t="shared" si="6"/>
        <v>34.200000000000045</v>
      </c>
      <c r="N84" s="39">
        <f t="shared" si="5"/>
        <v>1306.2</v>
      </c>
      <c r="O84" s="40"/>
      <c r="P84"/>
      <c r="Q84" s="42"/>
    </row>
    <row r="85" spans="2:17" ht="15">
      <c r="B85" s="21">
        <v>7</v>
      </c>
      <c r="C85" s="21" t="s">
        <v>74</v>
      </c>
      <c r="D85" s="43"/>
      <c r="E85" s="43"/>
      <c r="F85" s="43"/>
      <c r="G85" s="43"/>
      <c r="H85"/>
      <c r="I85">
        <v>180.6</v>
      </c>
      <c r="J85">
        <v>57.1</v>
      </c>
      <c r="K85" s="37">
        <f t="shared" si="4"/>
        <v>237.7</v>
      </c>
      <c r="L85" s="38">
        <v>237.6</v>
      </c>
      <c r="M85" s="39">
        <f t="shared" si="6"/>
        <v>0.09999999999999432</v>
      </c>
      <c r="N85" s="39">
        <f t="shared" si="5"/>
        <v>237.7</v>
      </c>
      <c r="O85" s="40"/>
      <c r="P85"/>
      <c r="Q85" s="42"/>
    </row>
    <row r="86" spans="2:17" ht="15">
      <c r="B86" s="21">
        <v>8</v>
      </c>
      <c r="C86" s="21" t="s">
        <v>75</v>
      </c>
      <c r="D86" s="43">
        <v>387.3</v>
      </c>
      <c r="E86" s="43">
        <v>873.1</v>
      </c>
      <c r="F86" s="43">
        <v>693.1</v>
      </c>
      <c r="G86" s="43">
        <v>601.6</v>
      </c>
      <c r="H86">
        <v>640.9</v>
      </c>
      <c r="I86">
        <v>554.5</v>
      </c>
      <c r="J86">
        <v>84.5</v>
      </c>
      <c r="K86" s="37">
        <f t="shared" si="4"/>
        <v>3835</v>
      </c>
      <c r="L86" s="38">
        <v>3868.1</v>
      </c>
      <c r="M86" s="39">
        <f t="shared" si="6"/>
        <v>-33.09999999999991</v>
      </c>
      <c r="N86" s="39">
        <f t="shared" si="5"/>
        <v>1279.9</v>
      </c>
      <c r="O86" s="40">
        <f>SUM(N54,N86:N95)</f>
        <v>4609.099999999999</v>
      </c>
      <c r="P86"/>
      <c r="Q86" s="42"/>
    </row>
    <row r="87" spans="2:17" ht="15">
      <c r="B87" s="21">
        <v>8</v>
      </c>
      <c r="C87" s="21" t="s">
        <v>76</v>
      </c>
      <c r="D87" s="43">
        <v>58.6</v>
      </c>
      <c r="E87" s="43">
        <v>88</v>
      </c>
      <c r="F87" s="43">
        <v>108.4</v>
      </c>
      <c r="G87" s="43">
        <v>175</v>
      </c>
      <c r="H87">
        <v>65.8</v>
      </c>
      <c r="I87">
        <v>36.7</v>
      </c>
      <c r="J87"/>
      <c r="K87" s="37">
        <f t="shared" si="4"/>
        <v>532.5</v>
      </c>
      <c r="L87" s="38">
        <v>531.4</v>
      </c>
      <c r="M87" s="39">
        <f t="shared" si="6"/>
        <v>1.1000000000000227</v>
      </c>
      <c r="N87" s="39">
        <f t="shared" si="5"/>
        <v>102.5</v>
      </c>
      <c r="O87" s="40"/>
      <c r="P87"/>
      <c r="Q87" s="42"/>
    </row>
    <row r="88" spans="2:17" ht="15">
      <c r="B88" s="21">
        <v>8</v>
      </c>
      <c r="C88" s="21" t="s">
        <v>77</v>
      </c>
      <c r="D88" s="43">
        <v>295.5</v>
      </c>
      <c r="E88" s="43">
        <v>669.6</v>
      </c>
      <c r="F88" s="43">
        <v>650.3</v>
      </c>
      <c r="G88" s="43">
        <v>665.6</v>
      </c>
      <c r="H88">
        <v>500.1</v>
      </c>
      <c r="I88">
        <v>246</v>
      </c>
      <c r="J88">
        <v>62.8</v>
      </c>
      <c r="K88" s="37">
        <f t="shared" si="4"/>
        <v>3089.9</v>
      </c>
      <c r="L88" s="38">
        <v>2918.4</v>
      </c>
      <c r="M88" s="39">
        <f t="shared" si="6"/>
        <v>171.5</v>
      </c>
      <c r="N88" s="39">
        <f t="shared" si="5"/>
        <v>808.9</v>
      </c>
      <c r="O88" s="40"/>
      <c r="P88"/>
      <c r="Q88" s="42"/>
    </row>
    <row r="89" spans="2:17" ht="15">
      <c r="B89" s="21">
        <v>8</v>
      </c>
      <c r="C89" s="21" t="s">
        <v>78</v>
      </c>
      <c r="D89" s="43">
        <v>178.8</v>
      </c>
      <c r="E89" s="43">
        <v>372.6</v>
      </c>
      <c r="F89" s="43">
        <v>135</v>
      </c>
      <c r="G89" s="43">
        <v>166.2</v>
      </c>
      <c r="H89">
        <v>183.6</v>
      </c>
      <c r="I89"/>
      <c r="J89"/>
      <c r="K89" s="37">
        <f t="shared" si="4"/>
        <v>1036.2</v>
      </c>
      <c r="L89" s="38">
        <v>1019.8</v>
      </c>
      <c r="M89" s="39">
        <f t="shared" si="6"/>
        <v>16.40000000000009</v>
      </c>
      <c r="N89" s="39">
        <f t="shared" si="5"/>
        <v>183.6</v>
      </c>
      <c r="O89" s="40"/>
      <c r="P89"/>
      <c r="Q89" s="42"/>
    </row>
    <row r="90" spans="2:17" ht="15">
      <c r="B90" s="21">
        <v>8</v>
      </c>
      <c r="C90" s="21" t="s">
        <v>79</v>
      </c>
      <c r="D90" s="43">
        <v>44.6</v>
      </c>
      <c r="E90" s="43">
        <v>188.8</v>
      </c>
      <c r="F90" s="43">
        <v>265.6</v>
      </c>
      <c r="G90" s="43">
        <v>471.5</v>
      </c>
      <c r="H90">
        <v>245.6</v>
      </c>
      <c r="I90"/>
      <c r="J90"/>
      <c r="K90" s="37">
        <f t="shared" si="4"/>
        <v>1216.1</v>
      </c>
      <c r="L90" s="38">
        <v>901.2</v>
      </c>
      <c r="M90" s="39">
        <f t="shared" si="6"/>
        <v>314.89999999999986</v>
      </c>
      <c r="N90" s="39">
        <f t="shared" si="5"/>
        <v>245.6</v>
      </c>
      <c r="O90" s="40"/>
      <c r="P90"/>
      <c r="Q90" s="42"/>
    </row>
    <row r="91" spans="2:17" ht="15">
      <c r="B91" s="21">
        <v>8</v>
      </c>
      <c r="C91" s="21" t="s">
        <v>80</v>
      </c>
      <c r="D91" s="43"/>
      <c r="E91" s="43"/>
      <c r="F91" s="43">
        <v>89.5</v>
      </c>
      <c r="G91" s="43">
        <v>149.3</v>
      </c>
      <c r="H91">
        <v>30.8</v>
      </c>
      <c r="I91">
        <v>31.6</v>
      </c>
      <c r="J91"/>
      <c r="K91" s="37">
        <f t="shared" si="4"/>
        <v>301.20000000000005</v>
      </c>
      <c r="L91" s="38">
        <v>487.1</v>
      </c>
      <c r="M91" s="39">
        <f t="shared" si="6"/>
        <v>-185.89999999999998</v>
      </c>
      <c r="N91" s="39">
        <f t="shared" si="5"/>
        <v>62.400000000000006</v>
      </c>
      <c r="O91" s="40"/>
      <c r="P91"/>
      <c r="Q91" s="42"/>
    </row>
    <row r="92" spans="2:17" ht="15">
      <c r="B92" s="21">
        <v>8</v>
      </c>
      <c r="C92" s="21" t="s">
        <v>81</v>
      </c>
      <c r="D92" s="43">
        <v>210.3</v>
      </c>
      <c r="E92" s="43">
        <v>113.8</v>
      </c>
      <c r="F92" s="43"/>
      <c r="G92" s="43">
        <v>0.5</v>
      </c>
      <c r="H92"/>
      <c r="I92"/>
      <c r="J92"/>
      <c r="K92" s="37">
        <f t="shared" si="4"/>
        <v>324.6</v>
      </c>
      <c r="L92" s="38">
        <v>324.6</v>
      </c>
      <c r="M92" s="39">
        <f t="shared" si="6"/>
        <v>0</v>
      </c>
      <c r="N92" s="39">
        <f t="shared" si="5"/>
        <v>0</v>
      </c>
      <c r="O92" s="40"/>
      <c r="P92"/>
      <c r="Q92" s="42"/>
    </row>
    <row r="93" spans="2:17" ht="15">
      <c r="B93" s="21">
        <v>8</v>
      </c>
      <c r="C93" s="21" t="s">
        <v>82</v>
      </c>
      <c r="D93" s="43">
        <v>41</v>
      </c>
      <c r="E93" s="43">
        <v>104.9</v>
      </c>
      <c r="F93" s="43"/>
      <c r="G93" s="43">
        <v>0.6</v>
      </c>
      <c r="H93"/>
      <c r="I93"/>
      <c r="J93"/>
      <c r="K93" s="37">
        <f t="shared" si="4"/>
        <v>146.5</v>
      </c>
      <c r="L93" s="38">
        <v>146.5</v>
      </c>
      <c r="M93" s="39">
        <f t="shared" si="6"/>
        <v>0</v>
      </c>
      <c r="N93" s="39">
        <f t="shared" si="5"/>
        <v>0</v>
      </c>
      <c r="O93" s="40"/>
      <c r="P93"/>
      <c r="Q93" s="42"/>
    </row>
    <row r="94" spans="2:17" ht="15">
      <c r="B94" s="21">
        <v>8</v>
      </c>
      <c r="C94" s="21" t="s">
        <v>83</v>
      </c>
      <c r="D94" s="43"/>
      <c r="E94" s="43"/>
      <c r="F94" s="43"/>
      <c r="G94" s="43"/>
      <c r="H94"/>
      <c r="I94">
        <v>224.3</v>
      </c>
      <c r="J94">
        <v>589.2</v>
      </c>
      <c r="K94" s="37">
        <f t="shared" si="4"/>
        <v>813.5</v>
      </c>
      <c r="L94" s="38">
        <v>807.4</v>
      </c>
      <c r="M94" s="39">
        <f t="shared" si="6"/>
        <v>6.100000000000023</v>
      </c>
      <c r="N94" s="39">
        <f t="shared" si="5"/>
        <v>813.5</v>
      </c>
      <c r="O94" s="40"/>
      <c r="P94"/>
      <c r="Q94" s="42"/>
    </row>
    <row r="95" spans="2:17" ht="15">
      <c r="B95" s="21">
        <v>8</v>
      </c>
      <c r="C95" s="21" t="s">
        <v>84</v>
      </c>
      <c r="D95" s="43">
        <v>112</v>
      </c>
      <c r="E95" s="43">
        <v>260.7</v>
      </c>
      <c r="F95" s="43">
        <v>406.8</v>
      </c>
      <c r="G95" s="43">
        <v>424.8</v>
      </c>
      <c r="H95">
        <v>331.5</v>
      </c>
      <c r="I95">
        <v>167.7</v>
      </c>
      <c r="J95"/>
      <c r="K95" s="37">
        <f t="shared" si="4"/>
        <v>1703.5</v>
      </c>
      <c r="L95" s="38">
        <v>1608.4</v>
      </c>
      <c r="M95" s="39">
        <f t="shared" si="6"/>
        <v>95.09999999999991</v>
      </c>
      <c r="N95" s="39">
        <f t="shared" si="5"/>
        <v>499.2</v>
      </c>
      <c r="O95" s="40"/>
      <c r="P95"/>
      <c r="Q95" s="42"/>
    </row>
    <row r="96" spans="2:17" ht="15">
      <c r="B96" s="21" t="s">
        <v>98</v>
      </c>
      <c r="C96" s="21" t="s">
        <v>130</v>
      </c>
      <c r="D96" s="43"/>
      <c r="E96" s="43"/>
      <c r="F96" s="43"/>
      <c r="G96" s="43">
        <v>1398</v>
      </c>
      <c r="H96">
        <v>2022</v>
      </c>
      <c r="I96">
        <v>3075</v>
      </c>
      <c r="J96">
        <v>132</v>
      </c>
      <c r="K96" s="37">
        <f t="shared" si="4"/>
        <v>6627</v>
      </c>
      <c r="L96" s="38">
        <v>7873.9</v>
      </c>
      <c r="M96" s="39">
        <f t="shared" si="6"/>
        <v>-1246.8999999999996</v>
      </c>
      <c r="N96" s="39"/>
      <c r="O96" s="40"/>
      <c r="P96"/>
      <c r="Q96" s="42"/>
    </row>
    <row r="97" spans="4:16" ht="15">
      <c r="D97" s="44"/>
      <c r="E97" s="44"/>
      <c r="F97" s="44"/>
      <c r="G97" s="44"/>
      <c r="H97" s="39"/>
      <c r="I97" s="39"/>
      <c r="J97" s="39"/>
      <c r="K97" s="37"/>
      <c r="L97" s="38"/>
      <c r="M97" s="39">
        <f t="shared" si="6"/>
        <v>0</v>
      </c>
      <c r="N97" s="39">
        <f>SUM(N2:N95)</f>
        <v>29725.800000000003</v>
      </c>
      <c r="O97" s="40"/>
      <c r="P97" s="39"/>
    </row>
    <row r="98" spans="3:13" ht="15">
      <c r="C98" s="23"/>
      <c r="D98" s="45">
        <f aca="true" t="shared" si="7" ref="D98:K98">SUM(D2:D96)</f>
        <v>6062.400000000001</v>
      </c>
      <c r="E98" s="45">
        <f t="shared" si="7"/>
        <v>13754.500000000002</v>
      </c>
      <c r="F98" s="45">
        <f t="shared" si="7"/>
        <v>18486.3</v>
      </c>
      <c r="G98" s="45">
        <f t="shared" si="7"/>
        <v>19142.999999999993</v>
      </c>
      <c r="H98" s="23">
        <f t="shared" si="7"/>
        <v>16698.199999999997</v>
      </c>
      <c r="I98" s="23">
        <f t="shared" si="7"/>
        <v>15823.7</v>
      </c>
      <c r="J98" s="23">
        <f t="shared" si="7"/>
        <v>2432.8999999999996</v>
      </c>
      <c r="K98" s="30">
        <f t="shared" si="7"/>
        <v>92400.99999999997</v>
      </c>
      <c r="L98" s="31">
        <f>SUM(L2:L96)</f>
        <v>92401.00000000001</v>
      </c>
      <c r="M98" s="22">
        <f t="shared" si="6"/>
        <v>0</v>
      </c>
    </row>
    <row r="99" spans="3:12" ht="15">
      <c r="C99" s="23"/>
      <c r="D99" s="23"/>
      <c r="E99" s="23"/>
      <c r="F99" s="23"/>
      <c r="G99" s="23"/>
      <c r="H99" s="23"/>
      <c r="I99" s="23"/>
      <c r="J99" s="23"/>
      <c r="K99" s="30">
        <f>SUM(K2:K95)</f>
        <v>85773.99999999997</v>
      </c>
      <c r="L99" s="31"/>
    </row>
    <row r="100" spans="3:12" ht="15">
      <c r="C100" s="23"/>
      <c r="D100" s="23"/>
      <c r="E100" s="23"/>
      <c r="F100" s="32"/>
      <c r="G100" s="23"/>
      <c r="H100" s="23"/>
      <c r="I100" s="23"/>
      <c r="J100" s="32" t="s">
        <v>134</v>
      </c>
      <c r="K100" s="25">
        <f>SUM(H96:J96)</f>
        <v>5229</v>
      </c>
      <c r="L100" s="27">
        <f>+K100/K101</f>
        <v>0.17590779726702058</v>
      </c>
    </row>
    <row r="101" spans="3:11" ht="15">
      <c r="C101" s="23"/>
      <c r="D101" s="23"/>
      <c r="E101" s="23"/>
      <c r="F101" s="23"/>
      <c r="G101" s="23"/>
      <c r="H101" s="23"/>
      <c r="I101" s="23"/>
      <c r="J101" s="32" t="s">
        <v>133</v>
      </c>
      <c r="K101" s="26">
        <f>SUM(H2:J95)</f>
        <v>29725.8</v>
      </c>
    </row>
    <row r="114" ht="15">
      <c r="M114" s="21">
        <v>54.327</v>
      </c>
    </row>
    <row r="115" spans="12:13" ht="15">
      <c r="L115" s="29" t="s">
        <v>99</v>
      </c>
      <c r="M115" s="21" t="s">
        <v>100</v>
      </c>
    </row>
    <row r="116" spans="12:13" ht="15">
      <c r="L116" s="29">
        <f>15.9/12</f>
        <v>1.325</v>
      </c>
      <c r="M116" s="21">
        <f>+N116*0.9</f>
        <v>0</v>
      </c>
    </row>
    <row r="117" spans="12:13" ht="15">
      <c r="L117" s="29">
        <f aca="true" t="shared" si="8" ref="L117:L127">15.9/12</f>
        <v>1.325</v>
      </c>
      <c r="M117" s="21">
        <f aca="true" t="shared" si="9" ref="M117:M127">+N117*0.9</f>
        <v>0</v>
      </c>
    </row>
    <row r="118" spans="12:13" ht="15">
      <c r="L118" s="29">
        <f t="shared" si="8"/>
        <v>1.325</v>
      </c>
      <c r="M118" s="21">
        <f t="shared" si="9"/>
        <v>0</v>
      </c>
    </row>
    <row r="119" spans="12:13" ht="15">
      <c r="L119" s="29">
        <f t="shared" si="8"/>
        <v>1.325</v>
      </c>
      <c r="M119" s="21">
        <f t="shared" si="9"/>
        <v>0</v>
      </c>
    </row>
    <row r="120" spans="12:13" ht="15">
      <c r="L120" s="29">
        <f t="shared" si="8"/>
        <v>1.325</v>
      </c>
      <c r="M120" s="21">
        <f t="shared" si="9"/>
        <v>0</v>
      </c>
    </row>
    <row r="121" spans="12:13" ht="15">
      <c r="L121" s="29">
        <f t="shared" si="8"/>
        <v>1.325</v>
      </c>
      <c r="M121" s="21">
        <f t="shared" si="9"/>
        <v>0</v>
      </c>
    </row>
    <row r="122" spans="12:13" ht="15">
      <c r="L122" s="29">
        <f t="shared" si="8"/>
        <v>1.325</v>
      </c>
      <c r="M122" s="21">
        <f t="shared" si="9"/>
        <v>0</v>
      </c>
    </row>
    <row r="123" spans="12:13" ht="15">
      <c r="L123" s="29">
        <f t="shared" si="8"/>
        <v>1.325</v>
      </c>
      <c r="M123" s="21">
        <f t="shared" si="9"/>
        <v>0</v>
      </c>
    </row>
    <row r="124" spans="12:13" ht="15">
      <c r="L124" s="29">
        <f t="shared" si="8"/>
        <v>1.325</v>
      </c>
      <c r="M124" s="21">
        <f t="shared" si="9"/>
        <v>0</v>
      </c>
    </row>
    <row r="125" spans="12:13" ht="15">
      <c r="L125" s="29">
        <f t="shared" si="8"/>
        <v>1.325</v>
      </c>
      <c r="M125" s="21">
        <f t="shared" si="9"/>
        <v>0</v>
      </c>
    </row>
    <row r="126" spans="12:13" ht="15">
      <c r="L126" s="29">
        <f t="shared" si="8"/>
        <v>1.325</v>
      </c>
      <c r="M126" s="21">
        <f t="shared" si="9"/>
        <v>0</v>
      </c>
    </row>
    <row r="127" spans="12:13" ht="15">
      <c r="L127" s="29">
        <f t="shared" si="8"/>
        <v>1.325</v>
      </c>
      <c r="M127" s="21">
        <f t="shared" si="9"/>
        <v>0</v>
      </c>
    </row>
  </sheetData>
  <printOptions gridLines="1" headings="1"/>
  <pageMargins left="0.66" right="0.17" top="0.43" bottom="0.49" header="0.17" footer="0.18"/>
  <pageSetup fitToHeight="2" fitToWidth="1" horizontalDpi="600" verticalDpi="600" orientation="landscape" scale="71" r:id="rId1"/>
  <headerFooter alignWithMargins="0">
    <oddFooter>&amp;LPage &amp;P of &amp;N&amp;R&amp;F     &amp;A    &amp;D  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rstrykowsky</cp:lastModifiedBy>
  <cp:lastPrinted>2006-10-25T12:56:53Z</cp:lastPrinted>
  <dcterms:created xsi:type="dcterms:W3CDTF">2006-09-27T13:21:34Z</dcterms:created>
  <dcterms:modified xsi:type="dcterms:W3CDTF">2006-10-25T13:06:52Z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