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drawings/drawing23.xml" ContentType="application/vnd.openxmlformats-officedocument.drawing+xml"/>
  <Override PartName="/xl/worksheets/sheet7.xml" ContentType="application/vnd.openxmlformats-officedocument.spreadsheetml.worksheet+xml"/>
  <Override PartName="/xl/drawings/drawing28.xml" ContentType="application/vnd.openxmlformats-officedocument.drawing+xml"/>
  <Override PartName="/xl/worksheets/sheet8.xml" ContentType="application/vnd.openxmlformats-officedocument.spreadsheetml.worksheet+xml"/>
  <Override PartName="/xl/drawings/drawing29.xml" ContentType="application/vnd.openxmlformats-officedocument.drawing+xml"/>
  <Override PartName="/xl/worksheets/sheet9.xml" ContentType="application/vnd.openxmlformats-officedocument.spreadsheetml.worksheet+xml"/>
  <Override PartName="/xl/drawings/drawing31.xml" ContentType="application/vnd.openxmlformats-officedocument.drawing+xml"/>
  <Override PartName="/xl/worksheets/sheet10.xml" ContentType="application/vnd.openxmlformats-officedocument.spreadsheetml.worksheet+xml"/>
  <Override PartName="/xl/drawings/drawing33.xml" ContentType="application/vnd.openxmlformats-officedocument.drawing+xml"/>
  <Override PartName="/xl/worksheets/sheet11.xml" ContentType="application/vnd.openxmlformats-officedocument.spreadsheetml.worksheet+xml"/>
  <Override PartName="/xl/drawings/drawing35.xml" ContentType="application/vnd.openxmlformats-officedocument.drawing+xml"/>
  <Override PartName="/xl/worksheets/sheet12.xml" ContentType="application/vnd.openxmlformats-officedocument.spreadsheetml.worksheet+xml"/>
  <Override PartName="/xl/drawings/drawing37.xml" ContentType="application/vnd.openxmlformats-officedocument.drawing+xml"/>
  <Override PartName="/xl/worksheets/sheet13.xml" ContentType="application/vnd.openxmlformats-officedocument.spreadsheetml.worksheet+xml"/>
  <Override PartName="/xl/drawings/drawing38.xml" ContentType="application/vnd.openxmlformats-officedocument.drawing+xml"/>
  <Override PartName="/xl/worksheets/sheet14.xml" ContentType="application/vnd.openxmlformats-officedocument.spreadsheetml.worksheet+xml"/>
  <Override PartName="/xl/drawings/drawing3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0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220" yWindow="615" windowWidth="12405" windowHeight="10650" tabRatio="914" activeTab="3"/>
  </bookViews>
  <sheets>
    <sheet name="Charts" sheetId="1" r:id="rId1"/>
    <sheet name="Summary" sheetId="2" r:id="rId2"/>
    <sheet name="BCWS by JOB" sheetId="3" r:id="rId3"/>
    <sheet name="FY08 MR worksheet" sheetId="4" r:id="rId4"/>
    <sheet name="ACWP by JOB" sheetId="5" r:id="rId5"/>
    <sheet name="BCWP by JOB" sheetId="6" r:id="rId6"/>
    <sheet name="critical path watch list" sheetId="7" r:id="rId7"/>
    <sheet name="COST PERFORMANCE BY RLM &amp; JOB" sheetId="8" r:id="rId8"/>
    <sheet name="TOTAL PROJECT REPORT" sheetId="9" r:id="rId9"/>
    <sheet name="Monthly Report-JIM" sheetId="10" r:id="rId10"/>
    <sheet name="Monthly Report-LARRY" sheetId="11" r:id="rId11"/>
    <sheet name="Monthly Report- PHIL" sheetId="12" r:id="rId12"/>
    <sheet name="Monthly Report-AL" sheetId="13" r:id="rId13"/>
    <sheet name="Contingency" sheetId="14" r:id="rId14"/>
    <sheet name="EAC calculation" sheetId="15" r:id="rId15"/>
    <sheet name="Summary analysis" sheetId="16" r:id="rId16"/>
    <sheet name="Baseline Reconciliation" sheetId="17" r:id="rId17"/>
  </sheets>
  <definedNames>
    <definedName name="_xlnm.Print_Area" localSheetId="4">'ACWP by JOB'!$A$1:$U$77</definedName>
    <definedName name="_xlnm.Print_Area" localSheetId="16">'Baseline Reconciliation'!$A$1:$R$145</definedName>
    <definedName name="_xlnm.Print_Area" localSheetId="5">'BCWP by JOB'!$A$1:$CE$77</definedName>
    <definedName name="_xlnm.Print_Area" localSheetId="2">'BCWS by JOB'!$A$1:$J$78</definedName>
    <definedName name="_xlnm.Print_Area" localSheetId="0">'Charts'!$M$1:$W$34,'Charts'!$A$36:$K$69,'Charts'!$M$36:$W$69,'Charts'!$A$1:$K$34</definedName>
    <definedName name="_xlnm.Print_Area" localSheetId="13">'Contingency'!$B$5:$K$83</definedName>
    <definedName name="_xlnm.Print_Area" localSheetId="7">'COST PERFORMANCE BY RLM &amp; JOB'!$A$6:$Y$37,'COST PERFORMANCE BY RLM &amp; JOB'!$A$39:$Y$89</definedName>
    <definedName name="_xlnm.Print_Area" localSheetId="6">'critical path watch list'!$K$7:$AA$50</definedName>
    <definedName name="_xlnm.Print_Area" localSheetId="3">'FY08 MR worksheet'!$B$1:$M$41</definedName>
    <definedName name="_xlnm.Print_Area" localSheetId="11">'Monthly Report- PHIL'!$A$2:$G$81</definedName>
    <definedName name="_xlnm.Print_Area" localSheetId="12">'Monthly Report-AL'!$A$2:$G$84</definedName>
    <definedName name="_xlnm.Print_Area" localSheetId="9">'Monthly Report-JIM'!$A$2:$G$79</definedName>
    <definedName name="_xlnm.Print_Area" localSheetId="10">'Monthly Report-LARRY'!$V$85:$AJ$104</definedName>
    <definedName name="_xlnm.Print_Area" localSheetId="1">'Summary'!$B$2:$K$128</definedName>
    <definedName name="_xlnm.Print_Area" localSheetId="15">'Summary analysis'!$B$3:$M$75</definedName>
    <definedName name="_xlnm.Print_Area" localSheetId="8">'TOTAL PROJECT REPORT'!$A$2:$G$83</definedName>
    <definedName name="_xlnm.Print_Titles" localSheetId="7">'COST PERFORMANCE BY RLM &amp; JOB'!$1:$5</definedName>
  </definedNames>
  <calcPr fullCalcOnLoad="1"/>
</workbook>
</file>

<file path=xl/sharedStrings.xml><?xml version="1.0" encoding="utf-8"?>
<sst xmlns="http://schemas.openxmlformats.org/spreadsheetml/2006/main" count="2771" uniqueCount="1159">
  <si>
    <t>MCI hardware (cost variance, ETC cost, and schedule delivery)</t>
  </si>
  <si>
    <t>Trim coils incl coil services &amp; install</t>
  </si>
  <si>
    <t>Opportunities</t>
  </si>
  <si>
    <t>Current critical path = -53 days (-2.5 months) as measured against preliminary assembly schedule (undergoing revision-action Viola/Strykowsky)</t>
  </si>
  <si>
    <t>WBS 5 I&amp;C Adv Concep design</t>
  </si>
  <si>
    <t>I&amp;C engr</t>
  </si>
  <si>
    <r>
      <t>Resource Requirements Priority 1 scope 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>)</t>
    </r>
  </si>
  <si>
    <r>
      <t>Resource Requirements Priority 2 scope(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 xml:space="preserve"> or $K)</t>
    </r>
  </si>
  <si>
    <t>Mech Designers</t>
  </si>
  <si>
    <t>Electrical Engrs</t>
  </si>
  <si>
    <t>FO&amp;M Engrs</t>
  </si>
  <si>
    <t>ORNL Engrs</t>
  </si>
  <si>
    <t>Procurement commitments carried over into fy09 (M&amp;S loaded)</t>
  </si>
  <si>
    <t>FO&amp;M Tech</t>
  </si>
  <si>
    <t>Reserach</t>
  </si>
  <si>
    <t>M&amp;S</t>
  </si>
  <si>
    <t>$342k</t>
  </si>
  <si>
    <t>ETC's (estimated)</t>
  </si>
  <si>
    <t>FY08 Plan (base plus ETC's)</t>
  </si>
  <si>
    <t>Other  accelerations- Priority 2 Scope</t>
  </si>
  <si>
    <t>1 fte analysis engr</t>
  </si>
  <si>
    <t>3.8 fte designer</t>
  </si>
  <si>
    <t>2.1 fte engr</t>
  </si>
  <si>
    <t>NB Armor Design (ornl)</t>
  </si>
  <si>
    <t>EAC=</t>
  </si>
  <si>
    <t xml:space="preserve">re-estimate </t>
  </si>
  <si>
    <t>Contingency @40%</t>
  </si>
  <si>
    <t>EAC Growth =</t>
  </si>
  <si>
    <t>Projected new baseline =</t>
  </si>
  <si>
    <t>Scope Add backs=</t>
  </si>
  <si>
    <t>Contingency on scope add-backs=</t>
  </si>
  <si>
    <t>Cost through April 30,2007=</t>
  </si>
  <si>
    <t>increase/ (decrease)</t>
  </si>
  <si>
    <t>Scope Add-backs =</t>
  </si>
  <si>
    <t>Design Reviews</t>
  </si>
  <si>
    <t>Fabrication/Assembly</t>
  </si>
  <si>
    <t>Float (mos.)</t>
  </si>
  <si>
    <t>EAC (overrun)/underrun =</t>
  </si>
  <si>
    <t>Schedule Slip (@$202k/mo.) =</t>
  </si>
  <si>
    <t>Cost Variance (overrun)/underrun =</t>
  </si>
  <si>
    <t>ISSUES</t>
  </si>
  <si>
    <t>1) Uncertainty in the component fabrication schedules requires urgency in meeting</t>
  </si>
  <si>
    <t>upcoming design review dates for the Trim Coils, PF coils, Base support structure, and Coil support structure</t>
  </si>
  <si>
    <t>2) The coil services lead design and fabrication schedule should be accelerated into FY08 to</t>
  </si>
  <si>
    <t>ensure supporting the field period assembly schedule. (requires add'l $231k in FY08)</t>
  </si>
  <si>
    <t>Additional candidates for acceleration include the cryogenic systems and cryostat design. (Requires add'l $405k in FY08)</t>
  </si>
  <si>
    <t>NOVEMBER 2007</t>
  </si>
  <si>
    <t>The schedule impact has increased from -1.9 mos last month to -2.5 mo. due to recent revision in station 2 task durations.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</si>
  <si>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</si>
  <si>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</si>
  <si>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</si>
  <si>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</si>
  <si>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</si>
  <si>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</si>
  <si>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</si>
  <si>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</si>
  <si>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</si>
  <si>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</si>
  <si>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</si>
  <si>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</si>
  <si>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</si>
  <si>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</si>
  <si>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</si>
  <si>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</si>
  <si>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</si>
  <si>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</si>
  <si>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</si>
  <si>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</si>
  <si>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</si>
  <si>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</si>
  <si>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</si>
  <si>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</si>
  <si>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</si>
  <si>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</si>
  <si>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</si>
  <si>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</si>
  <si>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</si>
  <si>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</si>
  <si>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</si>
  <si>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</si>
  <si>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</si>
  <si>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</si>
  <si>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</si>
  <si>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</si>
  <si>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</si>
  <si>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</si>
  <si>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</si>
  <si>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</si>
  <si>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</si>
  <si>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</si>
  <si>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</si>
  <si>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</si>
  <si>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</si>
  <si>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</si>
  <si>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</si>
  <si>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</si>
  <si>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</si>
  <si>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</si>
  <si>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</si>
  <si>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</si>
  <si>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</si>
  <si>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</si>
  <si>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</si>
  <si>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</si>
  <si>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</si>
  <si>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</si>
  <si>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Dimensional control plans for station 2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</si>
  <si>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</si>
  <si>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</si>
  <si>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</si>
  <si>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</si>
  <si>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</si>
  <si>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</si>
  <si>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</si>
  <si>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</si>
  <si>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</si>
  <si>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</si>
  <si>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</si>
  <si>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Fab, Test &amp; Deliver Coil #6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</si>
  <si>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</si>
  <si>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</si>
  <si>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</si>
  <si>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</si>
  <si>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</si>
  <si>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</si>
  <si>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</si>
  <si>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</si>
  <si>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</si>
  <si>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</si>
  <si>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</si>
  <si>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</si>
  <si>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</si>
  <si>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</si>
  <si>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</si>
  <si>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</si>
  <si>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</si>
  <si>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</si>
  <si>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</si>
  <si>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</si>
  <si>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</si>
  <si>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</si>
  <si>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</si>
  <si>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</si>
  <si>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</si>
  <si>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</si>
  <si>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</si>
  <si>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</si>
  <si>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</si>
  <si>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</si>
  <si>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</si>
  <si>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</si>
  <si>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</si>
  <si>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</si>
  <si>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</si>
  <si>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</si>
  <si>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</si>
  <si>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</si>
  <si>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</si>
  <si>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</si>
  <si>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</si>
  <si>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</si>
  <si>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</si>
  <si>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</si>
  <si>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</si>
  <si>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</si>
  <si>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</si>
  <si>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</si>
  <si>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</si>
  <si>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</si>
  <si>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</si>
  <si>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</si>
  <si>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</si>
  <si>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</si>
  <si>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</si>
  <si>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</si>
  <si>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</si>
  <si>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</si>
  <si>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</si>
  <si>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</si>
  <si>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</si>
  <si>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</si>
  <si>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</si>
  <si>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</si>
  <si>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</si>
  <si>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</si>
  <si>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</si>
  <si>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</si>
  <si>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</si>
  <si>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</si>
  <si>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</si>
  <si>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</si>
  <si>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</si>
  <si>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</si>
  <si>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</si>
  <si>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</si>
  <si>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</si>
  <si>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</si>
  <si>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</si>
  <si>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</si>
  <si>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</si>
  <si>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</si>
  <si>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</si>
  <si>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</si>
  <si>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</si>
  <si>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</si>
  <si>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</si>
  <si>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</si>
  <si>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</si>
  <si>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</si>
  <si>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</si>
  <si>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</si>
  <si>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</si>
  <si>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</si>
  <si>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</si>
  <si>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</si>
  <si>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</si>
  <si>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</si>
  <si>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</si>
  <si>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</si>
  <si>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</si>
  <si>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</si>
  <si>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</si>
  <si>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</si>
  <si>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</si>
  <si>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</si>
  <si>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</si>
  <si>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</si>
  <si>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</si>
  <si>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</si>
  <si>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</si>
  <si>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</si>
  <si>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</si>
  <si>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</si>
  <si>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</si>
  <si>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</si>
  <si>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</si>
  <si>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</si>
  <si>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</si>
  <si>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</si>
  <si>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</si>
  <si>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</si>
  <si>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</si>
  <si>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</si>
  <si>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</si>
  <si>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</si>
  <si>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</si>
  <si>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</si>
  <si>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</si>
  <si>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</si>
  <si>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</si>
  <si>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</si>
  <si>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</si>
  <si>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</si>
  <si>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</si>
  <si>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</si>
  <si>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</si>
  <si>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</si>
  <si>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</si>
  <si>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</si>
  <si>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</si>
  <si>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</si>
  <si>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</si>
  <si>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</si>
  <si>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</si>
  <si>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</si>
  <si>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</si>
  <si>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</si>
  <si>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</si>
  <si>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</si>
  <si>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</si>
  <si>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</si>
  <si>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</si>
  <si>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</si>
  <si>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</si>
  <si>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</si>
  <si>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</si>
  <si>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</si>
  <si>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</si>
  <si>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</si>
  <si>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</si>
  <si>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</si>
  <si>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</si>
  <si>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</si>
  <si>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</si>
  <si>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</si>
  <si>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</si>
  <si>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</si>
  <si>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</si>
  <si>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</si>
  <si>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</si>
  <si>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</si>
  <si>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</si>
  <si>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</si>
  <si>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</si>
  <si>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</si>
  <si>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</si>
  <si>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</si>
  <si>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</si>
  <si>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</si>
  <si>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</si>
  <si>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</si>
  <si>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</si>
  <si>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</si>
  <si>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</si>
  <si>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</si>
  <si>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</si>
  <si>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</si>
  <si>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</si>
  <si>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</si>
  <si>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</si>
  <si>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</si>
  <si>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</si>
  <si>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</si>
  <si>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</si>
  <si>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</si>
  <si>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</si>
  <si>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</si>
  <si>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</si>
  <si>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</si>
  <si>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</si>
  <si>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</si>
  <si>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</si>
  <si>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</si>
  <si>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</si>
  <si>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</si>
  <si>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</si>
  <si>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</si>
  <si>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</si>
  <si>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</si>
  <si>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</si>
  <si>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</si>
  <si>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</si>
  <si>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</si>
  <si>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</si>
  <si>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</si>
  <si>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</si>
  <si>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</si>
  <si>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</si>
  <si>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</si>
  <si>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</si>
  <si>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</si>
  <si>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</si>
  <si>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</si>
  <si>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</si>
  <si>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</si>
  <si>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</si>
  <si>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</si>
  <si>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</si>
  <si>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</si>
  <si>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Job 1429 Interface R&amp;D/Test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</si>
  <si>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</si>
  <si>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</si>
  <si>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</si>
  <si>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</si>
  <si>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</si>
  <si>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</si>
  <si>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</si>
  <si>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</si>
  <si>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</si>
  <si>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</si>
  <si>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</si>
  <si>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</si>
  <si>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</si>
  <si>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</si>
  <si>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</si>
  <si>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</si>
  <si>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</si>
  <si>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</si>
  <si>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</si>
  <si>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</si>
  <si>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</si>
  <si>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</si>
  <si>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</si>
  <si>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</si>
  <si>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</si>
  <si>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</si>
  <si>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</si>
  <si>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</si>
  <si>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</si>
  <si>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</si>
  <si>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</si>
  <si>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</si>
  <si>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</si>
  <si>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</si>
  <si>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</si>
  <si>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</si>
  <si>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</si>
  <si>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</si>
  <si>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</si>
  <si>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</si>
  <si>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</si>
  <si>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</si>
  <si>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</si>
  <si>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</si>
  <si>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</si>
  <si>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</si>
  <si>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</si>
  <si>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</si>
  <si>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</si>
  <si>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</si>
  <si>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</si>
  <si>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</si>
  <si>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</si>
  <si>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</si>
  <si>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</si>
  <si>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</si>
  <si>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</si>
  <si>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</si>
  <si>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</si>
  <si>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</si>
  <si>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</si>
  <si>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</si>
  <si>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</si>
  <si>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</si>
  <si>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</si>
  <si>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</si>
  <si>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</si>
  <si>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</si>
  <si>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</si>
  <si>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</si>
  <si>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</si>
  <si>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</si>
  <si>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</si>
  <si>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</si>
  <si>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</si>
  <si>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</si>
  <si>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</si>
  <si>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</si>
  <si>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</si>
  <si>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</si>
  <si>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</si>
  <si>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</si>
  <si>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</si>
  <si>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</si>
  <si>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</si>
  <si>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</si>
  <si>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</si>
  <si>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</si>
  <si>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</si>
  <si>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</si>
  <si>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</si>
  <si>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</si>
  <si>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</si>
  <si>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</si>
  <si>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</si>
  <si>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</si>
  <si>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</si>
  <si>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</si>
  <si>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</si>
  <si>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</si>
  <si>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</si>
  <si>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</si>
  <si>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</si>
  <si>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</si>
  <si>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</si>
  <si>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</si>
  <si>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</si>
  <si>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</si>
  <si>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</si>
  <si>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</si>
  <si>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</si>
  <si>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</si>
  <si>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</si>
  <si>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</si>
  <si>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</si>
  <si>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</si>
  <si>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</si>
  <si>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</si>
  <si>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</si>
  <si>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</si>
  <si>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</si>
  <si>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</si>
  <si>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</si>
  <si>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</si>
  <si>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</si>
  <si>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</si>
  <si>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</si>
  <si>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</si>
  <si>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</si>
  <si>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</si>
  <si>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</si>
  <si>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</si>
  <si>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</si>
  <si>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</si>
  <si>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</si>
  <si>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</si>
  <si>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</si>
  <si>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</si>
  <si>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</si>
  <si>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</si>
  <si>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</si>
  <si>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</si>
  <si>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</si>
  <si>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</si>
  <si>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</si>
  <si>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</si>
  <si>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</si>
  <si>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</si>
  <si>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</si>
  <si>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</si>
  <si>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</si>
  <si>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</si>
  <si>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</si>
  <si>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</si>
  <si>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</si>
  <si>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</si>
  <si>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</si>
  <si>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</si>
  <si>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</si>
  <si>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</si>
  <si>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</si>
  <si>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</si>
  <si>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</si>
  <si>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</si>
  <si>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</si>
  <si>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</si>
  <si>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</si>
  <si>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</si>
  <si>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</si>
  <si>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</si>
  <si>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</si>
  <si>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</si>
  <si>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</si>
  <si>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</si>
  <si>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</si>
  <si>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</si>
  <si>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</si>
  <si>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</si>
  <si>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</si>
  <si>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</si>
  <si>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</si>
  <si>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</si>
  <si>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</si>
  <si>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</si>
  <si>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</si>
  <si>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</si>
  <si>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</si>
  <si>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</si>
  <si>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</si>
  <si>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</si>
  <si>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</si>
  <si>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</si>
  <si>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</si>
  <si>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</si>
  <si>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</si>
  <si>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</si>
  <si>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</si>
  <si>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</si>
  <si>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</si>
  <si>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</si>
  <si>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</si>
  <si>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</si>
  <si>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METFY07R1</t>
  </si>
  <si>
    <t>01JUN07*</t>
  </si>
  <si>
    <t>01JUN07A</t>
  </si>
  <si>
    <t>1803-205</t>
  </si>
  <si>
    <t>11JUN07*</t>
  </si>
  <si>
    <t>11JUN07A</t>
  </si>
  <si>
    <t>25JUN07A</t>
  </si>
  <si>
    <t>29JUN07A</t>
  </si>
  <si>
    <t>1803-201</t>
  </si>
  <si>
    <t>01JUL07A</t>
  </si>
  <si>
    <t>1416-506</t>
  </si>
  <si>
    <t>20JUL07*</t>
  </si>
  <si>
    <t>20JUL07A</t>
  </si>
  <si>
    <t>INTRF-055</t>
  </si>
  <si>
    <t>METDCP-3</t>
  </si>
  <si>
    <t>1361C-104M</t>
  </si>
  <si>
    <t>1416-601</t>
  </si>
  <si>
    <t>01OCT07*</t>
  </si>
  <si>
    <t>1361C-106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</si>
  <si>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</si>
  <si>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</si>
  <si>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</si>
  <si>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</si>
  <si>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</si>
  <si>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</si>
  <si>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</si>
  <si>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schedule variance</t>
  </si>
  <si>
    <t>NCSX Cost Performance Report</t>
  </si>
  <si>
    <t>(Measured against unofficial proposed baseline)</t>
  </si>
  <si>
    <t>09AUG07A</t>
  </si>
  <si>
    <t>Variance target 1 early finish</t>
  </si>
  <si>
    <t>AB/BC/AA inboard interface - FDR</t>
  </si>
  <si>
    <t>05OCT07*</t>
  </si>
  <si>
    <t>PF Coils - FDR</t>
  </si>
  <si>
    <t>1702-515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</si>
  <si>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</si>
  <si>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</si>
  <si>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</si>
  <si>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</si>
  <si>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</si>
  <si>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</si>
  <si>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1702-525M</t>
  </si>
  <si>
    <t>Base Support Structure FDR</t>
  </si>
  <si>
    <t>CUMULATIVE</t>
  </si>
  <si>
    <t>MONTHLY</t>
  </si>
  <si>
    <t>sched variance</t>
  </si>
  <si>
    <t>Cost</t>
  </si>
  <si>
    <t>Baseline</t>
  </si>
  <si>
    <t>ECP drawdown</t>
  </si>
  <si>
    <t>BCWR</t>
  </si>
  <si>
    <t>(ECP Number)</t>
  </si>
  <si>
    <t>none</t>
  </si>
  <si>
    <t>ECP Schedule Drawdown</t>
  </si>
  <si>
    <t>period ending</t>
  </si>
  <si>
    <t>Target Drawdown Rate (%)</t>
  </si>
  <si>
    <t>Target Contingency Freebalance ($K)</t>
  </si>
  <si>
    <t>FREE BALANCE ($K)</t>
  </si>
  <si>
    <t>FREE BALANCE (% of ETC)</t>
  </si>
  <si>
    <t>FREE BALANCE (months)</t>
  </si>
  <si>
    <t>Target (months)</t>
  </si>
  <si>
    <t>Mod Coil Design</t>
  </si>
  <si>
    <t>1416/1421/1429</t>
  </si>
  <si>
    <t>Field Period Assy</t>
  </si>
  <si>
    <t>1802/1810/1815</t>
  </si>
  <si>
    <t>Mod Coil Winding Ops</t>
  </si>
  <si>
    <t>Design Integration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</si>
  <si>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</si>
  <si>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</si>
  <si>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</si>
  <si>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</si>
  <si>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</si>
  <si>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</si>
  <si>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</si>
  <si>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</si>
  <si>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</si>
  <si>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</si>
  <si>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</si>
  <si>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</si>
  <si>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</si>
  <si>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</si>
  <si>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</si>
  <si>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</si>
  <si>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</si>
  <si>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</si>
  <si>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Systems Analysis</t>
  </si>
  <si>
    <t>Diagnostic</t>
  </si>
  <si>
    <t>1302;1352</t>
  </si>
  <si>
    <t>CS Structure Procurement</t>
  </si>
  <si>
    <t>Trim Coil Design/Procurement</t>
  </si>
  <si>
    <t>I&amp;C Proc &amp; Coil Assy</t>
  </si>
  <si>
    <t>TF Fabrication</t>
  </si>
  <si>
    <t>Mod Coil Type AB Fnl Dsn</t>
  </si>
  <si>
    <t>1416;1421;1429</t>
  </si>
  <si>
    <t>Coil Structure Dsn/Proc</t>
  </si>
  <si>
    <t>1501;1550</t>
  </si>
  <si>
    <t>Coil Service Design</t>
  </si>
  <si>
    <t>Cryostat Dsn/Proc</t>
  </si>
  <si>
    <t>1701;1751</t>
  </si>
  <si>
    <t>Base support Structure Dsn/Proc</t>
  </si>
  <si>
    <t>1702;1752</t>
  </si>
  <si>
    <t>FP Assembly</t>
  </si>
  <si>
    <t>Stellarator Core Mngtt&amp;Integr</t>
  </si>
  <si>
    <t>3101;3601;3801;3901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</si>
  <si>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</si>
  <si>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</si>
  <si>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</si>
  <si>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</si>
  <si>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</si>
  <si>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</si>
  <si>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</si>
  <si>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</si>
  <si>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</si>
  <si>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</si>
  <si>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</si>
  <si>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</si>
  <si>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FY 2009 BCWP Cum</t>
  </si>
  <si>
    <t>FY 2010 BCWP Cum</t>
  </si>
  <si>
    <t>BUDGET to COMPLETE (from May 1,2007)</t>
  </si>
  <si>
    <t>% plan</t>
  </si>
  <si>
    <t>% work completed</t>
  </si>
  <si>
    <t>% spent</t>
  </si>
  <si>
    <t>Project start</t>
  </si>
  <si>
    <t>current date</t>
  </si>
  <si>
    <t>Baseline Finish</t>
  </si>
  <si>
    <t>current total float (work days from primavera)</t>
  </si>
  <si>
    <t>available 2 shift operation remaining on CP (mo.)</t>
  </si>
  <si>
    <t>Projected Finish</t>
  </si>
  <si>
    <t>Projected slip (mo.)</t>
  </si>
  <si>
    <t>= Stretchout cost impact @( $202k/mo.)</t>
  </si>
  <si>
    <t>= second shift supervision cost @ $64k/mo.</t>
  </si>
  <si>
    <t>BAC</t>
  </si>
  <si>
    <t>EAC (from cpr)</t>
  </si>
  <si>
    <t>ETC increase =</t>
  </si>
  <si>
    <t>Total Increase =</t>
  </si>
  <si>
    <t>Projected EAC =</t>
  </si>
  <si>
    <t>TEC =</t>
  </si>
  <si>
    <t>(under)/over =</t>
  </si>
  <si>
    <t>Total project</t>
  </si>
  <si>
    <t>Total Jim Anderson</t>
  </si>
  <si>
    <t>Total larry Dudek</t>
  </si>
  <si>
    <t>Total Phil Heitzenroeder</t>
  </si>
  <si>
    <t>Total Al vonHalle</t>
  </si>
  <si>
    <t xml:space="preserve">Total Jim Anderson </t>
  </si>
  <si>
    <t>Total Larry Dudek</t>
  </si>
  <si>
    <t>BCWS May 1,2007 - Sep 30,2007</t>
  </si>
  <si>
    <t>FY 2011 BCWS Monthly</t>
  </si>
  <si>
    <t>FY 2010 BCWS Monthly</t>
  </si>
  <si>
    <t>Total BCWS</t>
  </si>
  <si>
    <t>May Fy07</t>
  </si>
  <si>
    <t>May Fy08</t>
  </si>
  <si>
    <t>May Fy09</t>
  </si>
  <si>
    <t>May Fy10</t>
  </si>
  <si>
    <t xml:space="preserve">June Fy07 </t>
  </si>
  <si>
    <t>July Fy07</t>
  </si>
  <si>
    <t>BCWS Monthly</t>
  </si>
  <si>
    <t xml:space="preserve">Aug Fy07 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</si>
  <si>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</si>
  <si>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</si>
  <si>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</si>
  <si>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</si>
  <si>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</si>
  <si>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</si>
  <si>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</si>
  <si>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</si>
  <si>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</si>
  <si>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</si>
  <si>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</si>
  <si>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</si>
  <si>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</si>
  <si>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</si>
  <si>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</si>
  <si>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</si>
  <si>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</si>
  <si>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</si>
  <si>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</si>
  <si>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</si>
  <si>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</si>
  <si>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</si>
  <si>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</si>
  <si>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</si>
  <si>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</si>
  <si>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</si>
  <si>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</si>
  <si>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</si>
  <si>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</si>
  <si>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</si>
  <si>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</si>
  <si>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</si>
  <si>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</si>
  <si>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</si>
  <si>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</si>
  <si>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</si>
  <si>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</si>
  <si>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</si>
  <si>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</si>
  <si>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</si>
  <si>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BCWP Monthly</t>
  </si>
  <si>
    <t>BCWP Cum</t>
  </si>
  <si>
    <t>Engr Mgmt &amp; Sys Eng Sup</t>
  </si>
  <si>
    <t>Dimensional Cont Coordin</t>
  </si>
  <si>
    <t>PF Coil Des/Procurement</t>
  </si>
  <si>
    <t>ACWP Monthly</t>
  </si>
  <si>
    <t>EAC</t>
  </si>
  <si>
    <t>C=calculated  JM=Job Mgr estimate</t>
  </si>
  <si>
    <t>C</t>
  </si>
  <si>
    <t>JM</t>
  </si>
  <si>
    <t>WBS</t>
  </si>
  <si>
    <t>Mod Coil C-C Joint - FDR</t>
  </si>
  <si>
    <t>Total float</t>
  </si>
  <si>
    <t>EAC (overrun)/underrun</t>
  </si>
  <si>
    <t>Cost Variance (overrun)/underrun</t>
  </si>
  <si>
    <t>Schedule Slip (@$202k/mo.)</t>
  </si>
  <si>
    <t>NCSX</t>
  </si>
  <si>
    <t xml:space="preserve">COST and SCHEDULE </t>
  </si>
  <si>
    <t>PERFORMANCE REPORTS</t>
  </si>
  <si>
    <t xml:space="preserve">Sum of      EVC      </t>
  </si>
  <si>
    <t xml:space="preserve">1421 </t>
  </si>
  <si>
    <t xml:space="preserve">1431 </t>
  </si>
  <si>
    <t xml:space="preserve">1501 </t>
  </si>
  <si>
    <t xml:space="preserve">A </t>
  </si>
  <si>
    <t xml:space="preserve">8101 </t>
  </si>
  <si>
    <t xml:space="preserve">8102 </t>
  </si>
  <si>
    <t xml:space="preserve">8998 </t>
  </si>
  <si>
    <t>A  Total</t>
  </si>
  <si>
    <t xml:space="preserve">D </t>
  </si>
  <si>
    <t xml:space="preserve">1204 </t>
  </si>
  <si>
    <t xml:space="preserve">1250 </t>
  </si>
  <si>
    <t xml:space="preserve">1408 </t>
  </si>
  <si>
    <t xml:space="preserve">1451 </t>
  </si>
  <si>
    <t xml:space="preserve">1459 </t>
  </si>
  <si>
    <t xml:space="preserve">1802 </t>
  </si>
  <si>
    <t xml:space="preserve">1803 </t>
  </si>
  <si>
    <t xml:space="preserve">1810 </t>
  </si>
  <si>
    <t xml:space="preserve">1815 </t>
  </si>
  <si>
    <t xml:space="preserve">2101 </t>
  </si>
  <si>
    <t xml:space="preserve">2201 </t>
  </si>
  <si>
    <t xml:space="preserve">3101 </t>
  </si>
  <si>
    <t xml:space="preserve">3601 </t>
  </si>
  <si>
    <t xml:space="preserve">3801 </t>
  </si>
  <si>
    <t xml:space="preserve">3901 </t>
  </si>
  <si>
    <t xml:space="preserve">6101 </t>
  </si>
  <si>
    <t xml:space="preserve">6201 </t>
  </si>
  <si>
    <t xml:space="preserve">6301 </t>
  </si>
  <si>
    <t xml:space="preserve">6401 </t>
  </si>
  <si>
    <t xml:space="preserve">7301 </t>
  </si>
  <si>
    <t xml:space="preserve">7401 </t>
  </si>
  <si>
    <t xml:space="preserve">7501 </t>
  </si>
  <si>
    <t xml:space="preserve">7503 </t>
  </si>
  <si>
    <t xml:space="preserve">7601 </t>
  </si>
  <si>
    <t>D  Total</t>
  </si>
  <si>
    <t xml:space="preserve">H </t>
  </si>
  <si>
    <t xml:space="preserve">1302 </t>
  </si>
  <si>
    <t xml:space="preserve">1352 </t>
  </si>
  <si>
    <t xml:space="preserve">1353 </t>
  </si>
  <si>
    <t xml:space="preserve">1354 </t>
  </si>
  <si>
    <t xml:space="preserve">1355 </t>
  </si>
  <si>
    <t xml:space="preserve">1361 </t>
  </si>
  <si>
    <t xml:space="preserve">1404 </t>
  </si>
  <si>
    <t xml:space="preserve">1411 </t>
  </si>
  <si>
    <t xml:space="preserve">1416 </t>
  </si>
  <si>
    <t xml:space="preserve">1429 </t>
  </si>
  <si>
    <t xml:space="preserve">1550 </t>
  </si>
  <si>
    <t xml:space="preserve">1601 </t>
  </si>
  <si>
    <t xml:space="preserve">1701 </t>
  </si>
  <si>
    <t xml:space="preserve">1702 </t>
  </si>
  <si>
    <t xml:space="preserve">1751 </t>
  </si>
  <si>
    <t xml:space="preserve">1752 </t>
  </si>
  <si>
    <t xml:space="preserve">1806 </t>
  </si>
  <si>
    <t xml:space="preserve">1901 </t>
  </si>
  <si>
    <t xml:space="preserve">8202 </t>
  </si>
  <si>
    <t xml:space="preserve">8203 </t>
  </si>
  <si>
    <t xml:space="preserve">8204 </t>
  </si>
  <si>
    <t xml:space="preserve">8205 </t>
  </si>
  <si>
    <t xml:space="preserve">8210 </t>
  </si>
  <si>
    <t xml:space="preserve">8215 </t>
  </si>
  <si>
    <t>H  Total</t>
  </si>
  <si>
    <t xml:space="preserve">V </t>
  </si>
  <si>
    <t xml:space="preserve">4101 </t>
  </si>
  <si>
    <t xml:space="preserve">4301 </t>
  </si>
  <si>
    <t xml:space="preserve">4401 </t>
  </si>
  <si>
    <t xml:space="preserve">4501 </t>
  </si>
  <si>
    <t xml:space="preserve">5101 </t>
  </si>
  <si>
    <t xml:space="preserve">5201 </t>
  </si>
  <si>
    <t xml:space="preserve">5301 </t>
  </si>
  <si>
    <t xml:space="preserve">5401 </t>
  </si>
  <si>
    <t xml:space="preserve">5501 </t>
  </si>
  <si>
    <t xml:space="preserve">5601 </t>
  </si>
  <si>
    <t xml:space="preserve">5801 </t>
  </si>
  <si>
    <t xml:space="preserve">8501 </t>
  </si>
  <si>
    <t>V  Total</t>
  </si>
  <si>
    <t>Grand Total</t>
  </si>
  <si>
    <t>notes</t>
  </si>
  <si>
    <t>updated baseline to include trim coil 36 coil set</t>
  </si>
  <si>
    <t>Mod Coil Winding Ops Punch list</t>
  </si>
  <si>
    <t>27NOV07*</t>
  </si>
  <si>
    <t>P3-171VM</t>
  </si>
  <si>
    <t>COMPLETE VPI OF 18th MOD COIL</t>
  </si>
  <si>
    <t>1803-6.6</t>
  </si>
  <si>
    <t xml:space="preserve"> Station 6 FDR</t>
  </si>
  <si>
    <t>Critical path Schedule Slip (months)</t>
  </si>
  <si>
    <t>TOTAL TEC =</t>
  </si>
  <si>
    <t>Total project (May 1 through completion)</t>
  </si>
  <si>
    <t>Cost Through April 2007 =</t>
  </si>
  <si>
    <t>Contingency =</t>
  </si>
  <si>
    <t>Total TEC =</t>
  </si>
  <si>
    <t>Cost to date =</t>
  </si>
  <si>
    <t>Cumulative from May 1st, 2007 =</t>
  </si>
  <si>
    <t>BCWR (work to go) =</t>
  </si>
  <si>
    <t>Cost Variance =</t>
  </si>
  <si>
    <t>Schedule Variance =</t>
  </si>
  <si>
    <t>Major Cost Variances</t>
  </si>
  <si>
    <t>Mod Coil Punch List</t>
  </si>
  <si>
    <t>FP Assy tooling (job 1803)</t>
  </si>
  <si>
    <t>Systems Analysis (job 8204)</t>
  </si>
  <si>
    <t>CPI = .76</t>
  </si>
  <si>
    <t>Award Coil Support Structure</t>
  </si>
  <si>
    <t>16JUN08*</t>
  </si>
  <si>
    <t>28APR08*</t>
  </si>
  <si>
    <t>Forecast</t>
  </si>
  <si>
    <t>Level II milestone status (near term)</t>
  </si>
  <si>
    <t>Contingency</t>
  </si>
  <si>
    <t>Planned =</t>
  </si>
  <si>
    <t>Drawdown to date =</t>
  </si>
  <si>
    <t>Current free balance contingency on remaining scope =</t>
  </si>
  <si>
    <t>Cost Performance</t>
  </si>
  <si>
    <t>Critical path assessment</t>
  </si>
  <si>
    <t>Risks (from updated risk registry)</t>
  </si>
  <si>
    <t>Contents</t>
  </si>
  <si>
    <t>Page</t>
  </si>
  <si>
    <t>Cost Performance Report (CPR)</t>
  </si>
  <si>
    <t>Summary</t>
  </si>
  <si>
    <t>4-5</t>
  </si>
  <si>
    <t>6-9</t>
  </si>
  <si>
    <t>Performance Curves</t>
  </si>
  <si>
    <t>Milestones</t>
  </si>
  <si>
    <t>Contingency Analysis</t>
  </si>
  <si>
    <t>Critical Path</t>
  </si>
  <si>
    <t>10-11</t>
  </si>
  <si>
    <t>12</t>
  </si>
  <si>
    <t>13</t>
  </si>
  <si>
    <t>Schedule Total Float (work days)</t>
  </si>
  <si>
    <t>July</t>
  </si>
  <si>
    <t>Sept</t>
  </si>
  <si>
    <t>Job: 1803/1805- FPA Tooling/Constr-BROWN -</t>
  </si>
  <si>
    <t>Job: 1803/1805- FPA Tooling/Constr-BROWN -Station 3</t>
  </si>
  <si>
    <t>Job: 1803/1805- FPA Tooling/Constr-BROWN -Station 5</t>
  </si>
  <si>
    <t>Job: 1803/1805- FPA Tooling/Constr-BROWN -Station 6</t>
  </si>
  <si>
    <t>Job: 1806 - FP Assembly specs-COLE-</t>
  </si>
  <si>
    <t>Job: 1806 - FP Assembly specs-COLE-Station 2</t>
  </si>
  <si>
    <t>Job: 1806 - FP Assembly specs-COLE-Station 3</t>
  </si>
  <si>
    <t>Job: 1806 - FP Assembly specs-COLE-Station 5</t>
  </si>
  <si>
    <t>FDR Forecast Date =</t>
  </si>
  <si>
    <t>2/5/2008</t>
  </si>
  <si>
    <t>4/17/2008</t>
  </si>
  <si>
    <t>5/23/2008</t>
  </si>
  <si>
    <t>3/6/2008</t>
  </si>
  <si>
    <t>11/27/2007</t>
  </si>
  <si>
    <t>12/7/2007</t>
  </si>
  <si>
    <t>8/10/2009</t>
  </si>
  <si>
    <t>4/28/2008</t>
  </si>
  <si>
    <t>2/19/2008</t>
  </si>
  <si>
    <t>6/4/2008</t>
  </si>
  <si>
    <t>FDR Forecast Date =2/5/2008</t>
  </si>
  <si>
    <t>FDR Forecast Date =4/17/2008</t>
  </si>
  <si>
    <t>FDR Forecast Date =5/23/2008</t>
  </si>
  <si>
    <t>FDR Forecast Date =3/6/2008</t>
  </si>
  <si>
    <t>FDR Forecast Date =11/27/2007</t>
  </si>
  <si>
    <t>FDR Forecast Date =12/7/2007</t>
  </si>
  <si>
    <t>FDR Forecast Date =8/10/2009</t>
  </si>
  <si>
    <t>FDR Forecast Date =4/28/2008</t>
  </si>
  <si>
    <t>FDR Forecast Date =2/19/2008</t>
  </si>
  <si>
    <t>FDR Forecast Date =6/4/2008</t>
  </si>
  <si>
    <t>Total Float Trend (float in days/monthly status period)</t>
  </si>
  <si>
    <t xml:space="preserve">RLMS  </t>
  </si>
  <si>
    <t xml:space="preserve">JJJJ  </t>
  </si>
  <si>
    <t>Total</t>
  </si>
  <si>
    <t>oct</t>
  </si>
  <si>
    <t>nov</t>
  </si>
  <si>
    <t>BCWP May 1,2007 - Nov 30,2007</t>
  </si>
  <si>
    <t>A - Jjm Anderson</t>
  </si>
  <si>
    <t xml:space="preserve">Job: 8102 - NCSX MjE Management ORNL-LYON       </t>
  </si>
  <si>
    <t xml:space="preserve">Job: 8998 - Allocatjons-STRYKOWSKY              </t>
  </si>
  <si>
    <t>Total Jjm Anderson</t>
  </si>
  <si>
    <t xml:space="preserve">Job: 1250 - Vacuum Vessel Fabrjcatjon**CLOSED** </t>
  </si>
  <si>
    <t xml:space="preserve">Job: 1408 - MC Wjndjng Suppljes-CHRZANOWSKj     </t>
  </si>
  <si>
    <t xml:space="preserve">Job: 1431 - Mod. Cojl jnterface Hardware-DUDEK  </t>
  </si>
  <si>
    <t xml:space="preserve">Job: 1451 - Mod Cojl Wjndjng-CHRZANOWSKj        </t>
  </si>
  <si>
    <t>Job: 1459 - Mod Cojl Fabr.Punch Ljst-CHRZANOWSKj</t>
  </si>
  <si>
    <t xml:space="preserve">Job: 1802 - FP Assy Oversjght&amp;Support-VjOLA     </t>
  </si>
  <si>
    <t xml:space="preserve">Job: 1803/1805- FPA Tooljng/Constr-BROWN/DUDEK  </t>
  </si>
  <si>
    <t>Job:1810-Fjeld Perjod Assy -Statjon 1 2 3  VjOLA</t>
  </si>
  <si>
    <t>Job: 1815 - Fjeld Perjod Assy</t>
  </si>
  <si>
    <t xml:space="preserve">Job: 2101 - Fueljng Systems-BLANCHARD           </t>
  </si>
  <si>
    <t xml:space="preserve">Job: 2201 - Vacuum Pumpjng Systems-BLANCHARD    </t>
  </si>
  <si>
    <t xml:space="preserve">Job: 3101 - Magnetjc Djagnostjcs-STRATTON       </t>
  </si>
  <si>
    <t xml:space="preserve">Job: 3601 - Edge Djvertor Djagnostjcs-STRATTON  </t>
  </si>
  <si>
    <t xml:space="preserve">Job: 3801 - Electron Beam Mappjng-STRATTON      </t>
  </si>
  <si>
    <t>Job: 3901 - Djagnostjcs sys jntegratjon-STRATTON</t>
  </si>
  <si>
    <t xml:space="preserve">Job: 6201 - Cryogenjc Syst-GETTELFjNGER         </t>
  </si>
  <si>
    <t xml:space="preserve">Job: 6301 - Utjljty Systems-DUDEK               </t>
  </si>
  <si>
    <t>Job: 6401 - PFC/VV Htng/Cooljng(bakeout)- KALjSH</t>
  </si>
  <si>
    <t>Job: 7301 - Platform Desjgn &amp;</t>
  </si>
  <si>
    <t xml:space="preserve">Job: 7401 - TC Prep &amp; Mach Assy Plannjng-PERRY  </t>
  </si>
  <si>
    <t xml:space="preserve">Job: 7501 - Constructjon Support Crew-PERRY     </t>
  </si>
  <si>
    <t xml:space="preserve">Job: 7503 - Machjne Assembly (statjon 6)-PERRY  </t>
  </si>
  <si>
    <t xml:space="preserve">Job: 7601 - Tooljng Desjgn &amp; Fabrjcatjon-PERRY  </t>
  </si>
  <si>
    <t>H - Phjl Hejtzenroeder</t>
  </si>
  <si>
    <t xml:space="preserve">Job: 1302 - PF  Desjgn -KALjSH                  </t>
  </si>
  <si>
    <t xml:space="preserve">Job: 1352 - PF Cojl Procurement-KALjSH          </t>
  </si>
  <si>
    <t>Job: 1354 - Trjm Cojl Desjgn &amp;Procurement-KALjSH</t>
  </si>
  <si>
    <t>Job: 1355 - WBS 13 j&amp;C Proc and Cojl Assy-KALjSH</t>
  </si>
  <si>
    <t xml:space="preserve">Job: 1361 - TF Fabrjcatjon-KALjSH               </t>
  </si>
  <si>
    <t xml:space="preserve">Job: 1411 - MCWF Fabr. S005242-HEjTZENROEDER    </t>
  </si>
  <si>
    <t xml:space="preserve">Job: 1416 - Mod Cojl Type AB Fnl Dsn-WjLLjAMSON </t>
  </si>
  <si>
    <t>Job: 1421 - Mod Cojl jnterface Desjgn-WjLLjAMSON</t>
  </si>
  <si>
    <t xml:space="preserve">Job: 1429 - MC jnterface R&amp;D-GETTELFjNGER       </t>
  </si>
  <si>
    <t xml:space="preserve">Job: 1501 - Cojl Structures  Desjgn-DAHLGREN    </t>
  </si>
  <si>
    <t xml:space="preserve">Job: 1550 - Cojl Struct. Procurement -DAHLGREN  </t>
  </si>
  <si>
    <t xml:space="preserve">Job: 1601 - Cojl Servjces  Desjgn-GORANSON      </t>
  </si>
  <si>
    <t xml:space="preserve">Job: 1701 - Cryostat Desjgn-GETTLEFjNGER        </t>
  </si>
  <si>
    <t xml:space="preserve">Job: 1702 - Base Support Struct Desjgn-DAHLGREN </t>
  </si>
  <si>
    <t xml:space="preserve">Job: 1751 - Cryostat Procurement-GETTLEFjNGER   </t>
  </si>
  <si>
    <t xml:space="preserve">Job: 1901 - Stellarator Core Mngtt&amp;jntegr-COLE  </t>
  </si>
  <si>
    <t>Job: 8202 - Engr Mgmt &amp; Sys Eng Support-REjERSEN</t>
  </si>
  <si>
    <t xml:space="preserve">Job: 8203 - Desjgn jntegratjon-BROWN            </t>
  </si>
  <si>
    <t xml:space="preserve">Job: 8204 - Systems Analysjs-BROOKS             </t>
  </si>
  <si>
    <t xml:space="preserve">Job: 8205 - Djmensjonal Control Coordjn-ELLjS   </t>
  </si>
  <si>
    <t xml:space="preserve">Job: 8210 - FY07 Rebaseljng tasks               </t>
  </si>
  <si>
    <t>Job: 8215 Plant Desjgn</t>
  </si>
  <si>
    <t>Total Phjl Hejtzenroeder</t>
  </si>
  <si>
    <t xml:space="preserve">Job: 4101 - AC Power-RAMAKRjSHNAN               </t>
  </si>
  <si>
    <t xml:space="preserve">Job: 4301 - DC Systems-RAMAKRjSHNAN             </t>
  </si>
  <si>
    <t xml:space="preserve">Job: 4401 - Control &amp; Protectjon-RAMAKRjSHNAN   </t>
  </si>
  <si>
    <t xml:space="preserve">Job: 4501 - Power Sys Dsn &amp; jntegr-RAMAKRjSHNAN </t>
  </si>
  <si>
    <t>Job: 5101 - Network and Fjber</t>
  </si>
  <si>
    <t xml:space="preserve">Job: 5201 - j&amp;C Systems-SjCHTA                  </t>
  </si>
  <si>
    <t xml:space="preserve">Job: 5301 - Data Acqujsjtjon-SjCHTA             </t>
  </si>
  <si>
    <t>Job: 5401 - Facjljty Tjmjng &amp;</t>
  </si>
  <si>
    <t>Job: 5501 - Real Tjme Control</t>
  </si>
  <si>
    <t>Job: 5601 - Central Safety &amp;jnterlock Sys-SjCHTA</t>
  </si>
  <si>
    <t>Job: 5801 - Central j&amp;C jntegr&amp; Oversjght-SjCHTA</t>
  </si>
  <si>
    <t xml:space="preserve">Job: 8501 - jntegrated Systems Testjng-GENTjLE  </t>
  </si>
  <si>
    <t>BCWS May 1,2007 - Nov 30,2007</t>
  </si>
  <si>
    <t>ACWP May 1,2007 - Nov 30,2007</t>
  </si>
  <si>
    <t>-52 overrun in FY07 &amp; 31k projection for fy08</t>
  </si>
  <si>
    <t>Dudek</t>
  </si>
  <si>
    <t>Lyon</t>
  </si>
  <si>
    <t>Strykowsky</t>
  </si>
  <si>
    <t>strykowsky</t>
  </si>
  <si>
    <t>kalish/strykowsky</t>
  </si>
  <si>
    <t>goranson/strykowsky</t>
  </si>
  <si>
    <t>stratton</t>
  </si>
  <si>
    <t>blanchard</t>
  </si>
  <si>
    <t>goranson</t>
  </si>
  <si>
    <t>scope add-back</t>
  </si>
  <si>
    <t>sichta</t>
  </si>
  <si>
    <t>re-estimate</t>
  </si>
  <si>
    <t>simmons</t>
  </si>
  <si>
    <t>strykowsky/brown</t>
  </si>
  <si>
    <t>Project stretch-out cost (@$202k /mo.) =</t>
  </si>
  <si>
    <t>scope add-back and 40% contingency</t>
  </si>
  <si>
    <t>strecthout cost</t>
  </si>
  <si>
    <t>Lifts, transportation, add'l re-work</t>
  </si>
  <si>
    <t>Period May 1, 2007 through November 30, 2007</t>
  </si>
  <si>
    <t>Milestones (near term look ahead)</t>
  </si>
  <si>
    <t>27NOV07A</t>
  </si>
  <si>
    <t>191-002</t>
  </si>
  <si>
    <t>LN2 manifolds&amp;piping- PDR</t>
  </si>
  <si>
    <t>PG</t>
  </si>
  <si>
    <t>TRIM-101</t>
  </si>
  <si>
    <t>** Trim Coil PDR **</t>
  </si>
  <si>
    <t>162-036.9</t>
  </si>
  <si>
    <t xml:space="preserve">Group 1         </t>
  </si>
  <si>
    <t>1302-225</t>
  </si>
  <si>
    <t>PF Coils - PDR</t>
  </si>
  <si>
    <t>X</t>
  </si>
  <si>
    <t>TRIM-221</t>
  </si>
  <si>
    <t>** Trim Coil + Structure FDR **</t>
  </si>
  <si>
    <t>S21-11.07M</t>
  </si>
  <si>
    <t>Complete 1st MCHP Assy (Sta 2)</t>
  </si>
  <si>
    <t xml:space="preserve"> task- </t>
  </si>
  <si>
    <t>Float (work days)</t>
  </si>
  <si>
    <t xml:space="preserve">Schedule </t>
  </si>
  <si>
    <t xml:space="preserve"> -(task </t>
  </si>
  <si>
    <t>AB/BC/AA inboard interface - FDR -(task INTRF-055</t>
  </si>
  <si>
    <t>Station 2 Assembly Drawings -(task 1803-205</t>
  </si>
  <si>
    <t>Station 2 Assembly Specification -(task 1803-201</t>
  </si>
  <si>
    <t>PF Coils - PDR -(task 1302-225</t>
  </si>
  <si>
    <t>Fab, Test &amp; Deliver Coil #6 -(task 1361C-106</t>
  </si>
  <si>
    <t>Coil Support Structures - FDR -(task 1501-541</t>
  </si>
  <si>
    <t>Dimensional control plans for station 2 -(task METFY07R1</t>
  </si>
  <si>
    <t>Check and promote top-level models/drawings -(task 1416-506</t>
  </si>
  <si>
    <t>Dimensional control plans for station 3 -(task METDCP-3</t>
  </si>
  <si>
    <t>PF Coils - FDR -(task 1302-270</t>
  </si>
  <si>
    <t>Prepare Type-ABC closeout FDR -(task 1416-605</t>
  </si>
  <si>
    <t>Prepare EM and structural analysis of leads -(task 1416-601</t>
  </si>
  <si>
    <t>Mod Coil C-C Joint - FDR -(task 1421-3144</t>
  </si>
  <si>
    <t>Base support - PDR -(task 1702-515</t>
  </si>
  <si>
    <t>Base Support Structure FDR -(task 1702-525M</t>
  </si>
  <si>
    <t>PF Coils  Awarded -(task 141-036</t>
  </si>
  <si>
    <t>LN2 manifolds&amp;piping- PDR -(task 191-002</t>
  </si>
  <si>
    <t>** Trim Coil PDR ** -(task TRIM-101</t>
  </si>
  <si>
    <t>** Trim Coil + Structure FDR ** -(task TRIM-221</t>
  </si>
  <si>
    <t>AB/BC/AA inboard interface - FDR task- INTRF-055</t>
  </si>
  <si>
    <t>PF Coils - PDR task- 1302-225</t>
  </si>
  <si>
    <t>Coil Support Structures - FDR task- 1501-541</t>
  </si>
  <si>
    <t>Shims required  for 1st 3 pack MC assy task- S21-5.04X</t>
  </si>
  <si>
    <t>PF Coils - FDR task- 1302-270</t>
  </si>
  <si>
    <t>Prepare Type-ABC closeout FDR task- 1416-605</t>
  </si>
  <si>
    <t>Mod Coil C-C Joint - FDR task- 1421-3144</t>
  </si>
  <si>
    <t>Base support - PDR task- 1702-515</t>
  </si>
  <si>
    <t xml:space="preserve"> Station 5 FDR task- 1803-5.6</t>
  </si>
  <si>
    <t>Base Support Structure FDR task- 1702-525M</t>
  </si>
  <si>
    <t>PF Coils  Awarded task- 141-036</t>
  </si>
  <si>
    <t>LN2 manifolds&amp;piping- PDR task- 191-002</t>
  </si>
  <si>
    <t>** Trim Coil PDR ** task- TRIM-101</t>
  </si>
  <si>
    <t>Award Coil Support Structure task- 162-036.9</t>
  </si>
  <si>
    <t>Complete 1st MCHP Assy (Sta 2) task- S21-11.07M</t>
  </si>
  <si>
    <t>** Trim Coil + Structure FDR ** task- TRIM-221</t>
  </si>
  <si>
    <t xml:space="preserve"> Station 6 FDR task- 1803-6.6</t>
  </si>
  <si>
    <t>COMPLETE VPI OF 18th MOD COIL task- P3-171VM</t>
  </si>
  <si>
    <t>S22-11.06</t>
  </si>
  <si>
    <t>VPS (incl NB ducts, pumps,instl, water systems</t>
  </si>
  <si>
    <t>Injectors</t>
  </si>
  <si>
    <t>Diagnostics</t>
  </si>
  <si>
    <t>I&amp;C</t>
  </si>
  <si>
    <t>WBS 82 project engineering management</t>
  </si>
  <si>
    <t>Plant Design</t>
  </si>
  <si>
    <t>Field Period Assembly</t>
  </si>
  <si>
    <t>Systems analysis</t>
  </si>
  <si>
    <t>Project management</t>
  </si>
  <si>
    <t>Stellarator core mgt</t>
  </si>
  <si>
    <t>mc punch list</t>
  </si>
  <si>
    <t>other</t>
  </si>
  <si>
    <t>Field period assy</t>
  </si>
  <si>
    <t>Trim coil and PF coil fabrication schedule from vendors</t>
  </si>
  <si>
    <t>G&amp;A/Burden rates ~$1M</t>
  </si>
  <si>
    <t>1.15 last month</t>
  </si>
  <si>
    <t>.91 last month</t>
  </si>
  <si>
    <t>(.5 last month)</t>
  </si>
  <si>
    <t>(.44 last month)</t>
  </si>
  <si>
    <t>CPI = .38</t>
  </si>
  <si>
    <t>(.76 last month)</t>
  </si>
  <si>
    <t>CPI =.72</t>
  </si>
  <si>
    <t>Allocations (job 8998)</t>
  </si>
  <si>
    <t>CPI=.69</t>
  </si>
  <si>
    <t>(.78 last month)</t>
  </si>
  <si>
    <t>#1</t>
  </si>
  <si>
    <t>Issue MC shim and puck drawings, fab shims and pucks by 1/10/08, start station 2 assy</t>
  </si>
  <si>
    <t>#2</t>
  </si>
  <si>
    <t>Trim coil design, fabrication required for assembly in station 5.</t>
  </si>
  <si>
    <t>First trim coils req'd end January 2009</t>
  </si>
  <si>
    <t>zero float</t>
  </si>
  <si>
    <t>(schedule slippage trends)</t>
  </si>
  <si>
    <t>NCSX Summary Overview</t>
  </si>
  <si>
    <t>Responsible Line Manager Analysis Reports</t>
  </si>
  <si>
    <t>Schedule Barcharts</t>
  </si>
  <si>
    <t>Issued under separate cover</t>
  </si>
  <si>
    <t>Phil's jobs</t>
  </si>
  <si>
    <t>BA</t>
  </si>
  <si>
    <t>fy07 c/o</t>
  </si>
  <si>
    <t>additional funding</t>
  </si>
  <si>
    <t>fyg08 budget</t>
  </si>
  <si>
    <t>total planning budget for alternate plan</t>
  </si>
  <si>
    <t>FY08 Budget</t>
  </si>
  <si>
    <t>spent oct &amp; nov</t>
  </si>
  <si>
    <t>current plan BCWR (dec-sept)</t>
  </si>
  <si>
    <t>rate reductions ~-5 points</t>
  </si>
  <si>
    <t>plant design +.5 fte designer</t>
  </si>
  <si>
    <t>wbs 82 simmons/phil +.65 fte</t>
  </si>
  <si>
    <t>Project mgr</t>
  </si>
  <si>
    <t>allocations</t>
  </si>
  <si>
    <t>wbs 19 stell core mgt (ornl)</t>
  </si>
  <si>
    <t>make FPA schedule slip</t>
  </si>
  <si>
    <t>PF</t>
  </si>
  <si>
    <t>Trim Coils</t>
  </si>
  <si>
    <t>Coil Support Struct</t>
  </si>
  <si>
    <t>NBI port exte dsn</t>
  </si>
  <si>
    <t>coil service leads (ornl)</t>
  </si>
  <si>
    <t>cryostat</t>
  </si>
  <si>
    <t>cryogenic sys design</t>
  </si>
  <si>
    <t>fueling (3 injectors)</t>
  </si>
  <si>
    <t>VPS</t>
  </si>
  <si>
    <t>water systems</t>
  </si>
  <si>
    <t>bakeout sys</t>
  </si>
  <si>
    <t>power systems design wbs 4</t>
  </si>
  <si>
    <t>e-beam mapping</t>
  </si>
  <si>
    <t>ISTP documentation (~50% )</t>
  </si>
  <si>
    <t>Station 6 Fixtures</t>
  </si>
  <si>
    <t>NON MIE Scope-Long Lead Upgrade Scope</t>
  </si>
  <si>
    <t>NB #1&amp;#2 refurbishment</t>
  </si>
  <si>
    <t>Other candidates</t>
  </si>
  <si>
    <t>APPARENT FREE BALANCE =</t>
  </si>
  <si>
    <t>coil protection wbs4</t>
  </si>
  <si>
    <t>Award/Commit Lead HW</t>
  </si>
  <si>
    <t>Award/Commit LN2 distr sys HW</t>
  </si>
  <si>
    <t>ADJUSTED FREE BALANCE =</t>
  </si>
  <si>
    <t>Design accelerations- Priority 1 Scope</t>
  </si>
  <si>
    <t>Acceleration Candidates</t>
  </si>
  <si>
    <t>Remaining unplanned free balance =</t>
  </si>
  <si>
    <t xml:space="preserve">NCSX FY08 Alternate Plan </t>
  </si>
  <si>
    <t>EA Engrs</t>
  </si>
  <si>
    <t>2 risk retired;   #4 MC interface design  and #19 Viola/Perry cross utilization</t>
  </si>
  <si>
    <t>Cost/Schedule Uncertainties and Opportunities</t>
  </si>
  <si>
    <t>Uncertainties</t>
  </si>
  <si>
    <t>stretch-out cost</t>
  </si>
  <si>
    <t>CS structure bus dsn/analysis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</si>
</sst>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"/>
    <numFmt numFmtId="168" formatCode="0.0%"/>
    <numFmt numFmtId="169" formatCode="0.0000"/>
    <numFmt numFmtId="170" formatCode="[$-409]mmm\-yy;@"/>
    <numFmt numFmtId="171" formatCode="mmmm\-yyyy"/>
    <numFmt numFmtId="172" formatCode="m/d/yy;@"/>
    <numFmt numFmtId="173" formatCode="0.000"/>
    <numFmt numFmtId="174" formatCode="[$-409]dddd\,\ mmmm\ dd\,\ yyyy"/>
    <numFmt numFmtId="175" formatCode="[$-409]mmmmm;@"/>
    <numFmt numFmtId="176" formatCode="mmm\-yyyy"/>
    <numFmt numFmtId="177" formatCode="0.000000"/>
    <numFmt numFmtId="178" formatCode="0.00000"/>
    <numFmt numFmtId="179" formatCode="#,##0\ \s"/>
    <numFmt numFmtId="180" formatCode="#,##0\ \(\1\)"/>
    <numFmt numFmtId="181" formatCode="#,##0\ \(*)"/>
    <numFmt numFmtId="182" formatCode="#,##0\ \*"/>
    <numFmt numFmtId="183" formatCode="&quot;$&quot;#,##0.00"/>
    <numFmt numFmtId="184" formatCode="&quot;$&quot;#,##0.0"/>
    <numFmt numFmtId="185" formatCode="&quot;$&quot;#,##0.0_);[Red]\(&quot;$&quot;#,##0.0\)"/>
    <numFmt numFmtId="186" formatCode="[$-409]d\-mmm\-yy;@"/>
    <numFmt numFmtId="187" formatCode="#,##0.0"/>
    <numFmt numFmtId="188" formatCode="_(* #,##0.0_);_(* \(#,##0.0\);_(* &quot;-&quot;?_);_(@_)"/>
  </numFmts>
  <fonts count="9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u val="singleAccounting"/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.5"/>
      <color indexed="12"/>
      <name val="Arial"/>
      <family val="2"/>
    </font>
    <font>
      <sz val="11"/>
      <name val="Arial"/>
      <family val="0"/>
    </font>
    <font>
      <b/>
      <sz val="10.5"/>
      <color indexed="10"/>
      <name val="Arial"/>
      <family val="2"/>
    </font>
    <font>
      <sz val="11.75"/>
      <name val="Arial"/>
      <family val="0"/>
    </font>
    <font>
      <b/>
      <sz val="10.5"/>
      <name val="Arial"/>
      <family val="0"/>
    </font>
    <font>
      <b/>
      <sz val="11.75"/>
      <name val="Arial"/>
      <family val="2"/>
    </font>
    <font>
      <b/>
      <sz val="10.5"/>
      <color indexed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b/>
      <sz val="7"/>
      <name val="Small Fonts"/>
      <family val="2"/>
    </font>
    <font>
      <sz val="7"/>
      <name val="Small Fonts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22"/>
      <name val="Small Fonts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.5"/>
      <name val="Arial"/>
      <family val="2"/>
    </font>
    <font>
      <sz val="9.2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sz val="10"/>
      <color indexed="8"/>
      <name val="Small Fonts"/>
      <family val="2"/>
    </font>
    <font>
      <b/>
      <sz val="10"/>
      <color indexed="8"/>
      <name val="Arial"/>
      <family val="2"/>
    </font>
    <font>
      <b/>
      <sz val="7"/>
      <color indexed="8"/>
      <name val="Small Fonts"/>
      <family val="2"/>
    </font>
    <font>
      <b/>
      <sz val="10"/>
      <color indexed="8"/>
      <name val="Small Fonts"/>
      <family val="2"/>
    </font>
    <font>
      <b/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2" borderId="0" xfId="0" applyNumberFormat="1" applyFill="1" applyAlignment="1">
      <alignment/>
    </xf>
    <xf numFmtId="0" fontId="14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5" fontId="3" fillId="0" borderId="0" xfId="15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7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0" fontId="31" fillId="0" borderId="10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0" fontId="30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5" fillId="0" borderId="2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28" xfId="0" applyFont="1" applyBorder="1" applyAlignment="1">
      <alignment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2" xfId="0" applyFont="1" applyBorder="1" applyAlignment="1">
      <alignment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5" borderId="0" xfId="0" applyNumberFormat="1" applyFont="1" applyFill="1" applyBorder="1" applyAlignment="1">
      <alignment horizontal="center" vertical="top"/>
    </xf>
    <xf numFmtId="167" fontId="0" fillId="6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67" fontId="0" fillId="5" borderId="9" xfId="0" applyNumberFormat="1" applyFont="1" applyFill="1" applyBorder="1" applyAlignment="1">
      <alignment horizontal="center" vertical="top"/>
    </xf>
    <xf numFmtId="167" fontId="0" fillId="6" borderId="9" xfId="0" applyNumberFormat="1" applyFont="1" applyFill="1" applyBorder="1" applyAlignment="1">
      <alignment horizontal="center" vertical="top"/>
    </xf>
    <xf numFmtId="167" fontId="0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67" fontId="5" fillId="3" borderId="0" xfId="0" applyNumberFormat="1" applyFont="1" applyFill="1" applyBorder="1" applyAlignment="1">
      <alignment horizontal="center" vertical="top"/>
    </xf>
    <xf numFmtId="167" fontId="5" fillId="6" borderId="0" xfId="0" applyNumberFormat="1" applyFont="1" applyFill="1" applyBorder="1" applyAlignment="1">
      <alignment horizontal="center" vertical="top"/>
    </xf>
    <xf numFmtId="167" fontId="5" fillId="7" borderId="0" xfId="0" applyNumberFormat="1" applyFont="1" applyFill="1" applyBorder="1" applyAlignment="1">
      <alignment horizontal="center" vertical="top"/>
    </xf>
    <xf numFmtId="167" fontId="5" fillId="5" borderId="0" xfId="0" applyNumberFormat="1" applyFont="1" applyFill="1" applyBorder="1" applyAlignment="1">
      <alignment horizontal="center" vertical="top"/>
    </xf>
    <xf numFmtId="167" fontId="5" fillId="4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67" fontId="0" fillId="9" borderId="9" xfId="0" applyNumberFormat="1" applyFont="1" applyFill="1" applyBorder="1" applyAlignment="1">
      <alignment horizontal="center" vertical="top"/>
    </xf>
    <xf numFmtId="167" fontId="0" fillId="9" borderId="0" xfId="0" applyNumberFormat="1" applyFont="1" applyFill="1" applyBorder="1" applyAlignment="1" quotePrefix="1">
      <alignment horizontal="center" vertical="top"/>
    </xf>
    <xf numFmtId="167" fontId="0" fillId="8" borderId="0" xfId="0" applyNumberFormat="1" applyFill="1" applyAlignment="1">
      <alignment/>
    </xf>
    <xf numFmtId="167" fontId="0" fillId="5" borderId="0" xfId="15" applyNumberFormat="1" applyFont="1" applyFill="1" applyBorder="1" applyAlignment="1">
      <alignment horizontal="center" vertical="top"/>
    </xf>
    <xf numFmtId="167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7" fontId="7" fillId="5" borderId="0" xfId="0" applyNumberFormat="1" applyFont="1" applyFill="1" applyBorder="1" applyAlignment="1">
      <alignment horizontal="center" vertical="top"/>
    </xf>
    <xf numFmtId="167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7" fontId="0" fillId="9" borderId="0" xfId="0" applyNumberFormat="1" applyFont="1" applyFill="1" applyBorder="1" applyAlignment="1">
      <alignment horizontal="center" vertical="top"/>
    </xf>
    <xf numFmtId="167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/>
    </xf>
    <xf numFmtId="167" fontId="5" fillId="3" borderId="35" xfId="0" applyNumberFormat="1" applyFont="1" applyFill="1" applyBorder="1" applyAlignment="1">
      <alignment horizontal="center" vertical="top"/>
    </xf>
    <xf numFmtId="167" fontId="5" fillId="6" borderId="35" xfId="0" applyNumberFormat="1" applyFont="1" applyFill="1" applyBorder="1" applyAlignment="1">
      <alignment horizontal="center" vertical="top"/>
    </xf>
    <xf numFmtId="167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6" fillId="3" borderId="0" xfId="0" applyNumberFormat="1" applyFont="1" applyFill="1" applyBorder="1" applyAlignment="1">
      <alignment horizontal="center" vertical="top"/>
    </xf>
    <xf numFmtId="167" fontId="6" fillId="6" borderId="0" xfId="0" applyNumberFormat="1" applyFont="1" applyFill="1" applyBorder="1" applyAlignment="1">
      <alignment horizontal="center" vertical="top"/>
    </xf>
    <xf numFmtId="167" fontId="6" fillId="7" borderId="0" xfId="0" applyNumberFormat="1" applyFont="1" applyFill="1" applyBorder="1" applyAlignment="1">
      <alignment horizontal="center" vertical="top"/>
    </xf>
    <xf numFmtId="167" fontId="6" fillId="5" borderId="0" xfId="0" applyNumberFormat="1" applyFont="1" applyFill="1" applyBorder="1" applyAlignment="1">
      <alignment horizontal="center" vertical="top"/>
    </xf>
    <xf numFmtId="167" fontId="6" fillId="4" borderId="0" xfId="0" applyNumberFormat="1" applyFont="1" applyFill="1" applyBorder="1" applyAlignment="1">
      <alignment horizontal="center" vertical="top"/>
    </xf>
    <xf numFmtId="167" fontId="0" fillId="5" borderId="35" xfId="0" applyNumberFormat="1" applyFont="1" applyFill="1" applyBorder="1" applyAlignment="1">
      <alignment horizontal="center" vertical="top"/>
    </xf>
    <xf numFmtId="167" fontId="0" fillId="6" borderId="35" xfId="0" applyNumberFormat="1" applyFont="1" applyFill="1" applyBorder="1" applyAlignment="1">
      <alignment horizontal="center" vertical="top"/>
    </xf>
    <xf numFmtId="167" fontId="0" fillId="0" borderId="35" xfId="0" applyNumberFormat="1" applyFont="1" applyBorder="1" applyAlignment="1">
      <alignment horizontal="center"/>
    </xf>
    <xf numFmtId="167" fontId="6" fillId="3" borderId="36" xfId="0" applyNumberFormat="1" applyFont="1" applyFill="1" applyBorder="1" applyAlignment="1">
      <alignment horizontal="center"/>
    </xf>
    <xf numFmtId="167" fontId="6" fillId="6" borderId="36" xfId="0" applyNumberFormat="1" applyFont="1" applyFill="1" applyBorder="1" applyAlignment="1">
      <alignment horizontal="center"/>
    </xf>
    <xf numFmtId="167" fontId="6" fillId="7" borderId="36" xfId="0" applyNumberFormat="1" applyFont="1" applyFill="1" applyBorder="1" applyAlignment="1">
      <alignment horizontal="center"/>
    </xf>
    <xf numFmtId="167" fontId="6" fillId="5" borderId="36" xfId="0" applyNumberFormat="1" applyFont="1" applyFill="1" applyBorder="1" applyAlignment="1">
      <alignment horizontal="center"/>
    </xf>
    <xf numFmtId="167" fontId="6" fillId="4" borderId="3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7" fontId="8" fillId="5" borderId="0" xfId="0" applyNumberFormat="1" applyFont="1" applyFill="1" applyAlignment="1">
      <alignment horizontal="center"/>
    </xf>
    <xf numFmtId="167" fontId="8" fillId="6" borderId="0" xfId="0" applyNumberFormat="1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67" fontId="6" fillId="3" borderId="0" xfId="0" applyNumberFormat="1" applyFont="1" applyFill="1" applyAlignment="1">
      <alignment horizontal="center"/>
    </xf>
    <xf numFmtId="167" fontId="0" fillId="6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67" fontId="8" fillId="7" borderId="0" xfId="0" applyNumberFormat="1" applyFont="1" applyFill="1" applyAlignment="1">
      <alignment horizontal="center"/>
    </xf>
    <xf numFmtId="167" fontId="0" fillId="5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67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Continuous"/>
    </xf>
    <xf numFmtId="0" fontId="14" fillId="10" borderId="28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167" fontId="14" fillId="10" borderId="0" xfId="0" applyNumberFormat="1" applyFont="1" applyFill="1" applyAlignment="1">
      <alignment horizontal="center"/>
    </xf>
    <xf numFmtId="167" fontId="14" fillId="10" borderId="9" xfId="0" applyNumberFormat="1" applyFont="1" applyFill="1" applyBorder="1" applyAlignment="1">
      <alignment horizontal="center"/>
    </xf>
    <xf numFmtId="167" fontId="8" fillId="10" borderId="0" xfId="0" applyNumberFormat="1" applyFont="1" applyFill="1" applyBorder="1" applyAlignment="1">
      <alignment horizontal="center" vertical="top"/>
    </xf>
    <xf numFmtId="167" fontId="8" fillId="10" borderId="0" xfId="0" applyNumberFormat="1" applyFont="1" applyFill="1" applyAlignment="1">
      <alignment horizontal="center"/>
    </xf>
    <xf numFmtId="167" fontId="8" fillId="10" borderId="35" xfId="0" applyNumberFormat="1" applyFont="1" applyFill="1" applyBorder="1" applyAlignment="1">
      <alignment horizontal="center"/>
    </xf>
    <xf numFmtId="167" fontId="14" fillId="10" borderId="35" xfId="0" applyNumberFormat="1" applyFont="1" applyFill="1" applyBorder="1" applyAlignment="1">
      <alignment horizontal="center"/>
    </xf>
    <xf numFmtId="167" fontId="8" fillId="10" borderId="36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67" fontId="32" fillId="2" borderId="0" xfId="0" applyNumberFormat="1" applyFont="1" applyFill="1" applyBorder="1" applyAlignment="1">
      <alignment horizontal="center"/>
    </xf>
    <xf numFmtId="167" fontId="32" fillId="3" borderId="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6" fillId="0" borderId="35" xfId="0" applyFont="1" applyFill="1" applyBorder="1" applyAlignment="1">
      <alignment vertical="top"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37" fillId="0" borderId="48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37" fillId="0" borderId="51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67" fontId="32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11" borderId="42" xfId="0" applyFont="1" applyFill="1" applyBorder="1" applyAlignment="1">
      <alignment/>
    </xf>
    <xf numFmtId="0" fontId="30" fillId="0" borderId="43" xfId="0" applyFont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3" fillId="0" borderId="47" xfId="0" applyFont="1" applyBorder="1" applyAlignment="1">
      <alignment horizontal="centerContinuous"/>
    </xf>
    <xf numFmtId="0" fontId="33" fillId="0" borderId="41" xfId="0" applyFont="1" applyBorder="1" applyAlignment="1">
      <alignment horizontal="centerContinuous"/>
    </xf>
    <xf numFmtId="0" fontId="16" fillId="3" borderId="52" xfId="0" applyFont="1" applyFill="1" applyBorder="1" applyAlignment="1">
      <alignment horizontal="center" vertical="top" wrapText="1"/>
    </xf>
    <xf numFmtId="0" fontId="33" fillId="0" borderId="39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71" fontId="39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7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65" fontId="41" fillId="0" borderId="0" xfId="0" applyNumberFormat="1" applyFont="1" applyAlignment="1">
      <alignment/>
    </xf>
    <xf numFmtId="2" fontId="41" fillId="0" borderId="0" xfId="15" applyNumberFormat="1" applyFont="1" applyFill="1" applyBorder="1" applyAlignment="1">
      <alignment horizontal="center"/>
    </xf>
    <xf numFmtId="43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29" fillId="0" borderId="6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170" fontId="30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5" fontId="31" fillId="0" borderId="0" xfId="0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0" xfId="15" applyNumberFormat="1" applyFont="1" applyFill="1" applyBorder="1" applyAlignment="1">
      <alignment horizontal="center"/>
    </xf>
    <xf numFmtId="0" fontId="30" fillId="0" borderId="1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1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27" fillId="3" borderId="0" xfId="0" applyFont="1" applyFill="1" applyBorder="1" applyAlignment="1">
      <alignment vertical="top"/>
    </xf>
    <xf numFmtId="0" fontId="0" fillId="0" borderId="35" xfId="0" applyBorder="1" applyAlignment="1">
      <alignment vertical="top"/>
    </xf>
    <xf numFmtId="0" fontId="43" fillId="3" borderId="0" xfId="0" applyFont="1" applyFill="1" applyBorder="1" applyAlignment="1">
      <alignment vertical="top"/>
    </xf>
    <xf numFmtId="0" fontId="45" fillId="3" borderId="0" xfId="0" applyFont="1" applyFill="1" applyBorder="1" applyAlignment="1">
      <alignment vertical="top"/>
    </xf>
    <xf numFmtId="2" fontId="3" fillId="0" borderId="0" xfId="1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6" fillId="0" borderId="29" xfId="0" applyNumberFormat="1" applyFont="1" applyBorder="1" applyAlignment="1">
      <alignment horizontal="centerContinuous"/>
    </xf>
    <xf numFmtId="165" fontId="6" fillId="0" borderId="30" xfId="0" applyNumberFormat="1" applyFont="1" applyBorder="1" applyAlignment="1">
      <alignment horizontal="centerContinuous"/>
    </xf>
    <xf numFmtId="2" fontId="6" fillId="0" borderId="30" xfId="0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2" fontId="1" fillId="0" borderId="0" xfId="1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0" fillId="0" borderId="0" xfId="15" applyNumberForma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Continuous"/>
    </xf>
    <xf numFmtId="1" fontId="1" fillId="12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/>
    </xf>
    <xf numFmtId="1" fontId="1" fillId="12" borderId="5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65" fontId="8" fillId="0" borderId="0" xfId="15" applyNumberFormat="1" applyFont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21" applyNumberFormat="1" applyAlignment="1">
      <alignment/>
    </xf>
    <xf numFmtId="165" fontId="46" fillId="0" borderId="0" xfId="15" applyNumberFormat="1" applyFont="1" applyAlignment="1">
      <alignment/>
    </xf>
    <xf numFmtId="0" fontId="42" fillId="0" borderId="0" xfId="0" applyFont="1" applyAlignment="1">
      <alignment/>
    </xf>
    <xf numFmtId="168" fontId="42" fillId="0" borderId="0" xfId="21" applyNumberFormat="1" applyFont="1" applyAlignment="1">
      <alignment/>
    </xf>
    <xf numFmtId="165" fontId="42" fillId="0" borderId="0" xfId="15" applyNumberFormat="1" applyFont="1" applyAlignment="1">
      <alignment/>
    </xf>
    <xf numFmtId="0" fontId="47" fillId="0" borderId="0" xfId="0" applyFont="1" applyAlignment="1">
      <alignment/>
    </xf>
    <xf numFmtId="0" fontId="48" fillId="5" borderId="0" xfId="0" applyFont="1" applyFill="1" applyAlignment="1">
      <alignment horizontal="right"/>
    </xf>
    <xf numFmtId="165" fontId="0" fillId="5" borderId="0" xfId="15" applyNumberFormat="1" applyFill="1" applyAlignment="1">
      <alignment/>
    </xf>
    <xf numFmtId="165" fontId="0" fillId="5" borderId="0" xfId="15" applyNumberFormat="1" applyFont="1" applyFill="1" applyAlignment="1">
      <alignment horizontal="center"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164" fontId="42" fillId="0" borderId="0" xfId="15" applyNumberFormat="1" applyFont="1" applyAlignment="1">
      <alignment/>
    </xf>
    <xf numFmtId="166" fontId="12" fillId="0" borderId="0" xfId="0" applyNumberFormat="1" applyFont="1" applyAlignment="1">
      <alignment/>
    </xf>
    <xf numFmtId="165" fontId="3" fillId="5" borderId="0" xfId="15" applyNumberFormat="1" applyFont="1" applyFill="1" applyBorder="1" applyAlignment="1">
      <alignment wrapText="1"/>
    </xf>
    <xf numFmtId="0" fontId="0" fillId="5" borderId="0" xfId="0" applyFill="1" applyAlignment="1">
      <alignment/>
    </xf>
    <xf numFmtId="165" fontId="0" fillId="0" borderId="0" xfId="15" applyNumberFormat="1" applyFont="1" applyAlignment="1">
      <alignment/>
    </xf>
    <xf numFmtId="165" fontId="0" fillId="10" borderId="0" xfId="15" applyNumberFormat="1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67" fontId="5" fillId="0" borderId="0" xfId="0" applyNumberFormat="1" applyFont="1" applyAlignment="1">
      <alignment/>
    </xf>
    <xf numFmtId="9" fontId="5" fillId="0" borderId="0" xfId="21" applyFont="1" applyAlignment="1">
      <alignment/>
    </xf>
    <xf numFmtId="1" fontId="4" fillId="0" borderId="0" xfId="15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1" fontId="4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7" borderId="45" xfId="0" applyFill="1" applyBorder="1" applyAlignment="1">
      <alignment/>
    </xf>
    <xf numFmtId="0" fontId="0" fillId="7" borderId="58" xfId="0" applyFill="1" applyBorder="1" applyAlignment="1">
      <alignment/>
    </xf>
    <xf numFmtId="0" fontId="0" fillId="7" borderId="11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7" borderId="47" xfId="0" applyFill="1" applyBorder="1" applyAlignment="1">
      <alignment/>
    </xf>
    <xf numFmtId="0" fontId="0" fillId="7" borderId="39" xfId="0" applyFill="1" applyBorder="1" applyAlignment="1">
      <alignment/>
    </xf>
    <xf numFmtId="1" fontId="4" fillId="0" borderId="59" xfId="15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66" fontId="0" fillId="0" borderId="46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7" borderId="11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166" fontId="0" fillId="7" borderId="3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9" fontId="1" fillId="0" borderId="2" xfId="21" applyFont="1" applyFill="1" applyBorder="1" applyAlignment="1">
      <alignment/>
    </xf>
    <xf numFmtId="9" fontId="1" fillId="0" borderId="3" xfId="21" applyFont="1" applyFill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5" xfId="21" applyFont="1" applyFill="1" applyBorder="1" applyAlignment="1">
      <alignment/>
    </xf>
    <xf numFmtId="165" fontId="56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6" fontId="0" fillId="0" borderId="46" xfId="0" applyNumberFormat="1" applyFill="1" applyBorder="1" applyAlignment="1">
      <alignment/>
    </xf>
    <xf numFmtId="1" fontId="4" fillId="0" borderId="34" xfId="15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5" fillId="0" borderId="31" xfId="15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5" fontId="2" fillId="0" borderId="4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59" xfId="0" applyNumberFormat="1" applyFont="1" applyFill="1" applyBorder="1" applyAlignment="1">
      <alignment/>
    </xf>
    <xf numFmtId="165" fontId="6" fillId="0" borderId="60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41" fillId="0" borderId="35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/>
    </xf>
    <xf numFmtId="2" fontId="6" fillId="0" borderId="35" xfId="15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65" fontId="6" fillId="0" borderId="34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3" fillId="0" borderId="0" xfId="21" applyFont="1" applyFill="1" applyBorder="1" applyAlignment="1">
      <alignment/>
    </xf>
    <xf numFmtId="9" fontId="3" fillId="0" borderId="5" xfId="21" applyFont="1" applyFill="1" applyBorder="1" applyAlignment="1">
      <alignment/>
    </xf>
    <xf numFmtId="1" fontId="6" fillId="12" borderId="30" xfId="0" applyNumberFormat="1" applyFont="1" applyFill="1" applyBorder="1" applyAlignment="1">
      <alignment/>
    </xf>
    <xf numFmtId="9" fontId="41" fillId="0" borderId="35" xfId="21" applyFont="1" applyFill="1" applyBorder="1" applyAlignment="1">
      <alignment/>
    </xf>
    <xf numFmtId="9" fontId="41" fillId="0" borderId="33" xfId="21" applyFont="1" applyFill="1" applyBorder="1" applyAlignment="1">
      <alignment/>
    </xf>
    <xf numFmtId="165" fontId="1" fillId="0" borderId="58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2" xfId="15" applyNumberFormat="1" applyFont="1" applyFill="1" applyBorder="1" applyAlignment="1">
      <alignment/>
    </xf>
    <xf numFmtId="165" fontId="1" fillId="0" borderId="45" xfId="0" applyNumberFormat="1" applyFont="1" applyFill="1" applyBorder="1" applyAlignment="1">
      <alignment/>
    </xf>
    <xf numFmtId="165" fontId="1" fillId="0" borderId="46" xfId="15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1" fillId="0" borderId="48" xfId="15" applyNumberFormat="1" applyFont="1" applyFill="1" applyBorder="1" applyAlignment="1">
      <alignment/>
    </xf>
    <xf numFmtId="165" fontId="3" fillId="0" borderId="59" xfId="15" applyNumberFormat="1" applyFont="1" applyFill="1" applyBorder="1" applyAlignment="1">
      <alignment horizontal="center" wrapText="1"/>
    </xf>
    <xf numFmtId="165" fontId="3" fillId="0" borderId="60" xfId="15" applyNumberFormat="1" applyFont="1" applyFill="1" applyBorder="1" applyAlignment="1">
      <alignment horizontal="center" wrapText="1"/>
    </xf>
    <xf numFmtId="165" fontId="3" fillId="0" borderId="61" xfId="15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65" fontId="3" fillId="0" borderId="6" xfId="15" applyNumberFormat="1" applyFont="1" applyFill="1" applyBorder="1" applyAlignment="1">
      <alignment horizontal="center" wrapText="1"/>
    </xf>
    <xf numFmtId="164" fontId="1" fillId="0" borderId="63" xfId="15" applyNumberFormat="1" applyFont="1" applyFill="1" applyBorder="1" applyAlignment="1">
      <alignment/>
    </xf>
    <xf numFmtId="1" fontId="4" fillId="0" borderId="64" xfId="15" applyNumberFormat="1" applyFont="1" applyFill="1" applyBorder="1" applyAlignment="1">
      <alignment/>
    </xf>
    <xf numFmtId="164" fontId="1" fillId="0" borderId="66" xfId="15" applyNumberFormat="1" applyFont="1" applyFill="1" applyBorder="1" applyAlignment="1">
      <alignment/>
    </xf>
    <xf numFmtId="164" fontId="1" fillId="0" borderId="67" xfId="15" applyNumberFormat="1" applyFont="1" applyFill="1" applyBorder="1" applyAlignment="1">
      <alignment/>
    </xf>
    <xf numFmtId="164" fontId="1" fillId="0" borderId="62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65" fontId="1" fillId="0" borderId="45" xfId="15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58" xfId="15" applyNumberFormat="1" applyFont="1" applyFill="1" applyBorder="1" applyAlignment="1">
      <alignment/>
    </xf>
    <xf numFmtId="165" fontId="1" fillId="0" borderId="11" xfId="15" applyNumberFormat="1" applyFont="1" applyFill="1" applyBorder="1" applyAlignment="1">
      <alignment/>
    </xf>
    <xf numFmtId="165" fontId="3" fillId="0" borderId="68" xfId="15" applyNumberFormat="1" applyFont="1" applyFill="1" applyBorder="1" applyAlignment="1">
      <alignment horizontal="center" wrapText="1"/>
    </xf>
    <xf numFmtId="165" fontId="1" fillId="0" borderId="47" xfId="15" applyNumberFormat="1" applyFont="1" applyFill="1" applyBorder="1" applyAlignment="1">
      <alignment/>
    </xf>
    <xf numFmtId="165" fontId="1" fillId="0" borderId="39" xfId="15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1" fontId="1" fillId="7" borderId="46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46" xfId="15" applyNumberFormat="1" applyFont="1" applyFill="1" applyBorder="1" applyAlignment="1">
      <alignment/>
    </xf>
    <xf numFmtId="43" fontId="1" fillId="0" borderId="16" xfId="15" applyNumberFormat="1" applyFont="1" applyFill="1" applyBorder="1" applyAlignment="1">
      <alignment/>
    </xf>
    <xf numFmtId="43" fontId="1" fillId="0" borderId="17" xfId="15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" fontId="1" fillId="7" borderId="38" xfId="0" applyNumberFormat="1" applyFont="1" applyFill="1" applyBorder="1" applyAlignment="1">
      <alignment/>
    </xf>
    <xf numFmtId="43" fontId="1" fillId="0" borderId="3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 horizontal="right"/>
    </xf>
    <xf numFmtId="165" fontId="1" fillId="0" borderId="11" xfId="15" applyNumberFormat="1" applyFont="1" applyFill="1" applyBorder="1" applyAlignment="1">
      <alignment horizontal="right"/>
    </xf>
    <xf numFmtId="165" fontId="1" fillId="0" borderId="16" xfId="15" applyNumberFormat="1" applyFont="1" applyFill="1" applyBorder="1" applyAlignment="1">
      <alignment horizontal="right"/>
    </xf>
    <xf numFmtId="165" fontId="1" fillId="0" borderId="52" xfId="15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" fontId="3" fillId="0" borderId="60" xfId="15" applyNumberFormat="1" applyFont="1" applyFill="1" applyBorder="1" applyAlignment="1">
      <alignment horizontal="right" wrapText="1"/>
    </xf>
    <xf numFmtId="1" fontId="3" fillId="0" borderId="61" xfId="15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9" xfId="0" applyFont="1" applyFill="1" applyBorder="1" applyAlignment="1">
      <alignment horizontal="right"/>
    </xf>
    <xf numFmtId="165" fontId="1" fillId="0" borderId="59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 horizontal="right"/>
    </xf>
    <xf numFmtId="165" fontId="1" fillId="0" borderId="61" xfId="0" applyNumberFormat="1" applyFont="1" applyFill="1" applyBorder="1" applyAlignment="1">
      <alignment/>
    </xf>
    <xf numFmtId="165" fontId="1" fillId="0" borderId="61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7" borderId="10" xfId="15" applyNumberFormat="1" applyFont="1" applyFill="1" applyBorder="1" applyAlignment="1">
      <alignment/>
    </xf>
    <xf numFmtId="165" fontId="1" fillId="7" borderId="46" xfId="15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61" xfId="0" applyNumberFormat="1" applyFont="1" applyFill="1" applyBorder="1" applyAlignment="1">
      <alignment/>
    </xf>
    <xf numFmtId="165" fontId="1" fillId="0" borderId="38" xfId="0" applyNumberFormat="1" applyFont="1" applyFill="1" applyBorder="1" applyAlignment="1">
      <alignment horizontal="center"/>
    </xf>
    <xf numFmtId="165" fontId="6" fillId="0" borderId="70" xfId="0" applyNumberFormat="1" applyFont="1" applyFill="1" applyBorder="1" applyAlignment="1">
      <alignment horizontal="center"/>
    </xf>
    <xf numFmtId="2" fontId="1" fillId="0" borderId="45" xfId="15" applyNumberFormat="1" applyFont="1" applyFill="1" applyBorder="1" applyAlignment="1">
      <alignment horizontal="center"/>
    </xf>
    <xf numFmtId="2" fontId="6" fillId="0" borderId="59" xfId="15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165" fontId="6" fillId="0" borderId="71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43" fontId="6" fillId="0" borderId="61" xfId="0" applyNumberFormat="1" applyFont="1" applyFill="1" applyBorder="1" applyAlignment="1">
      <alignment horizontal="center"/>
    </xf>
    <xf numFmtId="2" fontId="0" fillId="0" borderId="62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2" fontId="0" fillId="0" borderId="64" xfId="0" applyNumberFormat="1" applyFill="1" applyBorder="1" applyAlignment="1">
      <alignment/>
    </xf>
    <xf numFmtId="165" fontId="3" fillId="0" borderId="59" xfId="15" applyNumberFormat="1" applyFont="1" applyFill="1" applyBorder="1" applyAlignment="1">
      <alignment horizontal="center" vertical="center" wrapText="1"/>
    </xf>
    <xf numFmtId="165" fontId="3" fillId="0" borderId="61" xfId="15" applyNumberFormat="1" applyFont="1" applyFill="1" applyBorder="1" applyAlignment="1">
      <alignment horizontal="center" vertical="center" wrapText="1"/>
    </xf>
    <xf numFmtId="1" fontId="3" fillId="0" borderId="0" xfId="15" applyNumberFormat="1" applyFont="1" applyFill="1" applyBorder="1" applyAlignment="1">
      <alignment horizontal="center"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165" fontId="3" fillId="0" borderId="6" xfId="15" applyNumberFormat="1" applyFont="1" applyFill="1" applyBorder="1" applyAlignment="1">
      <alignment horizontal="center" vertical="center" wrapText="1"/>
    </xf>
    <xf numFmtId="165" fontId="3" fillId="0" borderId="68" xfId="15" applyNumberFormat="1" applyFont="1" applyFill="1" applyBorder="1" applyAlignment="1">
      <alignment horizontal="center" vertical="center" wrapText="1"/>
    </xf>
    <xf numFmtId="165" fontId="3" fillId="0" borderId="60" xfId="15" applyNumberFormat="1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5" fillId="0" borderId="59" xfId="15" applyNumberFormat="1" applyFont="1" applyFill="1" applyBorder="1" applyAlignment="1">
      <alignment horizontal="center" vertical="center" wrapText="1"/>
    </xf>
    <xf numFmtId="165" fontId="5" fillId="0" borderId="61" xfId="15" applyNumberFormat="1" applyFont="1" applyFill="1" applyBorder="1" applyAlignment="1">
      <alignment horizontal="center" vertical="center" wrapText="1"/>
    </xf>
    <xf numFmtId="2" fontId="3" fillId="0" borderId="34" xfId="15" applyNumberFormat="1" applyFont="1" applyFill="1" applyBorder="1" applyAlignment="1">
      <alignment horizontal="center" vertical="center" wrapText="1"/>
    </xf>
    <xf numFmtId="170" fontId="5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59" xfId="15" applyNumberFormat="1" applyFont="1" applyFill="1" applyBorder="1" applyAlignment="1">
      <alignment horizontal="center" vertical="center" wrapText="1"/>
    </xf>
    <xf numFmtId="165" fontId="4" fillId="0" borderId="60" xfId="15" applyNumberFormat="1" applyFont="1" applyFill="1" applyBorder="1" applyAlignment="1">
      <alignment horizontal="center" vertical="center" wrapText="1"/>
    </xf>
    <xf numFmtId="165" fontId="4" fillId="0" borderId="61" xfId="15" applyNumberFormat="1" applyFont="1" applyFill="1" applyBorder="1" applyAlignment="1">
      <alignment horizontal="center" vertical="center" wrapText="1"/>
    </xf>
    <xf numFmtId="2" fontId="3" fillId="0" borderId="59" xfId="15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5" fontId="0" fillId="0" borderId="0" xfId="15" applyNumberFormat="1" applyFont="1" applyBorder="1" applyAlignment="1">
      <alignment/>
    </xf>
    <xf numFmtId="165" fontId="41" fillId="0" borderId="35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41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65" fontId="4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6" fillId="13" borderId="0" xfId="0" applyFont="1" applyFill="1" applyBorder="1" applyAlignment="1">
      <alignment/>
    </xf>
    <xf numFmtId="176" fontId="39" fillId="0" borderId="3" xfId="0" applyNumberFormat="1" applyFont="1" applyFill="1" applyBorder="1" applyAlignment="1">
      <alignment horizontal="center"/>
    </xf>
    <xf numFmtId="2" fontId="16" fillId="2" borderId="42" xfId="0" applyNumberFormat="1" applyFont="1" applyFill="1" applyBorder="1" applyAlignment="1">
      <alignment horizontal="center"/>
    </xf>
    <xf numFmtId="39" fontId="16" fillId="2" borderId="0" xfId="15" applyNumberFormat="1" applyFont="1" applyFill="1" applyBorder="1" applyAlignment="1">
      <alignment horizontal="center"/>
    </xf>
    <xf numFmtId="39" fontId="16" fillId="2" borderId="42" xfId="15" applyNumberFormat="1" applyFont="1" applyFill="1" applyBorder="1" applyAlignment="1">
      <alignment horizontal="center"/>
    </xf>
    <xf numFmtId="0" fontId="59" fillId="13" borderId="0" xfId="0" applyFont="1" applyFill="1" applyAlignment="1">
      <alignment/>
    </xf>
    <xf numFmtId="167" fontId="32" fillId="13" borderId="0" xfId="0" applyNumberFormat="1" applyFont="1" applyFill="1" applyBorder="1" applyAlignment="1">
      <alignment horizontal="center"/>
    </xf>
    <xf numFmtId="2" fontId="16" fillId="2" borderId="0" xfId="15" applyNumberFormat="1" applyFont="1" applyFill="1" applyBorder="1" applyAlignment="1">
      <alignment horizontal="center"/>
    </xf>
    <xf numFmtId="167" fontId="62" fillId="3" borderId="0" xfId="0" applyNumberFormat="1" applyFont="1" applyFill="1" applyBorder="1" applyAlignment="1">
      <alignment horizontal="center"/>
    </xf>
    <xf numFmtId="167" fontId="19" fillId="2" borderId="0" xfId="0" applyNumberFormat="1" applyFont="1" applyFill="1" applyBorder="1" applyAlignment="1">
      <alignment horizontal="center"/>
    </xf>
    <xf numFmtId="167" fontId="19" fillId="2" borderId="42" xfId="0" applyNumberFormat="1" applyFont="1" applyFill="1" applyBorder="1" applyAlignment="1">
      <alignment horizontal="center"/>
    </xf>
    <xf numFmtId="0" fontId="19" fillId="2" borderId="42" xfId="0" applyFont="1" applyFill="1" applyBorder="1" applyAlignment="1">
      <alignment/>
    </xf>
    <xf numFmtId="39" fontId="19" fillId="2" borderId="0" xfId="15" applyNumberFormat="1" applyFont="1" applyFill="1" applyBorder="1" applyAlignment="1">
      <alignment horizontal="center"/>
    </xf>
    <xf numFmtId="39" fontId="19" fillId="2" borderId="42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7" fontId="31" fillId="0" borderId="0" xfId="0" applyNumberFormat="1" applyFont="1" applyFill="1" applyBorder="1" applyAlignment="1">
      <alignment/>
    </xf>
    <xf numFmtId="14" fontId="31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5" fontId="45" fillId="0" borderId="0" xfId="0" applyNumberFormat="1" applyFont="1" applyFill="1" applyBorder="1" applyAlignment="1">
      <alignment/>
    </xf>
    <xf numFmtId="17" fontId="45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5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5" fontId="4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5" fontId="45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0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" fontId="0" fillId="7" borderId="45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46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wrapText="1"/>
    </xf>
    <xf numFmtId="0" fontId="57" fillId="14" borderId="1" xfId="0" applyFont="1" applyFill="1" applyBorder="1" applyAlignment="1">
      <alignment horizontal="center" wrapText="1"/>
    </xf>
    <xf numFmtId="0" fontId="57" fillId="14" borderId="3" xfId="0" applyFont="1" applyFill="1" applyBorder="1" applyAlignment="1">
      <alignment horizontal="center" wrapText="1"/>
    </xf>
    <xf numFmtId="14" fontId="0" fillId="14" borderId="0" xfId="0" applyNumberFormat="1" applyFill="1" applyAlignment="1">
      <alignment horizontal="center"/>
    </xf>
    <xf numFmtId="14" fontId="6" fillId="14" borderId="34" xfId="0" applyNumberFormat="1" applyFont="1" applyFill="1" applyBorder="1" applyAlignment="1">
      <alignment horizontal="center"/>
    </xf>
    <xf numFmtId="43" fontId="6" fillId="14" borderId="34" xfId="15" applyFont="1" applyFill="1" applyBorder="1" applyAlignment="1">
      <alignment horizontal="center"/>
    </xf>
    <xf numFmtId="165" fontId="6" fillId="14" borderId="34" xfId="15" applyNumberFormat="1" applyFont="1" applyFill="1" applyBorder="1" applyAlignment="1">
      <alignment horizontal="center"/>
    </xf>
    <xf numFmtId="172" fontId="57" fillId="14" borderId="72" xfId="15" applyNumberFormat="1" applyFont="1" applyFill="1" applyBorder="1" applyAlignment="1">
      <alignment horizontal="center"/>
    </xf>
    <xf numFmtId="43" fontId="57" fillId="14" borderId="33" xfId="15" applyFont="1" applyFill="1" applyBorder="1" applyAlignment="1">
      <alignment horizontal="center"/>
    </xf>
    <xf numFmtId="165" fontId="0" fillId="14" borderId="0" xfId="15" applyNumberFormat="1" applyFill="1" applyAlignment="1">
      <alignment horizontal="center"/>
    </xf>
    <xf numFmtId="0" fontId="0" fillId="14" borderId="0" xfId="0" applyFill="1" applyAlignment="1" quotePrefix="1">
      <alignment/>
    </xf>
    <xf numFmtId="0" fontId="48" fillId="14" borderId="0" xfId="0" applyFont="1" applyFill="1" applyAlignment="1">
      <alignment horizontal="center"/>
    </xf>
    <xf numFmtId="173" fontId="0" fillId="14" borderId="0" xfId="0" applyNumberFormat="1" applyFill="1" applyAlignment="1">
      <alignment horizontal="center"/>
    </xf>
    <xf numFmtId="165" fontId="48" fillId="14" borderId="0" xfId="15" applyNumberFormat="1" applyFont="1" applyFill="1" applyAlignment="1">
      <alignment horizontal="center"/>
    </xf>
    <xf numFmtId="0" fontId="0" fillId="14" borderId="0" xfId="0" applyFill="1" applyAlignment="1">
      <alignment horizontal="right"/>
    </xf>
    <xf numFmtId="165" fontId="0" fillId="14" borderId="0" xfId="0" applyNumberFormat="1" applyFill="1" applyAlignment="1">
      <alignment horizontal="center"/>
    </xf>
    <xf numFmtId="0" fontId="6" fillId="14" borderId="1" xfId="0" applyFont="1" applyFill="1" applyBorder="1" applyAlignment="1">
      <alignment horizontal="right"/>
    </xf>
    <xf numFmtId="165" fontId="6" fillId="14" borderId="3" xfId="0" applyNumberFormat="1" applyFont="1" applyFill="1" applyBorder="1" applyAlignment="1">
      <alignment horizontal="center"/>
    </xf>
    <xf numFmtId="0" fontId="6" fillId="14" borderId="13" xfId="0" applyFont="1" applyFill="1" applyBorder="1" applyAlignment="1">
      <alignment horizontal="right"/>
    </xf>
    <xf numFmtId="0" fontId="6" fillId="14" borderId="5" xfId="0" applyFont="1" applyFill="1" applyBorder="1" applyAlignment="1">
      <alignment horizontal="center"/>
    </xf>
    <xf numFmtId="165" fontId="6" fillId="14" borderId="5" xfId="0" applyNumberFormat="1" applyFont="1" applyFill="1" applyBorder="1" applyAlignment="1">
      <alignment horizontal="center"/>
    </xf>
    <xf numFmtId="0" fontId="6" fillId="14" borderId="72" xfId="0" applyFont="1" applyFill="1" applyBorder="1" applyAlignment="1">
      <alignment horizontal="right"/>
    </xf>
    <xf numFmtId="165" fontId="6" fillId="14" borderId="3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65" fontId="41" fillId="0" borderId="29" xfId="15" applyNumberFormat="1" applyFont="1" applyFill="1" applyBorder="1" applyAlignment="1">
      <alignment/>
    </xf>
    <xf numFmtId="9" fontId="3" fillId="0" borderId="30" xfId="21" applyFont="1" applyFill="1" applyBorder="1" applyAlignment="1">
      <alignment/>
    </xf>
    <xf numFmtId="9" fontId="3" fillId="0" borderId="31" xfId="21" applyFont="1" applyFill="1" applyBorder="1" applyAlignment="1">
      <alignment/>
    </xf>
    <xf numFmtId="165" fontId="3" fillId="0" borderId="30" xfId="0" applyNumberFormat="1" applyFont="1" applyFill="1" applyBorder="1" applyAlignment="1">
      <alignment/>
    </xf>
    <xf numFmtId="165" fontId="0" fillId="0" borderId="62" xfId="15" applyNumberFormat="1" applyFont="1" applyFill="1" applyBorder="1" applyAlignment="1">
      <alignment/>
    </xf>
    <xf numFmtId="165" fontId="0" fillId="0" borderId="63" xfId="15" applyNumberFormat="1" applyFont="1" applyFill="1" applyBorder="1" applyAlignment="1">
      <alignment/>
    </xf>
    <xf numFmtId="165" fontId="0" fillId="0" borderId="64" xfId="15" applyNumberFormat="1" applyFont="1" applyFill="1" applyBorder="1" applyAlignment="1">
      <alignment/>
    </xf>
    <xf numFmtId="165" fontId="1" fillId="0" borderId="62" xfId="15" applyNumberFormat="1" applyFont="1" applyFill="1" applyBorder="1" applyAlignment="1">
      <alignment/>
    </xf>
    <xf numFmtId="165" fontId="1" fillId="0" borderId="63" xfId="15" applyNumberFormat="1" applyFont="1" applyFill="1" applyBorder="1" applyAlignment="1">
      <alignment/>
    </xf>
    <xf numFmtId="165" fontId="1" fillId="0" borderId="64" xfId="15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0" fontId="0" fillId="7" borderId="49" xfId="0" applyFill="1" applyBorder="1" applyAlignment="1">
      <alignment/>
    </xf>
    <xf numFmtId="166" fontId="0" fillId="7" borderId="4" xfId="0" applyNumberFormat="1" applyFill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2" fillId="0" borderId="39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5" fillId="0" borderId="61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3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/>
    </xf>
    <xf numFmtId="164" fontId="0" fillId="0" borderId="74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4" fontId="0" fillId="0" borderId="63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1" fontId="5" fillId="0" borderId="29" xfId="15" applyNumberFormat="1" applyFont="1" applyFill="1" applyBorder="1" applyAlignment="1">
      <alignment/>
    </xf>
    <xf numFmtId="1" fontId="5" fillId="0" borderId="30" xfId="15" applyNumberFormat="1" applyFont="1" applyFill="1" applyBorder="1" applyAlignment="1">
      <alignment/>
    </xf>
    <xf numFmtId="2" fontId="5" fillId="0" borderId="31" xfId="15" applyNumberFormat="1" applyFont="1" applyFill="1" applyBorder="1" applyAlignment="1">
      <alignment/>
    </xf>
    <xf numFmtId="2" fontId="5" fillId="0" borderId="59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62" xfId="15" applyNumberFormat="1" applyFont="1" applyFill="1" applyBorder="1" applyAlignment="1">
      <alignment/>
    </xf>
    <xf numFmtId="164" fontId="0" fillId="0" borderId="63" xfId="15" applyNumberFormat="1" applyFont="1" applyFill="1" applyBorder="1" applyAlignment="1">
      <alignment/>
    </xf>
    <xf numFmtId="164" fontId="0" fillId="0" borderId="45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165" fontId="1" fillId="0" borderId="59" xfId="15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wrapText="1"/>
    </xf>
    <xf numFmtId="2" fontId="12" fillId="0" borderId="49" xfId="0" applyNumberFormat="1" applyFont="1" applyFill="1" applyBorder="1" applyAlignment="1">
      <alignment/>
    </xf>
    <xf numFmtId="2" fontId="0" fillId="0" borderId="5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66" fontId="0" fillId="7" borderId="25" xfId="0" applyNumberFormat="1" applyFill="1" applyBorder="1" applyAlignment="1">
      <alignment/>
    </xf>
    <xf numFmtId="166" fontId="0" fillId="7" borderId="38" xfId="0" applyNumberFormat="1" applyFill="1" applyBorder="1" applyAlignment="1">
      <alignment/>
    </xf>
    <xf numFmtId="166" fontId="0" fillId="7" borderId="15" xfId="0" applyNumberFormat="1" applyFill="1" applyBorder="1" applyAlignment="1">
      <alignment/>
    </xf>
    <xf numFmtId="166" fontId="0" fillId="7" borderId="41" xfId="0" applyNumberFormat="1" applyFill="1" applyBorder="1" applyAlignment="1">
      <alignment/>
    </xf>
    <xf numFmtId="166" fontId="0" fillId="7" borderId="12" xfId="0" applyNumberFormat="1" applyFill="1" applyBorder="1" applyAlignment="1">
      <alignment/>
    </xf>
    <xf numFmtId="166" fontId="0" fillId="7" borderId="46" xfId="0" applyNumberFormat="1" applyFill="1" applyBorder="1" applyAlignment="1">
      <alignment/>
    </xf>
    <xf numFmtId="166" fontId="0" fillId="7" borderId="17" xfId="0" applyNumberFormat="1" applyFill="1" applyBorder="1" applyAlignment="1">
      <alignment/>
    </xf>
    <xf numFmtId="166" fontId="0" fillId="7" borderId="48" xfId="0" applyNumberFormat="1" applyFill="1" applyBorder="1" applyAlignment="1">
      <alignment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64" fontId="0" fillId="0" borderId="0" xfId="15" applyNumberFormat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3" xfId="0" applyBorder="1" applyAlignment="1">
      <alignment/>
    </xf>
    <xf numFmtId="1" fontId="5" fillId="13" borderId="0" xfId="15" applyNumberFormat="1" applyFont="1" applyFill="1" applyBorder="1" applyAlignment="1">
      <alignment/>
    </xf>
    <xf numFmtId="2" fontId="5" fillId="13" borderId="0" xfId="15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9" borderId="46" xfId="0" applyFont="1" applyFill="1" applyBorder="1" applyAlignment="1">
      <alignment/>
    </xf>
    <xf numFmtId="0" fontId="0" fillId="9" borderId="0" xfId="0" applyFont="1" applyFill="1" applyBorder="1" applyAlignment="1">
      <alignment wrapText="1"/>
    </xf>
    <xf numFmtId="2" fontId="5" fillId="7" borderId="61" xfId="15" applyNumberFormat="1" applyFont="1" applyFill="1" applyBorder="1" applyAlignment="1">
      <alignment/>
    </xf>
    <xf numFmtId="165" fontId="65" fillId="5" borderId="29" xfId="0" applyNumberFormat="1" applyFont="1" applyFill="1" applyBorder="1" applyAlignment="1">
      <alignment horizontal="centerContinuous"/>
    </xf>
    <xf numFmtId="165" fontId="65" fillId="5" borderId="30" xfId="0" applyNumberFormat="1" applyFont="1" applyFill="1" applyBorder="1" applyAlignment="1">
      <alignment horizontal="centerContinuous"/>
    </xf>
    <xf numFmtId="2" fontId="65" fillId="5" borderId="30" xfId="0" applyNumberFormat="1" applyFont="1" applyFill="1" applyBorder="1" applyAlignment="1">
      <alignment horizontal="centerContinuous"/>
    </xf>
    <xf numFmtId="0" fontId="65" fillId="5" borderId="30" xfId="0" applyFont="1" applyFill="1" applyBorder="1" applyAlignment="1">
      <alignment horizontal="centerContinuous"/>
    </xf>
    <xf numFmtId="165" fontId="65" fillId="5" borderId="30" xfId="15" applyNumberFormat="1" applyFont="1" applyFill="1" applyBorder="1" applyAlignment="1">
      <alignment horizontal="centerContinuous"/>
    </xf>
    <xf numFmtId="165" fontId="65" fillId="5" borderId="59" xfId="15" applyNumberFormat="1" applyFont="1" applyFill="1" applyBorder="1" applyAlignment="1">
      <alignment horizontal="center" vertical="center" wrapText="1"/>
    </xf>
    <xf numFmtId="165" fontId="65" fillId="5" borderId="60" xfId="15" applyNumberFormat="1" applyFont="1" applyFill="1" applyBorder="1" applyAlignment="1">
      <alignment horizontal="center" vertical="center" wrapText="1"/>
    </xf>
    <xf numFmtId="2" fontId="65" fillId="5" borderId="60" xfId="15" applyNumberFormat="1" applyFont="1" applyFill="1" applyBorder="1" applyAlignment="1">
      <alignment horizontal="center" vertical="center" wrapText="1"/>
    </xf>
    <xf numFmtId="0" fontId="65" fillId="5" borderId="60" xfId="0" applyFont="1" applyFill="1" applyBorder="1" applyAlignment="1">
      <alignment horizontal="center" vertical="center" wrapText="1"/>
    </xf>
    <xf numFmtId="165" fontId="65" fillId="5" borderId="71" xfId="15" applyNumberFormat="1" applyFont="1" applyFill="1" applyBorder="1" applyAlignment="1">
      <alignment horizontal="center" vertical="center" wrapText="1"/>
    </xf>
    <xf numFmtId="165" fontId="66" fillId="5" borderId="58" xfId="0" applyNumberFormat="1" applyFont="1" applyFill="1" applyBorder="1" applyAlignment="1">
      <alignment/>
    </xf>
    <xf numFmtId="165" fontId="66" fillId="5" borderId="6" xfId="0" applyNumberFormat="1" applyFont="1" applyFill="1" applyBorder="1" applyAlignment="1">
      <alignment/>
    </xf>
    <xf numFmtId="2" fontId="66" fillId="5" borderId="11" xfId="15" applyNumberFormat="1" applyFont="1" applyFill="1" applyBorder="1" applyAlignment="1">
      <alignment horizontal="center"/>
    </xf>
    <xf numFmtId="2" fontId="66" fillId="5" borderId="11" xfId="0" applyNumberFormat="1" applyFont="1" applyFill="1" applyBorder="1" applyAlignment="1">
      <alignment horizontal="center"/>
    </xf>
    <xf numFmtId="165" fontId="66" fillId="5" borderId="12" xfId="15" applyNumberFormat="1" applyFont="1" applyFill="1" applyBorder="1" applyAlignment="1">
      <alignment/>
    </xf>
    <xf numFmtId="165" fontId="66" fillId="5" borderId="45" xfId="0" applyNumberFormat="1" applyFont="1" applyFill="1" applyBorder="1" applyAlignment="1">
      <alignment/>
    </xf>
    <xf numFmtId="165" fontId="66" fillId="5" borderId="10" xfId="0" applyNumberFormat="1" applyFont="1" applyFill="1" applyBorder="1" applyAlignment="1">
      <alignment/>
    </xf>
    <xf numFmtId="2" fontId="66" fillId="5" borderId="10" xfId="15" applyNumberFormat="1" applyFont="1" applyFill="1" applyBorder="1" applyAlignment="1">
      <alignment horizontal="center"/>
    </xf>
    <xf numFmtId="2" fontId="65" fillId="5" borderId="10" xfId="0" applyNumberFormat="1" applyFont="1" applyFill="1" applyBorder="1" applyAlignment="1">
      <alignment horizontal="center"/>
    </xf>
    <xf numFmtId="165" fontId="66" fillId="5" borderId="10" xfId="0" applyNumberFormat="1" applyFont="1" applyFill="1" applyBorder="1" applyAlignment="1">
      <alignment horizontal="center"/>
    </xf>
    <xf numFmtId="165" fontId="65" fillId="5" borderId="46" xfId="15" applyNumberFormat="1" applyFont="1" applyFill="1" applyBorder="1" applyAlignment="1">
      <alignment/>
    </xf>
    <xf numFmtId="165" fontId="66" fillId="5" borderId="47" xfId="0" applyNumberFormat="1" applyFont="1" applyFill="1" applyBorder="1" applyAlignment="1">
      <alignment/>
    </xf>
    <xf numFmtId="165" fontId="66" fillId="5" borderId="40" xfId="0" applyNumberFormat="1" applyFont="1" applyFill="1" applyBorder="1" applyAlignment="1">
      <alignment/>
    </xf>
    <xf numFmtId="165" fontId="66" fillId="5" borderId="39" xfId="0" applyNumberFormat="1" applyFont="1" applyFill="1" applyBorder="1" applyAlignment="1">
      <alignment/>
    </xf>
    <xf numFmtId="2" fontId="66" fillId="5" borderId="39" xfId="15" applyNumberFormat="1" applyFont="1" applyFill="1" applyBorder="1" applyAlignment="1">
      <alignment horizontal="center"/>
    </xf>
    <xf numFmtId="2" fontId="66" fillId="5" borderId="39" xfId="0" applyNumberFormat="1" applyFont="1" applyFill="1" applyBorder="1" applyAlignment="1">
      <alignment horizontal="center"/>
    </xf>
    <xf numFmtId="165" fontId="66" fillId="5" borderId="39" xfId="0" applyNumberFormat="1" applyFont="1" applyFill="1" applyBorder="1" applyAlignment="1">
      <alignment horizontal="center"/>
    </xf>
    <xf numFmtId="165" fontId="66" fillId="5" borderId="48" xfId="15" applyNumberFormat="1" applyFont="1" applyFill="1" applyBorder="1" applyAlignment="1">
      <alignment/>
    </xf>
    <xf numFmtId="165" fontId="65" fillId="5" borderId="59" xfId="0" applyNumberFormat="1" applyFont="1" applyFill="1" applyBorder="1" applyAlignment="1">
      <alignment/>
    </xf>
    <xf numFmtId="165" fontId="65" fillId="5" borderId="60" xfId="0" applyNumberFormat="1" applyFont="1" applyFill="1" applyBorder="1" applyAlignment="1">
      <alignment/>
    </xf>
    <xf numFmtId="2" fontId="65" fillId="5" borderId="60" xfId="15" applyNumberFormat="1" applyFont="1" applyFill="1" applyBorder="1" applyAlignment="1">
      <alignment horizontal="center"/>
    </xf>
    <xf numFmtId="2" fontId="65" fillId="5" borderId="60" xfId="0" applyNumberFormat="1" applyFont="1" applyFill="1" applyBorder="1" applyAlignment="1">
      <alignment horizontal="center"/>
    </xf>
    <xf numFmtId="165" fontId="65" fillId="5" borderId="60" xfId="0" applyNumberFormat="1" applyFont="1" applyFill="1" applyBorder="1" applyAlignment="1">
      <alignment horizontal="center"/>
    </xf>
    <xf numFmtId="165" fontId="65" fillId="5" borderId="61" xfId="15" applyNumberFormat="1" applyFont="1" applyFill="1" applyBorder="1" applyAlignment="1">
      <alignment/>
    </xf>
    <xf numFmtId="165" fontId="66" fillId="5" borderId="0" xfId="0" applyNumberFormat="1" applyFont="1" applyFill="1" applyBorder="1" applyAlignment="1">
      <alignment/>
    </xf>
    <xf numFmtId="2" fontId="66" fillId="5" borderId="0" xfId="15" applyNumberFormat="1" applyFont="1" applyFill="1" applyBorder="1" applyAlignment="1">
      <alignment horizontal="center"/>
    </xf>
    <xf numFmtId="2" fontId="66" fillId="5" borderId="0" xfId="0" applyNumberFormat="1" applyFont="1" applyFill="1" applyBorder="1" applyAlignment="1">
      <alignment horizontal="center"/>
    </xf>
    <xf numFmtId="165" fontId="66" fillId="5" borderId="0" xfId="0" applyNumberFormat="1" applyFont="1" applyFill="1" applyBorder="1" applyAlignment="1">
      <alignment horizontal="center"/>
    </xf>
    <xf numFmtId="165" fontId="66" fillId="5" borderId="0" xfId="15" applyNumberFormat="1" applyFont="1" applyFill="1" applyBorder="1" applyAlignment="1">
      <alignment/>
    </xf>
    <xf numFmtId="165" fontId="66" fillId="5" borderId="11" xfId="0" applyNumberFormat="1" applyFont="1" applyFill="1" applyBorder="1" applyAlignment="1">
      <alignment/>
    </xf>
    <xf numFmtId="165" fontId="66" fillId="5" borderId="11" xfId="0" applyNumberFormat="1" applyFont="1" applyFill="1" applyBorder="1" applyAlignment="1">
      <alignment horizontal="center"/>
    </xf>
    <xf numFmtId="2" fontId="66" fillId="5" borderId="10" xfId="0" applyNumberFormat="1" applyFont="1" applyFill="1" applyBorder="1" applyAlignment="1">
      <alignment horizontal="center"/>
    </xf>
    <xf numFmtId="165" fontId="66" fillId="5" borderId="46" xfId="15" applyNumberFormat="1" applyFont="1" applyFill="1" applyBorder="1" applyAlignment="1">
      <alignment/>
    </xf>
    <xf numFmtId="165" fontId="66" fillId="5" borderId="14" xfId="0" applyNumberFormat="1" applyFont="1" applyFill="1" applyBorder="1" applyAlignment="1">
      <alignment/>
    </xf>
    <xf numFmtId="165" fontId="66" fillId="5" borderId="16" xfId="0" applyNumberFormat="1" applyFont="1" applyFill="1" applyBorder="1" applyAlignment="1">
      <alignment/>
    </xf>
    <xf numFmtId="165" fontId="66" fillId="5" borderId="4" xfId="0" applyNumberFormat="1" applyFont="1" applyFill="1" applyBorder="1" applyAlignment="1">
      <alignment/>
    </xf>
    <xf numFmtId="2" fontId="66" fillId="5" borderId="16" xfId="15" applyNumberFormat="1" applyFont="1" applyFill="1" applyBorder="1" applyAlignment="1">
      <alignment horizontal="center"/>
    </xf>
    <xf numFmtId="2" fontId="66" fillId="5" borderId="16" xfId="0" applyNumberFormat="1" applyFont="1" applyFill="1" applyBorder="1" applyAlignment="1">
      <alignment horizontal="center"/>
    </xf>
    <xf numFmtId="165" fontId="66" fillId="5" borderId="16" xfId="0" applyNumberFormat="1" applyFont="1" applyFill="1" applyBorder="1" applyAlignment="1">
      <alignment horizontal="center"/>
    </xf>
    <xf numFmtId="165" fontId="66" fillId="5" borderId="17" xfId="15" applyNumberFormat="1" applyFont="1" applyFill="1" applyBorder="1" applyAlignment="1">
      <alignment/>
    </xf>
    <xf numFmtId="165" fontId="66" fillId="5" borderId="35" xfId="0" applyNumberFormat="1" applyFont="1" applyFill="1" applyBorder="1" applyAlignment="1">
      <alignment/>
    </xf>
    <xf numFmtId="165" fontId="65" fillId="5" borderId="35" xfId="0" applyNumberFormat="1" applyFont="1" applyFill="1" applyBorder="1" applyAlignment="1">
      <alignment/>
    </xf>
    <xf numFmtId="2" fontId="65" fillId="5" borderId="35" xfId="15" applyNumberFormat="1" applyFont="1" applyFill="1" applyBorder="1" applyAlignment="1">
      <alignment horizontal="center"/>
    </xf>
    <xf numFmtId="2" fontId="65" fillId="5" borderId="35" xfId="0" applyNumberFormat="1" applyFont="1" applyFill="1" applyBorder="1" applyAlignment="1">
      <alignment horizontal="center"/>
    </xf>
    <xf numFmtId="165" fontId="65" fillId="5" borderId="35" xfId="0" applyNumberFormat="1" applyFont="1" applyFill="1" applyBorder="1" applyAlignment="1">
      <alignment horizontal="center"/>
    </xf>
    <xf numFmtId="165" fontId="65" fillId="5" borderId="35" xfId="15" applyNumberFormat="1" applyFont="1" applyFill="1" applyBorder="1" applyAlignment="1">
      <alignment/>
    </xf>
    <xf numFmtId="2" fontId="66" fillId="5" borderId="60" xfId="15" applyNumberFormat="1" applyFont="1" applyFill="1" applyBorder="1" applyAlignment="1">
      <alignment horizontal="center"/>
    </xf>
    <xf numFmtId="43" fontId="66" fillId="5" borderId="60" xfId="0" applyNumberFormat="1" applyFont="1" applyFill="1" applyBorder="1" applyAlignment="1">
      <alignment horizontal="center"/>
    </xf>
    <xf numFmtId="165" fontId="66" fillId="5" borderId="60" xfId="0" applyNumberFormat="1" applyFont="1" applyFill="1" applyBorder="1" applyAlignment="1">
      <alignment horizontal="center"/>
    </xf>
    <xf numFmtId="165" fontId="66" fillId="5" borderId="61" xfId="15" applyNumberFormat="1" applyFont="1" applyFill="1" applyBorder="1" applyAlignment="1">
      <alignment/>
    </xf>
    <xf numFmtId="165" fontId="0" fillId="0" borderId="50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2" fontId="0" fillId="0" borderId="50" xfId="15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/>
    </xf>
    <xf numFmtId="165" fontId="0" fillId="0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2" fontId="0" fillId="0" borderId="45" xfId="15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2" fontId="0" fillId="0" borderId="14" xfId="15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2" fontId="0" fillId="0" borderId="58" xfId="15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/>
    </xf>
    <xf numFmtId="1" fontId="5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165" fontId="0" fillId="0" borderId="69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65" fontId="0" fillId="0" borderId="5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5" fontId="5" fillId="0" borderId="3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63" xfId="0" applyNumberFormat="1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1" fontId="1" fillId="13" borderId="65" xfId="0" applyNumberFormat="1" applyFont="1" applyFill="1" applyBorder="1" applyAlignment="1">
      <alignment/>
    </xf>
    <xf numFmtId="1" fontId="1" fillId="13" borderId="45" xfId="0" applyNumberFormat="1" applyFont="1" applyFill="1" applyBorder="1" applyAlignment="1">
      <alignment/>
    </xf>
    <xf numFmtId="43" fontId="1" fillId="13" borderId="45" xfId="15" applyNumberFormat="1" applyFont="1" applyFill="1" applyBorder="1" applyAlignment="1">
      <alignment/>
    </xf>
    <xf numFmtId="43" fontId="1" fillId="13" borderId="14" xfId="15" applyNumberFormat="1" applyFont="1" applyFill="1" applyBorder="1" applyAlignment="1">
      <alignment/>
    </xf>
    <xf numFmtId="165" fontId="1" fillId="13" borderId="65" xfId="0" applyNumberFormat="1" applyFont="1" applyFill="1" applyBorder="1" applyAlignment="1">
      <alignment/>
    </xf>
    <xf numFmtId="165" fontId="1" fillId="13" borderId="45" xfId="15" applyNumberFormat="1" applyFont="1" applyFill="1" applyBorder="1" applyAlignment="1">
      <alignment/>
    </xf>
    <xf numFmtId="0" fontId="1" fillId="13" borderId="45" xfId="0" applyFont="1" applyFill="1" applyBorder="1" applyAlignment="1">
      <alignment/>
    </xf>
    <xf numFmtId="165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43" fontId="1" fillId="13" borderId="0" xfId="15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Fill="1" applyBorder="1" applyAlignment="1">
      <alignment/>
    </xf>
    <xf numFmtId="15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15" fontId="68" fillId="0" borderId="0" xfId="0" applyNumberFormat="1" applyFont="1" applyFill="1" applyBorder="1" applyAlignment="1">
      <alignment horizontal="center"/>
    </xf>
    <xf numFmtId="17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7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70" fillId="0" borderId="13" xfId="0" applyFont="1" applyFill="1" applyBorder="1" applyAlignment="1">
      <alignment/>
    </xf>
    <xf numFmtId="17" fontId="0" fillId="0" borderId="0" xfId="0" applyNumberFormat="1" applyAlignment="1">
      <alignment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64" fillId="0" borderId="0" xfId="0" applyNumberFormat="1" applyFont="1" applyFill="1" applyBorder="1" applyAlignment="1" quotePrefix="1">
      <alignment horizontal="center"/>
    </xf>
    <xf numFmtId="0" fontId="0" fillId="3" borderId="52" xfId="0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Fill="1" applyBorder="1" applyAlignment="1">
      <alignment/>
    </xf>
    <xf numFmtId="3" fontId="43" fillId="0" borderId="0" xfId="0" applyNumberFormat="1" applyFont="1" applyFill="1" applyAlignment="1">
      <alignment/>
    </xf>
    <xf numFmtId="17" fontId="43" fillId="0" borderId="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17" fontId="16" fillId="0" borderId="0" xfId="0" applyNumberFormat="1" applyFont="1" applyFill="1" applyBorder="1" applyAlignment="1">
      <alignment/>
    </xf>
    <xf numFmtId="17" fontId="16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41" fillId="0" borderId="0" xfId="21" applyFont="1" applyFill="1" applyBorder="1" applyAlignment="1">
      <alignment/>
    </xf>
    <xf numFmtId="1" fontId="72" fillId="0" borderId="0" xfId="0" applyNumberFormat="1" applyFont="1" applyFill="1" applyBorder="1" applyAlignment="1">
      <alignment/>
    </xf>
    <xf numFmtId="165" fontId="74" fillId="0" borderId="0" xfId="15" applyNumberFormat="1" applyFont="1" applyFill="1" applyBorder="1" applyAlignment="1">
      <alignment/>
    </xf>
    <xf numFmtId="166" fontId="75" fillId="0" borderId="0" xfId="0" applyNumberFormat="1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2" fontId="75" fillId="0" borderId="0" xfId="15" applyNumberFormat="1" applyFont="1" applyFill="1" applyBorder="1" applyAlignment="1">
      <alignment horizontal="center"/>
    </xf>
    <xf numFmtId="43" fontId="75" fillId="0" borderId="0" xfId="0" applyNumberFormat="1" applyFont="1" applyFill="1" applyBorder="1" applyAlignment="1">
      <alignment horizontal="center"/>
    </xf>
    <xf numFmtId="165" fontId="73" fillId="0" borderId="0" xfId="0" applyNumberFormat="1" applyFont="1" applyFill="1" applyBorder="1" applyAlignment="1">
      <alignment/>
    </xf>
    <xf numFmtId="2" fontId="73" fillId="0" borderId="0" xfId="15" applyNumberFormat="1" applyFont="1" applyFill="1" applyBorder="1" applyAlignment="1">
      <alignment horizontal="center"/>
    </xf>
    <xf numFmtId="43" fontId="73" fillId="0" borderId="0" xfId="0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2" fontId="77" fillId="5" borderId="39" xfId="15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2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8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6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4" fontId="0" fillId="0" borderId="81" xfId="15" applyNumberFormat="1" applyBorder="1" applyAlignment="1">
      <alignment/>
    </xf>
    <xf numFmtId="164" fontId="0" fillId="0" borderId="82" xfId="15" applyNumberFormat="1" applyBorder="1" applyAlignment="1">
      <alignment/>
    </xf>
    <xf numFmtId="164" fontId="0" fillId="0" borderId="83" xfId="15" applyNumberFormat="1" applyBorder="1" applyAlignment="1">
      <alignment/>
    </xf>
    <xf numFmtId="0" fontId="12" fillId="7" borderId="39" xfId="0" applyFont="1" applyFill="1" applyBorder="1" applyAlignment="1">
      <alignment/>
    </xf>
    <xf numFmtId="164" fontId="0" fillId="0" borderId="81" xfId="15" applyNumberFormat="1" applyFont="1" applyBorder="1" applyAlignment="1">
      <alignment/>
    </xf>
    <xf numFmtId="43" fontId="0" fillId="7" borderId="10" xfId="0" applyNumberFormat="1" applyFill="1" applyBorder="1" applyAlignment="1">
      <alignment/>
    </xf>
    <xf numFmtId="165" fontId="6" fillId="7" borderId="60" xfId="0" applyNumberFormat="1" applyFont="1" applyFill="1" applyBorder="1" applyAlignment="1">
      <alignment/>
    </xf>
    <xf numFmtId="165" fontId="66" fillId="7" borderId="60" xfId="0" applyNumberFormat="1" applyFont="1" applyFill="1" applyBorder="1" applyAlignment="1">
      <alignment/>
    </xf>
    <xf numFmtId="165" fontId="6" fillId="7" borderId="59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23" xfId="15" applyNumberFormat="1" applyFont="1" applyFill="1" applyBorder="1" applyAlignment="1">
      <alignment/>
    </xf>
    <xf numFmtId="165" fontId="0" fillId="0" borderId="84" xfId="15" applyNumberFormat="1" applyFont="1" applyFill="1" applyBorder="1" applyAlignment="1">
      <alignment/>
    </xf>
    <xf numFmtId="165" fontId="0" fillId="0" borderId="85" xfId="15" applyNumberFormat="1" applyFont="1" applyFill="1" applyBorder="1" applyAlignment="1">
      <alignment/>
    </xf>
    <xf numFmtId="182" fontId="0" fillId="0" borderId="0" xfId="15" applyNumberFormat="1" applyFont="1" applyFill="1" applyBorder="1" applyAlignment="1">
      <alignment/>
    </xf>
    <xf numFmtId="1" fontId="5" fillId="7" borderId="59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65" fontId="0" fillId="0" borderId="34" xfId="0" applyNumberFormat="1" applyFont="1" applyFill="1" applyBorder="1" applyAlignment="1">
      <alignment/>
    </xf>
    <xf numFmtId="165" fontId="66" fillId="7" borderId="59" xfId="0" applyNumberFormat="1" applyFont="1" applyFill="1" applyBorder="1" applyAlignment="1">
      <alignment/>
    </xf>
    <xf numFmtId="165" fontId="0" fillId="0" borderId="67" xfId="15" applyNumberFormat="1" applyFont="1" applyFill="1" applyBorder="1" applyAlignment="1">
      <alignment/>
    </xf>
    <xf numFmtId="165" fontId="5" fillId="7" borderId="63" xfId="0" applyNumberFormat="1" applyFont="1" applyFill="1" applyBorder="1" applyAlignment="1">
      <alignment/>
    </xf>
    <xf numFmtId="165" fontId="5" fillId="7" borderId="0" xfId="0" applyNumberFormat="1" applyFont="1" applyFill="1" applyBorder="1" applyAlignment="1">
      <alignment/>
    </xf>
    <xf numFmtId="165" fontId="5" fillId="7" borderId="62" xfId="0" applyNumberFormat="1" applyFont="1" applyFill="1" applyBorder="1" applyAlignment="1">
      <alignment/>
    </xf>
    <xf numFmtId="165" fontId="5" fillId="9" borderId="63" xfId="0" applyNumberFormat="1" applyFont="1" applyFill="1" applyBorder="1" applyAlignment="1">
      <alignment/>
    </xf>
    <xf numFmtId="165" fontId="0" fillId="9" borderId="0" xfId="0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/>
    </xf>
    <xf numFmtId="165" fontId="5" fillId="3" borderId="9" xfId="0" applyNumberFormat="1" applyFont="1" applyFill="1" applyBorder="1" applyAlignment="1">
      <alignment/>
    </xf>
    <xf numFmtId="165" fontId="5" fillId="3" borderId="63" xfId="0" applyNumberFormat="1" applyFont="1" applyFill="1" applyBorder="1" applyAlignment="1">
      <alignment/>
    </xf>
    <xf numFmtId="0" fontId="41" fillId="0" borderId="34" xfId="0" applyFont="1" applyFill="1" applyBorder="1" applyAlignment="1">
      <alignment/>
    </xf>
    <xf numFmtId="165" fontId="48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48" fillId="0" borderId="0" xfId="15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65" fontId="48" fillId="0" borderId="0" xfId="0" applyNumberFormat="1" applyFont="1" applyFill="1" applyBorder="1" applyAlignment="1">
      <alignment horizontal="left"/>
    </xf>
    <xf numFmtId="165" fontId="41" fillId="0" borderId="9" xfId="15" applyNumberFormat="1" applyFont="1" applyFill="1" applyBorder="1" applyAlignment="1">
      <alignment horizontal="left"/>
    </xf>
    <xf numFmtId="0" fontId="5" fillId="2" borderId="63" xfId="0" applyFont="1" applyFill="1" applyBorder="1" applyAlignment="1">
      <alignment/>
    </xf>
    <xf numFmtId="165" fontId="5" fillId="2" borderId="38" xfId="0" applyNumberFormat="1" applyFont="1" applyFill="1" applyBorder="1" applyAlignment="1">
      <alignment horizontal="center"/>
    </xf>
    <xf numFmtId="165" fontId="56" fillId="0" borderId="0" xfId="15" applyNumberFormat="1" applyFont="1" applyFill="1" applyBorder="1" applyAlignment="1">
      <alignment horizontal="right"/>
    </xf>
    <xf numFmtId="9" fontId="56" fillId="0" borderId="0" xfId="21" applyFont="1" applyFill="1" applyBorder="1" applyAlignment="1">
      <alignment/>
    </xf>
    <xf numFmtId="9" fontId="56" fillId="0" borderId="5" xfId="21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/>
    </xf>
    <xf numFmtId="0" fontId="23" fillId="13" borderId="0" xfId="0" applyFont="1" applyFill="1" applyAlignment="1">
      <alignment/>
    </xf>
    <xf numFmtId="17" fontId="62" fillId="0" borderId="0" xfId="0" applyNumberFormat="1" applyFont="1" applyFill="1" applyBorder="1" applyAlignment="1">
      <alignment/>
    </xf>
    <xf numFmtId="17" fontId="31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165" fontId="84" fillId="0" borderId="0" xfId="15" applyNumberFormat="1" applyFont="1" applyBorder="1" applyAlignment="1">
      <alignment horizontal="center"/>
    </xf>
    <xf numFmtId="15" fontId="84" fillId="0" borderId="0" xfId="0" applyNumberFormat="1" applyFont="1" applyFill="1" applyBorder="1" applyAlignment="1">
      <alignment horizontal="right"/>
    </xf>
    <xf numFmtId="165" fontId="84" fillId="0" borderId="0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/>
    </xf>
    <xf numFmtId="17" fontId="84" fillId="0" borderId="0" xfId="0" applyNumberFormat="1" applyFont="1" applyFill="1" applyBorder="1" applyAlignment="1">
      <alignment/>
    </xf>
    <xf numFmtId="165" fontId="76" fillId="0" borderId="0" xfId="15" applyNumberFormat="1" applyFont="1" applyFill="1" applyBorder="1" applyAlignment="1">
      <alignment horizontal="center"/>
    </xf>
    <xf numFmtId="165" fontId="83" fillId="0" borderId="0" xfId="15" applyNumberFormat="1" applyFont="1" applyFill="1" applyBorder="1" applyAlignment="1">
      <alignment horizontal="center"/>
    </xf>
    <xf numFmtId="167" fontId="83" fillId="0" borderId="0" xfId="0" applyNumberFormat="1" applyFont="1" applyFill="1" applyBorder="1" applyAlignment="1">
      <alignment horizontal="center"/>
    </xf>
    <xf numFmtId="165" fontId="83" fillId="2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83" fillId="0" borderId="0" xfId="15" applyNumberFormat="1" applyFont="1" applyFill="1" applyBorder="1" applyAlignment="1">
      <alignment/>
    </xf>
    <xf numFmtId="15" fontId="83" fillId="0" borderId="0" xfId="0" applyNumberFormat="1" applyFont="1" applyFill="1" applyBorder="1" applyAlignment="1">
      <alignment/>
    </xf>
    <xf numFmtId="0" fontId="83" fillId="0" borderId="0" xfId="15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167" fontId="83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5" fontId="69" fillId="0" borderId="0" xfId="0" applyNumberFormat="1" applyFont="1" applyBorder="1" applyAlignment="1">
      <alignment horizontal="center" wrapText="1"/>
    </xf>
    <xf numFmtId="17" fontId="69" fillId="0" borderId="0" xfId="0" applyNumberFormat="1" applyFont="1" applyBorder="1" applyAlignment="1">
      <alignment horizontal="center" wrapText="1"/>
    </xf>
    <xf numFmtId="0" fontId="83" fillId="0" borderId="0" xfId="0" applyNumberFormat="1" applyFont="1" applyFill="1" applyBorder="1" applyAlignment="1">
      <alignment horizontal="center"/>
    </xf>
    <xf numFmtId="0" fontId="83" fillId="0" borderId="0" xfId="0" applyNumberFormat="1" applyFont="1" applyBorder="1" applyAlignment="1">
      <alignment wrapText="1"/>
    </xf>
    <xf numFmtId="0" fontId="29" fillId="0" borderId="0" xfId="0" applyNumberFormat="1" applyFont="1" applyBorder="1" applyAlignment="1">
      <alignment wrapText="1"/>
    </xf>
    <xf numFmtId="0" fontId="83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center" wrapText="1"/>
    </xf>
    <xf numFmtId="15" fontId="84" fillId="0" borderId="0" xfId="0" applyNumberFormat="1" applyFont="1" applyBorder="1" applyAlignment="1">
      <alignment horizontal="center"/>
    </xf>
    <xf numFmtId="15" fontId="84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17" fontId="8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4" fillId="0" borderId="5" xfId="15" applyNumberFormat="1" applyFont="1" applyBorder="1" applyAlignment="1">
      <alignment horizontal="center"/>
    </xf>
    <xf numFmtId="0" fontId="84" fillId="0" borderId="5" xfId="15" applyNumberFormat="1" applyFont="1" applyFill="1" applyBorder="1" applyAlignment="1">
      <alignment horizontal="center"/>
    </xf>
    <xf numFmtId="0" fontId="1" fillId="0" borderId="5" xfId="15" applyNumberFormat="1" applyFont="1" applyFill="1" applyBorder="1" applyAlignment="1">
      <alignment horizontal="center"/>
    </xf>
    <xf numFmtId="0" fontId="76" fillId="0" borderId="5" xfId="15" applyNumberFormat="1" applyFont="1" applyFill="1" applyBorder="1" applyAlignment="1">
      <alignment horizontal="center"/>
    </xf>
    <xf numFmtId="0" fontId="83" fillId="0" borderId="5" xfId="15" applyNumberFormat="1" applyFont="1" applyFill="1" applyBorder="1" applyAlignment="1">
      <alignment horizontal="center"/>
    </xf>
    <xf numFmtId="0" fontId="16" fillId="0" borderId="72" xfId="0" applyFont="1" applyFill="1" applyBorder="1" applyAlignment="1">
      <alignment/>
    </xf>
    <xf numFmtId="0" fontId="31" fillId="0" borderId="0" xfId="0" applyNumberFormat="1" applyFont="1" applyFill="1" applyBorder="1" applyAlignment="1">
      <alignment horizontal="center"/>
    </xf>
    <xf numFmtId="15" fontId="85" fillId="0" borderId="0" xfId="0" applyNumberFormat="1" applyFont="1" applyFill="1" applyBorder="1" applyAlignment="1">
      <alignment horizontal="center"/>
    </xf>
    <xf numFmtId="17" fontId="85" fillId="0" borderId="0" xfId="0" applyNumberFormat="1" applyFont="1" applyFill="1" applyBorder="1" applyAlignment="1">
      <alignment horizontal="center"/>
    </xf>
    <xf numFmtId="0" fontId="31" fillId="0" borderId="0" xfId="0" applyNumberFormat="1" applyFont="1" applyBorder="1" applyAlignment="1">
      <alignment horizontal="center" wrapText="1"/>
    </xf>
    <xf numFmtId="165" fontId="7" fillId="0" borderId="0" xfId="15" applyNumberFormat="1" applyFont="1" applyFill="1" applyBorder="1" applyAlignment="1">
      <alignment/>
    </xf>
    <xf numFmtId="0" fontId="31" fillId="0" borderId="0" xfId="0" applyFont="1" applyBorder="1" applyAlignment="1">
      <alignment horizontal="center" wrapText="1"/>
    </xf>
    <xf numFmtId="15" fontId="85" fillId="0" borderId="0" xfId="0" applyNumberFormat="1" applyFont="1" applyBorder="1" applyAlignment="1">
      <alignment horizontal="center" wrapText="1"/>
    </xf>
    <xf numFmtId="17" fontId="85" fillId="0" borderId="0" xfId="0" applyNumberFormat="1" applyFont="1" applyBorder="1" applyAlignment="1">
      <alignment horizontal="center" wrapText="1"/>
    </xf>
    <xf numFmtId="165" fontId="7" fillId="0" borderId="5" xfId="15" applyNumberFormat="1" applyFont="1" applyFill="1" applyBorder="1" applyAlignment="1">
      <alignment/>
    </xf>
    <xf numFmtId="0" fontId="27" fillId="0" borderId="5" xfId="15" applyNumberFormat="1" applyFont="1" applyFill="1" applyBorder="1" applyAlignment="1">
      <alignment horizontal="center"/>
    </xf>
    <xf numFmtId="0" fontId="31" fillId="4" borderId="0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15" fontId="85" fillId="4" borderId="0" xfId="0" applyNumberFormat="1" applyFont="1" applyFill="1" applyBorder="1" applyAlignment="1">
      <alignment horizontal="center"/>
    </xf>
    <xf numFmtId="17" fontId="85" fillId="4" borderId="0" xfId="0" applyNumberFormat="1" applyFont="1" applyFill="1" applyBorder="1" applyAlignment="1">
      <alignment horizontal="center"/>
    </xf>
    <xf numFmtId="0" fontId="84" fillId="4" borderId="5" xfId="15" applyNumberFormat="1" applyFont="1" applyFill="1" applyBorder="1" applyAlignment="1">
      <alignment horizontal="center"/>
    </xf>
    <xf numFmtId="0" fontId="31" fillId="4" borderId="0" xfId="0" applyNumberFormat="1" applyFont="1" applyFill="1" applyBorder="1" applyAlignment="1">
      <alignment horizontal="center" wrapText="1"/>
    </xf>
    <xf numFmtId="0" fontId="31" fillId="4" borderId="0" xfId="0" applyFont="1" applyFill="1" applyBorder="1" applyAlignment="1">
      <alignment horizontal="center" wrapText="1"/>
    </xf>
    <xf numFmtId="0" fontId="83" fillId="4" borderId="5" xfId="15" applyNumberFormat="1" applyFont="1" applyFill="1" applyBorder="1" applyAlignment="1">
      <alignment horizontal="center"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1" xfId="0" applyFont="1" applyFill="1" applyBorder="1" applyAlignment="1">
      <alignment horizontal="centerContinuous"/>
    </xf>
    <xf numFmtId="0" fontId="17" fillId="6" borderId="2" xfId="0" applyFont="1" applyFill="1" applyBorder="1" applyAlignment="1">
      <alignment horizontal="centerContinuous"/>
    </xf>
    <xf numFmtId="0" fontId="16" fillId="6" borderId="2" xfId="0" applyFont="1" applyFill="1" applyBorder="1" applyAlignment="1">
      <alignment horizontal="centerContinuous"/>
    </xf>
    <xf numFmtId="0" fontId="16" fillId="6" borderId="3" xfId="0" applyFont="1" applyFill="1" applyBorder="1" applyAlignment="1">
      <alignment horizontal="centerContinuous"/>
    </xf>
    <xf numFmtId="0" fontId="16" fillId="6" borderId="0" xfId="0" applyFont="1" applyFill="1" applyAlignment="1">
      <alignment horizontal="centerContinuous"/>
    </xf>
    <xf numFmtId="0" fontId="18" fillId="6" borderId="4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40" fillId="6" borderId="6" xfId="0" applyFont="1" applyFill="1" applyBorder="1" applyAlignment="1">
      <alignment horizontal="left"/>
    </xf>
    <xf numFmtId="0" fontId="23" fillId="6" borderId="6" xfId="0" applyFont="1" applyFill="1" applyBorder="1" applyAlignment="1">
      <alignment horizontal="left"/>
    </xf>
    <xf numFmtId="176" fontId="39" fillId="6" borderId="3" xfId="0" applyNumberFormat="1" applyFont="1" applyFill="1" applyBorder="1" applyAlignment="1">
      <alignment horizontal="center"/>
    </xf>
    <xf numFmtId="0" fontId="23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4" fillId="6" borderId="45" xfId="0" applyFont="1" applyFill="1" applyBorder="1" applyAlignment="1">
      <alignment horizontal="left"/>
    </xf>
    <xf numFmtId="0" fontId="25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4" fillId="6" borderId="20" xfId="0" applyFont="1" applyFill="1" applyBorder="1" applyAlignment="1">
      <alignment horizontal="left"/>
    </xf>
    <xf numFmtId="0" fontId="0" fillId="6" borderId="38" xfId="0" applyFill="1" applyBorder="1" applyAlignment="1">
      <alignment/>
    </xf>
    <xf numFmtId="0" fontId="26" fillId="6" borderId="46" xfId="0" applyFont="1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39" xfId="0" applyFont="1" applyFill="1" applyBorder="1" applyAlignment="1">
      <alignment horizontal="center"/>
    </xf>
    <xf numFmtId="0" fontId="1" fillId="6" borderId="39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0" fillId="6" borderId="41" xfId="0" applyFill="1" applyBorder="1" applyAlignment="1">
      <alignment/>
    </xf>
    <xf numFmtId="0" fontId="37" fillId="6" borderId="48" xfId="0" applyFont="1" applyFill="1" applyBorder="1" applyAlignment="1">
      <alignment horizontal="left"/>
    </xf>
    <xf numFmtId="0" fontId="1" fillId="6" borderId="49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6" borderId="42" xfId="0" applyFill="1" applyBorder="1" applyAlignment="1">
      <alignment/>
    </xf>
    <xf numFmtId="0" fontId="37" fillId="6" borderId="37" xfId="0" applyFont="1" applyFill="1" applyBorder="1" applyAlignment="1">
      <alignment horizontal="left"/>
    </xf>
    <xf numFmtId="0" fontId="1" fillId="6" borderId="50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0" fontId="1" fillId="6" borderId="40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0" fillId="6" borderId="44" xfId="0" applyFill="1" applyBorder="1" applyAlignment="1">
      <alignment/>
    </xf>
    <xf numFmtId="0" fontId="37" fillId="6" borderId="51" xfId="0" applyFont="1" applyFill="1" applyBorder="1" applyAlignment="1">
      <alignment horizontal="left"/>
    </xf>
    <xf numFmtId="0" fontId="16" fillId="6" borderId="35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8" xfId="0" applyFont="1" applyFill="1" applyBorder="1" applyAlignment="1">
      <alignment vertical="top"/>
    </xf>
    <xf numFmtId="0" fontId="27" fillId="6" borderId="0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9" fillId="6" borderId="65" xfId="0" applyFont="1" applyFill="1" applyBorder="1" applyAlignment="1">
      <alignment horizontal="center"/>
    </xf>
    <xf numFmtId="0" fontId="29" fillId="6" borderId="10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 wrapText="1"/>
    </xf>
    <xf numFmtId="0" fontId="29" fillId="6" borderId="12" xfId="0" applyFont="1" applyFill="1" applyBorder="1" applyAlignment="1">
      <alignment horizontal="center" wrapText="1"/>
    </xf>
    <xf numFmtId="0" fontId="16" fillId="6" borderId="13" xfId="0" applyFont="1" applyFill="1" applyBorder="1" applyAlignment="1">
      <alignment/>
    </xf>
    <xf numFmtId="0" fontId="16" fillId="6" borderId="0" xfId="0" applyFont="1" applyFill="1" applyAlignment="1">
      <alignment horizontal="center"/>
    </xf>
    <xf numFmtId="15" fontId="16" fillId="6" borderId="0" xfId="0" applyNumberFormat="1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170" fontId="30" fillId="6" borderId="10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15" fontId="16" fillId="6" borderId="0" xfId="0" applyNumberFormat="1" applyFont="1" applyFill="1" applyAlignment="1">
      <alignment/>
    </xf>
    <xf numFmtId="165" fontId="16" fillId="6" borderId="0" xfId="15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Alignment="1">
      <alignment horizontal="center"/>
    </xf>
    <xf numFmtId="15" fontId="31" fillId="6" borderId="0" xfId="0" applyNumberFormat="1" applyFont="1" applyFill="1" applyAlignment="1">
      <alignment/>
    </xf>
    <xf numFmtId="0" fontId="31" fillId="6" borderId="10" xfId="0" applyFont="1" applyFill="1" applyBorder="1" applyAlignment="1">
      <alignment horizontal="center"/>
    </xf>
    <xf numFmtId="170" fontId="31" fillId="6" borderId="10" xfId="0" applyNumberFormat="1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13" xfId="0" applyFont="1" applyFill="1" applyBorder="1" applyAlignment="1">
      <alignment/>
    </xf>
    <xf numFmtId="15" fontId="31" fillId="6" borderId="0" xfId="0" applyNumberFormat="1" applyFont="1" applyFill="1" applyBorder="1" applyAlignment="1">
      <alignment horizontal="center"/>
    </xf>
    <xf numFmtId="14" fontId="16" fillId="6" borderId="0" xfId="0" applyNumberFormat="1" applyFont="1" applyFill="1" applyAlignment="1">
      <alignment/>
    </xf>
    <xf numFmtId="0" fontId="30" fillId="6" borderId="10" xfId="0" applyFont="1" applyFill="1" applyBorder="1" applyAlignment="1">
      <alignment horizontal="center"/>
    </xf>
    <xf numFmtId="0" fontId="16" fillId="6" borderId="14" xfId="0" applyFont="1" applyFill="1" applyBorder="1" applyAlignment="1">
      <alignment/>
    </xf>
    <xf numFmtId="0" fontId="16" fillId="6" borderId="15" xfId="0" applyFont="1" applyFill="1" applyBorder="1" applyAlignment="1">
      <alignment/>
    </xf>
    <xf numFmtId="0" fontId="16" fillId="6" borderId="16" xfId="0" applyFont="1" applyFill="1" applyBorder="1" applyAlignment="1">
      <alignment/>
    </xf>
    <xf numFmtId="170" fontId="30" fillId="6" borderId="16" xfId="0" applyNumberFormat="1" applyFont="1" applyFill="1" applyBorder="1" applyAlignment="1">
      <alignment/>
    </xf>
    <xf numFmtId="0" fontId="16" fillId="6" borderId="17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32" fillId="6" borderId="1" xfId="0" applyFont="1" applyFill="1" applyBorder="1" applyAlignment="1">
      <alignment/>
    </xf>
    <xf numFmtId="0" fontId="32" fillId="6" borderId="2" xfId="0" applyFont="1" applyFill="1" applyBorder="1" applyAlignment="1">
      <alignment/>
    </xf>
    <xf numFmtId="0" fontId="29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/>
    </xf>
    <xf numFmtId="0" fontId="16" fillId="6" borderId="3" xfId="0" applyFont="1" applyFill="1" applyBorder="1" applyAlignment="1">
      <alignment/>
    </xf>
    <xf numFmtId="0" fontId="30" fillId="6" borderId="19" xfId="0" applyFont="1" applyFill="1" applyBorder="1" applyAlignment="1">
      <alignment/>
    </xf>
    <xf numFmtId="0" fontId="30" fillId="6" borderId="10" xfId="0" applyFont="1" applyFill="1" applyBorder="1" applyAlignment="1">
      <alignment wrapText="1"/>
    </xf>
    <xf numFmtId="0" fontId="30" fillId="6" borderId="18" xfId="0" applyFont="1" applyFill="1" applyBorder="1" applyAlignment="1">
      <alignment horizontal="right"/>
    </xf>
    <xf numFmtId="167" fontId="32" fillId="6" borderId="0" xfId="0" applyNumberFormat="1" applyFont="1" applyFill="1" applyBorder="1" applyAlignment="1">
      <alignment horizontal="center"/>
    </xf>
    <xf numFmtId="167" fontId="32" fillId="6" borderId="42" xfId="0" applyNumberFormat="1" applyFont="1" applyFill="1" applyBorder="1" applyAlignment="1">
      <alignment horizontal="center"/>
    </xf>
    <xf numFmtId="0" fontId="16" fillId="6" borderId="42" xfId="0" applyFont="1" applyFill="1" applyBorder="1" applyAlignment="1">
      <alignment/>
    </xf>
    <xf numFmtId="39" fontId="16" fillId="6" borderId="0" xfId="15" applyNumberFormat="1" applyFont="1" applyFill="1" applyBorder="1" applyAlignment="1">
      <alignment horizontal="center"/>
    </xf>
    <xf numFmtId="39" fontId="16" fillId="6" borderId="42" xfId="15" applyNumberFormat="1" applyFont="1" applyFill="1" applyBorder="1" applyAlignment="1">
      <alignment horizontal="center"/>
    </xf>
    <xf numFmtId="0" fontId="30" fillId="6" borderId="43" xfId="0" applyFont="1" applyFill="1" applyBorder="1" applyAlignment="1">
      <alignment horizontal="right"/>
    </xf>
    <xf numFmtId="0" fontId="16" fillId="6" borderId="9" xfId="0" applyFont="1" applyFill="1" applyBorder="1" applyAlignment="1">
      <alignment/>
    </xf>
    <xf numFmtId="0" fontId="16" fillId="6" borderId="44" xfId="0" applyFont="1" applyFill="1" applyBorder="1" applyAlignment="1">
      <alignment/>
    </xf>
    <xf numFmtId="0" fontId="33" fillId="6" borderId="19" xfId="0" applyFont="1" applyFill="1" applyBorder="1" applyAlignment="1">
      <alignment/>
    </xf>
    <xf numFmtId="0" fontId="33" fillId="6" borderId="20" xfId="0" applyFont="1" applyFill="1" applyBorder="1" applyAlignment="1">
      <alignment horizontal="left"/>
    </xf>
    <xf numFmtId="0" fontId="27" fillId="6" borderId="21" xfId="0" applyFont="1" applyFill="1" applyBorder="1" applyAlignment="1">
      <alignment vertical="top"/>
    </xf>
    <xf numFmtId="0" fontId="27" fillId="6" borderId="22" xfId="0" applyFont="1" applyFill="1" applyBorder="1" applyAlignment="1">
      <alignment vertical="top"/>
    </xf>
    <xf numFmtId="0" fontId="25" fillId="6" borderId="23" xfId="0" applyFont="1" applyFill="1" applyBorder="1" applyAlignment="1">
      <alignment horizontal="centerContinuous"/>
    </xf>
    <xf numFmtId="0" fontId="25" fillId="6" borderId="24" xfId="0" applyFont="1" applyFill="1" applyBorder="1" applyAlignment="1">
      <alignment horizontal="centerContinuous"/>
    </xf>
    <xf numFmtId="0" fontId="16" fillId="6" borderId="25" xfId="0" applyFont="1" applyFill="1" applyBorder="1" applyAlignment="1">
      <alignment horizontal="centerContinuous"/>
    </xf>
    <xf numFmtId="0" fontId="16" fillId="6" borderId="26" xfId="0" applyFont="1" applyFill="1" applyBorder="1" applyAlignment="1">
      <alignment horizontal="centerContinuous"/>
    </xf>
    <xf numFmtId="0" fontId="16" fillId="6" borderId="24" xfId="0" applyFont="1" applyFill="1" applyBorder="1" applyAlignment="1">
      <alignment horizontal="centerContinuous"/>
    </xf>
    <xf numFmtId="0" fontId="16" fillId="6" borderId="27" xfId="0" applyFont="1" applyFill="1" applyBorder="1" applyAlignment="1">
      <alignment horizontal="centerContinuous"/>
    </xf>
    <xf numFmtId="0" fontId="33" fillId="6" borderId="47" xfId="0" applyFont="1" applyFill="1" applyBorder="1" applyAlignment="1">
      <alignment horizontal="centerContinuous"/>
    </xf>
    <xf numFmtId="0" fontId="33" fillId="6" borderId="41" xfId="0" applyFont="1" applyFill="1" applyBorder="1" applyAlignment="1">
      <alignment horizontal="centerContinuous"/>
    </xf>
    <xf numFmtId="0" fontId="33" fillId="6" borderId="39" xfId="0" applyFont="1" applyFill="1" applyBorder="1" applyAlignment="1">
      <alignment horizontal="centerContinuous" wrapText="1"/>
    </xf>
    <xf numFmtId="0" fontId="33" fillId="6" borderId="19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Continuous"/>
    </xf>
    <xf numFmtId="0" fontId="16" fillId="6" borderId="53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3" fontId="16" fillId="0" borderId="0" xfId="0" applyNumberFormat="1" applyFont="1" applyAlignment="1">
      <alignment/>
    </xf>
    <xf numFmtId="15" fontId="0" fillId="0" borderId="0" xfId="0" applyNumberFormat="1" applyAlignment="1">
      <alignment/>
    </xf>
    <xf numFmtId="17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6" fillId="4" borderId="13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15" fontId="67" fillId="4" borderId="0" xfId="0" applyNumberFormat="1" applyFont="1" applyFill="1" applyBorder="1" applyAlignment="1">
      <alignment horizontal="center"/>
    </xf>
    <xf numFmtId="0" fontId="67" fillId="4" borderId="0" xfId="0" applyFont="1" applyFill="1" applyBorder="1" applyAlignment="1">
      <alignment horizontal="center"/>
    </xf>
    <xf numFmtId="15" fontId="70" fillId="4" borderId="0" xfId="0" applyNumberFormat="1" applyFont="1" applyFill="1" applyBorder="1" applyAlignment="1">
      <alignment horizontal="center"/>
    </xf>
    <xf numFmtId="17" fontId="70" fillId="4" borderId="0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15" fontId="1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5" fontId="70" fillId="2" borderId="0" xfId="0" applyNumberFormat="1" applyFont="1" applyFill="1" applyBorder="1" applyAlignment="1">
      <alignment horizontal="center"/>
    </xf>
    <xf numFmtId="17" fontId="70" fillId="2" borderId="0" xfId="0" applyNumberFormat="1" applyFont="1" applyFill="1" applyBorder="1" applyAlignment="1">
      <alignment horizontal="center"/>
    </xf>
    <xf numFmtId="15" fontId="67" fillId="2" borderId="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7" fillId="4" borderId="5" xfId="0" applyFont="1" applyFill="1" applyBorder="1" applyAlignment="1">
      <alignment horizontal="center"/>
    </xf>
    <xf numFmtId="0" fontId="70" fillId="4" borderId="5" xfId="0" applyFont="1" applyFill="1" applyBorder="1" applyAlignment="1">
      <alignment horizontal="center"/>
    </xf>
    <xf numFmtId="0" fontId="67" fillId="2" borderId="5" xfId="0" applyFont="1" applyFill="1" applyBorder="1" applyAlignment="1">
      <alignment horizontal="center"/>
    </xf>
    <xf numFmtId="0" fontId="67" fillId="0" borderId="5" xfId="0" applyFont="1" applyBorder="1" applyAlignment="1">
      <alignment horizontal="center"/>
    </xf>
    <xf numFmtId="0" fontId="67" fillId="0" borderId="5" xfId="0" applyFont="1" applyFill="1" applyBorder="1" applyAlignment="1">
      <alignment horizontal="center"/>
    </xf>
    <xf numFmtId="0" fontId="70" fillId="2" borderId="5" xfId="0" applyFont="1" applyFill="1" applyBorder="1" applyAlignment="1">
      <alignment horizontal="center"/>
    </xf>
    <xf numFmtId="3" fontId="67" fillId="0" borderId="5" xfId="0" applyNumberFormat="1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72" xfId="0" applyFont="1" applyFill="1" applyBorder="1" applyAlignment="1">
      <alignment/>
    </xf>
    <xf numFmtId="0" fontId="0" fillId="2" borderId="35" xfId="0" applyFill="1" applyBorder="1" applyAlignment="1">
      <alignment horizontal="center"/>
    </xf>
    <xf numFmtId="15" fontId="0" fillId="2" borderId="35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5" fontId="0" fillId="4" borderId="0" xfId="0" applyNumberFormat="1" applyFont="1" applyFill="1" applyBorder="1" applyAlignment="1">
      <alignment horizontal="center"/>
    </xf>
    <xf numFmtId="0" fontId="83" fillId="0" borderId="13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1" fillId="4" borderId="13" xfId="0" applyFont="1" applyFill="1" applyBorder="1" applyAlignment="1">
      <alignment horizontal="left"/>
    </xf>
    <xf numFmtId="15" fontId="31" fillId="4" borderId="0" xfId="0" applyNumberFormat="1" applyFont="1" applyFill="1" applyBorder="1" applyAlignment="1">
      <alignment horizontal="center"/>
    </xf>
    <xf numFmtId="17" fontId="31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5" fontId="5" fillId="4" borderId="0" xfId="0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/>
    </xf>
    <xf numFmtId="0" fontId="27" fillId="4" borderId="13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165" fontId="66" fillId="2" borderId="46" xfId="15" applyNumberFormat="1" applyFont="1" applyFill="1" applyBorder="1" applyAlignment="1">
      <alignment/>
    </xf>
    <xf numFmtId="1" fontId="42" fillId="2" borderId="46" xfId="0" applyNumberFormat="1" applyFont="1" applyFill="1" applyBorder="1" applyAlignment="1">
      <alignment/>
    </xf>
    <xf numFmtId="15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0" borderId="20" xfId="15" applyNumberFormat="1" applyFont="1" applyFill="1" applyBorder="1" applyAlignment="1" quotePrefix="1">
      <alignment/>
    </xf>
    <xf numFmtId="9" fontId="0" fillId="0" borderId="21" xfId="21" applyFill="1" applyBorder="1" applyAlignment="1">
      <alignment/>
    </xf>
    <xf numFmtId="9" fontId="0" fillId="0" borderId="38" xfId="2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43" fontId="79" fillId="0" borderId="2" xfId="0" applyNumberFormat="1" applyFont="1" applyFill="1" applyBorder="1" applyAlignment="1">
      <alignment horizontal="centerContinuous"/>
    </xf>
    <xf numFmtId="0" fontId="79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17" fontId="47" fillId="0" borderId="0" xfId="0" applyNumberFormat="1" applyFont="1" applyFill="1" applyBorder="1" applyAlignment="1" quotePrefix="1">
      <alignment horizontal="centerContinuous"/>
    </xf>
    <xf numFmtId="2" fontId="79" fillId="0" borderId="0" xfId="0" applyNumberFormat="1" applyFont="1" applyFill="1" applyBorder="1" applyAlignment="1">
      <alignment horizontal="centerContinuous"/>
    </xf>
    <xf numFmtId="0" fontId="79" fillId="0" borderId="0" xfId="0" applyFont="1" applyFill="1" applyBorder="1" applyAlignment="1">
      <alignment horizontal="centerContinuous"/>
    </xf>
    <xf numFmtId="0" fontId="0" fillId="0" borderId="5" xfId="0" applyFill="1" applyBorder="1" applyAlignment="1">
      <alignment/>
    </xf>
    <xf numFmtId="17" fontId="79" fillId="0" borderId="0" xfId="0" applyNumberFormat="1" applyFont="1" applyFill="1" applyBorder="1" applyAlignment="1" quotePrefix="1">
      <alignment horizontal="centerContinuous"/>
    </xf>
    <xf numFmtId="167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/>
    </xf>
    <xf numFmtId="6" fontId="1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6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167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13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5" xfId="0" applyFill="1" applyBorder="1" applyAlignment="1" quotePrefix="1">
      <alignment/>
    </xf>
    <xf numFmtId="0" fontId="7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0" fontId="0" fillId="0" borderId="7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79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78" fillId="0" borderId="2" xfId="0" applyFont="1" applyFill="1" applyBorder="1" applyAlignment="1">
      <alignment horizontal="right"/>
    </xf>
    <xf numFmtId="6" fontId="0" fillId="0" borderId="35" xfId="0" applyNumberFormat="1" applyFill="1" applyBorder="1" applyAlignment="1">
      <alignment/>
    </xf>
    <xf numFmtId="0" fontId="0" fillId="0" borderId="2" xfId="0" applyFill="1" applyBorder="1" applyAlignment="1" quotePrefix="1">
      <alignment/>
    </xf>
    <xf numFmtId="0" fontId="6" fillId="0" borderId="1" xfId="0" applyFont="1" applyFill="1" applyBorder="1" applyAlignment="1">
      <alignment/>
    </xf>
    <xf numFmtId="43" fontId="6" fillId="0" borderId="2" xfId="0" applyNumberFormat="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78" fillId="0" borderId="68" xfId="0" applyFont="1" applyFill="1" applyBorder="1" applyAlignment="1">
      <alignment/>
    </xf>
    <xf numFmtId="0" fontId="78" fillId="0" borderId="2" xfId="0" applyFont="1" applyFill="1" applyBorder="1" applyAlignment="1">
      <alignment/>
    </xf>
    <xf numFmtId="15" fontId="0" fillId="0" borderId="35" xfId="0" applyNumberFormat="1" applyFill="1" applyBorder="1" applyAlignment="1">
      <alignment/>
    </xf>
    <xf numFmtId="17" fontId="0" fillId="0" borderId="35" xfId="0" applyNumberFormat="1" applyFill="1" applyBorder="1" applyAlignment="1">
      <alignment horizontal="center"/>
    </xf>
    <xf numFmtId="166" fontId="0" fillId="0" borderId="35" xfId="0" applyNumberFormat="1" applyFill="1" applyBorder="1" applyAlignment="1">
      <alignment/>
    </xf>
    <xf numFmtId="15" fontId="0" fillId="0" borderId="2" xfId="0" applyNumberFormat="1" applyFill="1" applyBorder="1" applyAlignment="1">
      <alignment horizontal="right"/>
    </xf>
    <xf numFmtId="0" fontId="78" fillId="0" borderId="35" xfId="0" applyFont="1" applyFill="1" applyBorder="1" applyAlignment="1">
      <alignment/>
    </xf>
    <xf numFmtId="0" fontId="48" fillId="0" borderId="2" xfId="0" applyFont="1" applyFill="1" applyBorder="1" applyAlignment="1">
      <alignment horizontal="right"/>
    </xf>
    <xf numFmtId="165" fontId="48" fillId="0" borderId="21" xfId="15" applyNumberFormat="1" applyFont="1" applyFill="1" applyBorder="1" applyAlignment="1">
      <alignment horizontal="right"/>
    </xf>
    <xf numFmtId="165" fontId="48" fillId="0" borderId="2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9" fontId="5" fillId="0" borderId="35" xfId="2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86" fillId="0" borderId="2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83" fontId="0" fillId="0" borderId="0" xfId="0" applyNumberFormat="1" applyAlignment="1">
      <alignment/>
    </xf>
    <xf numFmtId="183" fontId="0" fillId="0" borderId="86" xfId="0" applyNumberFormat="1" applyBorder="1" applyAlignment="1">
      <alignment/>
    </xf>
    <xf numFmtId="0" fontId="5" fillId="0" borderId="0" xfId="0" applyFont="1" applyAlignment="1">
      <alignment/>
    </xf>
    <xf numFmtId="0" fontId="78" fillId="0" borderId="0" xfId="0" applyFont="1" applyAlignment="1">
      <alignment/>
    </xf>
    <xf numFmtId="183" fontId="5" fillId="0" borderId="86" xfId="0" applyNumberFormat="1" applyFont="1" applyBorder="1" applyAlignment="1">
      <alignment/>
    </xf>
    <xf numFmtId="0" fontId="5" fillId="0" borderId="0" xfId="0" applyFont="1" applyAlignment="1">
      <alignment horizontal="right"/>
    </xf>
    <xf numFmtId="183" fontId="5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78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8" fillId="0" borderId="0" xfId="0" applyFont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right"/>
    </xf>
    <xf numFmtId="183" fontId="6" fillId="0" borderId="31" xfId="0" applyNumberFormat="1" applyFont="1" applyBorder="1" applyAlignment="1">
      <alignment/>
    </xf>
    <xf numFmtId="0" fontId="87" fillId="0" borderId="0" xfId="0" applyFont="1" applyAlignment="1">
      <alignment horizontal="centerContinuous"/>
    </xf>
    <xf numFmtId="183" fontId="87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1" fillId="0" borderId="0" xfId="0" applyFont="1" applyAlignment="1">
      <alignment/>
    </xf>
    <xf numFmtId="183" fontId="41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21" xfId="0" applyFont="1" applyBorder="1" applyAlignment="1">
      <alignment horizontal="right"/>
    </xf>
    <xf numFmtId="183" fontId="42" fillId="0" borderId="38" xfId="0" applyNumberFormat="1" applyFont="1" applyBorder="1" applyAlignment="1">
      <alignment/>
    </xf>
    <xf numFmtId="167" fontId="5" fillId="0" borderId="0" xfId="0" applyNumberFormat="1" applyFont="1" applyFill="1" applyBorder="1" applyAlignment="1" quotePrefix="1">
      <alignment/>
    </xf>
    <xf numFmtId="167" fontId="6" fillId="0" borderId="2" xfId="0" applyNumberFormat="1" applyFont="1" applyFill="1" applyBorder="1" applyAlignment="1">
      <alignment/>
    </xf>
    <xf numFmtId="0" fontId="79" fillId="0" borderId="13" xfId="0" applyFont="1" applyFill="1" applyBorder="1" applyAlignment="1">
      <alignment/>
    </xf>
    <xf numFmtId="6" fontId="0" fillId="0" borderId="3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165" fontId="89" fillId="0" borderId="0" xfId="15" applyNumberFormat="1" applyFont="1" applyFill="1" applyBorder="1" applyAlignment="1">
      <alignment horizontal="right"/>
    </xf>
    <xf numFmtId="165" fontId="7" fillId="0" borderId="0" xfId="15" applyNumberFormat="1" applyFont="1" applyFill="1" applyBorder="1" applyAlignment="1">
      <alignment horizontal="right"/>
    </xf>
    <xf numFmtId="165" fontId="88" fillId="0" borderId="0" xfId="0" applyNumberFormat="1" applyFont="1" applyFill="1" applyBorder="1" applyAlignment="1">
      <alignment horizontal="center"/>
    </xf>
    <xf numFmtId="165" fontId="7" fillId="0" borderId="0" xfId="15" applyNumberFormat="1" applyFont="1" applyFill="1" applyBorder="1" applyAlignment="1">
      <alignment/>
    </xf>
    <xf numFmtId="165" fontId="89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90" fillId="0" borderId="0" xfId="0" applyNumberFormat="1" applyFont="1" applyFill="1" applyBorder="1" applyAlignment="1">
      <alignment/>
    </xf>
    <xf numFmtId="2" fontId="90" fillId="0" borderId="0" xfId="15" applyNumberFormat="1" applyFont="1" applyFill="1" applyBorder="1" applyAlignment="1">
      <alignment horizontal="center"/>
    </xf>
    <xf numFmtId="43" fontId="90" fillId="0" borderId="0" xfId="0" applyNumberFormat="1" applyFont="1" applyFill="1" applyBorder="1" applyAlignment="1">
      <alignment horizontal="center"/>
    </xf>
    <xf numFmtId="165" fontId="91" fillId="0" borderId="0" xfId="0" applyNumberFormat="1" applyFont="1" applyFill="1" applyBorder="1" applyAlignment="1">
      <alignment horizontal="center"/>
    </xf>
    <xf numFmtId="165" fontId="89" fillId="0" borderId="86" xfId="15" applyNumberFormat="1" applyFont="1" applyFill="1" applyBorder="1" applyAlignment="1">
      <alignment/>
    </xf>
    <xf numFmtId="165" fontId="89" fillId="0" borderId="86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 quotePrefix="1">
      <alignment wrapText="1"/>
    </xf>
    <xf numFmtId="0" fontId="1" fillId="7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48" fillId="0" borderId="0" xfId="0" applyNumberFormat="1" applyFont="1" applyFill="1" applyBorder="1" applyAlignment="1">
      <alignment horizontal="left" wrapText="1"/>
    </xf>
    <xf numFmtId="0" fontId="0" fillId="0" borderId="31" xfId="0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164" fontId="5" fillId="0" borderId="29" xfId="15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65" fontId="5" fillId="0" borderId="29" xfId="15" applyNumberFormat="1" applyFont="1" applyFill="1" applyBorder="1" applyAlignment="1">
      <alignment horizontal="center"/>
    </xf>
    <xf numFmtId="165" fontId="5" fillId="0" borderId="30" xfId="15" applyNumberFormat="1" applyFont="1" applyFill="1" applyBorder="1" applyAlignment="1">
      <alignment horizontal="center"/>
    </xf>
    <xf numFmtId="165" fontId="5" fillId="0" borderId="31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1" fillId="0" borderId="87" xfId="0" applyFont="1" applyFill="1" applyBorder="1" applyAlignment="1">
      <alignment horizontal="right"/>
    </xf>
    <xf numFmtId="0" fontId="0" fillId="0" borderId="88" xfId="0" applyBorder="1" applyAlignment="1">
      <alignment/>
    </xf>
    <xf numFmtId="0" fontId="1" fillId="0" borderId="23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5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Fill="1" applyBorder="1" applyAlignment="1">
      <alignment vertical="center" textRotation="90" wrapText="1"/>
    </xf>
    <xf numFmtId="0" fontId="5" fillId="0" borderId="74" xfId="0" applyFont="1" applyBorder="1" applyAlignment="1">
      <alignment vertical="center" textRotation="90" wrapText="1"/>
    </xf>
    <xf numFmtId="0" fontId="5" fillId="0" borderId="32" xfId="0" applyFont="1" applyBorder="1" applyAlignment="1">
      <alignment vertical="center" textRotation="90" wrapText="1"/>
    </xf>
    <xf numFmtId="0" fontId="5" fillId="0" borderId="28" xfId="0" applyFont="1" applyFill="1" applyBorder="1" applyAlignment="1">
      <alignment vertical="center" textRotation="90"/>
    </xf>
    <xf numFmtId="0" fontId="5" fillId="0" borderId="74" xfId="0" applyFont="1" applyBorder="1" applyAlignment="1">
      <alignment vertical="center" textRotation="90"/>
    </xf>
    <xf numFmtId="0" fontId="5" fillId="0" borderId="7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7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8" fillId="0" borderId="72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27" fillId="0" borderId="72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16" fillId="3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5" xfId="0" applyFont="1" applyFill="1" applyBorder="1" applyAlignment="1">
      <alignment vertical="top" wrapText="1"/>
    </xf>
    <xf numFmtId="0" fontId="27" fillId="3" borderId="13" xfId="0" applyFont="1" applyFill="1" applyBorder="1" applyAlignment="1">
      <alignment vertical="top" wrapText="1"/>
    </xf>
    <xf numFmtId="0" fontId="27" fillId="3" borderId="89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7" fillId="3" borderId="90" xfId="0" applyFont="1" applyFill="1" applyBorder="1" applyAlignment="1">
      <alignment vertical="top" wrapText="1"/>
    </xf>
    <xf numFmtId="0" fontId="25" fillId="0" borderId="85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27" fillId="3" borderId="72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7" fillId="3" borderId="3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16" fillId="0" borderId="52" xfId="0" applyFont="1" applyBorder="1" applyAlignment="1">
      <alignment/>
    </xf>
    <xf numFmtId="0" fontId="0" fillId="0" borderId="41" xfId="0" applyBorder="1" applyAlignment="1">
      <alignment/>
    </xf>
    <xf numFmtId="0" fontId="16" fillId="3" borderId="18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29" fillId="0" borderId="84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84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3" borderId="85" xfId="0" applyFont="1" applyFill="1" applyBorder="1" applyAlignment="1">
      <alignment horizontal="left" vertical="top" wrapText="1"/>
    </xf>
    <xf numFmtId="0" fontId="27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7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16" fillId="6" borderId="19" xfId="0" applyFont="1" applyFill="1" applyBorder="1" applyAlignment="1">
      <alignment horizontal="center" vertical="top" wrapText="1"/>
    </xf>
    <xf numFmtId="0" fontId="27" fillId="6" borderId="18" xfId="0" applyFont="1" applyFill="1" applyBorder="1" applyAlignment="1">
      <alignment vertical="top" wrapText="1"/>
    </xf>
    <xf numFmtId="0" fontId="27" fillId="6" borderId="52" xfId="0" applyFont="1" applyFill="1" applyBorder="1" applyAlignment="1">
      <alignment vertical="top" wrapText="1"/>
    </xf>
    <xf numFmtId="0" fontId="27" fillId="6" borderId="41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7" fillId="6" borderId="42" xfId="0" applyFont="1" applyFill="1" applyBorder="1" applyAlignment="1">
      <alignment vertical="top" wrapText="1"/>
    </xf>
    <xf numFmtId="0" fontId="16" fillId="6" borderId="18" xfId="0" applyFont="1" applyFill="1" applyBorder="1" applyAlignment="1">
      <alignment horizontal="center" vertical="top" wrapText="1"/>
    </xf>
    <xf numFmtId="0" fontId="27" fillId="6" borderId="43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7" fillId="6" borderId="44" xfId="0" applyFont="1" applyFill="1" applyBorder="1" applyAlignment="1">
      <alignment vertical="top" wrapText="1"/>
    </xf>
    <xf numFmtId="0" fontId="29" fillId="6" borderId="84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33" fillId="6" borderId="84" xfId="0" applyFont="1" applyFill="1" applyBorder="1" applyAlignment="1">
      <alignment horizontal="left"/>
    </xf>
    <xf numFmtId="0" fontId="33" fillId="6" borderId="21" xfId="0" applyFont="1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27" fillId="6" borderId="85" xfId="0" applyFont="1" applyFill="1" applyBorder="1" applyAlignment="1">
      <alignment horizontal="left" vertical="top" wrapText="1"/>
    </xf>
    <xf numFmtId="0" fontId="27" fillId="6" borderId="52" xfId="0" applyFont="1" applyFill="1" applyBorder="1" applyAlignment="1">
      <alignment horizontal="left" vertical="top" wrapText="1"/>
    </xf>
    <xf numFmtId="0" fontId="0" fillId="6" borderId="5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72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6" borderId="5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25" fillId="6" borderId="85" xfId="0" applyFont="1" applyFill="1" applyBorder="1" applyAlignment="1">
      <alignment horizontal="left"/>
    </xf>
    <xf numFmtId="0" fontId="25" fillId="6" borderId="52" xfId="0" applyFont="1" applyFill="1" applyBorder="1" applyAlignment="1">
      <alignment horizontal="left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16" fillId="6" borderId="13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27" fillId="6" borderId="5" xfId="0" applyFont="1" applyFill="1" applyBorder="1" applyAlignment="1">
      <alignment vertical="top" wrapText="1"/>
    </xf>
    <xf numFmtId="0" fontId="27" fillId="6" borderId="13" xfId="0" applyFont="1" applyFill="1" applyBorder="1" applyAlignment="1">
      <alignment vertical="top" wrapText="1"/>
    </xf>
    <xf numFmtId="0" fontId="27" fillId="6" borderId="72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vertical="top" wrapText="1"/>
    </xf>
    <xf numFmtId="0" fontId="27" fillId="6" borderId="33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8" fillId="6" borderId="30" xfId="0" applyFont="1" applyFill="1" applyBorder="1" applyAlignment="1">
      <alignment horizontal="center" vertical="top" wrapText="1"/>
    </xf>
    <xf numFmtId="0" fontId="28" fillId="6" borderId="31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wrapText="1"/>
    </xf>
    <xf numFmtId="0" fontId="0" fillId="6" borderId="52" xfId="0" applyFill="1" applyBorder="1" applyAlignment="1">
      <alignment wrapText="1"/>
    </xf>
    <xf numFmtId="0" fontId="0" fillId="6" borderId="41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42" xfId="0" applyFill="1" applyBorder="1" applyAlignment="1">
      <alignment wrapText="1"/>
    </xf>
    <xf numFmtId="0" fontId="0" fillId="6" borderId="43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44" xfId="0" applyFill="1" applyBorder="1" applyAlignment="1">
      <alignment wrapText="1"/>
    </xf>
    <xf numFmtId="0" fontId="16" fillId="6" borderId="52" xfId="0" applyFont="1" applyFill="1" applyBorder="1" applyAlignment="1">
      <alignment/>
    </xf>
    <xf numFmtId="0" fontId="0" fillId="6" borderId="41" xfId="0" applyFill="1" applyBorder="1" applyAlignment="1">
      <alignment/>
    </xf>
    <xf numFmtId="0" fontId="16" fillId="6" borderId="18" xfId="0" applyFont="1" applyFill="1" applyBorder="1" applyAlignment="1">
      <alignment horizontal="left" vertical="top" wrapText="1"/>
    </xf>
    <xf numFmtId="0" fontId="0" fillId="6" borderId="42" xfId="0" applyFill="1" applyBorder="1" applyAlignment="1">
      <alignment horizontal="left" vertical="top" wrapText="1"/>
    </xf>
    <xf numFmtId="0" fontId="0" fillId="6" borderId="43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25" fillId="6" borderId="1" xfId="0" applyFont="1" applyFill="1" applyBorder="1" applyAlignment="1">
      <alignment horizontal="left"/>
    </xf>
    <xf numFmtId="0" fontId="25" fillId="6" borderId="2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27" fillId="6" borderId="89" xfId="0" applyFont="1" applyFill="1" applyBorder="1" applyAlignment="1">
      <alignment vertical="top" wrapText="1"/>
    </xf>
    <xf numFmtId="0" fontId="27" fillId="6" borderId="90" xfId="0" applyFont="1" applyFill="1" applyBorder="1" applyAlignment="1">
      <alignment vertical="top" wrapText="1"/>
    </xf>
    <xf numFmtId="0" fontId="18" fillId="6" borderId="72" xfId="0" applyFont="1" applyFill="1" applyBorder="1" applyAlignment="1">
      <alignment horizontal="left"/>
    </xf>
    <xf numFmtId="0" fontId="18" fillId="6" borderId="35" xfId="0" applyFont="1" applyFill="1" applyBorder="1" applyAlignment="1">
      <alignment horizontal="left"/>
    </xf>
    <xf numFmtId="0" fontId="19" fillId="6" borderId="56" xfId="0" applyFont="1" applyFill="1" applyBorder="1" applyAlignment="1">
      <alignment horizontal="left"/>
    </xf>
    <xf numFmtId="0" fontId="17" fillId="0" borderId="72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43" fillId="3" borderId="18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44" fillId="3" borderId="42" xfId="0" applyFont="1" applyFill="1" applyBorder="1" applyAlignment="1">
      <alignment horizontal="left" vertical="top" wrapText="1"/>
    </xf>
    <xf numFmtId="0" fontId="44" fillId="3" borderId="43" xfId="0" applyFont="1" applyFill="1" applyBorder="1" applyAlignment="1">
      <alignment horizontal="left" vertical="top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44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Continuous" wrapText="1"/>
    </xf>
    <xf numFmtId="0" fontId="48" fillId="0" borderId="3" xfId="0" applyFont="1" applyBorder="1" applyAlignment="1">
      <alignment horizontal="centerContinuous" wrapText="1"/>
    </xf>
    <xf numFmtId="0" fontId="48" fillId="0" borderId="13" xfId="0" applyFont="1" applyBorder="1" applyAlignment="1">
      <alignment horizontal="center"/>
    </xf>
    <xf numFmtId="0" fontId="48" fillId="0" borderId="5" xfId="0" applyFont="1" applyBorder="1" applyAlignment="1">
      <alignment/>
    </xf>
    <xf numFmtId="0" fontId="48" fillId="0" borderId="72" xfId="0" applyFont="1" applyBorder="1" applyAlignment="1">
      <alignment horizontal="center"/>
    </xf>
    <xf numFmtId="0" fontId="48" fillId="0" borderId="33" xfId="0" applyFont="1" applyBorder="1" applyAlignment="1">
      <alignment/>
    </xf>
    <xf numFmtId="166" fontId="48" fillId="0" borderId="13" xfId="0" applyNumberFormat="1" applyFont="1" applyFill="1" applyBorder="1" applyAlignment="1">
      <alignment horizontal="center"/>
    </xf>
    <xf numFmtId="0" fontId="48" fillId="0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strike val="0"/>
        <color rgb="FFFFFFFF"/>
      </font>
      <border/>
    </dxf>
    <dxf>
      <font>
        <b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Engr Mgmt &amp; Sys Eng Support
Jobs; 8202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Summary!$E$64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Summary!$F$64:$Q$64</c:f>
              <c:numCache>
                <c:ptCount val="12"/>
                <c:pt idx="0">
                  <c:v>82</c:v>
                </c:pt>
                <c:pt idx="1">
                  <c:v>158</c:v>
                </c:pt>
                <c:pt idx="2">
                  <c:v>221</c:v>
                </c:pt>
                <c:pt idx="3">
                  <c:v>290</c:v>
                </c:pt>
                <c:pt idx="4">
                  <c:v>343</c:v>
                </c:pt>
                <c:pt idx="5">
                  <c:v>404</c:v>
                </c:pt>
                <c:pt idx="6">
                  <c:v>457</c:v>
                </c:pt>
                <c:pt idx="7">
                  <c:v>497</c:v>
                </c:pt>
                <c:pt idx="8">
                  <c:v>556</c:v>
                </c:pt>
                <c:pt idx="9">
                  <c:v>612</c:v>
                </c:pt>
                <c:pt idx="10">
                  <c:v>668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Summary!$E$65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Summary!$F$65:$L$65</c:f>
              <c:numCache>
                <c:ptCount val="7"/>
                <c:pt idx="0">
                  <c:v>108</c:v>
                </c:pt>
                <c:pt idx="1">
                  <c:v>208</c:v>
                </c:pt>
                <c:pt idx="2">
                  <c:v>295</c:v>
                </c:pt>
                <c:pt idx="3">
                  <c:v>289.20299167</c:v>
                </c:pt>
                <c:pt idx="4">
                  <c:v>342.46</c:v>
                </c:pt>
                <c:pt idx="5">
                  <c:v>403.1</c:v>
                </c:pt>
                <c:pt idx="6">
                  <c:v>456.88544722000006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Summary!$E$66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Summary!$F$66:$L$66</c:f>
              <c:numCache>
                <c:ptCount val="7"/>
                <c:pt idx="0">
                  <c:v>59.59645</c:v>
                </c:pt>
                <c:pt idx="1">
                  <c:v>118.22819999999999</c:v>
                </c:pt>
                <c:pt idx="2">
                  <c:v>176.83109090857948</c:v>
                </c:pt>
                <c:pt idx="3">
                  <c:v>264.20509090857945</c:v>
                </c:pt>
                <c:pt idx="4">
                  <c:v>318.42909090857944</c:v>
                </c:pt>
                <c:pt idx="5">
                  <c:v>373.13109090857944</c:v>
                </c:pt>
                <c:pt idx="6">
                  <c:v>428.2570909085794</c:v>
                </c:pt>
              </c:numCache>
            </c:numRef>
          </c:val>
          <c:smooth val="0"/>
        </c:ser>
        <c:axId val="42377644"/>
        <c:axId val="45854477"/>
      </c:lineChart>
      <c:lineChart>
        <c:grouping val="standard"/>
        <c:varyColors val="0"/>
        <c:ser>
          <c:idx val="3"/>
          <c:order val="3"/>
          <c:tx>
            <c:strRef>
              <c:f>Summary!$E$67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Summary!$F$67:$L$67</c:f>
              <c:numCache>
                <c:ptCount val="7"/>
                <c:pt idx="0">
                  <c:v>1.8121884776693915</c:v>
                </c:pt>
                <c:pt idx="1">
                  <c:v>1.759309538671823</c:v>
                </c:pt>
                <c:pt idx="2">
                  <c:v>1.6682586669813233</c:v>
                </c:pt>
                <c:pt idx="3">
                  <c:v>1.0946155150737438</c:v>
                </c:pt>
                <c:pt idx="4">
                  <c:v>1.075467065596465</c:v>
                </c:pt>
                <c:pt idx="5">
                  <c:v>1.0803173732278537</c:v>
                </c:pt>
                <c:pt idx="6">
                  <c:v>1.0668485284170857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Summary!$F$68:$L$68</c:f>
              <c:numCache>
                <c:ptCount val="7"/>
                <c:pt idx="0">
                  <c:v>1.3170731707317074</c:v>
                </c:pt>
                <c:pt idx="1">
                  <c:v>1.3164556962025316</c:v>
                </c:pt>
                <c:pt idx="2">
                  <c:v>1.334841628959276</c:v>
                </c:pt>
                <c:pt idx="3">
                  <c:v>0.9972516954137932</c:v>
                </c:pt>
                <c:pt idx="4">
                  <c:v>0.9984256559766763</c:v>
                </c:pt>
                <c:pt idx="5">
                  <c:v>0.9977722772277229</c:v>
                </c:pt>
                <c:pt idx="6">
                  <c:v>0.9997493374617069</c:v>
                </c:pt>
              </c:numCache>
            </c:numRef>
          </c:val>
          <c:smooth val="0"/>
        </c:ser>
        <c:axId val="10037110"/>
        <c:axId val="23225127"/>
      </c:lineChart>
      <c:catAx>
        <c:axId val="4237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54477"/>
        <c:crosses val="autoZero"/>
        <c:auto val="1"/>
        <c:lblOffset val="100"/>
        <c:noMultiLvlLbl val="0"/>
      </c:catAx>
      <c:valAx>
        <c:axId val="4585447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377644"/>
        <c:crossesAt val="1"/>
        <c:crossBetween val="midCat"/>
        <c:dispUnits/>
      </c:valAx>
      <c:catAx>
        <c:axId val="10037110"/>
        <c:scaling>
          <c:orientation val="minMax"/>
        </c:scaling>
        <c:axPos val="b"/>
        <c:delete val="1"/>
        <c:majorTickMark val="in"/>
        <c:minorTickMark val="none"/>
        <c:tickLblPos val="nextTo"/>
        <c:crossAx val="23225127"/>
        <c:crosses val="autoZero"/>
        <c:auto val="1"/>
        <c:lblOffset val="100"/>
        <c:noMultiLvlLbl val="0"/>
      </c:catAx>
      <c:valAx>
        <c:axId val="23225127"/>
        <c:scaling>
          <c:orientation val="minMax"/>
          <c:max val="1.6"/>
          <c:min val="0.8"/>
        </c:scaling>
        <c:axPos val="l"/>
        <c:delete val="0"/>
        <c:numFmt formatCode="General" sourceLinked="1"/>
        <c:majorTickMark val="in"/>
        <c:minorTickMark val="none"/>
        <c:tickLblPos val="nextTo"/>
        <c:crossAx val="10037110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175"/>
          <c:y val="0.3865"/>
          <c:w val="0.258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Assy 
Jobs; 1802/1810/1815</a:t>
            </a:r>
          </a:p>
        </c:rich>
      </c:tx>
      <c:layout>
        <c:manualLayout>
          <c:xMode val="factor"/>
          <c:yMode val="factor"/>
          <c:x val="-0.0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97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Summary!$F$46:$Q$46</c:f>
              <c:numCache>
                <c:ptCount val="12"/>
                <c:pt idx="0">
                  <c:v>254.37</c:v>
                </c:pt>
                <c:pt idx="1">
                  <c:v>497.46000000000004</c:v>
                </c:pt>
                <c:pt idx="2">
                  <c:v>838.33</c:v>
                </c:pt>
                <c:pt idx="3">
                  <c:v>1170.53</c:v>
                </c:pt>
                <c:pt idx="4">
                  <c:v>1417.1</c:v>
                </c:pt>
                <c:pt idx="5">
                  <c:v>1754.71</c:v>
                </c:pt>
                <c:pt idx="6">
                  <c:v>1998.28</c:v>
                </c:pt>
                <c:pt idx="7">
                  <c:v>2223.27</c:v>
                </c:pt>
                <c:pt idx="8">
                  <c:v>2531.45</c:v>
                </c:pt>
                <c:pt idx="9">
                  <c:v>2783.46</c:v>
                </c:pt>
                <c:pt idx="10">
                  <c:v>3079.7200000000003</c:v>
                </c:pt>
                <c:pt idx="11">
                  <c:v>3346.46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Summary!$F$47:$L$47</c:f>
              <c:numCache>
                <c:ptCount val="7"/>
                <c:pt idx="0">
                  <c:v>254</c:v>
                </c:pt>
                <c:pt idx="1">
                  <c:v>494</c:v>
                </c:pt>
                <c:pt idx="2">
                  <c:v>808</c:v>
                </c:pt>
                <c:pt idx="3">
                  <c:v>1064.65386914</c:v>
                </c:pt>
                <c:pt idx="4">
                  <c:v>1359.15</c:v>
                </c:pt>
                <c:pt idx="5">
                  <c:v>1600.257</c:v>
                </c:pt>
                <c:pt idx="6">
                  <c:v>1777.2997018699996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Summary!$F$48:$L$48</c:f>
              <c:numCache>
                <c:ptCount val="7"/>
                <c:pt idx="0">
                  <c:v>191.28094</c:v>
                </c:pt>
                <c:pt idx="1">
                  <c:v>363.58007999999995</c:v>
                </c:pt>
                <c:pt idx="2">
                  <c:v>571.3967854790535</c:v>
                </c:pt>
                <c:pt idx="3">
                  <c:v>851.3267854790536</c:v>
                </c:pt>
                <c:pt idx="4">
                  <c:v>1075.1187854790535</c:v>
                </c:pt>
                <c:pt idx="5">
                  <c:v>1226.7267854790534</c:v>
                </c:pt>
                <c:pt idx="6">
                  <c:v>1443.2527854790535</c:v>
                </c:pt>
              </c:numCache>
            </c:numRef>
          </c:val>
          <c:smooth val="0"/>
        </c:ser>
        <c:axId val="62403584"/>
        <c:axId val="24761345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Summary!$F$49:$L$49</c:f>
              <c:numCache>
                <c:ptCount val="7"/>
                <c:pt idx="0">
                  <c:v>1.3278897521101685</c:v>
                </c:pt>
                <c:pt idx="1">
                  <c:v>1.358710301180417</c:v>
                </c:pt>
                <c:pt idx="2">
                  <c:v>1.4140786587075052</c:v>
                </c:pt>
                <c:pt idx="3">
                  <c:v>1.2505819002757024</c:v>
                </c:pt>
                <c:pt idx="4">
                  <c:v>1.2641858912309745</c:v>
                </c:pt>
                <c:pt idx="5">
                  <c:v>1.3044934038634186</c:v>
                </c:pt>
                <c:pt idx="6">
                  <c:v>1.2314541982886713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Summary!$F$50:$L$50</c:f>
              <c:numCache>
                <c:ptCount val="7"/>
                <c:pt idx="0">
                  <c:v>0.9985454259543185</c:v>
                </c:pt>
                <c:pt idx="1">
                  <c:v>0.9930446669078921</c:v>
                </c:pt>
                <c:pt idx="2">
                  <c:v>0.9638209297054858</c:v>
                </c:pt>
                <c:pt idx="3">
                  <c:v>0.9095485541933996</c:v>
                </c:pt>
                <c:pt idx="4">
                  <c:v>0.959106626208454</c:v>
                </c:pt>
                <c:pt idx="5">
                  <c:v>0.9119780476545982</c:v>
                </c:pt>
                <c:pt idx="6">
                  <c:v>0.8894147476179513</c:v>
                </c:pt>
              </c:numCache>
            </c:numRef>
          </c:val>
          <c:smooth val="0"/>
        </c:ser>
        <c:axId val="21525514"/>
        <c:axId val="59511899"/>
      </c:lineChart>
      <c:catAx>
        <c:axId val="6240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1345"/>
        <c:crosses val="autoZero"/>
        <c:auto val="1"/>
        <c:lblOffset val="100"/>
        <c:noMultiLvlLbl val="0"/>
      </c:catAx>
      <c:valAx>
        <c:axId val="24761345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403584"/>
        <c:crossesAt val="1"/>
        <c:crossBetween val="midCat"/>
        <c:dispUnits/>
      </c:valAx>
      <c:catAx>
        <c:axId val="21525514"/>
        <c:scaling>
          <c:orientation val="minMax"/>
        </c:scaling>
        <c:axPos val="b"/>
        <c:delete val="1"/>
        <c:majorTickMark val="in"/>
        <c:minorTickMark val="none"/>
        <c:tickLblPos val="nextTo"/>
        <c:crossAx val="59511899"/>
        <c:crosses val="autoZero"/>
        <c:auto val="1"/>
        <c:lblOffset val="100"/>
        <c:noMultiLvlLbl val="0"/>
      </c:catAx>
      <c:valAx>
        <c:axId val="59511899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21525514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"/>
          <c:y val="0.563"/>
          <c:w val="0.2477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Winding Ops 
Jobs; 1451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1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Summary!$F$52:$Q$52</c:f>
              <c:numCache>
                <c:ptCount val="12"/>
                <c:pt idx="0">
                  <c:v>237</c:v>
                </c:pt>
                <c:pt idx="1">
                  <c:v>408</c:v>
                </c:pt>
                <c:pt idx="2">
                  <c:v>639</c:v>
                </c:pt>
                <c:pt idx="3">
                  <c:v>821</c:v>
                </c:pt>
                <c:pt idx="4">
                  <c:v>957</c:v>
                </c:pt>
                <c:pt idx="5">
                  <c:v>1170</c:v>
                </c:pt>
                <c:pt idx="6">
                  <c:v>1358</c:v>
                </c:pt>
                <c:pt idx="7">
                  <c:v>1491</c:v>
                </c:pt>
                <c:pt idx="8">
                  <c:v>1713</c:v>
                </c:pt>
                <c:pt idx="9">
                  <c:v>1924</c:v>
                </c:pt>
                <c:pt idx="10">
                  <c:v>2107</c:v>
                </c:pt>
                <c:pt idx="11">
                  <c:v>2316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Summary!$F$53:$L$53</c:f>
              <c:numCache>
                <c:ptCount val="7"/>
                <c:pt idx="0">
                  <c:v>236</c:v>
                </c:pt>
                <c:pt idx="1">
                  <c:v>412</c:v>
                </c:pt>
                <c:pt idx="2">
                  <c:v>711</c:v>
                </c:pt>
                <c:pt idx="3">
                  <c:v>946.2219701200002</c:v>
                </c:pt>
                <c:pt idx="4">
                  <c:v>1184</c:v>
                </c:pt>
                <c:pt idx="5">
                  <c:v>1439.27</c:v>
                </c:pt>
                <c:pt idx="6">
                  <c:v>1546.0835163800002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Summary!$F$54:$L$54</c:f>
              <c:numCache>
                <c:ptCount val="7"/>
                <c:pt idx="0">
                  <c:v>283.70750000000004</c:v>
                </c:pt>
                <c:pt idx="1">
                  <c:v>502.50305000000003</c:v>
                </c:pt>
                <c:pt idx="2">
                  <c:v>659.790693632146</c:v>
                </c:pt>
                <c:pt idx="3">
                  <c:v>900.0866936321461</c:v>
                </c:pt>
                <c:pt idx="4">
                  <c:v>1090.423693632146</c:v>
                </c:pt>
                <c:pt idx="5">
                  <c:v>1245.018693632146</c:v>
                </c:pt>
                <c:pt idx="6">
                  <c:v>1436.403693632146</c:v>
                </c:pt>
              </c:numCache>
            </c:numRef>
          </c:val>
          <c:smooth val="0"/>
        </c:ser>
        <c:axId val="65845044"/>
        <c:axId val="55734485"/>
      </c:lineChart>
      <c:lineChart>
        <c:grouping val="standard"/>
        <c:varyColors val="0"/>
        <c:ser>
          <c:idx val="3"/>
          <c:order val="3"/>
          <c:tx>
            <c:strRef>
              <c:f>Summary!$E$55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Summary!$F$55:$L$55</c:f>
              <c:numCache>
                <c:ptCount val="7"/>
                <c:pt idx="0">
                  <c:v>0.8318426548469814</c:v>
                </c:pt>
                <c:pt idx="1">
                  <c:v>0.8198955210321609</c:v>
                </c:pt>
                <c:pt idx="2">
                  <c:v>1.0776144720774203</c:v>
                </c:pt>
                <c:pt idx="3">
                  <c:v>1.0512564809748304</c:v>
                </c:pt>
                <c:pt idx="4">
                  <c:v>1.08581646465894</c:v>
                </c:pt>
                <c:pt idx="5">
                  <c:v>1.1560228029999744</c:v>
                </c:pt>
                <c:pt idx="6">
                  <c:v>1.0763572408189188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Summary!$F$56:$L$56</c:f>
              <c:numCache>
                <c:ptCount val="7"/>
                <c:pt idx="0">
                  <c:v>0.9957805907172996</c:v>
                </c:pt>
                <c:pt idx="1">
                  <c:v>1.0098039215686274</c:v>
                </c:pt>
                <c:pt idx="2">
                  <c:v>1.1126760563380282</c:v>
                </c:pt>
                <c:pt idx="3">
                  <c:v>1.152523715127893</c:v>
                </c:pt>
                <c:pt idx="4">
                  <c:v>1.2371995820271682</c:v>
                </c:pt>
                <c:pt idx="5">
                  <c:v>1.230145299145299</c:v>
                </c:pt>
                <c:pt idx="6">
                  <c:v>1.1385003802503684</c:v>
                </c:pt>
              </c:numCache>
            </c:numRef>
          </c:val>
          <c:smooth val="0"/>
        </c:ser>
        <c:axId val="31848318"/>
        <c:axId val="18199407"/>
      </c:lineChart>
      <c:catAx>
        <c:axId val="6584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4485"/>
        <c:crosses val="autoZero"/>
        <c:auto val="1"/>
        <c:lblOffset val="100"/>
        <c:noMultiLvlLbl val="0"/>
      </c:catAx>
      <c:valAx>
        <c:axId val="5573448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845044"/>
        <c:crossesAt val="1"/>
        <c:crossBetween val="midCat"/>
        <c:dispUnits/>
        <c:majorUnit val="200"/>
      </c:valAx>
      <c:catAx>
        <c:axId val="31848318"/>
        <c:scaling>
          <c:orientation val="minMax"/>
        </c:scaling>
        <c:axPos val="b"/>
        <c:delete val="1"/>
        <c:majorTickMark val="in"/>
        <c:minorTickMark val="none"/>
        <c:tickLblPos val="nextTo"/>
        <c:crossAx val="18199407"/>
        <c:crosses val="autoZero"/>
        <c:auto val="1"/>
        <c:lblOffset val="100"/>
        <c:noMultiLvlLbl val="0"/>
      </c:catAx>
      <c:valAx>
        <c:axId val="18199407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31848318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5055"/>
          <c:w val="0.25"/>
          <c:h val="0.236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Punch List 
Jobs; 1459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1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Summary!$F$58:$Q$58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43</c:v>
                </c:pt>
                <c:pt idx="4">
                  <c:v>90</c:v>
                </c:pt>
                <c:pt idx="5">
                  <c:v>147</c:v>
                </c:pt>
                <c:pt idx="6">
                  <c:v>190</c:v>
                </c:pt>
                <c:pt idx="7">
                  <c:v>216</c:v>
                </c:pt>
                <c:pt idx="8">
                  <c:v>258</c:v>
                </c:pt>
                <c:pt idx="9">
                  <c:v>301</c:v>
                </c:pt>
                <c:pt idx="10">
                  <c:v>343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Summary!$F$59:$L$59</c:f>
              <c:numCache>
                <c:ptCount val="7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44.163189</c:v>
                </c:pt>
                <c:pt idx="4">
                  <c:v>135.3</c:v>
                </c:pt>
                <c:pt idx="5">
                  <c:v>168.318</c:v>
                </c:pt>
                <c:pt idx="6">
                  <c:v>282.9756819000001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Summary!$F$60:$L$60</c:f>
              <c:numCache>
                <c:ptCount val="7"/>
                <c:pt idx="0">
                  <c:v>42.20441</c:v>
                </c:pt>
                <c:pt idx="1">
                  <c:v>97.48289</c:v>
                </c:pt>
                <c:pt idx="2">
                  <c:v>149.1849940026223</c:v>
                </c:pt>
                <c:pt idx="3">
                  <c:v>213.9909940026223</c:v>
                </c:pt>
                <c:pt idx="4">
                  <c:v>289.4529940026223</c:v>
                </c:pt>
                <c:pt idx="5">
                  <c:v>339.2299940026223</c:v>
                </c:pt>
                <c:pt idx="6">
                  <c:v>370.05299400262226</c:v>
                </c:pt>
              </c:numCache>
            </c:numRef>
          </c:val>
          <c:smooth val="0"/>
        </c:ser>
        <c:axId val="29576936"/>
        <c:axId val="64865833"/>
      </c:lineChart>
      <c:lineChart>
        <c:grouping val="standard"/>
        <c:varyColors val="0"/>
        <c:ser>
          <c:idx val="3"/>
          <c:order val="3"/>
          <c:tx>
            <c:strRef>
              <c:f>Summary!$E$61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Summary!$F$61:$L$61</c:f>
              <c:numCache>
                <c:ptCount val="7"/>
                <c:pt idx="0">
                  <c:v>0</c:v>
                </c:pt>
                <c:pt idx="1">
                  <c:v>0.18464778793488787</c:v>
                </c:pt>
                <c:pt idx="2">
                  <c:v>0.2144987853097177</c:v>
                </c:pt>
                <c:pt idx="3">
                  <c:v>0.20637872731905163</c:v>
                </c:pt>
                <c:pt idx="4">
                  <c:v>0.46743340992622195</c:v>
                </c:pt>
                <c:pt idx="5">
                  <c:v>0.4961766440932664</c:v>
                </c:pt>
                <c:pt idx="6">
                  <c:v>0.7646896160445465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Summary!$E$62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Summary!$F$62:$L$62</c:f>
              <c:numCache>
                <c:ptCount val="7"/>
                <c:pt idx="1">
                  <c:v>4.5</c:v>
                </c:pt>
                <c:pt idx="2">
                  <c:v>1.391304347826087</c:v>
                </c:pt>
                <c:pt idx="3">
                  <c:v>1.0270509069767442</c:v>
                </c:pt>
                <c:pt idx="4">
                  <c:v>1.5033333333333334</c:v>
                </c:pt>
                <c:pt idx="5">
                  <c:v>1.1450204081632653</c:v>
                </c:pt>
                <c:pt idx="6">
                  <c:v>1.4893456942105268</c:v>
                </c:pt>
              </c:numCache>
            </c:numRef>
          </c:val>
          <c:smooth val="0"/>
        </c:ser>
        <c:axId val="46921586"/>
        <c:axId val="19641091"/>
      </c:lineChart>
      <c:catAx>
        <c:axId val="2957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5833"/>
        <c:crosses val="autoZero"/>
        <c:auto val="1"/>
        <c:lblOffset val="100"/>
        <c:noMultiLvlLbl val="0"/>
      </c:catAx>
      <c:valAx>
        <c:axId val="6486583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76936"/>
        <c:crossesAt val="1"/>
        <c:crossBetween val="midCat"/>
        <c:dispUnits/>
      </c:valAx>
      <c:catAx>
        <c:axId val="46921586"/>
        <c:scaling>
          <c:orientation val="minMax"/>
        </c:scaling>
        <c:axPos val="b"/>
        <c:delete val="1"/>
        <c:majorTickMark val="in"/>
        <c:minorTickMark val="none"/>
        <c:tickLblPos val="nextTo"/>
        <c:crossAx val="19641091"/>
        <c:crosses val="autoZero"/>
        <c:auto val="1"/>
        <c:lblOffset val="100"/>
        <c:noMultiLvlLbl val="0"/>
      </c:catAx>
      <c:valAx>
        <c:axId val="19641091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46921586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"/>
          <c:y val="0.5725"/>
          <c:w val="0.238"/>
          <c:h val="0.20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PF Coil Design/procurement
Jobs; 1302/1352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25"/>
          <c:w val="1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Summary!$E$94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Summary!$F$94:$Q$94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44</c:v>
                </c:pt>
                <c:pt idx="5">
                  <c:v>79</c:v>
                </c:pt>
                <c:pt idx="6">
                  <c:v>104</c:v>
                </c:pt>
                <c:pt idx="7">
                  <c:v>134</c:v>
                </c:pt>
                <c:pt idx="8">
                  <c:v>182</c:v>
                </c:pt>
                <c:pt idx="9">
                  <c:v>214</c:v>
                </c:pt>
                <c:pt idx="10">
                  <c:v>251</c:v>
                </c:pt>
                <c:pt idx="11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Summary!$F$95:$L$95</c:f>
              <c:numCach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47.332460999999995</c:v>
                </c:pt>
                <c:pt idx="4">
                  <c:v>60.35</c:v>
                </c:pt>
                <c:pt idx="5">
                  <c:v>61.085</c:v>
                </c:pt>
                <c:pt idx="6">
                  <c:v>61.59459100000001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Summary!$F$96:$L$96</c:f>
              <c:numCache>
                <c:ptCount val="7"/>
                <c:pt idx="0">
                  <c:v>4.260039999999999</c:v>
                </c:pt>
                <c:pt idx="1">
                  <c:v>5.800679999999999</c:v>
                </c:pt>
                <c:pt idx="2">
                  <c:v>7.206003202384923</c:v>
                </c:pt>
                <c:pt idx="3">
                  <c:v>13.784003202384923</c:v>
                </c:pt>
                <c:pt idx="4">
                  <c:v>44.38500320238492</c:v>
                </c:pt>
                <c:pt idx="5">
                  <c:v>47.60200320238492</c:v>
                </c:pt>
                <c:pt idx="6">
                  <c:v>55.34900320238492</c:v>
                </c:pt>
              </c:numCache>
            </c:numRef>
          </c:val>
          <c:smooth val="0"/>
        </c:ser>
        <c:axId val="42552092"/>
        <c:axId val="47424509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Summary!$F$97:$L$97</c:f>
              <c:numCache>
                <c:ptCount val="7"/>
                <c:pt idx="0">
                  <c:v>1.1736978995502392</c:v>
                </c:pt>
                <c:pt idx="1">
                  <c:v>0.8619679072108789</c:v>
                </c:pt>
                <c:pt idx="2">
                  <c:v>0.6938659142345626</c:v>
                </c:pt>
                <c:pt idx="3">
                  <c:v>3.433868978774648</c:v>
                </c:pt>
                <c:pt idx="4">
                  <c:v>1.3596934920747563</c:v>
                </c:pt>
                <c:pt idx="5">
                  <c:v>1.2832443151665425</c:v>
                </c:pt>
                <c:pt idx="6">
                  <c:v>1.1128401133942367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Summary!$F$98:$L$98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3.380890071428571</c:v>
                </c:pt>
                <c:pt idx="4">
                  <c:v>1.371590909090909</c:v>
                </c:pt>
                <c:pt idx="5">
                  <c:v>0.7732278481012659</c:v>
                </c:pt>
                <c:pt idx="6">
                  <c:v>0.5922556826923078</c:v>
                </c:pt>
              </c:numCache>
            </c:numRef>
          </c:val>
          <c:smooth val="0"/>
        </c:ser>
        <c:axId val="24167398"/>
        <c:axId val="16179991"/>
      </c:lineChart>
      <c:catAx>
        <c:axId val="4255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24509"/>
        <c:crosses val="autoZero"/>
        <c:auto val="1"/>
        <c:lblOffset val="100"/>
        <c:noMultiLvlLbl val="0"/>
      </c:catAx>
      <c:valAx>
        <c:axId val="4742450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552092"/>
        <c:crossesAt val="1"/>
        <c:crossBetween val="midCat"/>
        <c:dispUnits/>
      </c:valAx>
      <c:catAx>
        <c:axId val="24167398"/>
        <c:scaling>
          <c:orientation val="minMax"/>
        </c:scaling>
        <c:axPos val="b"/>
        <c:delete val="1"/>
        <c:majorTickMark val="in"/>
        <c:minorTickMark val="none"/>
        <c:tickLblPos val="nextTo"/>
        <c:crossAx val="16179991"/>
        <c:crosses val="autoZero"/>
        <c:auto val="1"/>
        <c:lblOffset val="100"/>
        <c:noMultiLvlLbl val="0"/>
      </c:catAx>
      <c:valAx>
        <c:axId val="16179991"/>
        <c:scaling>
          <c:orientation val="minMax"/>
          <c:max val="2.4"/>
        </c:scaling>
        <c:axPos val="l"/>
        <c:delete val="0"/>
        <c:numFmt formatCode="General" sourceLinked="1"/>
        <c:majorTickMark val="in"/>
        <c:minorTickMark val="none"/>
        <c:tickLblPos val="nextTo"/>
        <c:crossAx val="24167398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197"/>
          <c:w val="0.25075"/>
          <c:h val="0.21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Diagnostic
Jobs; 3101/3601/3801/3901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1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Summary!$E$88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Summary!$F$88:$Q$88</c:f>
              <c:numCache>
                <c:ptCount val="12"/>
                <c:pt idx="0">
                  <c:v>14.2</c:v>
                </c:pt>
                <c:pt idx="1">
                  <c:v>31.3</c:v>
                </c:pt>
                <c:pt idx="2">
                  <c:v>55.400000000000006</c:v>
                </c:pt>
                <c:pt idx="3">
                  <c:v>153.60000000000002</c:v>
                </c:pt>
                <c:pt idx="4">
                  <c:v>192.8</c:v>
                </c:pt>
                <c:pt idx="5">
                  <c:v>252.8</c:v>
                </c:pt>
                <c:pt idx="6">
                  <c:v>279</c:v>
                </c:pt>
                <c:pt idx="7">
                  <c:v>298</c:v>
                </c:pt>
                <c:pt idx="8">
                  <c:v>310</c:v>
                </c:pt>
                <c:pt idx="9">
                  <c:v>313</c:v>
                </c:pt>
                <c:pt idx="10">
                  <c:v>315</c:v>
                </c:pt>
                <c:pt idx="11">
                  <c:v>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Summary!$F$89:$L$89</c:f>
              <c:numCache>
                <c:ptCount val="7"/>
                <c:pt idx="0">
                  <c:v>14</c:v>
                </c:pt>
                <c:pt idx="1">
                  <c:v>58</c:v>
                </c:pt>
                <c:pt idx="2">
                  <c:v>114</c:v>
                </c:pt>
                <c:pt idx="3">
                  <c:v>148.26610024000001</c:v>
                </c:pt>
                <c:pt idx="4">
                  <c:v>155.78051166000003</c:v>
                </c:pt>
                <c:pt idx="5">
                  <c:v>160.581</c:v>
                </c:pt>
                <c:pt idx="6">
                  <c:v>209.01715507000006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Summary!$F$90:$L$90</c:f>
              <c:numCache>
                <c:ptCount val="7"/>
                <c:pt idx="0">
                  <c:v>29.68733</c:v>
                </c:pt>
                <c:pt idx="1">
                  <c:v>49.77378</c:v>
                </c:pt>
                <c:pt idx="2">
                  <c:v>94.68383434316308</c:v>
                </c:pt>
                <c:pt idx="3">
                  <c:v>129.37283434316308</c:v>
                </c:pt>
                <c:pt idx="4">
                  <c:v>141.17183434316308</c:v>
                </c:pt>
                <c:pt idx="5">
                  <c:v>145.53283434316307</c:v>
                </c:pt>
                <c:pt idx="6">
                  <c:v>151.17083434316308</c:v>
                </c:pt>
              </c:numCache>
            </c:numRef>
          </c:val>
          <c:smooth val="0"/>
        </c:ser>
        <c:axId val="11402192"/>
        <c:axId val="35510865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Summary!$F$91:$L$91</c:f>
              <c:numCache>
                <c:ptCount val="7"/>
                <c:pt idx="0">
                  <c:v>0.47158164779385686</c:v>
                </c:pt>
                <c:pt idx="1">
                  <c:v>1.1652721573487084</c:v>
                </c:pt>
                <c:pt idx="2">
                  <c:v>1.2040070070127202</c:v>
                </c:pt>
                <c:pt idx="3">
                  <c:v>1.1460373500569858</c:v>
                </c:pt>
                <c:pt idx="4">
                  <c:v>1.1034815293348523</c:v>
                </c:pt>
                <c:pt idx="5">
                  <c:v>1.1034004850160046</c:v>
                </c:pt>
                <c:pt idx="6">
                  <c:v>1.382655298412416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Summary!$F$92:$L$92</c:f>
              <c:numCache>
                <c:ptCount val="7"/>
                <c:pt idx="0">
                  <c:v>0.9859154929577465</c:v>
                </c:pt>
                <c:pt idx="1">
                  <c:v>1.853035143769968</c:v>
                </c:pt>
                <c:pt idx="2">
                  <c:v>2.0577617328519855</c:v>
                </c:pt>
                <c:pt idx="3">
                  <c:v>0.9652740901041666</c:v>
                </c:pt>
                <c:pt idx="4">
                  <c:v>0.8079902057053943</c:v>
                </c:pt>
                <c:pt idx="5">
                  <c:v>0.6352096518987341</c:v>
                </c:pt>
                <c:pt idx="6">
                  <c:v>0.7491654303584232</c:v>
                </c:pt>
              </c:numCache>
            </c:numRef>
          </c:val>
          <c:smooth val="0"/>
        </c:ser>
        <c:axId val="51162330"/>
        <c:axId val="57807787"/>
      </c:lineChart>
      <c:catAx>
        <c:axId val="11402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10865"/>
        <c:crosses val="autoZero"/>
        <c:auto val="1"/>
        <c:lblOffset val="100"/>
        <c:noMultiLvlLbl val="0"/>
      </c:catAx>
      <c:valAx>
        <c:axId val="3551086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402192"/>
        <c:crossesAt val="1"/>
        <c:crossBetween val="midCat"/>
        <c:dispUnits/>
      </c:valAx>
      <c:catAx>
        <c:axId val="51162330"/>
        <c:scaling>
          <c:orientation val="minMax"/>
        </c:scaling>
        <c:axPos val="b"/>
        <c:delete val="1"/>
        <c:majorTickMark val="in"/>
        <c:minorTickMark val="none"/>
        <c:tickLblPos val="nextTo"/>
        <c:crossAx val="57807787"/>
        <c:crosses val="autoZero"/>
        <c:auto val="1"/>
        <c:lblOffset val="100"/>
        <c:noMultiLvlLbl val="0"/>
      </c:catAx>
      <c:valAx>
        <c:axId val="57807787"/>
        <c:scaling>
          <c:orientation val="minMax"/>
          <c:max val="2.1"/>
        </c:scaling>
        <c:axPos val="l"/>
        <c:delete val="0"/>
        <c:numFmt formatCode="General" sourceLinked="1"/>
        <c:majorTickMark val="in"/>
        <c:minorTickMark val="none"/>
        <c:tickLblPos val="nextTo"/>
        <c:crossAx val="51162330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5445"/>
          <c:w val="0.2575"/>
          <c:h val="0.222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Type AB Fnl Dsn
Jobs; 1416/1421/1429</a:t>
            </a:r>
          </a:p>
        </c:rich>
      </c:tx>
      <c:layout>
        <c:manualLayout>
          <c:xMode val="factor"/>
          <c:yMode val="factor"/>
          <c:x val="-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Summary!$F$106:$O$106</c:f>
              <c:numCache>
                <c:ptCount val="10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Summary!$F$107:$K$107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Summary!$F$108:$K$108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50508036"/>
        <c:axId val="51919141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Summary!$F$109:$K$109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Summary!$F$110:$K$110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64619086"/>
        <c:axId val="44700863"/>
      </c:lineChart>
      <c:catAx>
        <c:axId val="5050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19141"/>
        <c:crosses val="autoZero"/>
        <c:auto val="1"/>
        <c:lblOffset val="100"/>
        <c:noMultiLvlLbl val="0"/>
      </c:catAx>
      <c:valAx>
        <c:axId val="5191914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08036"/>
        <c:crossesAt val="1"/>
        <c:crossBetween val="midCat"/>
        <c:dispUnits/>
      </c:valAx>
      <c:catAx>
        <c:axId val="64619086"/>
        <c:scaling>
          <c:orientation val="minMax"/>
        </c:scaling>
        <c:axPos val="b"/>
        <c:delete val="1"/>
        <c:majorTickMark val="in"/>
        <c:minorTickMark val="none"/>
        <c:tickLblPos val="nextTo"/>
        <c:crossAx val="44700863"/>
        <c:crosses val="autoZero"/>
        <c:auto val="1"/>
        <c:lblOffset val="100"/>
        <c:noMultiLvlLbl val="0"/>
      </c:catAx>
      <c:valAx>
        <c:axId val="44700863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4619086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3865"/>
          <c:w val="0.234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Coil Structure Dsn/Proc
Jobs; 1501/1550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1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Summary!$E$112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Summary!$F$112:$Q$112</c:f>
              <c:numCache>
                <c:ptCount val="12"/>
                <c:pt idx="0">
                  <c:v>7</c:v>
                </c:pt>
                <c:pt idx="1">
                  <c:v>38</c:v>
                </c:pt>
                <c:pt idx="2">
                  <c:v>70</c:v>
                </c:pt>
                <c:pt idx="3">
                  <c:v>128</c:v>
                </c:pt>
                <c:pt idx="4">
                  <c:v>164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Summary!$F$113:$L$113</c:f>
              <c:numCache>
                <c:ptCount val="7"/>
                <c:pt idx="0">
                  <c:v>2</c:v>
                </c:pt>
                <c:pt idx="1">
                  <c:v>45</c:v>
                </c:pt>
                <c:pt idx="2">
                  <c:v>75</c:v>
                </c:pt>
                <c:pt idx="3">
                  <c:v>81.9423845</c:v>
                </c:pt>
                <c:pt idx="4">
                  <c:v>136.7</c:v>
                </c:pt>
                <c:pt idx="5">
                  <c:v>145.001</c:v>
                </c:pt>
                <c:pt idx="6">
                  <c:v>145.198906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Summary!$F$114:$L$114</c:f>
              <c:numCache>
                <c:ptCount val="7"/>
                <c:pt idx="0">
                  <c:v>54.10057</c:v>
                </c:pt>
                <c:pt idx="1">
                  <c:v>101.47542999999999</c:v>
                </c:pt>
                <c:pt idx="2">
                  <c:v>138.5961054058865</c:v>
                </c:pt>
                <c:pt idx="3">
                  <c:v>174.65210540588652</c:v>
                </c:pt>
                <c:pt idx="4">
                  <c:v>176.91410540588652</c:v>
                </c:pt>
                <c:pt idx="5">
                  <c:v>160.00010540588653</c:v>
                </c:pt>
                <c:pt idx="6">
                  <c:v>183.08110540588652</c:v>
                </c:pt>
              </c:numCache>
            </c:numRef>
          </c:val>
          <c:smooth val="0"/>
        </c:ser>
        <c:axId val="66763448"/>
        <c:axId val="64000121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Summary!$F$115:$L$115</c:f>
              <c:numCache>
                <c:ptCount val="7"/>
                <c:pt idx="0">
                  <c:v>0.03696818721133622</c:v>
                </c:pt>
                <c:pt idx="1">
                  <c:v>0.44345710089624657</c:v>
                </c:pt>
                <c:pt idx="2">
                  <c:v>0.5411407469232867</c:v>
                </c:pt>
                <c:pt idx="3">
                  <c:v>0.4691749023555613</c:v>
                </c:pt>
                <c:pt idx="4">
                  <c:v>0.7726913559909482</c:v>
                </c:pt>
                <c:pt idx="5">
                  <c:v>0.9062556529707467</c:v>
                </c:pt>
                <c:pt idx="6">
                  <c:v>0.7930851503113738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Summary!$F$116:$L$116</c:f>
              <c:numCache>
                <c:ptCount val="7"/>
                <c:pt idx="0">
                  <c:v>0.2857142857142857</c:v>
                </c:pt>
                <c:pt idx="1">
                  <c:v>1.1842105263157894</c:v>
                </c:pt>
                <c:pt idx="2">
                  <c:v>1.0714285714285714</c:v>
                </c:pt>
                <c:pt idx="3">
                  <c:v>0.64017487890625</c:v>
                </c:pt>
                <c:pt idx="4">
                  <c:v>0.8335365853658536</c:v>
                </c:pt>
                <c:pt idx="5">
                  <c:v>0.7795752688172043</c:v>
                </c:pt>
                <c:pt idx="6">
                  <c:v>0.7806392795698924</c:v>
                </c:pt>
              </c:numCache>
            </c:numRef>
          </c:val>
          <c:smooth val="0"/>
        </c:ser>
        <c:axId val="39130178"/>
        <c:axId val="16627283"/>
      </c:lineChart>
      <c:catAx>
        <c:axId val="6676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0121"/>
        <c:crosses val="autoZero"/>
        <c:auto val="1"/>
        <c:lblOffset val="100"/>
        <c:noMultiLvlLbl val="0"/>
      </c:catAx>
      <c:valAx>
        <c:axId val="6400012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763448"/>
        <c:crossesAt val="1"/>
        <c:crossBetween val="midCat"/>
        <c:dispUnits/>
        <c:majorUnit val="20"/>
      </c:valAx>
      <c:catAx>
        <c:axId val="39130178"/>
        <c:scaling>
          <c:orientation val="minMax"/>
        </c:scaling>
        <c:axPos val="b"/>
        <c:delete val="1"/>
        <c:majorTickMark val="in"/>
        <c:minorTickMark val="none"/>
        <c:tickLblPos val="nextTo"/>
        <c:crossAx val="16627283"/>
        <c:crosses val="autoZero"/>
        <c:auto val="1"/>
        <c:lblOffset val="100"/>
        <c:noMultiLvlLbl val="0"/>
      </c:catAx>
      <c:valAx>
        <c:axId val="16627283"/>
        <c:scaling>
          <c:orientation val="minMax"/>
          <c:max val="1.4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39130178"/>
        <c:crosses val="max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4495"/>
          <c:w val="0.25075"/>
          <c:h val="0.21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TF Fabrication
Jobs; 1361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75"/>
          <c:w val="1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Summary!$F$100:$Q$100</c:f>
              <c:numCache>
                <c:ptCount val="12"/>
                <c:pt idx="0">
                  <c:v>8</c:v>
                </c:pt>
                <c:pt idx="1">
                  <c:v>73</c:v>
                </c:pt>
                <c:pt idx="2">
                  <c:v>133</c:v>
                </c:pt>
                <c:pt idx="3">
                  <c:v>168</c:v>
                </c:pt>
                <c:pt idx="4">
                  <c:v>228</c:v>
                </c:pt>
                <c:pt idx="5">
                  <c:v>289</c:v>
                </c:pt>
                <c:pt idx="6">
                  <c:v>348</c:v>
                </c:pt>
                <c:pt idx="7">
                  <c:v>404</c:v>
                </c:pt>
                <c:pt idx="8">
                  <c:v>463</c:v>
                </c:pt>
                <c:pt idx="9">
                  <c:v>521</c:v>
                </c:pt>
                <c:pt idx="10">
                  <c:v>625</c:v>
                </c:pt>
                <c:pt idx="11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Summary!$F$101:$L$101</c:f>
              <c:numCache>
                <c:ptCount val="7"/>
                <c:pt idx="0">
                  <c:v>4</c:v>
                </c:pt>
                <c:pt idx="1">
                  <c:v>49</c:v>
                </c:pt>
                <c:pt idx="2">
                  <c:v>108</c:v>
                </c:pt>
                <c:pt idx="3">
                  <c:v>199.41206949999997</c:v>
                </c:pt>
                <c:pt idx="4">
                  <c:v>267.65</c:v>
                </c:pt>
                <c:pt idx="5">
                  <c:v>331.282</c:v>
                </c:pt>
                <c:pt idx="6">
                  <c:v>363.6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Summary!$F$102:$L$102</c:f>
              <c:numCache>
                <c:ptCount val="7"/>
                <c:pt idx="0">
                  <c:v>-6.0157300000000085</c:v>
                </c:pt>
                <c:pt idx="1">
                  <c:v>34.379239999999996</c:v>
                </c:pt>
                <c:pt idx="2">
                  <c:v>88.80752648279773</c:v>
                </c:pt>
                <c:pt idx="3">
                  <c:v>185.35052648279773</c:v>
                </c:pt>
                <c:pt idx="4">
                  <c:v>271.3235264827977</c:v>
                </c:pt>
                <c:pt idx="5">
                  <c:v>340.5435264827977</c:v>
                </c:pt>
                <c:pt idx="6">
                  <c:v>385.1965264827977</c:v>
                </c:pt>
              </c:numCache>
            </c:numRef>
          </c:val>
          <c:smooth val="0"/>
        </c:ser>
        <c:axId val="15427820"/>
        <c:axId val="4632653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Summary!$F$103:$L$103</c:f>
              <c:numCache>
                <c:ptCount val="7"/>
                <c:pt idx="0">
                  <c:v>-0.6649234589983252</c:v>
                </c:pt>
                <c:pt idx="1">
                  <c:v>1.4252787438000376</c:v>
                </c:pt>
                <c:pt idx="2">
                  <c:v>1.2161131412766002</c:v>
                </c:pt>
                <c:pt idx="3">
                  <c:v>1.0758645971178684</c:v>
                </c:pt>
                <c:pt idx="4">
                  <c:v>0.9864607152559967</c:v>
                </c:pt>
                <c:pt idx="5">
                  <c:v>0.9728036924429232</c:v>
                </c:pt>
                <c:pt idx="6">
                  <c:v>0.9439337455090936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Summary!$F$104:$L$104</c:f>
              <c:numCache>
                <c:ptCount val="7"/>
                <c:pt idx="1">
                  <c:v>0.6712328767123288</c:v>
                </c:pt>
                <c:pt idx="2">
                  <c:v>0.8120300751879699</c:v>
                </c:pt>
                <c:pt idx="3">
                  <c:v>1.1869766041666665</c:v>
                </c:pt>
                <c:pt idx="4">
                  <c:v>1.1739035087719296</c:v>
                </c:pt>
                <c:pt idx="5">
                  <c:v>1.1463044982698962</c:v>
                </c:pt>
                <c:pt idx="6">
                  <c:v>1.0448275862068965</c:v>
                </c:pt>
              </c:numCache>
            </c:numRef>
          </c:val>
          <c:smooth val="0"/>
        </c:ser>
        <c:axId val="41693878"/>
        <c:axId val="39700583"/>
      </c:lineChart>
      <c:catAx>
        <c:axId val="1542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2653"/>
        <c:crosses val="autoZero"/>
        <c:auto val="1"/>
        <c:lblOffset val="100"/>
        <c:noMultiLvlLbl val="0"/>
      </c:catAx>
      <c:valAx>
        <c:axId val="4632653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427820"/>
        <c:crossesAt val="1"/>
        <c:crossBetween val="midCat"/>
        <c:dispUnits/>
        <c:majorUnit val="50"/>
      </c:valAx>
      <c:catAx>
        <c:axId val="41693878"/>
        <c:scaling>
          <c:orientation val="minMax"/>
        </c:scaling>
        <c:axPos val="b"/>
        <c:delete val="1"/>
        <c:majorTickMark val="in"/>
        <c:minorTickMark val="none"/>
        <c:tickLblPos val="nextTo"/>
        <c:crossAx val="39700583"/>
        <c:crosses val="autoZero"/>
        <c:auto val="1"/>
        <c:lblOffset val="100"/>
        <c:noMultiLvlLbl val="0"/>
      </c:catAx>
      <c:valAx>
        <c:axId val="39700583"/>
        <c:scaling>
          <c:orientation val="minMax"/>
          <c:max val="1.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169387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175"/>
          <c:y val="0.5075"/>
          <c:w val="0.248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Core Mngtt&amp;Integr
Jobs; 1901</a:t>
            </a:r>
          </a:p>
        </c:rich>
      </c:tx>
      <c:layout>
        <c:manualLayout>
          <c:xMode val="factor"/>
          <c:yMode val="factor"/>
          <c:x val="-0.0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1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Summary!$E$124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Summary!$F$124:$Q$124</c:f>
              <c:numCache>
                <c:ptCount val="12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133</c:v>
                </c:pt>
                <c:pt idx="4">
                  <c:v>162</c:v>
                </c:pt>
                <c:pt idx="5">
                  <c:v>200</c:v>
                </c:pt>
                <c:pt idx="6">
                  <c:v>233</c:v>
                </c:pt>
                <c:pt idx="7">
                  <c:v>258</c:v>
                </c:pt>
                <c:pt idx="8">
                  <c:v>294</c:v>
                </c:pt>
                <c:pt idx="9">
                  <c:v>328</c:v>
                </c:pt>
                <c:pt idx="10">
                  <c:v>362</c:v>
                </c:pt>
                <c:pt idx="11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Summary!$F$125:$L$125</c:f>
              <c:numCache>
                <c:ptCount val="7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132.64167952</c:v>
                </c:pt>
                <c:pt idx="4">
                  <c:v>161.56</c:v>
                </c:pt>
                <c:pt idx="5">
                  <c:v>199.131</c:v>
                </c:pt>
                <c:pt idx="6">
                  <c:v>232.21053822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Summary!$F$126:$L$126</c:f>
              <c:numCache>
                <c:ptCount val="7"/>
                <c:pt idx="0">
                  <c:v>36.462</c:v>
                </c:pt>
                <c:pt idx="1">
                  <c:v>53.934000000000005</c:v>
                </c:pt>
                <c:pt idx="2">
                  <c:v>64.98100000000001</c:v>
                </c:pt>
                <c:pt idx="3">
                  <c:v>96.64800000000001</c:v>
                </c:pt>
                <c:pt idx="4">
                  <c:v>109.709</c:v>
                </c:pt>
                <c:pt idx="5">
                  <c:v>119.964</c:v>
                </c:pt>
                <c:pt idx="6">
                  <c:v>130.754</c:v>
                </c:pt>
              </c:numCache>
            </c:numRef>
          </c:val>
          <c:smooth val="0"/>
        </c:ser>
        <c:axId val="21760928"/>
        <c:axId val="61630625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Summary!$F$127:$L$127</c:f>
              <c:numCache>
                <c:ptCount val="7"/>
                <c:pt idx="0">
                  <c:v>0.932477647962262</c:v>
                </c:pt>
                <c:pt idx="1">
                  <c:v>1.223717877405718</c:v>
                </c:pt>
                <c:pt idx="2">
                  <c:v>1.5081331466120864</c:v>
                </c:pt>
                <c:pt idx="3">
                  <c:v>1.3724203244764503</c:v>
                </c:pt>
                <c:pt idx="4">
                  <c:v>1.472623030015769</c:v>
                </c:pt>
                <c:pt idx="5">
                  <c:v>1.659922976893068</c:v>
                </c:pt>
                <c:pt idx="6">
                  <c:v>1.7759344893464062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Summary!$F$128:$L$128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0.9973058610526315</c:v>
                </c:pt>
                <c:pt idx="4">
                  <c:v>0.9972839506172839</c:v>
                </c:pt>
                <c:pt idx="5">
                  <c:v>0.995655</c:v>
                </c:pt>
                <c:pt idx="6">
                  <c:v>0.9966117520171673</c:v>
                </c:pt>
              </c:numCache>
            </c:numRef>
          </c:val>
          <c:smooth val="0"/>
        </c:ser>
        <c:axId val="17804714"/>
        <c:axId val="26024699"/>
      </c:lineChart>
      <c:catAx>
        <c:axId val="2176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0625"/>
        <c:crosses val="autoZero"/>
        <c:auto val="1"/>
        <c:lblOffset val="100"/>
        <c:noMultiLvlLbl val="0"/>
      </c:catAx>
      <c:valAx>
        <c:axId val="6163062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760928"/>
        <c:crossesAt val="1"/>
        <c:crossBetween val="midCat"/>
        <c:dispUnits/>
        <c:majorUnit val="50"/>
      </c:valAx>
      <c:catAx>
        <c:axId val="17804714"/>
        <c:scaling>
          <c:orientation val="minMax"/>
        </c:scaling>
        <c:axPos val="b"/>
        <c:delete val="1"/>
        <c:majorTickMark val="in"/>
        <c:minorTickMark val="none"/>
        <c:tickLblPos val="nextTo"/>
        <c:crossAx val="26024699"/>
        <c:crosses val="autoZero"/>
        <c:auto val="1"/>
        <c:lblOffset val="100"/>
        <c:noMultiLvlLbl val="0"/>
      </c:catAx>
      <c:valAx>
        <c:axId val="26024699"/>
        <c:scaling>
          <c:orientation val="minMax"/>
          <c:max val="1.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7804714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35"/>
          <c:y val="0.556"/>
          <c:w val="0.24925"/>
          <c:h val="0.212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/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/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95700"/>
        <c:axId val="27625845"/>
      </c:lineChart>
      <c:catAx>
        <c:axId val="3289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25845"/>
        <c:crosses val="autoZero"/>
        <c:auto val="1"/>
        <c:lblOffset val="100"/>
        <c:noMultiLvlLbl val="0"/>
      </c:catAx>
      <c:valAx>
        <c:axId val="27625845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5700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Design Integration
Jobs; 8203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1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Summary!$F$71:$L$71</c:f>
              <c:numCache>
                <c:ptCount val="7"/>
                <c:pt idx="0">
                  <c:v>31</c:v>
                </c:pt>
                <c:pt idx="1">
                  <c:v>60</c:v>
                </c:pt>
                <c:pt idx="2">
                  <c:v>89</c:v>
                </c:pt>
                <c:pt idx="3">
                  <c:v>130.90838007</c:v>
                </c:pt>
                <c:pt idx="4">
                  <c:v>160.47</c:v>
                </c:pt>
                <c:pt idx="5">
                  <c:v>194.2511</c:v>
                </c:pt>
                <c:pt idx="6">
                  <c:v>225.2187168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Summary!$F$72:$L$72</c:f>
              <c:numCache>
                <c:ptCount val="7"/>
                <c:pt idx="0">
                  <c:v>5.07976</c:v>
                </c:pt>
                <c:pt idx="1">
                  <c:v>10.31795</c:v>
                </c:pt>
                <c:pt idx="2">
                  <c:v>11.958999487020458</c:v>
                </c:pt>
                <c:pt idx="3">
                  <c:v>22.05199948702046</c:v>
                </c:pt>
                <c:pt idx="4">
                  <c:v>36.56099948702046</c:v>
                </c:pt>
                <c:pt idx="5">
                  <c:v>55.86599948702046</c:v>
                </c:pt>
                <c:pt idx="6">
                  <c:v>75.91599948702046</c:v>
                </c:pt>
              </c:numCache>
            </c:numRef>
          </c:val>
          <c:smooth val="0"/>
        </c:ser>
        <c:axId val="7699552"/>
        <c:axId val="2187105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Summary!$F$73:$L$73</c:f>
              <c:numCache>
                <c:ptCount val="7"/>
                <c:pt idx="0">
                  <c:v>6.102650518922154</c:v>
                </c:pt>
                <c:pt idx="1">
                  <c:v>5.815108621383124</c:v>
                </c:pt>
                <c:pt idx="2">
                  <c:v>7.442094139781089</c:v>
                </c:pt>
                <c:pt idx="3">
                  <c:v>5.936349678724194</c:v>
                </c:pt>
                <c:pt idx="4">
                  <c:v>4.389103204275598</c:v>
                </c:pt>
                <c:pt idx="5">
                  <c:v>3.477089854002004</c:v>
                </c:pt>
                <c:pt idx="6">
                  <c:v>2.9666831540366694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Summary!$E$74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Summary!$F$74:$L$74</c:f>
              <c:numCache>
                <c:ptCount val="7"/>
                <c:pt idx="0">
                  <c:v>0.9393939393939394</c:v>
                </c:pt>
                <c:pt idx="1">
                  <c:v>0.9230769230769231</c:v>
                </c:pt>
                <c:pt idx="2">
                  <c:v>0.9175257731958762</c:v>
                </c:pt>
                <c:pt idx="3">
                  <c:v>0.9917301520454544</c:v>
                </c:pt>
                <c:pt idx="4">
                  <c:v>0.9967080745341614</c:v>
                </c:pt>
                <c:pt idx="5">
                  <c:v>0.9910770408163265</c:v>
                </c:pt>
                <c:pt idx="6">
                  <c:v>0.9965429946902655</c:v>
                </c:pt>
              </c:numCache>
            </c:numRef>
          </c:val>
          <c:smooth val="1"/>
        </c:ser>
        <c:axId val="19683946"/>
        <c:axId val="42937787"/>
      </c:lineChart>
      <c:catAx>
        <c:axId val="769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7105"/>
        <c:crosses val="autoZero"/>
        <c:auto val="1"/>
        <c:lblOffset val="100"/>
        <c:noMultiLvlLbl val="0"/>
      </c:catAx>
      <c:valAx>
        <c:axId val="218710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699552"/>
        <c:crossesAt val="1"/>
        <c:crossBetween val="midCat"/>
        <c:dispUnits/>
      </c:valAx>
      <c:catAx>
        <c:axId val="19683946"/>
        <c:scaling>
          <c:orientation val="minMax"/>
        </c:scaling>
        <c:axPos val="b"/>
        <c:delete val="1"/>
        <c:majorTickMark val="in"/>
        <c:minorTickMark val="none"/>
        <c:tickLblPos val="nextTo"/>
        <c:crossAx val="42937787"/>
        <c:crosses val="autoZero"/>
        <c:auto val="1"/>
        <c:lblOffset val="100"/>
        <c:noMultiLvlLbl val="0"/>
      </c:catAx>
      <c:valAx>
        <c:axId val="42937787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9683946"/>
        <c:crosses val="max"/>
        <c:crossBetween val="midCat"/>
        <c:dispUnits/>
        <c:majorUnit val="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775"/>
          <c:y val="0.417"/>
          <c:w val="0.266"/>
          <c:h val="0.21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06014"/>
        <c:axId val="23100943"/>
      </c:lineChart>
      <c:catAx>
        <c:axId val="4730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00943"/>
        <c:crosses val="autoZero"/>
        <c:auto val="1"/>
        <c:lblOffset val="100"/>
        <c:noMultiLvlLbl val="0"/>
      </c:catAx>
      <c:valAx>
        <c:axId val="23100943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6014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Job: 1302 PF Design KALISH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16"/>
          <c:w val="0.8792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list'!$D$11</c:f>
              <c:strCache>
                <c:ptCount val="1"/>
                <c:pt idx="0">
                  <c:v>Job: 1302 - PF  Design -KALISH 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list'!$E$11:$I$11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list'!$B$11</c:f>
              <c:numCache/>
            </c:numRef>
          </c:val>
          <c:smooth val="0"/>
        </c:ser>
        <c:axId val="6581896"/>
        <c:axId val="59237065"/>
      </c:lineChart>
      <c:catAx>
        <c:axId val="658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7065"/>
        <c:crosses val="autoZero"/>
        <c:auto val="1"/>
        <c:lblOffset val="100"/>
        <c:noMultiLvlLbl val="0"/>
      </c:catAx>
      <c:valAx>
        <c:axId val="59237065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189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175"/>
          <c:w val="0.87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list'!$D$12</c:f>
              <c:strCache>
                <c:ptCount val="1"/>
                <c:pt idx="0">
                  <c:v>Job: 1354 - Trim Coil Design &amp;Procurement-KALISH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list'!$E$12:$I$12</c:f>
              <c:numCache/>
            </c:numRef>
          </c:val>
          <c:smooth val="0"/>
        </c:ser>
        <c:axId val="63371538"/>
        <c:axId val="33472931"/>
      </c:lineChart>
      <c:catAx>
        <c:axId val="633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2931"/>
        <c:crosses val="autoZero"/>
        <c:auto val="1"/>
        <c:lblOffset val="100"/>
        <c:noMultiLvlLbl val="0"/>
      </c:catAx>
      <c:valAx>
        <c:axId val="3347293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71538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63"/>
          <c:w val="0.882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list'!$D$13</c:f>
              <c:strCache>
                <c:ptCount val="1"/>
                <c:pt idx="0">
                  <c:v>Job: 1355 - WBS 13 I&amp;C Proc and Coil Assy-KALISH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list'!$E$13:$I$13</c:f>
              <c:numCache/>
            </c:numRef>
          </c:val>
          <c:smooth val="0"/>
        </c:ser>
        <c:axId val="32820924"/>
        <c:axId val="26952861"/>
      </c:lineChart>
      <c:catAx>
        <c:axId val="3282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2861"/>
        <c:crosses val="autoZero"/>
        <c:auto val="1"/>
        <c:lblOffset val="100"/>
        <c:noMultiLvlLbl val="0"/>
      </c:catAx>
      <c:valAx>
        <c:axId val="2695286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20924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67"/>
          <c:w val="0.879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list'!$D$18</c:f>
              <c:strCache>
                <c:ptCount val="1"/>
                <c:pt idx="0">
                  <c:v>Job: 1501 - Coil Structures  Design-DAHLGREN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list'!$E$18:$I$18</c:f>
              <c:numCache/>
            </c:numRef>
          </c:val>
          <c:smooth val="0"/>
        </c:ser>
        <c:axId val="41249158"/>
        <c:axId val="35698103"/>
      </c:lineChart>
      <c:catAx>
        <c:axId val="41249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98103"/>
        <c:crosses val="autoZero"/>
        <c:auto val="1"/>
        <c:lblOffset val="100"/>
        <c:noMultiLvlLbl val="0"/>
      </c:catAx>
      <c:valAx>
        <c:axId val="3569810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4915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8"/>
          <c:w val="0.8777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list'!$D$21</c:f>
              <c:strCache>
                <c:ptCount val="1"/>
                <c:pt idx="0">
                  <c:v>Job: 1702 - Base Support Struct Design-DAHLGREN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list'!$E$21:$I$21</c:f>
              <c:numCache/>
            </c:numRef>
          </c:val>
          <c:smooth val="0"/>
        </c:ser>
        <c:axId val="52847472"/>
        <c:axId val="5865201"/>
      </c:lineChart>
      <c:catAx>
        <c:axId val="5284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5201"/>
        <c:crosses val="autoZero"/>
        <c:auto val="1"/>
        <c:lblOffset val="100"/>
        <c:noMultiLvlLbl val="0"/>
      </c:catAx>
      <c:valAx>
        <c:axId val="5865201"/>
        <c:scaling>
          <c:orientation val="minMax"/>
          <c:max val="1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4747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725"/>
          <c:w val="0.880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list'!$D$23</c:f>
              <c:strCache>
                <c:ptCount val="1"/>
                <c:pt idx="0">
                  <c:v>Job: 1803/1805- FPA Tooling/Constr-BROWN 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list'!$E$23:$I$23</c:f>
              <c:numCache/>
            </c:numRef>
          </c:val>
          <c:smooth val="0"/>
        </c:ser>
        <c:axId val="52786810"/>
        <c:axId val="5319243"/>
      </c:lineChart>
      <c:catAx>
        <c:axId val="5278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9243"/>
        <c:crosses val="autoZero"/>
        <c:auto val="1"/>
        <c:lblOffset val="100"/>
        <c:noMultiLvlLbl val="0"/>
      </c:catAx>
      <c:valAx>
        <c:axId val="5319243"/>
        <c:scaling>
          <c:orientation val="minMax"/>
          <c:max val="10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86810"/>
        <c:crossesAt val="1"/>
        <c:crossBetween val="midCat"/>
        <c:dispUnits/>
        <c:majorUnit val="2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775"/>
          <c:w val="0.8792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list'!$D$24</c:f>
              <c:strCache>
                <c:ptCount val="1"/>
                <c:pt idx="0">
                  <c:v>Job: 1803/1805- FPA Tooling/Constr-BROWN 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list'!$E$24:$I$24</c:f>
              <c:numCache/>
            </c:numRef>
          </c:val>
          <c:smooth val="0"/>
        </c:ser>
        <c:axId val="47873188"/>
        <c:axId val="28205509"/>
      </c:lineChart>
      <c:catAx>
        <c:axId val="4787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5509"/>
        <c:crosses val="autoZero"/>
        <c:auto val="1"/>
        <c:lblOffset val="100"/>
        <c:noMultiLvlLbl val="0"/>
      </c:catAx>
      <c:valAx>
        <c:axId val="2820550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3188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7075"/>
          <c:w val="0.860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list'!$D$25</c:f>
              <c:strCache>
                <c:ptCount val="1"/>
                <c:pt idx="0">
                  <c:v>Job: 1803/1805- FPA Tooling/Constr-BROWN -Station 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list'!$E$25:$I$25</c:f>
              <c:numCache/>
            </c:numRef>
          </c:val>
          <c:smooth val="0"/>
        </c:ser>
        <c:axId val="52522990"/>
        <c:axId val="2944863"/>
      </c:lineChart>
      <c:catAx>
        <c:axId val="5252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863"/>
        <c:crosses val="autoZero"/>
        <c:auto val="1"/>
        <c:lblOffset val="100"/>
        <c:noMultiLvlLbl val="0"/>
      </c:catAx>
      <c:valAx>
        <c:axId val="294486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22990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395"/>
          <c:w val="0.879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list'!$D$28</c:f>
              <c:strCache>
                <c:ptCount val="1"/>
                <c:pt idx="0">
                  <c:v>Job: 1806 - FP Assembly specs-COLE-Station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list'!$E$28:$I$28</c:f>
              <c:numCache/>
            </c:numRef>
          </c:val>
          <c:smooth val="0"/>
        </c:ser>
        <c:axId val="26503768"/>
        <c:axId val="37207321"/>
      </c:lineChart>
      <c:catAx>
        <c:axId val="2650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07321"/>
        <c:crosses val="autoZero"/>
        <c:auto val="1"/>
        <c:lblOffset val="100"/>
        <c:noMultiLvlLbl val="0"/>
      </c:catAx>
      <c:valAx>
        <c:axId val="3720732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03768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Systems Analysis
Jobs; 8204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1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Summary!$F$77:$L$77</c:f>
              <c:numCache>
                <c:ptCount val="7"/>
                <c:pt idx="0">
                  <c:v>35</c:v>
                </c:pt>
                <c:pt idx="1">
                  <c:v>69</c:v>
                </c:pt>
                <c:pt idx="2">
                  <c:v>103</c:v>
                </c:pt>
                <c:pt idx="3">
                  <c:v>147.91024786999995</c:v>
                </c:pt>
                <c:pt idx="4">
                  <c:v>180.95</c:v>
                </c:pt>
                <c:pt idx="5">
                  <c:v>207.311</c:v>
                </c:pt>
                <c:pt idx="6">
                  <c:v>231.47238240000001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Summary!$F$78:$L$78</c:f>
              <c:numCache>
                <c:ptCount val="7"/>
                <c:pt idx="0">
                  <c:v>42.5836</c:v>
                </c:pt>
                <c:pt idx="1">
                  <c:v>95.73588</c:v>
                </c:pt>
                <c:pt idx="2">
                  <c:v>142.84429825010403</c:v>
                </c:pt>
                <c:pt idx="3">
                  <c:v>193.31329825010403</c:v>
                </c:pt>
                <c:pt idx="4">
                  <c:v>225.40929825010403</c:v>
                </c:pt>
                <c:pt idx="5">
                  <c:v>272.063298250104</c:v>
                </c:pt>
                <c:pt idx="6">
                  <c:v>319.395298250104</c:v>
                </c:pt>
              </c:numCache>
            </c:numRef>
          </c:val>
          <c:smooth val="0"/>
        </c:ser>
        <c:axId val="50895764"/>
        <c:axId val="55408693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Summary!$F$79:$L$79</c:f>
              <c:numCache>
                <c:ptCount val="7"/>
                <c:pt idx="0">
                  <c:v>0.8219126612122978</c:v>
                </c:pt>
                <c:pt idx="1">
                  <c:v>0.7207329164363455</c:v>
                </c:pt>
                <c:pt idx="2">
                  <c:v>0.7210648325609663</c:v>
                </c:pt>
                <c:pt idx="3">
                  <c:v>0.7651322966857524</c:v>
                </c:pt>
                <c:pt idx="4">
                  <c:v>0.8027619153457725</c:v>
                </c:pt>
                <c:pt idx="5">
                  <c:v>0.7619954669865903</c:v>
                </c:pt>
                <c:pt idx="6">
                  <c:v>0.7247206946006589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Summary!$F$80:$L$80</c:f>
              <c:numCache>
                <c:ptCount val="7"/>
                <c:pt idx="0">
                  <c:v>0.9459459459459459</c:v>
                </c:pt>
                <c:pt idx="1">
                  <c:v>0.9452054794520548</c:v>
                </c:pt>
                <c:pt idx="2">
                  <c:v>0.944954128440367</c:v>
                </c:pt>
                <c:pt idx="3">
                  <c:v>0.9993935666891889</c:v>
                </c:pt>
                <c:pt idx="4">
                  <c:v>1.0052777777777777</c:v>
                </c:pt>
                <c:pt idx="5">
                  <c:v>1.0015024154589371</c:v>
                </c:pt>
                <c:pt idx="6">
                  <c:v>1.0020449454545455</c:v>
                </c:pt>
              </c:numCache>
            </c:numRef>
          </c:val>
          <c:smooth val="0"/>
        </c:ser>
        <c:axId val="28916190"/>
        <c:axId val="58919119"/>
      </c:lineChart>
      <c:catAx>
        <c:axId val="5089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8693"/>
        <c:crosses val="autoZero"/>
        <c:auto val="1"/>
        <c:lblOffset val="100"/>
        <c:noMultiLvlLbl val="0"/>
      </c:catAx>
      <c:valAx>
        <c:axId val="5540869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895764"/>
        <c:crossesAt val="1"/>
        <c:crossBetween val="midCat"/>
        <c:dispUnits/>
      </c:valAx>
      <c:catAx>
        <c:axId val="28916190"/>
        <c:scaling>
          <c:orientation val="minMax"/>
        </c:scaling>
        <c:axPos val="b"/>
        <c:delete val="1"/>
        <c:majorTickMark val="in"/>
        <c:minorTickMark val="none"/>
        <c:tickLblPos val="nextTo"/>
        <c:crossAx val="58919119"/>
        <c:crosses val="autoZero"/>
        <c:auto val="1"/>
        <c:lblOffset val="100"/>
        <c:noMultiLvlLbl val="0"/>
      </c:catAx>
      <c:valAx>
        <c:axId val="58919119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8916190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5"/>
          <c:y val="0.542"/>
          <c:w val="0.23225"/>
          <c:h val="0.21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4175"/>
          <c:w val="0.879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list'!$D$29</c:f>
              <c:strCache>
                <c:ptCount val="1"/>
                <c:pt idx="0">
                  <c:v>Job: 1806 - FP Assembly specs-COLE-Station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list'!$E$29:$I$29</c:f>
              <c:numCache/>
            </c:numRef>
          </c:val>
          <c:smooth val="0"/>
        </c:ser>
        <c:axId val="66430434"/>
        <c:axId val="61002995"/>
      </c:lineChart>
      <c:catAx>
        <c:axId val="66430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995"/>
        <c:crosses val="autoZero"/>
        <c:auto val="1"/>
        <c:lblOffset val="100"/>
        <c:noMultiLvlLbl val="0"/>
      </c:catAx>
      <c:valAx>
        <c:axId val="6100299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30434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715"/>
          <c:w val="0.862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list'!$D$30</c:f>
              <c:strCache>
                <c:ptCount val="1"/>
                <c:pt idx="0">
                  <c:v>Job: 1806 - FP Assembly specs-COLE-Station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list'!$E$30:$I$30</c:f>
              <c:numCache/>
            </c:numRef>
          </c:val>
          <c:smooth val="0"/>
        </c:ser>
        <c:axId val="12156044"/>
        <c:axId val="42295533"/>
      </c:lineChart>
      <c:catAx>
        <c:axId val="1215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5533"/>
        <c:crosses val="autoZero"/>
        <c:auto val="1"/>
        <c:lblOffset val="100"/>
        <c:noMultiLvlLbl val="0"/>
      </c:catAx>
      <c:valAx>
        <c:axId val="422955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6044"/>
        <c:crossesAt val="1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6675"/>
          <c:w val="0.878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list'!$D$14</c:f>
              <c:strCache>
                <c:ptCount val="1"/>
                <c:pt idx="0">
                  <c:v>Job: 1416 - Mod Coil Type AB Fnl Dsn-WILLIAMSON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list'!$E$14:$I$14</c:f>
              <c:numCache/>
            </c:numRef>
          </c:val>
          <c:smooth val="0"/>
        </c:ser>
        <c:axId val="45115478"/>
        <c:axId val="3386119"/>
      </c:lineChart>
      <c:catAx>
        <c:axId val="4511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6119"/>
        <c:crosses val="autoZero"/>
        <c:auto val="1"/>
        <c:lblOffset val="100"/>
        <c:noMultiLvlLbl val="0"/>
      </c:catAx>
      <c:valAx>
        <c:axId val="3386119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1547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37"/>
          <c:w val="0.884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list'!$D$15</c:f>
              <c:strCache>
                <c:ptCount val="1"/>
                <c:pt idx="0">
                  <c:v>Job: 1421 - Mod Coil Interface Design-WILLIAMSON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list'!$E$15:$I$15</c:f>
              <c:numCache/>
            </c:numRef>
          </c:val>
          <c:smooth val="0"/>
        </c:ser>
        <c:axId val="30475072"/>
        <c:axId val="5840193"/>
      </c:lineChart>
      <c:catAx>
        <c:axId val="30475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0193"/>
        <c:crosses val="autoZero"/>
        <c:auto val="1"/>
        <c:lblOffset val="100"/>
        <c:noMultiLvlLbl val="0"/>
      </c:catAx>
      <c:valAx>
        <c:axId val="5840193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5072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7"/>
          <c:w val="0.8777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list'!$D$16</c:f>
              <c:strCache>
                <c:ptCount val="1"/>
                <c:pt idx="0">
                  <c:v>Job: 1431 - Mod. Coil Interface Hardware-DUDEK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list'!$E$16:$I$16</c:f>
              <c:numCache/>
            </c:numRef>
          </c:val>
          <c:smooth val="0"/>
        </c:ser>
        <c:axId val="52561738"/>
        <c:axId val="3293595"/>
      </c:lineChart>
      <c:catAx>
        <c:axId val="525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595"/>
        <c:crosses val="autoZero"/>
        <c:auto val="1"/>
        <c:lblOffset val="100"/>
        <c:noMultiLvlLbl val="0"/>
      </c:catAx>
      <c:valAx>
        <c:axId val="3293595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61738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63"/>
          <c:w val="0.883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list'!$D$17</c:f>
              <c:strCache>
                <c:ptCount val="1"/>
                <c:pt idx="0">
                  <c:v>Job: 1459 - Mod Coil Fabr.Punch List-CHRZANOWSKI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/>
            </c:strRef>
          </c:cat>
          <c:val>
            <c:numRef>
              <c:f>'critical path watch list'!$E$17:$I$17</c:f>
              <c:numCache/>
            </c:numRef>
          </c:val>
          <c:smooth val="0"/>
        </c:ser>
        <c:axId val="29642356"/>
        <c:axId val="65454613"/>
      </c:lineChart>
      <c:catAx>
        <c:axId val="2964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4613"/>
        <c:crosses val="autoZero"/>
        <c:auto val="1"/>
        <c:lblOffset val="100"/>
        <c:noMultiLvlLbl val="0"/>
      </c:catAx>
      <c:valAx>
        <c:axId val="6545461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42356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7739.41</c:v>
                </c:pt>
                <c:pt idx="6">
                  <c:v>8924.880000000001</c:v>
                </c:pt>
                <c:pt idx="7">
                  <c:v>9857.77</c:v>
                </c:pt>
                <c:pt idx="8">
                  <c:v>11238.150000000001</c:v>
                </c:pt>
                <c:pt idx="9">
                  <c:v>12405.960000000001</c:v>
                </c:pt>
                <c:pt idx="10">
                  <c:v>13602.02</c:v>
                </c:pt>
                <c:pt idx="11">
                  <c:v>14728.460000000001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</c:numCache>
            </c:numRef>
          </c:val>
          <c:smooth val="0"/>
        </c:ser>
        <c:axId val="52220606"/>
        <c:axId val="223407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Summary!$F$37:$L$37</c:f>
              <c:numCache>
                <c:ptCount val="7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Summary!$F$38:$L$38</c:f>
              <c:numCache>
                <c:ptCount val="7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0.9108636317238652</c:v>
                </c:pt>
                <c:pt idx="6">
                  <c:v>0.9063397588886348</c:v>
                </c:pt>
              </c:numCache>
            </c:numRef>
          </c:val>
          <c:smooth val="0"/>
        </c:ser>
        <c:axId val="2010664"/>
        <c:axId val="18095977"/>
      </c:lineChart>
      <c:catAx>
        <c:axId val="5222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407"/>
        <c:crosses val="autoZero"/>
        <c:auto val="1"/>
        <c:lblOffset val="100"/>
        <c:noMultiLvlLbl val="0"/>
      </c:catAx>
      <c:valAx>
        <c:axId val="223407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220606"/>
        <c:crossesAt val="1"/>
        <c:crossBetween val="midCat"/>
        <c:dispUnits/>
        <c:majorUnit val="2000"/>
      </c:valAx>
      <c:catAx>
        <c:axId val="2010664"/>
        <c:scaling>
          <c:orientation val="minMax"/>
        </c:scaling>
        <c:axPos val="b"/>
        <c:delete val="1"/>
        <c:majorTickMark val="in"/>
        <c:minorTickMark val="none"/>
        <c:tickLblPos val="nextTo"/>
        <c:crossAx val="18095977"/>
        <c:crosses val="autoZero"/>
        <c:auto val="1"/>
        <c:lblOffset val="100"/>
        <c:noMultiLvlLbl val="0"/>
      </c:catAx>
      <c:valAx>
        <c:axId val="18095977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2010664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5"/>
          <c:y val="0.39925"/>
          <c:w val="0.12875"/>
          <c:h val="0.376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1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Summary!$F$11:$L$11</c:f>
              <c:numCache>
                <c:ptCount val="7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Summary!$F$12:$L$12</c:f>
              <c:numCache>
                <c:ptCount val="7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</c:numCache>
            </c:numRef>
          </c:val>
          <c:smooth val="0"/>
        </c:ser>
        <c:axId val="28646066"/>
        <c:axId val="56488003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Summary!$F$13:$L$13</c:f>
              <c:numCache>
                <c:ptCount val="7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Summary!$F$14:$L$14</c:f>
              <c:numCache>
                <c:ptCount val="7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0.9995191082802549</c:v>
                </c:pt>
                <c:pt idx="6">
                  <c:v>0.9999033112582784</c:v>
                </c:pt>
              </c:numCache>
            </c:numRef>
          </c:val>
          <c:smooth val="0"/>
        </c:ser>
        <c:axId val="38629980"/>
        <c:axId val="12125501"/>
      </c:lineChart>
      <c:catAx>
        <c:axId val="2864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8003"/>
        <c:crosses val="autoZero"/>
        <c:auto val="1"/>
        <c:lblOffset val="100"/>
        <c:noMultiLvlLbl val="0"/>
      </c:catAx>
      <c:valAx>
        <c:axId val="56488003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646066"/>
        <c:crossesAt val="1"/>
        <c:crossBetween val="midCat"/>
        <c:dispUnits/>
        <c:majorUnit val="200"/>
      </c:valAx>
      <c:catAx>
        <c:axId val="38629980"/>
        <c:scaling>
          <c:orientation val="minMax"/>
        </c:scaling>
        <c:axPos val="b"/>
        <c:delete val="1"/>
        <c:majorTickMark val="in"/>
        <c:minorTickMark val="none"/>
        <c:tickLblPos val="nextTo"/>
        <c:crossAx val="12125501"/>
        <c:crossesAt val="0.1"/>
        <c:auto val="1"/>
        <c:lblOffset val="100"/>
        <c:noMultiLvlLbl val="0"/>
      </c:catAx>
      <c:valAx>
        <c:axId val="12125501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3862998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21125"/>
          <c:w val="0.24275"/>
          <c:h val="0.501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225"/>
          <c:w val="0.978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Summary!$F$17:$L$17</c:f>
              <c:numCache>
                <c:ptCount val="7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Summary!$F$18:$L$18</c:f>
              <c:numCache>
                <c:ptCount val="7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</c:numCache>
            </c:numRef>
          </c:val>
          <c:smooth val="0"/>
        </c:ser>
        <c:axId val="42020646"/>
        <c:axId val="42641495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Summary!$F$19:$L$19</c:f>
              <c:numCache>
                <c:ptCount val="7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Summary!$F$20:$L$20</c:f>
              <c:numCache>
                <c:ptCount val="7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</c:numCache>
            </c:numRef>
          </c:val>
          <c:smooth val="0"/>
        </c:ser>
        <c:axId val="48229136"/>
        <c:axId val="31409041"/>
      </c:lineChart>
      <c:catAx>
        <c:axId val="4202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41495"/>
        <c:crosses val="autoZero"/>
        <c:auto val="1"/>
        <c:lblOffset val="100"/>
        <c:noMultiLvlLbl val="0"/>
      </c:catAx>
      <c:valAx>
        <c:axId val="4264149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020646"/>
        <c:crossesAt val="1"/>
        <c:crossBetween val="midCat"/>
        <c:dispUnits/>
        <c:majorUnit val="1000"/>
      </c:valAx>
      <c:catAx>
        <c:axId val="48229136"/>
        <c:scaling>
          <c:orientation val="minMax"/>
        </c:scaling>
        <c:axPos val="b"/>
        <c:delete val="1"/>
        <c:majorTickMark val="in"/>
        <c:minorTickMark val="none"/>
        <c:tickLblPos val="nextTo"/>
        <c:crossAx val="31409041"/>
        <c:crosses val="autoZero"/>
        <c:auto val="1"/>
        <c:lblOffset val="100"/>
        <c:noMultiLvlLbl val="0"/>
      </c:catAx>
      <c:valAx>
        <c:axId val="31409041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82291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"/>
          <c:y val="0.38075"/>
          <c:w val="0.16675"/>
          <c:h val="0.3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1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Summary!$F$23:$L$23</c:f>
              <c:numCache>
                <c:ptCount val="7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Summary!$F$24:$L$24</c:f>
              <c:numCache>
                <c:ptCount val="7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</c:numCache>
            </c:numRef>
          </c:val>
          <c:smooth val="0"/>
        </c:ser>
        <c:axId val="14245914"/>
        <c:axId val="61104363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Summary!$F$25:$L$25</c:f>
              <c:numCache>
                <c:ptCount val="7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Summary!$F$26:$L$26</c:f>
              <c:numCache>
                <c:ptCount val="7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</c:numCache>
            </c:numRef>
          </c:val>
          <c:smooth val="0"/>
        </c:ser>
        <c:axId val="13068356"/>
        <c:axId val="50506341"/>
      </c:lineChart>
      <c:catAx>
        <c:axId val="1424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04363"/>
        <c:crosses val="autoZero"/>
        <c:auto val="1"/>
        <c:lblOffset val="100"/>
        <c:noMultiLvlLbl val="0"/>
      </c:catAx>
      <c:valAx>
        <c:axId val="6110436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245914"/>
        <c:crossesAt val="1"/>
        <c:crossBetween val="midCat"/>
        <c:dispUnits/>
        <c:majorUnit val="1000"/>
      </c:valAx>
      <c:catAx>
        <c:axId val="13068356"/>
        <c:scaling>
          <c:orientation val="minMax"/>
        </c:scaling>
        <c:axPos val="b"/>
        <c:delete val="1"/>
        <c:majorTickMark val="in"/>
        <c:minorTickMark val="none"/>
        <c:tickLblPos val="nextTo"/>
        <c:crossAx val="50506341"/>
        <c:crosses val="autoZero"/>
        <c:auto val="1"/>
        <c:lblOffset val="100"/>
        <c:noMultiLvlLbl val="0"/>
      </c:catAx>
      <c:valAx>
        <c:axId val="50506341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30683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5035"/>
          <c:w val="0.17675"/>
          <c:h val="0.332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Dimensional Control Coordin
Jobs; 8205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Summary!$F$82:$Q$82</c:f>
              <c:numCache>
                <c:ptCount val="12"/>
                <c:pt idx="0">
                  <c:v>0</c:v>
                </c:pt>
                <c:pt idx="1">
                  <c:v>27</c:v>
                </c:pt>
                <c:pt idx="2">
                  <c:v>54</c:v>
                </c:pt>
                <c:pt idx="3">
                  <c:v>84</c:v>
                </c:pt>
                <c:pt idx="4">
                  <c:v>102</c:v>
                </c:pt>
                <c:pt idx="5">
                  <c:v>123</c:v>
                </c:pt>
                <c:pt idx="6">
                  <c:v>143</c:v>
                </c:pt>
                <c:pt idx="7">
                  <c:v>158</c:v>
                </c:pt>
                <c:pt idx="8">
                  <c:v>180</c:v>
                </c:pt>
                <c:pt idx="9">
                  <c:v>205</c:v>
                </c:pt>
                <c:pt idx="10">
                  <c:v>240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Summary!$E$83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Summary!$F$83:$L$83</c:f>
              <c:numCache>
                <c:ptCount val="7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75.26736</c:v>
                </c:pt>
                <c:pt idx="4">
                  <c:v>76</c:v>
                </c:pt>
                <c:pt idx="5">
                  <c:v>87.581</c:v>
                </c:pt>
                <c:pt idx="6">
                  <c:v>100.76903940000001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Summary!$E$84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Summary!$F$84:$L$84</c:f>
              <c:numCache>
                <c:ptCount val="7"/>
                <c:pt idx="0">
                  <c:v>17.50684</c:v>
                </c:pt>
                <c:pt idx="1">
                  <c:v>37.58991</c:v>
                </c:pt>
                <c:pt idx="2">
                  <c:v>60.08210772351456</c:v>
                </c:pt>
                <c:pt idx="3">
                  <c:v>81.55410772351456</c:v>
                </c:pt>
                <c:pt idx="4">
                  <c:v>92.09610772351456</c:v>
                </c:pt>
                <c:pt idx="5">
                  <c:v>96.13410772351456</c:v>
                </c:pt>
                <c:pt idx="6">
                  <c:v>113.31710772351457</c:v>
                </c:pt>
              </c:numCache>
            </c:numRef>
          </c:val>
          <c:smooth val="0"/>
        </c:ser>
        <c:axId val="60510024"/>
        <c:axId val="7719305"/>
      </c:lineChart>
      <c:lineChart>
        <c:grouping val="standard"/>
        <c:varyColors val="0"/>
        <c:ser>
          <c:idx val="3"/>
          <c:order val="3"/>
          <c:tx>
            <c:strRef>
              <c:f>Summary!$E$85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Summary!$F$85:$L$85</c:f>
              <c:numCache>
                <c:ptCount val="7"/>
                <c:pt idx="0">
                  <c:v>0</c:v>
                </c:pt>
                <c:pt idx="1">
                  <c:v>0.5586605554522477</c:v>
                </c:pt>
                <c:pt idx="2">
                  <c:v>0.6990433856494402</c:v>
                </c:pt>
                <c:pt idx="3">
                  <c:v>0.9229131689500184</c:v>
                </c:pt>
                <c:pt idx="4">
                  <c:v>0.8252248860306091</c:v>
                </c:pt>
                <c:pt idx="5">
                  <c:v>0.9110294158228043</c:v>
                </c:pt>
                <c:pt idx="6">
                  <c:v>0.8892658966011476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Summary!$F$86:$L$86</c:f>
              <c:numCache>
                <c:ptCount val="7"/>
                <c:pt idx="1">
                  <c:v>0.7777777777777778</c:v>
                </c:pt>
                <c:pt idx="2">
                  <c:v>0.7777777777777778</c:v>
                </c:pt>
                <c:pt idx="3">
                  <c:v>0.89604</c:v>
                </c:pt>
                <c:pt idx="4">
                  <c:v>0.7450980392156863</c:v>
                </c:pt>
                <c:pt idx="5">
                  <c:v>0.7120406504065041</c:v>
                </c:pt>
                <c:pt idx="6">
                  <c:v>0.7046785972027972</c:v>
                </c:pt>
              </c:numCache>
            </c:numRef>
          </c:val>
          <c:smooth val="1"/>
        </c:ser>
        <c:axId val="2364882"/>
        <c:axId val="21283939"/>
      </c:lineChart>
      <c:catAx>
        <c:axId val="605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9305"/>
        <c:crosses val="autoZero"/>
        <c:auto val="1"/>
        <c:lblOffset val="100"/>
        <c:noMultiLvlLbl val="0"/>
      </c:catAx>
      <c:valAx>
        <c:axId val="771930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510024"/>
        <c:crossesAt val="1"/>
        <c:crossBetween val="midCat"/>
        <c:dispUnits/>
      </c:valAx>
      <c:catAx>
        <c:axId val="2364882"/>
        <c:scaling>
          <c:orientation val="minMax"/>
        </c:scaling>
        <c:axPos val="b"/>
        <c:delete val="1"/>
        <c:majorTickMark val="in"/>
        <c:minorTickMark val="none"/>
        <c:tickLblPos val="nextTo"/>
        <c:crossAx val="21283939"/>
        <c:crosses val="autoZero"/>
        <c:auto val="1"/>
        <c:lblOffset val="100"/>
        <c:noMultiLvlLbl val="0"/>
      </c:catAx>
      <c:valAx>
        <c:axId val="21283939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64882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25"/>
          <c:y val="0.5815"/>
          <c:w val="0.251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05"/>
          <c:w val="0.951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Summary!$F$28:$Q$28</c:f>
              <c:numCache>
                <c:ptCount val="12"/>
                <c:pt idx="0">
                  <c:v>-102.8</c:v>
                </c:pt>
                <c:pt idx="1">
                  <c:v>-101.6</c:v>
                </c:pt>
                <c:pt idx="2">
                  <c:v>-100.3</c:v>
                </c:pt>
                <c:pt idx="3">
                  <c:v>-98.3</c:v>
                </c:pt>
                <c:pt idx="4">
                  <c:v>-97</c:v>
                </c:pt>
                <c:pt idx="5">
                  <c:v>-93.9</c:v>
                </c:pt>
                <c:pt idx="6">
                  <c:v>-90.80000000000001</c:v>
                </c:pt>
                <c:pt idx="7">
                  <c:v>-88.80000000000001</c:v>
                </c:pt>
                <c:pt idx="8">
                  <c:v>-85.80000000000001</c:v>
                </c:pt>
                <c:pt idx="9">
                  <c:v>-82.80000000000001</c:v>
                </c:pt>
                <c:pt idx="10">
                  <c:v>-79.80000000000001</c:v>
                </c:pt>
                <c:pt idx="11">
                  <c:v>-76.80000000000001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Summary!$F$11:$Q$11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Summary!$E$30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Summary!$F$30:$Q$30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  <c:pt idx="4">
                  <c:v>-104.6584988800466</c:v>
                </c:pt>
                <c:pt idx="5">
                  <c:v>-104.6584988800466</c:v>
                </c:pt>
                <c:pt idx="6">
                  <c:v>-104.6584988800466</c:v>
                </c:pt>
              </c:numCache>
            </c:numRef>
          </c:val>
          <c:smooth val="0"/>
        </c:ser>
        <c:axId val="51903886"/>
        <c:axId val="64481791"/>
      </c:lineChart>
      <c:catAx>
        <c:axId val="5190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81791"/>
        <c:crosses val="autoZero"/>
        <c:auto val="1"/>
        <c:lblOffset val="100"/>
        <c:noMultiLvlLbl val="0"/>
      </c:catAx>
      <c:valAx>
        <c:axId val="64481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9038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6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Contingency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55"/>
          <c:w val="0.93225"/>
          <c:h val="0.9025"/>
        </c:manualLayout>
      </c:layout>
      <c:areaChart>
        <c:grouping val="standard"/>
        <c:varyColors val="0"/>
        <c:ser>
          <c:idx val="1"/>
          <c:order val="1"/>
          <c:tx>
            <c:strRef>
              <c:f>Contingency!$C$20</c:f>
              <c:strCache>
                <c:ptCount val="1"/>
                <c:pt idx="0">
                  <c:v>Target Contingency Freebalance ($K)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/>
            </c:strRef>
          </c:cat>
          <c:val>
            <c:numRef>
              <c:f>Contingency!$D$20:$T$20</c:f>
              <c:numCache/>
            </c:numRef>
          </c:val>
        </c:ser>
        <c:axId val="43465208"/>
        <c:axId val="55642553"/>
      </c:areaChart>
      <c:barChart>
        <c:barDir val="col"/>
        <c:grouping val="clustered"/>
        <c:varyColors val="0"/>
        <c:ser>
          <c:idx val="0"/>
          <c:order val="0"/>
          <c:tx>
            <c:strRef>
              <c:f>Contingency!$C$13</c:f>
              <c:strCache>
                <c:ptCount val="1"/>
                <c:pt idx="0">
                  <c:v>FREE BALANCE ($K)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/>
            </c:strRef>
          </c:cat>
          <c:val>
            <c:numRef>
              <c:f>Contingency!$D$13:$T$13</c:f>
              <c:numCache/>
            </c:numRef>
          </c:val>
        </c:ser>
        <c:gapWidth val="20"/>
        <c:axId val="43465208"/>
        <c:axId val="55642553"/>
      </c:barChart>
      <c:lineChart>
        <c:grouping val="standard"/>
        <c:varyColors val="0"/>
        <c:ser>
          <c:idx val="2"/>
          <c:order val="2"/>
          <c:tx>
            <c:strRef>
              <c:f>Contingency!$C$16</c:f>
              <c:strCache>
                <c:ptCount val="1"/>
                <c:pt idx="0">
                  <c:v>FREE BALANCE (% of ETC)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/>
            </c:strRef>
          </c:cat>
          <c:val>
            <c:numRef>
              <c:f>Contingency!$D$16:$J$16</c:f>
              <c:numCache/>
            </c:numRef>
          </c:val>
          <c:smooth val="0"/>
        </c:ser>
        <c:ser>
          <c:idx val="3"/>
          <c:order val="3"/>
          <c:tx>
            <c:strRef>
              <c:f>Contingency!$C$17</c:f>
              <c:strCache>
                <c:ptCount val="1"/>
                <c:pt idx="0">
                  <c:v>Target Drawdown Rate (%)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/>
            </c:strRef>
          </c:cat>
          <c:val>
            <c:numRef>
              <c:f>Contingency!$D$17:$T$17</c:f>
              <c:numCache/>
            </c:numRef>
          </c:val>
          <c:smooth val="0"/>
        </c:ser>
        <c:axId val="31020930"/>
        <c:axId val="10752915"/>
      </c:lineChart>
      <c:catAx>
        <c:axId val="4346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42553"/>
        <c:crosses val="autoZero"/>
        <c:auto val="1"/>
        <c:lblOffset val="100"/>
        <c:noMultiLvlLbl val="0"/>
      </c:catAx>
      <c:valAx>
        <c:axId val="556425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Free Balance 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465208"/>
        <c:crossesAt val="1"/>
        <c:crossBetween val="between"/>
        <c:dispUnits/>
        <c:majorUnit val="1000"/>
      </c:valAx>
      <c:catAx>
        <c:axId val="31020930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2915"/>
        <c:crosses val="autoZero"/>
        <c:auto val="1"/>
        <c:lblOffset val="100"/>
        <c:noMultiLvlLbl val="0"/>
      </c:catAx>
      <c:valAx>
        <c:axId val="10752915"/>
        <c:scaling>
          <c:orientation val="minMax"/>
          <c:max val="0.3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FreeBallance % of ETC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020930"/>
        <c:crosses val="max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25"/>
          <c:y val="0.12125"/>
          <c:w val="0.3285"/>
          <c:h val="0.176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Continegncy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3"/>
          <c:w val="0.8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Contingency!$C$25</c:f>
              <c:strCache>
                <c:ptCount val="1"/>
                <c:pt idx="0">
                  <c:v>FREE BALANCE (months)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/>
            </c:strRef>
          </c:cat>
          <c:val>
            <c:numRef>
              <c:f>Contingency!$D$25:$J$25</c:f>
              <c:numCache/>
            </c:numRef>
          </c:val>
          <c:smooth val="0"/>
        </c:ser>
        <c:ser>
          <c:idx val="3"/>
          <c:order val="1"/>
          <c:tx>
            <c:strRef>
              <c:f>Contingency!$C$26</c:f>
              <c:strCache>
                <c:ptCount val="1"/>
                <c:pt idx="0">
                  <c:v>Target (months)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/>
            </c:strRef>
          </c:cat>
          <c:val>
            <c:numRef>
              <c:f>Contingency!$D$26:$T$26</c:f>
              <c:numCache/>
            </c:numRef>
          </c:val>
          <c:smooth val="0"/>
        </c:ser>
        <c:marker val="1"/>
        <c:axId val="29667372"/>
        <c:axId val="65679757"/>
      </c:lineChart>
      <c:catAx>
        <c:axId val="2966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79757"/>
        <c:crosses val="autoZero"/>
        <c:auto val="1"/>
        <c:lblOffset val="100"/>
        <c:noMultiLvlLbl val="0"/>
      </c:catAx>
      <c:valAx>
        <c:axId val="6567975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Schedule Contingency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737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54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7739.41</c:v>
                </c:pt>
                <c:pt idx="6">
                  <c:v>8924.880000000001</c:v>
                </c:pt>
                <c:pt idx="7">
                  <c:v>9857.77</c:v>
                </c:pt>
                <c:pt idx="8">
                  <c:v>11238.150000000001</c:v>
                </c:pt>
                <c:pt idx="9">
                  <c:v>12405.960000000001</c:v>
                </c:pt>
                <c:pt idx="10">
                  <c:v>13602.02</c:v>
                </c:pt>
                <c:pt idx="11">
                  <c:v>14728.460000000001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</c:numCache>
            </c:numRef>
          </c:val>
          <c:smooth val="0"/>
        </c:ser>
        <c:axId val="57337724"/>
        <c:axId val="46277469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Summary!$F$37:$L$37</c:f>
              <c:numCache>
                <c:ptCount val="7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Summary!$F$38:$L$38</c:f>
              <c:numCache>
                <c:ptCount val="7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0.9108636317238652</c:v>
                </c:pt>
                <c:pt idx="6">
                  <c:v>0.9063397588886348</c:v>
                </c:pt>
              </c:numCache>
            </c:numRef>
          </c:val>
          <c:smooth val="0"/>
        </c:ser>
        <c:axId val="13844038"/>
        <c:axId val="57487479"/>
      </c:lineChart>
      <c:catAx>
        <c:axId val="5733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77469"/>
        <c:crosses val="autoZero"/>
        <c:auto val="1"/>
        <c:lblOffset val="100"/>
        <c:noMultiLvlLbl val="0"/>
      </c:catAx>
      <c:valAx>
        <c:axId val="46277469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337724"/>
        <c:crossesAt val="1"/>
        <c:crossBetween val="midCat"/>
        <c:dispUnits/>
        <c:majorUnit val="2000"/>
      </c:valAx>
      <c:catAx>
        <c:axId val="13844038"/>
        <c:scaling>
          <c:orientation val="minMax"/>
        </c:scaling>
        <c:axPos val="b"/>
        <c:delete val="1"/>
        <c:majorTickMark val="in"/>
        <c:minorTickMark val="none"/>
        <c:tickLblPos val="nextTo"/>
        <c:crossAx val="57487479"/>
        <c:crosses val="autoZero"/>
        <c:auto val="1"/>
        <c:lblOffset val="100"/>
        <c:noMultiLvlLbl val="0"/>
      </c:catAx>
      <c:valAx>
        <c:axId val="57487479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3844038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3445"/>
          <c:w val="0.245"/>
          <c:h val="0.37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65"/>
          <c:w val="0.958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Summary!$F$17:$L$17</c:f>
              <c:numCache>
                <c:ptCount val="7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Summary!$F$18:$L$18</c:f>
              <c:numCache>
                <c:ptCount val="7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</c:numCache>
            </c:numRef>
          </c:val>
          <c:smooth val="0"/>
        </c:ser>
        <c:axId val="47625264"/>
        <c:axId val="25974193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Summary!$F$19:$L$19</c:f>
              <c:numCache>
                <c:ptCount val="7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Summary!$F$20:$L$20</c:f>
              <c:numCache>
                <c:ptCount val="7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</c:numCache>
            </c:numRef>
          </c:val>
          <c:smooth val="0"/>
        </c:ser>
        <c:axId val="32441146"/>
        <c:axId val="23534859"/>
      </c:lineChart>
      <c:catAx>
        <c:axId val="4762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74193"/>
        <c:crosses val="autoZero"/>
        <c:auto val="1"/>
        <c:lblOffset val="100"/>
        <c:noMultiLvlLbl val="0"/>
      </c:catAx>
      <c:valAx>
        <c:axId val="2597419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625264"/>
        <c:crossesAt val="1"/>
        <c:crossBetween val="midCat"/>
        <c:dispUnits/>
        <c:majorUnit val="1000"/>
      </c:valAx>
      <c:catAx>
        <c:axId val="32441146"/>
        <c:scaling>
          <c:orientation val="minMax"/>
        </c:scaling>
        <c:axPos val="b"/>
        <c:delete val="1"/>
        <c:majorTickMark val="in"/>
        <c:minorTickMark val="none"/>
        <c:tickLblPos val="nextTo"/>
        <c:crossAx val="23534859"/>
        <c:crosses val="autoZero"/>
        <c:auto val="1"/>
        <c:lblOffset val="100"/>
        <c:noMultiLvlLbl val="0"/>
      </c:catAx>
      <c:valAx>
        <c:axId val="23534859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24411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75"/>
          <c:y val="0.38825"/>
          <c:w val="0.30875"/>
          <c:h val="0.30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Summary!$F$11:$L$11</c:f>
              <c:numCache>
                <c:ptCount val="7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Summary!$F$12:$L$12</c:f>
              <c:numCache>
                <c:ptCount val="7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</c:numCache>
            </c:numRef>
          </c:val>
          <c:smooth val="0"/>
        </c:ser>
        <c:axId val="10487140"/>
        <c:axId val="27275397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Summary!$F$13:$L$13</c:f>
              <c:numCache>
                <c:ptCount val="7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Summary!$F$14:$L$14</c:f>
              <c:numCache>
                <c:ptCount val="7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0.9995191082802549</c:v>
                </c:pt>
                <c:pt idx="6">
                  <c:v>0.9999033112582784</c:v>
                </c:pt>
              </c:numCache>
            </c:numRef>
          </c:val>
          <c:smooth val="0"/>
        </c:ser>
        <c:axId val="44151982"/>
        <c:axId val="61823519"/>
      </c:lineChart>
      <c:catAx>
        <c:axId val="104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75397"/>
        <c:crosses val="autoZero"/>
        <c:auto val="1"/>
        <c:lblOffset val="100"/>
        <c:noMultiLvlLbl val="0"/>
      </c:catAx>
      <c:valAx>
        <c:axId val="27275397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87140"/>
        <c:crossesAt val="1"/>
        <c:crossBetween val="midCat"/>
        <c:dispUnits/>
        <c:majorUnit val="200"/>
      </c:valAx>
      <c:catAx>
        <c:axId val="44151982"/>
        <c:scaling>
          <c:orientation val="minMax"/>
        </c:scaling>
        <c:axPos val="b"/>
        <c:delete val="1"/>
        <c:majorTickMark val="in"/>
        <c:minorTickMark val="none"/>
        <c:tickLblPos val="nextTo"/>
        <c:crossAx val="61823519"/>
        <c:crossesAt val="0.1"/>
        <c:auto val="1"/>
        <c:lblOffset val="100"/>
        <c:noMultiLvlLbl val="0"/>
      </c:catAx>
      <c:valAx>
        <c:axId val="61823519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4151982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3445"/>
          <c:w val="0.2275"/>
          <c:h val="0.37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Design 
Jobs; 1416/1421/1429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Summary!$F$40:$Q$40</c:f>
              <c:numCache>
                <c:ptCount val="12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  <c:pt idx="10">
                  <c:v>1606</c:v>
                </c:pt>
                <c:pt idx="11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Summary!$F$41:$L$41</c:f>
              <c:numCache>
                <c:ptCount val="7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  <c:pt idx="6">
                  <c:v>1224.7874298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Summary!$F$42:$L$42</c:f>
              <c:numCache>
                <c:ptCount val="7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  <c:pt idx="6">
                  <c:v>1073.112803385195</c:v>
                </c:pt>
              </c:numCache>
            </c:numRef>
          </c:val>
          <c:smooth val="0"/>
        </c:ser>
        <c:axId val="19540760"/>
        <c:axId val="41649113"/>
      </c:lineChart>
      <c:lineChart>
        <c:grouping val="standard"/>
        <c:varyColors val="0"/>
        <c:ser>
          <c:idx val="3"/>
          <c:order val="3"/>
          <c:tx>
            <c:strRef>
              <c:f>Summary!$E$43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Summary!$F$43:$L$43</c:f>
              <c:numCache>
                <c:ptCount val="7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  <c:pt idx="6">
                  <c:v>1.1413408040015351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Summary!$E$44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Summary!$F$44:$L$44</c:f>
              <c:numCache>
                <c:ptCount val="7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  <c:pt idx="6">
                  <c:v>0.8165249532</c:v>
                </c:pt>
              </c:numCache>
            </c:numRef>
          </c:val>
          <c:smooth val="0"/>
        </c:ser>
        <c:axId val="39297698"/>
        <c:axId val="18134963"/>
      </c:lineChart>
      <c:catAx>
        <c:axId val="1954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9113"/>
        <c:crosses val="autoZero"/>
        <c:auto val="1"/>
        <c:lblOffset val="100"/>
        <c:noMultiLvlLbl val="0"/>
      </c:catAx>
      <c:valAx>
        <c:axId val="41649113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40760"/>
        <c:crossesAt val="1"/>
        <c:crossBetween val="midCat"/>
        <c:dispUnits/>
      </c:valAx>
      <c:catAx>
        <c:axId val="39297698"/>
        <c:scaling>
          <c:orientation val="minMax"/>
        </c:scaling>
        <c:axPos val="b"/>
        <c:delete val="1"/>
        <c:majorTickMark val="in"/>
        <c:minorTickMark val="none"/>
        <c:tickLblPos val="nextTo"/>
        <c:crossAx val="18134963"/>
        <c:crosses val="autoZero"/>
        <c:auto val="1"/>
        <c:lblOffset val="100"/>
        <c:noMultiLvlLbl val="0"/>
      </c:catAx>
      <c:valAx>
        <c:axId val="18134963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39297698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25"/>
          <c:y val="0.55925"/>
          <c:w val="0.2455"/>
          <c:h val="0.237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1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Summary!$F$23:$L$23</c:f>
              <c:numCache>
                <c:ptCount val="7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Summary!$F$24:$L$24</c:f>
              <c:numCache>
                <c:ptCount val="7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</c:numCache>
            </c:numRef>
          </c:val>
          <c:smooth val="0"/>
        </c:ser>
        <c:axId val="28996940"/>
        <c:axId val="59645869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Summary!$F$25:$L$25</c:f>
              <c:numCache>
                <c:ptCount val="7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Summary!$F$26:$L$26</c:f>
              <c:numCache>
                <c:ptCount val="7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</c:numCache>
            </c:numRef>
          </c:val>
          <c:smooth val="0"/>
        </c:ser>
        <c:axId val="67050774"/>
        <c:axId val="66586055"/>
      </c:lineChart>
      <c:catAx>
        <c:axId val="2899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45869"/>
        <c:crosses val="autoZero"/>
        <c:auto val="1"/>
        <c:lblOffset val="100"/>
        <c:noMultiLvlLbl val="0"/>
      </c:catAx>
      <c:valAx>
        <c:axId val="5964586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996940"/>
        <c:crossesAt val="1"/>
        <c:crossBetween val="midCat"/>
        <c:dispUnits/>
        <c:majorUnit val="1000"/>
      </c:valAx>
      <c:catAx>
        <c:axId val="67050774"/>
        <c:scaling>
          <c:orientation val="minMax"/>
        </c:scaling>
        <c:axPos val="b"/>
        <c:delete val="1"/>
        <c:majorTickMark val="in"/>
        <c:minorTickMark val="none"/>
        <c:tickLblPos val="nextTo"/>
        <c:crossAx val="66586055"/>
        <c:crosses val="autoZero"/>
        <c:auto val="1"/>
        <c:lblOffset val="100"/>
        <c:noMultiLvlLbl val="0"/>
      </c:catAx>
      <c:valAx>
        <c:axId val="66586055"/>
        <c:scaling>
          <c:orientation val="minMax"/>
          <c:max val="1.4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670507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5"/>
          <c:y val="0.37875"/>
          <c:w val="0.32725"/>
          <c:h val="0.34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0.6165</cdr:y>
    </cdr:from>
    <cdr:to>
      <cdr:x>0.89325</cdr:x>
      <cdr:y>0.6165</cdr:y>
    </cdr:to>
    <cdr:sp>
      <cdr:nvSpPr>
        <cdr:cNvPr id="1" name="Line 1"/>
        <cdr:cNvSpPr>
          <a:spLocks/>
        </cdr:cNvSpPr>
      </cdr:nvSpPr>
      <cdr:spPr>
        <a:xfrm flipV="1">
          <a:off x="371475" y="1628775"/>
          <a:ext cx="26098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0.46125</cdr:y>
    </cdr:from>
    <cdr:to>
      <cdr:x>0.8735</cdr:x>
      <cdr:y>0.46125</cdr:y>
    </cdr:to>
    <cdr:sp>
      <cdr:nvSpPr>
        <cdr:cNvPr id="1" name="Line 1"/>
        <cdr:cNvSpPr>
          <a:spLocks/>
        </cdr:cNvSpPr>
      </cdr:nvSpPr>
      <cdr:spPr>
        <a:xfrm>
          <a:off x="485775" y="1219200"/>
          <a:ext cx="23717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0.4595</cdr:y>
    </cdr:from>
    <cdr:to>
      <cdr:x>0.8915</cdr:x>
      <cdr:y>0.46</cdr:y>
    </cdr:to>
    <cdr:sp>
      <cdr:nvSpPr>
        <cdr:cNvPr id="1" name="Line 1"/>
        <cdr:cNvSpPr>
          <a:spLocks/>
        </cdr:cNvSpPr>
      </cdr:nvSpPr>
      <cdr:spPr>
        <a:xfrm>
          <a:off x="638175" y="1219200"/>
          <a:ext cx="23145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0.493</cdr:y>
    </cdr:from>
    <cdr:to>
      <cdr:x>0.885</cdr:x>
      <cdr:y>0.493</cdr:y>
    </cdr:to>
    <cdr:sp>
      <cdr:nvSpPr>
        <cdr:cNvPr id="1" name="Line 1"/>
        <cdr:cNvSpPr>
          <a:spLocks/>
        </cdr:cNvSpPr>
      </cdr:nvSpPr>
      <cdr:spPr>
        <a:xfrm>
          <a:off x="495300" y="1304925"/>
          <a:ext cx="24098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0.51875</cdr:y>
    </cdr:from>
    <cdr:to>
      <cdr:x>0.8805</cdr:x>
      <cdr:y>0.51875</cdr:y>
    </cdr:to>
    <cdr:sp>
      <cdr:nvSpPr>
        <cdr:cNvPr id="1" name="Line 1"/>
        <cdr:cNvSpPr>
          <a:spLocks/>
        </cdr:cNvSpPr>
      </cdr:nvSpPr>
      <cdr:spPr>
        <a:xfrm>
          <a:off x="523875" y="1343025"/>
          <a:ext cx="23907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0.4685</cdr:y>
    </cdr:from>
    <cdr:to>
      <cdr:x>0.8545</cdr:x>
      <cdr:y>0.4685</cdr:y>
    </cdr:to>
    <cdr:sp>
      <cdr:nvSpPr>
        <cdr:cNvPr id="1" name="Line 1"/>
        <cdr:cNvSpPr>
          <a:spLocks/>
        </cdr:cNvSpPr>
      </cdr:nvSpPr>
      <cdr:spPr>
        <a:xfrm flipV="1">
          <a:off x="523875" y="1238250"/>
          <a:ext cx="22288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0.24975</cdr:x>
      <cdr:y>0.50825</cdr:y>
    </cdr:from>
    <cdr:to>
      <cdr:x>0.88575</cdr:x>
      <cdr:y>0.50825</cdr:y>
    </cdr:to>
    <cdr:sp>
      <cdr:nvSpPr>
        <cdr:cNvPr id="1" name="Line 1"/>
        <cdr:cNvSpPr>
          <a:spLocks/>
        </cdr:cNvSpPr>
      </cdr:nvSpPr>
      <cdr:spPr>
        <a:xfrm>
          <a:off x="838200" y="1343025"/>
          <a:ext cx="21526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0.40625</cdr:y>
    </cdr:from>
    <cdr:to>
      <cdr:x>0.88125</cdr:x>
      <cdr:y>0.40625</cdr:y>
    </cdr:to>
    <cdr:sp>
      <cdr:nvSpPr>
        <cdr:cNvPr id="1" name="Line 1"/>
        <cdr:cNvSpPr>
          <a:spLocks/>
        </cdr:cNvSpPr>
      </cdr:nvSpPr>
      <cdr:spPr>
        <a:xfrm flipV="1">
          <a:off x="514350" y="1066800"/>
          <a:ext cx="23336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0.32325</cdr:y>
    </cdr:from>
    <cdr:to>
      <cdr:x>0.88875</cdr:x>
      <cdr:y>0.324</cdr:y>
    </cdr:to>
    <cdr:sp>
      <cdr:nvSpPr>
        <cdr:cNvPr id="1" name="Line 1"/>
        <cdr:cNvSpPr>
          <a:spLocks/>
        </cdr:cNvSpPr>
      </cdr:nvSpPr>
      <cdr:spPr>
        <a:xfrm flipV="1">
          <a:off x="600075" y="857250"/>
          <a:ext cx="23336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0.42925</cdr:y>
    </cdr:from>
    <cdr:to>
      <cdr:x>0.8835</cdr:x>
      <cdr:y>0.42925</cdr:y>
    </cdr:to>
    <cdr:sp>
      <cdr:nvSpPr>
        <cdr:cNvPr id="1" name="Line 1"/>
        <cdr:cNvSpPr>
          <a:spLocks/>
        </cdr:cNvSpPr>
      </cdr:nvSpPr>
      <cdr:spPr>
        <a:xfrm>
          <a:off x="504825" y="1123950"/>
          <a:ext cx="23717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57150</xdr:rowOff>
    </xdr:from>
    <xdr:to>
      <xdr:col>10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324225" y="57150"/>
        <a:ext cx="3333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47625</xdr:rowOff>
    </xdr:from>
    <xdr:to>
      <xdr:col>5</xdr:col>
      <xdr:colOff>219075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66675" y="47625"/>
        <a:ext cx="3200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17</xdr:row>
      <xdr:rowOff>0</xdr:rowOff>
    </xdr:from>
    <xdr:to>
      <xdr:col>10</xdr:col>
      <xdr:colOff>561975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3333750" y="2752725"/>
        <a:ext cx="3324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5</xdr:col>
      <xdr:colOff>219075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38100" y="2762250"/>
        <a:ext cx="32289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0</xdr:row>
      <xdr:rowOff>47625</xdr:rowOff>
    </xdr:from>
    <xdr:to>
      <xdr:col>17</xdr:col>
      <xdr:colOff>333375</xdr:colOff>
      <xdr:row>16</xdr:row>
      <xdr:rowOff>85725</xdr:rowOff>
    </xdr:to>
    <xdr:graphicFrame>
      <xdr:nvGraphicFramePr>
        <xdr:cNvPr id="5" name="Chart 7"/>
        <xdr:cNvGraphicFramePr/>
      </xdr:nvGraphicFramePr>
      <xdr:xfrm>
        <a:off x="7343775" y="47625"/>
        <a:ext cx="33528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16</xdr:row>
      <xdr:rowOff>152400</xdr:rowOff>
    </xdr:from>
    <xdr:to>
      <xdr:col>17</xdr:col>
      <xdr:colOff>323850</xdr:colOff>
      <xdr:row>33</xdr:row>
      <xdr:rowOff>85725</xdr:rowOff>
    </xdr:to>
    <xdr:graphicFrame>
      <xdr:nvGraphicFramePr>
        <xdr:cNvPr id="6" name="Chart 8"/>
        <xdr:cNvGraphicFramePr/>
      </xdr:nvGraphicFramePr>
      <xdr:xfrm>
        <a:off x="7362825" y="2743200"/>
        <a:ext cx="33242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314325</xdr:colOff>
      <xdr:row>0</xdr:row>
      <xdr:rowOff>38100</xdr:rowOff>
    </xdr:from>
    <xdr:to>
      <xdr:col>22</xdr:col>
      <xdr:colOff>533400</xdr:colOff>
      <xdr:row>16</xdr:row>
      <xdr:rowOff>76200</xdr:rowOff>
    </xdr:to>
    <xdr:graphicFrame>
      <xdr:nvGraphicFramePr>
        <xdr:cNvPr id="7" name="Chart 9"/>
        <xdr:cNvGraphicFramePr/>
      </xdr:nvGraphicFramePr>
      <xdr:xfrm>
        <a:off x="10677525" y="38100"/>
        <a:ext cx="32670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5</xdr:col>
      <xdr:colOff>323850</xdr:colOff>
      <xdr:row>68</xdr:row>
      <xdr:rowOff>104775</xdr:rowOff>
    </xdr:to>
    <xdr:graphicFrame>
      <xdr:nvGraphicFramePr>
        <xdr:cNvPr id="8" name="Chart 11"/>
        <xdr:cNvGraphicFramePr/>
      </xdr:nvGraphicFramePr>
      <xdr:xfrm>
        <a:off x="66675" y="8458200"/>
        <a:ext cx="33051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16</xdr:row>
      <xdr:rowOff>142875</xdr:rowOff>
    </xdr:from>
    <xdr:to>
      <xdr:col>22</xdr:col>
      <xdr:colOff>581025</xdr:colOff>
      <xdr:row>33</xdr:row>
      <xdr:rowOff>66675</xdr:rowOff>
    </xdr:to>
    <xdr:graphicFrame>
      <xdr:nvGraphicFramePr>
        <xdr:cNvPr id="9" name="Chart 12"/>
        <xdr:cNvGraphicFramePr/>
      </xdr:nvGraphicFramePr>
      <xdr:xfrm>
        <a:off x="10734675" y="2733675"/>
        <a:ext cx="325755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52</xdr:row>
      <xdr:rowOff>38100</xdr:rowOff>
    </xdr:from>
    <xdr:to>
      <xdr:col>10</xdr:col>
      <xdr:colOff>561975</xdr:colOff>
      <xdr:row>68</xdr:row>
      <xdr:rowOff>104775</xdr:rowOff>
    </xdr:to>
    <xdr:graphicFrame>
      <xdr:nvGraphicFramePr>
        <xdr:cNvPr id="10" name="Chart 13"/>
        <xdr:cNvGraphicFramePr/>
      </xdr:nvGraphicFramePr>
      <xdr:xfrm>
        <a:off x="3381375" y="8458200"/>
        <a:ext cx="327660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295275</xdr:colOff>
      <xdr:row>52</xdr:row>
      <xdr:rowOff>28575</xdr:rowOff>
    </xdr:to>
    <xdr:graphicFrame>
      <xdr:nvGraphicFramePr>
        <xdr:cNvPr id="11" name="Chart 14"/>
        <xdr:cNvGraphicFramePr/>
      </xdr:nvGraphicFramePr>
      <xdr:xfrm>
        <a:off x="19050" y="5781675"/>
        <a:ext cx="33242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35</xdr:row>
      <xdr:rowOff>114300</xdr:rowOff>
    </xdr:from>
    <xdr:to>
      <xdr:col>10</xdr:col>
      <xdr:colOff>542925</xdr:colOff>
      <xdr:row>52</xdr:row>
      <xdr:rowOff>9525</xdr:rowOff>
    </xdr:to>
    <xdr:graphicFrame>
      <xdr:nvGraphicFramePr>
        <xdr:cNvPr id="12" name="Chart 15"/>
        <xdr:cNvGraphicFramePr/>
      </xdr:nvGraphicFramePr>
      <xdr:xfrm>
        <a:off x="3352800" y="5781675"/>
        <a:ext cx="328612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114300</xdr:colOff>
      <xdr:row>51</xdr:row>
      <xdr:rowOff>152400</xdr:rowOff>
    </xdr:from>
    <xdr:to>
      <xdr:col>17</xdr:col>
      <xdr:colOff>381000</xdr:colOff>
      <xdr:row>68</xdr:row>
      <xdr:rowOff>0</xdr:rowOff>
    </xdr:to>
    <xdr:graphicFrame>
      <xdr:nvGraphicFramePr>
        <xdr:cNvPr id="13" name="Chart 16"/>
        <xdr:cNvGraphicFramePr/>
      </xdr:nvGraphicFramePr>
      <xdr:xfrm>
        <a:off x="7429500" y="8410575"/>
        <a:ext cx="33147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95250</xdr:colOff>
      <xdr:row>69</xdr:row>
      <xdr:rowOff>66675</xdr:rowOff>
    </xdr:from>
    <xdr:to>
      <xdr:col>5</xdr:col>
      <xdr:colOff>276225</xdr:colOff>
      <xdr:row>85</xdr:row>
      <xdr:rowOff>133350</xdr:rowOff>
    </xdr:to>
    <xdr:graphicFrame>
      <xdr:nvGraphicFramePr>
        <xdr:cNvPr id="14" name="Chart 18"/>
        <xdr:cNvGraphicFramePr/>
      </xdr:nvGraphicFramePr>
      <xdr:xfrm>
        <a:off x="95250" y="11239500"/>
        <a:ext cx="322897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504825</xdr:colOff>
      <xdr:row>63</xdr:row>
      <xdr:rowOff>9525</xdr:rowOff>
    </xdr:from>
    <xdr:to>
      <xdr:col>35</xdr:col>
      <xdr:colOff>228600</xdr:colOff>
      <xdr:row>79</xdr:row>
      <xdr:rowOff>66675</xdr:rowOff>
    </xdr:to>
    <xdr:graphicFrame>
      <xdr:nvGraphicFramePr>
        <xdr:cNvPr id="15" name="Chart 19"/>
        <xdr:cNvGraphicFramePr/>
      </xdr:nvGraphicFramePr>
      <xdr:xfrm>
        <a:off x="18183225" y="10210800"/>
        <a:ext cx="3381375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409575</xdr:colOff>
      <xdr:row>51</xdr:row>
      <xdr:rowOff>123825</xdr:rowOff>
    </xdr:from>
    <xdr:to>
      <xdr:col>22</xdr:col>
      <xdr:colOff>600075</xdr:colOff>
      <xdr:row>68</xdr:row>
      <xdr:rowOff>0</xdr:rowOff>
    </xdr:to>
    <xdr:graphicFrame>
      <xdr:nvGraphicFramePr>
        <xdr:cNvPr id="16" name="Chart 20"/>
        <xdr:cNvGraphicFramePr/>
      </xdr:nvGraphicFramePr>
      <xdr:xfrm>
        <a:off x="10772775" y="8382000"/>
        <a:ext cx="32385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114300</xdr:colOff>
      <xdr:row>35</xdr:row>
      <xdr:rowOff>76200</xdr:rowOff>
    </xdr:from>
    <xdr:to>
      <xdr:col>17</xdr:col>
      <xdr:colOff>371475</xdr:colOff>
      <xdr:row>51</xdr:row>
      <xdr:rowOff>142875</xdr:rowOff>
    </xdr:to>
    <xdr:graphicFrame>
      <xdr:nvGraphicFramePr>
        <xdr:cNvPr id="17" name="Chart 21"/>
        <xdr:cNvGraphicFramePr/>
      </xdr:nvGraphicFramePr>
      <xdr:xfrm>
        <a:off x="7429500" y="5743575"/>
        <a:ext cx="3305175" cy="2657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35</xdr:row>
      <xdr:rowOff>66675</xdr:rowOff>
    </xdr:from>
    <xdr:to>
      <xdr:col>22</xdr:col>
      <xdr:colOff>590550</xdr:colOff>
      <xdr:row>51</xdr:row>
      <xdr:rowOff>114300</xdr:rowOff>
    </xdr:to>
    <xdr:graphicFrame>
      <xdr:nvGraphicFramePr>
        <xdr:cNvPr id="18" name="Chart 22"/>
        <xdr:cNvGraphicFramePr/>
      </xdr:nvGraphicFramePr>
      <xdr:xfrm>
        <a:off x="10744200" y="5734050"/>
        <a:ext cx="325755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0.64175</cdr:y>
    </cdr:from>
    <cdr:to>
      <cdr:x>0.88425</cdr:x>
      <cdr:y>0.6425</cdr:y>
    </cdr:to>
    <cdr:sp>
      <cdr:nvSpPr>
        <cdr:cNvPr id="1" name="Line 1"/>
        <cdr:cNvSpPr>
          <a:spLocks/>
        </cdr:cNvSpPr>
      </cdr:nvSpPr>
      <cdr:spPr>
        <a:xfrm>
          <a:off x="514350" y="1704975"/>
          <a:ext cx="23050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161925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819900" y="27241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78</xdr:row>
      <xdr:rowOff>0</xdr:rowOff>
    </xdr:from>
    <xdr:to>
      <xdr:col>78</xdr:col>
      <xdr:colOff>447675</xdr:colOff>
      <xdr:row>78</xdr:row>
      <xdr:rowOff>0</xdr:rowOff>
    </xdr:to>
    <xdr:graphicFrame>
      <xdr:nvGraphicFramePr>
        <xdr:cNvPr id="2" name="Chart 397"/>
        <xdr:cNvGraphicFramePr/>
      </xdr:nvGraphicFramePr>
      <xdr:xfrm>
        <a:off x="28822650" y="13011150"/>
        <a:ext cx="1301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1743075</xdr:colOff>
      <xdr:row>3</xdr:row>
      <xdr:rowOff>9525</xdr:rowOff>
    </xdr:from>
    <xdr:to>
      <xdr:col>10</xdr:col>
      <xdr:colOff>1990725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610600" y="723900"/>
          <a:ext cx="247650" cy="268605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1743075</xdr:colOff>
      <xdr:row>24</xdr:row>
      <xdr:rowOff>9525</xdr:rowOff>
    </xdr:from>
    <xdr:to>
      <xdr:col>10</xdr:col>
      <xdr:colOff>1990725</xdr:colOff>
      <xdr:row>30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610600" y="5162550"/>
          <a:ext cx="247650" cy="160020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0</xdr:colOff>
      <xdr:row>15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27813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51</xdr:col>
      <xdr:colOff>85725</xdr:colOff>
      <xdr:row>80</xdr:row>
      <xdr:rowOff>0</xdr:rowOff>
    </xdr:from>
    <xdr:to>
      <xdr:col>69</xdr:col>
      <xdr:colOff>466725</xdr:colOff>
      <xdr:row>80</xdr:row>
      <xdr:rowOff>0</xdr:rowOff>
    </xdr:to>
    <xdr:graphicFrame>
      <xdr:nvGraphicFramePr>
        <xdr:cNvPr id="2" name="Chart 4"/>
        <xdr:cNvGraphicFramePr/>
      </xdr:nvGraphicFramePr>
      <xdr:xfrm>
        <a:off x="9953625" y="13430250"/>
        <a:ext cx="104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0.44575</cdr:y>
    </cdr:from>
    <cdr:to>
      <cdr:x>0.899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971550"/>
          <a:ext cx="2419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=5/23/2008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0.24175</cdr:x>
      <cdr:y>0.34075</cdr:y>
    </cdr:from>
    <cdr:to>
      <cdr:x>0.93175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72390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FDR Forecast Date =12/7/2007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0.22525</cdr:x>
      <cdr:y>0.26025</cdr:y>
    </cdr:from>
    <cdr:to>
      <cdr:x>1</cdr:x>
      <cdr:y>0.43875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409575"/>
          <a:ext cx="2028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FDR Forecast Date =6/4/2008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0.31075</cdr:y>
    </cdr:from>
    <cdr:to>
      <cdr:x>0.996</cdr:x>
      <cdr:y>0.4925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819150"/>
          <a:ext cx="2781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=11/27/2007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9</xdr:row>
      <xdr:rowOff>9525</xdr:rowOff>
    </xdr:from>
    <xdr:to>
      <xdr:col>15</xdr:col>
      <xdr:colOff>171450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0077450" y="1666875"/>
        <a:ext cx="3219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38100</xdr:rowOff>
    </xdr:from>
    <xdr:to>
      <xdr:col>15</xdr:col>
      <xdr:colOff>190500</xdr:colOff>
      <xdr:row>36</xdr:row>
      <xdr:rowOff>9525</xdr:rowOff>
    </xdr:to>
    <xdr:graphicFrame>
      <xdr:nvGraphicFramePr>
        <xdr:cNvPr id="2" name="Chart 3"/>
        <xdr:cNvGraphicFramePr/>
      </xdr:nvGraphicFramePr>
      <xdr:xfrm>
        <a:off x="10115550" y="3962400"/>
        <a:ext cx="32004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466725</xdr:colOff>
      <xdr:row>35</xdr:row>
      <xdr:rowOff>104775</xdr:rowOff>
    </xdr:from>
    <xdr:to>
      <xdr:col>42</xdr:col>
      <xdr:colOff>152400</xdr:colOff>
      <xdr:row>49</xdr:row>
      <xdr:rowOff>19050</xdr:rowOff>
    </xdr:to>
    <xdr:graphicFrame>
      <xdr:nvGraphicFramePr>
        <xdr:cNvPr id="3" name="Chart 4"/>
        <xdr:cNvGraphicFramePr/>
      </xdr:nvGraphicFramePr>
      <xdr:xfrm>
        <a:off x="26146125" y="6105525"/>
        <a:ext cx="33432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142875</xdr:colOff>
      <xdr:row>8</xdr:row>
      <xdr:rowOff>76200</xdr:rowOff>
    </xdr:from>
    <xdr:to>
      <xdr:col>42</xdr:col>
      <xdr:colOff>323850</xdr:colOff>
      <xdr:row>21</xdr:row>
      <xdr:rowOff>114300</xdr:rowOff>
    </xdr:to>
    <xdr:graphicFrame>
      <xdr:nvGraphicFramePr>
        <xdr:cNvPr id="4" name="Chart 5"/>
        <xdr:cNvGraphicFramePr/>
      </xdr:nvGraphicFramePr>
      <xdr:xfrm>
        <a:off x="26431875" y="1571625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371475</xdr:colOff>
      <xdr:row>9</xdr:row>
      <xdr:rowOff>38100</xdr:rowOff>
    </xdr:from>
    <xdr:to>
      <xdr:col>20</xdr:col>
      <xdr:colOff>523875</xdr:colOff>
      <xdr:row>22</xdr:row>
      <xdr:rowOff>66675</xdr:rowOff>
    </xdr:to>
    <xdr:graphicFrame>
      <xdr:nvGraphicFramePr>
        <xdr:cNvPr id="5" name="Chart 6"/>
        <xdr:cNvGraphicFramePr/>
      </xdr:nvGraphicFramePr>
      <xdr:xfrm>
        <a:off x="13496925" y="1695450"/>
        <a:ext cx="32004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123825</xdr:colOff>
      <xdr:row>23</xdr:row>
      <xdr:rowOff>66675</xdr:rowOff>
    </xdr:from>
    <xdr:to>
      <xdr:col>26</xdr:col>
      <xdr:colOff>228600</xdr:colOff>
      <xdr:row>36</xdr:row>
      <xdr:rowOff>28575</xdr:rowOff>
    </xdr:to>
    <xdr:graphicFrame>
      <xdr:nvGraphicFramePr>
        <xdr:cNvPr id="6" name="Chart 7"/>
        <xdr:cNvGraphicFramePr/>
      </xdr:nvGraphicFramePr>
      <xdr:xfrm>
        <a:off x="16906875" y="3990975"/>
        <a:ext cx="3152775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66675</xdr:colOff>
      <xdr:row>36</xdr:row>
      <xdr:rowOff>76200</xdr:rowOff>
    </xdr:from>
    <xdr:to>
      <xdr:col>15</xdr:col>
      <xdr:colOff>209550</xdr:colOff>
      <xdr:row>50</xdr:row>
      <xdr:rowOff>28575</xdr:rowOff>
    </xdr:to>
    <xdr:graphicFrame>
      <xdr:nvGraphicFramePr>
        <xdr:cNvPr id="7" name="Chart 8"/>
        <xdr:cNvGraphicFramePr/>
      </xdr:nvGraphicFramePr>
      <xdr:xfrm>
        <a:off x="10144125" y="6238875"/>
        <a:ext cx="3190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54</xdr:row>
      <xdr:rowOff>28575</xdr:rowOff>
    </xdr:from>
    <xdr:to>
      <xdr:col>3</xdr:col>
      <xdr:colOff>2000250</xdr:colOff>
      <xdr:row>64</xdr:row>
      <xdr:rowOff>19050</xdr:rowOff>
    </xdr:to>
    <xdr:graphicFrame>
      <xdr:nvGraphicFramePr>
        <xdr:cNvPr id="8" name="Chart 9"/>
        <xdr:cNvGraphicFramePr/>
      </xdr:nvGraphicFramePr>
      <xdr:xfrm>
        <a:off x="2952750" y="9105900"/>
        <a:ext cx="261937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409575</xdr:colOff>
      <xdr:row>36</xdr:row>
      <xdr:rowOff>66675</xdr:rowOff>
    </xdr:from>
    <xdr:to>
      <xdr:col>20</xdr:col>
      <xdr:colOff>495300</xdr:colOff>
      <xdr:row>49</xdr:row>
      <xdr:rowOff>95250</xdr:rowOff>
    </xdr:to>
    <xdr:graphicFrame>
      <xdr:nvGraphicFramePr>
        <xdr:cNvPr id="9" name="Chart 10"/>
        <xdr:cNvGraphicFramePr/>
      </xdr:nvGraphicFramePr>
      <xdr:xfrm>
        <a:off x="13535025" y="6229350"/>
        <a:ext cx="313372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66675</xdr:colOff>
      <xdr:row>36</xdr:row>
      <xdr:rowOff>47625</xdr:rowOff>
    </xdr:from>
    <xdr:to>
      <xdr:col>26</xdr:col>
      <xdr:colOff>209550</xdr:colOff>
      <xdr:row>49</xdr:row>
      <xdr:rowOff>95250</xdr:rowOff>
    </xdr:to>
    <xdr:graphicFrame>
      <xdr:nvGraphicFramePr>
        <xdr:cNvPr id="10" name="Chart 11"/>
        <xdr:cNvGraphicFramePr/>
      </xdr:nvGraphicFramePr>
      <xdr:xfrm>
        <a:off x="16849725" y="6210300"/>
        <a:ext cx="319087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600075</xdr:colOff>
      <xdr:row>45</xdr:row>
      <xdr:rowOff>47625</xdr:rowOff>
    </xdr:from>
    <xdr:to>
      <xdr:col>37</xdr:col>
      <xdr:colOff>190500</xdr:colOff>
      <xdr:row>55</xdr:row>
      <xdr:rowOff>38100</xdr:rowOff>
    </xdr:to>
    <xdr:graphicFrame>
      <xdr:nvGraphicFramePr>
        <xdr:cNvPr id="11" name="Chart 12"/>
        <xdr:cNvGraphicFramePr/>
      </xdr:nvGraphicFramePr>
      <xdr:xfrm>
        <a:off x="23841075" y="7667625"/>
        <a:ext cx="263842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142875</xdr:colOff>
      <xdr:row>9</xdr:row>
      <xdr:rowOff>47625</xdr:rowOff>
    </xdr:from>
    <xdr:to>
      <xdr:col>26</xdr:col>
      <xdr:colOff>295275</xdr:colOff>
      <xdr:row>22</xdr:row>
      <xdr:rowOff>95250</xdr:rowOff>
    </xdr:to>
    <xdr:graphicFrame>
      <xdr:nvGraphicFramePr>
        <xdr:cNvPr id="12" name="Chart 13"/>
        <xdr:cNvGraphicFramePr/>
      </xdr:nvGraphicFramePr>
      <xdr:xfrm>
        <a:off x="16925925" y="1704975"/>
        <a:ext cx="320040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419100</xdr:colOff>
      <xdr:row>21</xdr:row>
      <xdr:rowOff>142875</xdr:rowOff>
    </xdr:from>
    <xdr:to>
      <xdr:col>36</xdr:col>
      <xdr:colOff>152400</xdr:colOff>
      <xdr:row>37</xdr:row>
      <xdr:rowOff>76200</xdr:rowOff>
    </xdr:to>
    <xdr:graphicFrame>
      <xdr:nvGraphicFramePr>
        <xdr:cNvPr id="13" name="Chart 14"/>
        <xdr:cNvGraphicFramePr/>
      </xdr:nvGraphicFramePr>
      <xdr:xfrm>
        <a:off x="22440900" y="3743325"/>
        <a:ext cx="3390900" cy="2657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371475</xdr:colOff>
      <xdr:row>23</xdr:row>
      <xdr:rowOff>66675</xdr:rowOff>
    </xdr:from>
    <xdr:to>
      <xdr:col>20</xdr:col>
      <xdr:colOff>514350</xdr:colOff>
      <xdr:row>35</xdr:row>
      <xdr:rowOff>133350</xdr:rowOff>
    </xdr:to>
    <xdr:graphicFrame>
      <xdr:nvGraphicFramePr>
        <xdr:cNvPr id="14" name="Chart 15"/>
        <xdr:cNvGraphicFramePr/>
      </xdr:nvGraphicFramePr>
      <xdr:xfrm>
        <a:off x="13496925" y="3990975"/>
        <a:ext cx="3190875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447675</xdr:colOff>
      <xdr:row>24</xdr:row>
      <xdr:rowOff>142875</xdr:rowOff>
    </xdr:from>
    <xdr:to>
      <xdr:col>42</xdr:col>
      <xdr:colOff>171450</xdr:colOff>
      <xdr:row>37</xdr:row>
      <xdr:rowOff>95250</xdr:rowOff>
    </xdr:to>
    <xdr:graphicFrame>
      <xdr:nvGraphicFramePr>
        <xdr:cNvPr id="15" name="Chart 16"/>
        <xdr:cNvGraphicFramePr/>
      </xdr:nvGraphicFramePr>
      <xdr:xfrm>
        <a:off x="26127075" y="4229100"/>
        <a:ext cx="3381375" cy="2190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47625</xdr:rowOff>
    </xdr:from>
    <xdr:to>
      <xdr:col>6</xdr:col>
      <xdr:colOff>0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14925" y="4238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14</xdr:col>
      <xdr:colOff>0</xdr:colOff>
      <xdr:row>19</xdr:row>
      <xdr:rowOff>47625</xdr:rowOff>
    </xdr:from>
    <xdr:to>
      <xdr:col>14</xdr:col>
      <xdr:colOff>0</xdr:colOff>
      <xdr:row>19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77150" y="4238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0.39125</cdr:y>
    </cdr:from>
    <cdr:to>
      <cdr:x>0.88325</cdr:x>
      <cdr:y>0.392</cdr:y>
    </cdr:to>
    <cdr:sp>
      <cdr:nvSpPr>
        <cdr:cNvPr id="1" name="Line 1"/>
        <cdr:cNvSpPr>
          <a:spLocks/>
        </cdr:cNvSpPr>
      </cdr:nvSpPr>
      <cdr:spPr>
        <a:xfrm>
          <a:off x="504825" y="1047750"/>
          <a:ext cx="24288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0.34275</cdr:y>
    </cdr:from>
    <cdr:to>
      <cdr:x>0.9325</cdr:x>
      <cdr:y>0.34275</cdr:y>
    </cdr:to>
    <cdr:sp>
      <cdr:nvSpPr>
        <cdr:cNvPr id="1" name="Line 1"/>
        <cdr:cNvSpPr>
          <a:spLocks/>
        </cdr:cNvSpPr>
      </cdr:nvSpPr>
      <cdr:spPr>
        <a:xfrm flipH="1">
          <a:off x="400050" y="885825"/>
          <a:ext cx="54768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</xdr:col>
      <xdr:colOff>38100</xdr:colOff>
      <xdr:row>66</xdr:row>
      <xdr:rowOff>142875</xdr:rowOff>
    </xdr:to>
    <xdr:graphicFrame>
      <xdr:nvGraphicFramePr>
        <xdr:cNvPr id="1" name="Chart 5"/>
        <xdr:cNvGraphicFramePr/>
      </xdr:nvGraphicFramePr>
      <xdr:xfrm>
        <a:off x="0" y="8839200"/>
        <a:ext cx="6305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0.32525</cdr:y>
    </cdr:from>
    <cdr:to>
      <cdr:x>0.939</cdr:x>
      <cdr:y>0.32525</cdr:y>
    </cdr:to>
    <cdr:sp>
      <cdr:nvSpPr>
        <cdr:cNvPr id="1" name="Line 1"/>
        <cdr:cNvSpPr>
          <a:spLocks/>
        </cdr:cNvSpPr>
      </cdr:nvSpPr>
      <cdr:spPr>
        <a:xfrm flipV="1">
          <a:off x="438150" y="1076325"/>
          <a:ext cx="52768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45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124575"/>
          <a:ext cx="306705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66</xdr:row>
      <xdr:rowOff>0</xdr:rowOff>
    </xdr:to>
    <xdr:graphicFrame>
      <xdr:nvGraphicFramePr>
        <xdr:cNvPr id="2" name="Chart 6"/>
        <xdr:cNvGraphicFramePr/>
      </xdr:nvGraphicFramePr>
      <xdr:xfrm>
        <a:off x="0" y="8448675"/>
        <a:ext cx="6086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0.37375</cdr:y>
    </cdr:from>
    <cdr:to>
      <cdr:x>0.93575</cdr:x>
      <cdr:y>0.37375</cdr:y>
    </cdr:to>
    <cdr:sp>
      <cdr:nvSpPr>
        <cdr:cNvPr id="1" name="Line 1"/>
        <cdr:cNvSpPr>
          <a:spLocks/>
        </cdr:cNvSpPr>
      </cdr:nvSpPr>
      <cdr:spPr>
        <a:xfrm flipH="1">
          <a:off x="590550" y="952500"/>
          <a:ext cx="50958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0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7696200"/>
        <a:ext cx="6086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0.358</cdr:y>
    </cdr:from>
    <cdr:to>
      <cdr:x>0.9305</cdr:x>
      <cdr:y>0.358</cdr:y>
    </cdr:to>
    <cdr:sp>
      <cdr:nvSpPr>
        <cdr:cNvPr id="1" name="Line 1"/>
        <cdr:cNvSpPr>
          <a:spLocks/>
        </cdr:cNvSpPr>
      </cdr:nvSpPr>
      <cdr:spPr>
        <a:xfrm flipV="1">
          <a:off x="361950" y="981075"/>
          <a:ext cx="51816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3</xdr:col>
      <xdr:colOff>1276350</xdr:colOff>
      <xdr:row>64</xdr:row>
      <xdr:rowOff>161925</xdr:rowOff>
    </xdr:to>
    <xdr:graphicFrame>
      <xdr:nvGraphicFramePr>
        <xdr:cNvPr id="1" name="Chart 10"/>
        <xdr:cNvGraphicFramePr/>
      </xdr:nvGraphicFramePr>
      <xdr:xfrm>
        <a:off x="0" y="9163050"/>
        <a:ext cx="59626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14375" y="6677025"/>
          <a:ext cx="8467725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76200</xdr:rowOff>
    </xdr:to>
    <xdr:graphicFrame>
      <xdr:nvGraphicFramePr>
        <xdr:cNvPr id="2" name="Chart 3"/>
        <xdr:cNvGraphicFramePr/>
      </xdr:nvGraphicFramePr>
      <xdr:xfrm>
        <a:off x="0" y="9296400"/>
        <a:ext cx="5762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123825</xdr:rowOff>
    </xdr:from>
    <xdr:to>
      <xdr:col>10</xdr:col>
      <xdr:colOff>561975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95325" y="4743450"/>
        <a:ext cx="8553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55</xdr:row>
      <xdr:rowOff>38100</xdr:rowOff>
    </xdr:from>
    <xdr:to>
      <xdr:col>10</xdr:col>
      <xdr:colOff>552450</xdr:colOff>
      <xdr:row>82</xdr:row>
      <xdr:rowOff>85725</xdr:rowOff>
    </xdr:to>
    <xdr:graphicFrame>
      <xdr:nvGraphicFramePr>
        <xdr:cNvPr id="2" name="Chart 3"/>
        <xdr:cNvGraphicFramePr/>
      </xdr:nvGraphicFramePr>
      <xdr:xfrm>
        <a:off x="695325" y="9191625"/>
        <a:ext cx="85439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3" name="Line 5"/>
        <xdr:cNvSpPr>
          <a:spLocks/>
        </xdr:cNvSpPr>
      </xdr:nvSpPr>
      <xdr:spPr>
        <a:xfrm>
          <a:off x="180975" y="26384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104775</xdr:rowOff>
    </xdr:from>
    <xdr:to>
      <xdr:col>1</xdr:col>
      <xdr:colOff>504825</xdr:colOff>
      <xdr:row>12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23825" y="2143125"/>
          <a:ext cx="990600" cy="0"/>
        </a:xfrm>
        <a:prstGeom prst="line">
          <a:avLst/>
        </a:prstGeom>
        <a:noFill/>
        <a:ln w="412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95250</xdr:rowOff>
    </xdr:from>
    <xdr:to>
      <xdr:col>1</xdr:col>
      <xdr:colOff>561975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80975" y="2838450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95250</xdr:rowOff>
    </xdr:from>
    <xdr:to>
      <xdr:col>1</xdr:col>
      <xdr:colOff>495300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14300" y="4391025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76200</xdr:rowOff>
    </xdr:from>
    <xdr:to>
      <xdr:col>1</xdr:col>
      <xdr:colOff>514350</xdr:colOff>
      <xdr:row>24</xdr:row>
      <xdr:rowOff>76200</xdr:rowOff>
    </xdr:to>
    <xdr:sp>
      <xdr:nvSpPr>
        <xdr:cNvPr id="7" name="Line 9"/>
        <xdr:cNvSpPr>
          <a:spLocks/>
        </xdr:cNvSpPr>
      </xdr:nvSpPr>
      <xdr:spPr>
        <a:xfrm>
          <a:off x="133350" y="4181475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0.26</cdr:y>
    </cdr:from>
    <cdr:to>
      <cdr:x>0.87875</cdr:x>
      <cdr:y>0.26</cdr:y>
    </cdr:to>
    <cdr:sp>
      <cdr:nvSpPr>
        <cdr:cNvPr id="1" name="Line 1"/>
        <cdr:cNvSpPr>
          <a:spLocks/>
        </cdr:cNvSpPr>
      </cdr:nvSpPr>
      <cdr:spPr>
        <a:xfrm>
          <a:off x="504825" y="685800"/>
          <a:ext cx="23336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75</xdr:col>
      <xdr:colOff>47625</xdr:colOff>
      <xdr:row>65</xdr:row>
      <xdr:rowOff>152400</xdr:rowOff>
    </xdr:from>
    <xdr:to>
      <xdr:col>92</xdr:col>
      <xdr:colOff>9525</xdr:colOff>
      <xdr:row>86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82625" y="11115675"/>
          <a:ext cx="10325100" cy="3457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0.314</cdr:y>
    </cdr:from>
    <cdr:to>
      <cdr:x>0.8795</cdr:x>
      <cdr:y>0.314</cdr:y>
    </cdr:to>
    <cdr:sp>
      <cdr:nvSpPr>
        <cdr:cNvPr id="1" name="Line 1"/>
        <cdr:cNvSpPr>
          <a:spLocks/>
        </cdr:cNvSpPr>
      </cdr:nvSpPr>
      <cdr:spPr>
        <a:xfrm flipH="1">
          <a:off x="400050" y="819150"/>
          <a:ext cx="25431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0.3715</cdr:y>
    </cdr:from>
    <cdr:to>
      <cdr:x>0.883</cdr:x>
      <cdr:y>0.3715</cdr:y>
    </cdr:to>
    <cdr:sp>
      <cdr:nvSpPr>
        <cdr:cNvPr id="1" name="Line 1"/>
        <cdr:cNvSpPr>
          <a:spLocks/>
        </cdr:cNvSpPr>
      </cdr:nvSpPr>
      <cdr:spPr>
        <a:xfrm flipH="1">
          <a:off x="542925" y="990600"/>
          <a:ext cx="23907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0.3145</cdr:y>
    </cdr:from>
    <cdr:to>
      <cdr:x>0.88375</cdr:x>
      <cdr:y>0.3145</cdr:y>
    </cdr:to>
    <cdr:sp>
      <cdr:nvSpPr>
        <cdr:cNvPr id="1" name="Line 1"/>
        <cdr:cNvSpPr>
          <a:spLocks/>
        </cdr:cNvSpPr>
      </cdr:nvSpPr>
      <cdr:spPr>
        <a:xfrm flipV="1">
          <a:off x="400050" y="819150"/>
          <a:ext cx="24860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0.5</cdr:y>
    </cdr:from>
    <cdr:to>
      <cdr:x>0.88025</cdr:x>
      <cdr:y>0.5</cdr:y>
    </cdr:to>
    <cdr:sp>
      <cdr:nvSpPr>
        <cdr:cNvPr id="1" name="Line 1"/>
        <cdr:cNvSpPr>
          <a:spLocks/>
        </cdr:cNvSpPr>
      </cdr:nvSpPr>
      <cdr:spPr>
        <a:xfrm flipV="1">
          <a:off x="523875" y="1323975"/>
          <a:ext cx="23812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0.32625</cdr:y>
    </cdr:from>
    <cdr:to>
      <cdr:x>0.87725</cdr:x>
      <cdr:y>0.32625</cdr:y>
    </cdr:to>
    <cdr:sp>
      <cdr:nvSpPr>
        <cdr:cNvPr id="1" name="Line 1"/>
        <cdr:cNvSpPr>
          <a:spLocks/>
        </cdr:cNvSpPr>
      </cdr:nvSpPr>
      <cdr:spPr>
        <a:xfrm flipV="1">
          <a:off x="361950" y="866775"/>
          <a:ext cx="249555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ables/table1.xml><?xml version="1.0" encoding="utf-8"?>
<table xmlns="http://schemas.openxmlformats.org/spreadsheetml/2006/main" id="4" name="List1" displayName="List1" ref="A4:R128" insertRow="1" totalsRowShown="0">
  <autoFilter ref="A4:R128"/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9">
      <selection activeCell="X26" sqref="X26"/>
    </sheetView>
  </sheetViews>
  <sheetFormatPr defaultColWidth="9.140625" defaultRowHeight="12.75" customHeight="1"/>
  <sheetData>
    <row r="1" spans="1:23" ht="12.75" customHeight="1">
      <c r="A1" s="985"/>
      <c r="B1" s="986"/>
      <c r="C1" s="986"/>
      <c r="D1" s="986"/>
      <c r="E1" s="986"/>
      <c r="F1" s="986"/>
      <c r="G1" s="986"/>
      <c r="H1" s="986"/>
      <c r="I1" s="986"/>
      <c r="J1" s="986"/>
      <c r="K1" s="987"/>
      <c r="M1" s="985"/>
      <c r="N1" s="986"/>
      <c r="O1" s="986"/>
      <c r="P1" s="986"/>
      <c r="Q1" s="986"/>
      <c r="R1" s="986"/>
      <c r="S1" s="986"/>
      <c r="T1" s="986"/>
      <c r="U1" s="986"/>
      <c r="V1" s="986"/>
      <c r="W1" s="987"/>
    </row>
    <row r="2" spans="1:23" ht="12.75" customHeight="1">
      <c r="A2" s="988"/>
      <c r="B2" s="351"/>
      <c r="C2" s="351"/>
      <c r="D2" s="351"/>
      <c r="E2" s="351"/>
      <c r="F2" s="351"/>
      <c r="G2" s="351"/>
      <c r="H2" s="351"/>
      <c r="I2" s="351"/>
      <c r="J2" s="351"/>
      <c r="K2" s="989"/>
      <c r="M2" s="988"/>
      <c r="N2" s="351"/>
      <c r="O2" s="351"/>
      <c r="P2" s="351"/>
      <c r="Q2" s="351"/>
      <c r="R2" s="351"/>
      <c r="S2" s="351"/>
      <c r="T2" s="351"/>
      <c r="U2" s="351"/>
      <c r="V2" s="351"/>
      <c r="W2" s="989"/>
    </row>
    <row r="3" spans="1:23" ht="12.75" customHeight="1">
      <c r="A3" s="988"/>
      <c r="B3" s="351"/>
      <c r="C3" s="351"/>
      <c r="D3" s="351"/>
      <c r="E3" s="351"/>
      <c r="F3" s="351"/>
      <c r="G3" s="351"/>
      <c r="H3" s="351"/>
      <c r="I3" s="351"/>
      <c r="J3" s="351"/>
      <c r="K3" s="989"/>
      <c r="M3" s="988"/>
      <c r="N3" s="351"/>
      <c r="O3" s="351"/>
      <c r="P3" s="351"/>
      <c r="Q3" s="351"/>
      <c r="R3" s="351"/>
      <c r="S3" s="351"/>
      <c r="T3" s="351"/>
      <c r="U3" s="351"/>
      <c r="V3" s="351"/>
      <c r="W3" s="989"/>
    </row>
    <row r="4" spans="1:23" ht="12.75" customHeight="1">
      <c r="A4" s="988"/>
      <c r="B4" s="351"/>
      <c r="C4" s="351"/>
      <c r="D4" s="351"/>
      <c r="E4" s="351"/>
      <c r="F4" s="351"/>
      <c r="G4" s="351"/>
      <c r="H4" s="351"/>
      <c r="I4" s="351"/>
      <c r="J4" s="351"/>
      <c r="K4" s="989"/>
      <c r="M4" s="988"/>
      <c r="N4" s="351"/>
      <c r="O4" s="351"/>
      <c r="P4" s="351"/>
      <c r="Q4" s="351"/>
      <c r="R4" s="351"/>
      <c r="S4" s="351"/>
      <c r="T4" s="351"/>
      <c r="U4" s="351"/>
      <c r="V4" s="351"/>
      <c r="W4" s="989"/>
    </row>
    <row r="5" spans="1:23" ht="12.75" customHeight="1">
      <c r="A5" s="988"/>
      <c r="B5" s="351"/>
      <c r="C5" s="351"/>
      <c r="D5" s="351"/>
      <c r="E5" s="351"/>
      <c r="F5" s="351"/>
      <c r="G5" s="351"/>
      <c r="H5" s="351"/>
      <c r="I5" s="351"/>
      <c r="J5" s="351"/>
      <c r="K5" s="989"/>
      <c r="M5" s="988"/>
      <c r="N5" s="351"/>
      <c r="O5" s="351"/>
      <c r="P5" s="351"/>
      <c r="Q5" s="351"/>
      <c r="R5" s="351"/>
      <c r="S5" s="351"/>
      <c r="T5" s="351"/>
      <c r="U5" s="351"/>
      <c r="V5" s="351"/>
      <c r="W5" s="989"/>
    </row>
    <row r="6" spans="1:23" ht="12.75" customHeight="1">
      <c r="A6" s="988"/>
      <c r="B6" s="351"/>
      <c r="C6" s="351"/>
      <c r="D6" s="351"/>
      <c r="E6" s="351"/>
      <c r="F6" s="351"/>
      <c r="G6" s="351"/>
      <c r="H6" s="351"/>
      <c r="I6" s="351"/>
      <c r="J6" s="351"/>
      <c r="K6" s="989"/>
      <c r="M6" s="988"/>
      <c r="N6" s="351"/>
      <c r="O6" s="351"/>
      <c r="P6" s="351"/>
      <c r="Q6" s="351"/>
      <c r="R6" s="351"/>
      <c r="S6" s="351"/>
      <c r="T6" s="351"/>
      <c r="U6" s="351"/>
      <c r="V6" s="351"/>
      <c r="W6" s="989"/>
    </row>
    <row r="7" spans="1:23" ht="12.75" customHeight="1">
      <c r="A7" s="988"/>
      <c r="B7" s="351"/>
      <c r="C7" s="351"/>
      <c r="D7" s="351"/>
      <c r="E7" s="351"/>
      <c r="F7" s="351"/>
      <c r="G7" s="351"/>
      <c r="H7" s="351"/>
      <c r="I7" s="351"/>
      <c r="J7" s="351"/>
      <c r="K7" s="989"/>
      <c r="M7" s="988"/>
      <c r="N7" s="351"/>
      <c r="O7" s="351"/>
      <c r="P7" s="351"/>
      <c r="Q7" s="351"/>
      <c r="R7" s="351"/>
      <c r="S7" s="351"/>
      <c r="T7" s="351"/>
      <c r="U7" s="351"/>
      <c r="V7" s="351"/>
      <c r="W7" s="989"/>
    </row>
    <row r="8" spans="1:23" ht="12.75" customHeight="1">
      <c r="A8" s="988"/>
      <c r="B8" s="351"/>
      <c r="C8" s="351"/>
      <c r="D8" s="351"/>
      <c r="E8" s="351"/>
      <c r="F8" s="351"/>
      <c r="G8" s="351"/>
      <c r="H8" s="351"/>
      <c r="I8" s="351"/>
      <c r="J8" s="351"/>
      <c r="K8" s="989"/>
      <c r="M8" s="988"/>
      <c r="N8" s="351"/>
      <c r="O8" s="351"/>
      <c r="P8" s="351"/>
      <c r="Q8" s="351"/>
      <c r="R8" s="351"/>
      <c r="S8" s="351"/>
      <c r="T8" s="351"/>
      <c r="U8" s="351"/>
      <c r="V8" s="351"/>
      <c r="W8" s="989"/>
    </row>
    <row r="9" spans="1:23" ht="12.75" customHeight="1">
      <c r="A9" s="988"/>
      <c r="B9" s="351"/>
      <c r="C9" s="351"/>
      <c r="D9" s="351"/>
      <c r="E9" s="351"/>
      <c r="F9" s="351"/>
      <c r="G9" s="351"/>
      <c r="H9" s="351"/>
      <c r="I9" s="351"/>
      <c r="J9" s="351"/>
      <c r="K9" s="989"/>
      <c r="M9" s="988"/>
      <c r="N9" s="351"/>
      <c r="O9" s="351"/>
      <c r="P9" s="351"/>
      <c r="Q9" s="351"/>
      <c r="R9" s="351"/>
      <c r="S9" s="351"/>
      <c r="T9" s="351"/>
      <c r="U9" s="351"/>
      <c r="V9" s="351"/>
      <c r="W9" s="989"/>
    </row>
    <row r="10" spans="1:23" ht="12.75" customHeight="1">
      <c r="A10" s="988"/>
      <c r="B10" s="351"/>
      <c r="C10" s="351"/>
      <c r="D10" s="351"/>
      <c r="E10" s="351"/>
      <c r="F10" s="351"/>
      <c r="G10" s="351"/>
      <c r="H10" s="351"/>
      <c r="I10" s="351"/>
      <c r="J10" s="351"/>
      <c r="K10" s="989"/>
      <c r="M10" s="988"/>
      <c r="N10" s="351"/>
      <c r="O10" s="351"/>
      <c r="P10" s="351"/>
      <c r="Q10" s="351"/>
      <c r="R10" s="351"/>
      <c r="S10" s="351"/>
      <c r="T10" s="351"/>
      <c r="U10" s="351"/>
      <c r="V10" s="351"/>
      <c r="W10" s="989"/>
    </row>
    <row r="11" spans="1:23" ht="12.75" customHeight="1">
      <c r="A11" s="988"/>
      <c r="B11" s="351"/>
      <c r="C11" s="351"/>
      <c r="D11" s="351"/>
      <c r="E11" s="351"/>
      <c r="F11" s="351"/>
      <c r="G11" s="351"/>
      <c r="H11" s="351"/>
      <c r="I11" s="351"/>
      <c r="J11" s="351"/>
      <c r="K11" s="989"/>
      <c r="M11" s="988"/>
      <c r="N11" s="351"/>
      <c r="O11" s="351"/>
      <c r="P11" s="351"/>
      <c r="Q11" s="351"/>
      <c r="R11" s="351"/>
      <c r="S11" s="351"/>
      <c r="T11" s="351"/>
      <c r="U11" s="351"/>
      <c r="V11" s="351"/>
      <c r="W11" s="989"/>
    </row>
    <row r="12" spans="1:23" ht="12.75" customHeight="1">
      <c r="A12" s="988"/>
      <c r="B12" s="351"/>
      <c r="C12" s="351"/>
      <c r="D12" s="351"/>
      <c r="E12" s="351"/>
      <c r="F12" s="351"/>
      <c r="G12" s="351"/>
      <c r="H12" s="351"/>
      <c r="I12" s="351"/>
      <c r="J12" s="351"/>
      <c r="K12" s="989"/>
      <c r="M12" s="988"/>
      <c r="N12" s="351"/>
      <c r="O12" s="351"/>
      <c r="P12" s="351"/>
      <c r="Q12" s="351"/>
      <c r="R12" s="351"/>
      <c r="S12" s="351"/>
      <c r="T12" s="351"/>
      <c r="U12" s="351"/>
      <c r="V12" s="351"/>
      <c r="W12" s="989"/>
    </row>
    <row r="13" spans="1:23" ht="12.75" customHeight="1">
      <c r="A13" s="988"/>
      <c r="B13" s="351"/>
      <c r="C13" s="351"/>
      <c r="D13" s="351"/>
      <c r="E13" s="351"/>
      <c r="F13" s="351"/>
      <c r="G13" s="351"/>
      <c r="H13" s="351"/>
      <c r="I13" s="351"/>
      <c r="J13" s="351"/>
      <c r="K13" s="989"/>
      <c r="M13" s="988"/>
      <c r="N13" s="351"/>
      <c r="O13" s="351"/>
      <c r="P13" s="351"/>
      <c r="Q13" s="351"/>
      <c r="R13" s="351"/>
      <c r="S13" s="351"/>
      <c r="T13" s="351"/>
      <c r="U13" s="351"/>
      <c r="V13" s="351"/>
      <c r="W13" s="989"/>
    </row>
    <row r="14" spans="1:23" ht="12.75" customHeight="1">
      <c r="A14" s="988"/>
      <c r="B14" s="351"/>
      <c r="C14" s="351"/>
      <c r="D14" s="351"/>
      <c r="E14" s="351"/>
      <c r="F14" s="351"/>
      <c r="G14" s="351"/>
      <c r="H14" s="351"/>
      <c r="I14" s="351"/>
      <c r="J14" s="351"/>
      <c r="K14" s="989"/>
      <c r="M14" s="988"/>
      <c r="N14" s="351"/>
      <c r="O14" s="351"/>
      <c r="P14" s="351"/>
      <c r="Q14" s="351"/>
      <c r="R14" s="351"/>
      <c r="S14" s="351"/>
      <c r="T14" s="351"/>
      <c r="U14" s="351"/>
      <c r="V14" s="351"/>
      <c r="W14" s="989"/>
    </row>
    <row r="15" spans="1:23" ht="12.75" customHeight="1">
      <c r="A15" s="988"/>
      <c r="B15" s="351"/>
      <c r="C15" s="351"/>
      <c r="D15" s="351"/>
      <c r="E15" s="351"/>
      <c r="F15" s="351"/>
      <c r="G15" s="351"/>
      <c r="H15" s="351"/>
      <c r="I15" s="351"/>
      <c r="J15" s="351"/>
      <c r="K15" s="989"/>
      <c r="M15" s="988"/>
      <c r="N15" s="351"/>
      <c r="O15" s="351"/>
      <c r="P15" s="351"/>
      <c r="Q15" s="351"/>
      <c r="R15" s="351"/>
      <c r="S15" s="351"/>
      <c r="T15" s="351"/>
      <c r="U15" s="351"/>
      <c r="V15" s="351"/>
      <c r="W15" s="989"/>
    </row>
    <row r="16" spans="1:23" ht="12.75" customHeight="1">
      <c r="A16" s="988"/>
      <c r="B16" s="351"/>
      <c r="C16" s="351"/>
      <c r="D16" s="351"/>
      <c r="E16" s="351"/>
      <c r="F16" s="351"/>
      <c r="G16" s="351"/>
      <c r="H16" s="351"/>
      <c r="I16" s="351"/>
      <c r="J16" s="351"/>
      <c r="K16" s="989"/>
      <c r="M16" s="988"/>
      <c r="N16" s="351"/>
      <c r="O16" s="351"/>
      <c r="P16" s="351"/>
      <c r="Q16" s="351"/>
      <c r="R16" s="351"/>
      <c r="S16" s="351"/>
      <c r="T16" s="351"/>
      <c r="U16" s="351"/>
      <c r="V16" s="351"/>
      <c r="W16" s="989"/>
    </row>
    <row r="17" spans="1:23" ht="12.75" customHeight="1">
      <c r="A17" s="988"/>
      <c r="B17" s="351"/>
      <c r="C17" s="351"/>
      <c r="D17" s="351"/>
      <c r="E17" s="351"/>
      <c r="F17" s="351"/>
      <c r="G17" s="351"/>
      <c r="H17" s="351"/>
      <c r="I17" s="351"/>
      <c r="J17" s="351"/>
      <c r="K17" s="989"/>
      <c r="M17" s="988"/>
      <c r="N17" s="351"/>
      <c r="O17" s="351"/>
      <c r="P17" s="351"/>
      <c r="Q17" s="351"/>
      <c r="R17" s="351"/>
      <c r="S17" s="351"/>
      <c r="T17" s="351"/>
      <c r="U17" s="351"/>
      <c r="V17" s="351"/>
      <c r="W17" s="989"/>
    </row>
    <row r="18" spans="1:23" ht="12.75" customHeight="1">
      <c r="A18" s="988"/>
      <c r="B18" s="351"/>
      <c r="C18" s="351"/>
      <c r="D18" s="351"/>
      <c r="E18" s="351"/>
      <c r="F18" s="351"/>
      <c r="G18" s="351"/>
      <c r="H18" s="351"/>
      <c r="I18" s="351"/>
      <c r="J18" s="351"/>
      <c r="K18" s="989"/>
      <c r="M18" s="988"/>
      <c r="N18" s="351"/>
      <c r="O18" s="351"/>
      <c r="P18" s="351"/>
      <c r="Q18" s="351"/>
      <c r="R18" s="351"/>
      <c r="S18" s="351"/>
      <c r="T18" s="351"/>
      <c r="U18" s="351"/>
      <c r="V18" s="351"/>
      <c r="W18" s="989"/>
    </row>
    <row r="19" spans="1:23" ht="12.75" customHeight="1">
      <c r="A19" s="988"/>
      <c r="B19" s="351"/>
      <c r="C19" s="351"/>
      <c r="D19" s="351"/>
      <c r="E19" s="351"/>
      <c r="F19" s="351"/>
      <c r="G19" s="351"/>
      <c r="H19" s="351"/>
      <c r="I19" s="351"/>
      <c r="J19" s="351"/>
      <c r="K19" s="989"/>
      <c r="M19" s="988"/>
      <c r="N19" s="351"/>
      <c r="O19" s="351"/>
      <c r="P19" s="351"/>
      <c r="Q19" s="351"/>
      <c r="R19" s="351"/>
      <c r="S19" s="351"/>
      <c r="T19" s="351"/>
      <c r="U19" s="351"/>
      <c r="V19" s="351"/>
      <c r="W19" s="989"/>
    </row>
    <row r="20" spans="1:23" ht="12.75" customHeight="1">
      <c r="A20" s="988"/>
      <c r="B20" s="351"/>
      <c r="C20" s="351"/>
      <c r="D20" s="351"/>
      <c r="E20" s="351"/>
      <c r="F20" s="351"/>
      <c r="G20" s="351"/>
      <c r="H20" s="351"/>
      <c r="I20" s="351"/>
      <c r="J20" s="351"/>
      <c r="K20" s="989"/>
      <c r="M20" s="988"/>
      <c r="N20" s="351"/>
      <c r="O20" s="351"/>
      <c r="P20" s="351"/>
      <c r="Q20" s="351"/>
      <c r="R20" s="351"/>
      <c r="S20" s="351"/>
      <c r="T20" s="351"/>
      <c r="U20" s="351"/>
      <c r="V20" s="351"/>
      <c r="W20" s="989"/>
    </row>
    <row r="21" spans="1:23" ht="12.75" customHeight="1">
      <c r="A21" s="988"/>
      <c r="B21" s="351"/>
      <c r="C21" s="351"/>
      <c r="D21" s="351"/>
      <c r="E21" s="351"/>
      <c r="F21" s="351"/>
      <c r="G21" s="351"/>
      <c r="H21" s="351"/>
      <c r="I21" s="351"/>
      <c r="J21" s="351"/>
      <c r="K21" s="989"/>
      <c r="M21" s="988"/>
      <c r="N21" s="351"/>
      <c r="O21" s="351"/>
      <c r="P21" s="351"/>
      <c r="Q21" s="351"/>
      <c r="R21" s="351"/>
      <c r="S21" s="351"/>
      <c r="T21" s="351"/>
      <c r="U21" s="351"/>
      <c r="V21" s="351"/>
      <c r="W21" s="989"/>
    </row>
    <row r="22" spans="1:23" ht="12.75" customHeight="1">
      <c r="A22" s="988"/>
      <c r="B22" s="351"/>
      <c r="C22" s="351"/>
      <c r="D22" s="351"/>
      <c r="E22" s="351"/>
      <c r="F22" s="351"/>
      <c r="G22" s="351"/>
      <c r="H22" s="351"/>
      <c r="I22" s="351"/>
      <c r="J22" s="351"/>
      <c r="K22" s="989"/>
      <c r="M22" s="988"/>
      <c r="N22" s="351"/>
      <c r="O22" s="351"/>
      <c r="P22" s="351"/>
      <c r="Q22" s="351"/>
      <c r="R22" s="351"/>
      <c r="S22" s="351"/>
      <c r="T22" s="351"/>
      <c r="U22" s="351"/>
      <c r="V22" s="351"/>
      <c r="W22" s="989"/>
    </row>
    <row r="23" spans="1:23" ht="12.75" customHeight="1">
      <c r="A23" s="988"/>
      <c r="B23" s="351"/>
      <c r="C23" s="351"/>
      <c r="D23" s="351"/>
      <c r="E23" s="351"/>
      <c r="F23" s="351"/>
      <c r="G23" s="351"/>
      <c r="H23" s="351"/>
      <c r="I23" s="351"/>
      <c r="J23" s="351"/>
      <c r="K23" s="989"/>
      <c r="M23" s="988"/>
      <c r="N23" s="351"/>
      <c r="O23" s="351"/>
      <c r="P23" s="351"/>
      <c r="Q23" s="351"/>
      <c r="R23" s="351"/>
      <c r="S23" s="351"/>
      <c r="T23" s="351"/>
      <c r="U23" s="351"/>
      <c r="V23" s="351"/>
      <c r="W23" s="989"/>
    </row>
    <row r="24" spans="1:23" ht="12.75" customHeight="1">
      <c r="A24" s="988"/>
      <c r="B24" s="351"/>
      <c r="C24" s="351"/>
      <c r="D24" s="351"/>
      <c r="E24" s="351"/>
      <c r="F24" s="351"/>
      <c r="G24" s="351"/>
      <c r="H24" s="351"/>
      <c r="I24" s="351"/>
      <c r="J24" s="351"/>
      <c r="K24" s="989"/>
      <c r="M24" s="988"/>
      <c r="N24" s="351"/>
      <c r="O24" s="351"/>
      <c r="P24" s="351"/>
      <c r="Q24" s="351"/>
      <c r="R24" s="351"/>
      <c r="S24" s="351"/>
      <c r="T24" s="351"/>
      <c r="U24" s="351"/>
      <c r="V24" s="351"/>
      <c r="W24" s="989"/>
    </row>
    <row r="25" spans="1:23" ht="12.75" customHeight="1">
      <c r="A25" s="988"/>
      <c r="B25" s="351"/>
      <c r="C25" s="351"/>
      <c r="D25" s="351"/>
      <c r="E25" s="351"/>
      <c r="F25" s="351"/>
      <c r="G25" s="351"/>
      <c r="H25" s="351"/>
      <c r="I25" s="351"/>
      <c r="J25" s="351"/>
      <c r="K25" s="989"/>
      <c r="M25" s="988"/>
      <c r="N25" s="351"/>
      <c r="O25" s="351"/>
      <c r="P25" s="351"/>
      <c r="Q25" s="351"/>
      <c r="R25" s="351"/>
      <c r="S25" s="351"/>
      <c r="T25" s="351"/>
      <c r="U25" s="351"/>
      <c r="V25" s="351"/>
      <c r="W25" s="989"/>
    </row>
    <row r="26" spans="1:23" ht="12.75" customHeight="1">
      <c r="A26" s="988"/>
      <c r="B26" s="351"/>
      <c r="C26" s="351"/>
      <c r="D26" s="351"/>
      <c r="E26" s="351"/>
      <c r="F26" s="351"/>
      <c r="G26" s="351"/>
      <c r="H26" s="351"/>
      <c r="I26" s="351"/>
      <c r="J26" s="351"/>
      <c r="K26" s="989"/>
      <c r="M26" s="988"/>
      <c r="N26" s="351"/>
      <c r="O26" s="351"/>
      <c r="P26" s="351"/>
      <c r="Q26" s="351"/>
      <c r="R26" s="351"/>
      <c r="S26" s="351"/>
      <c r="T26" s="351"/>
      <c r="U26" s="351"/>
      <c r="V26" s="351"/>
      <c r="W26" s="989"/>
    </row>
    <row r="27" spans="1:23" ht="12.75" customHeight="1">
      <c r="A27" s="988"/>
      <c r="B27" s="351"/>
      <c r="C27" s="351"/>
      <c r="D27" s="351"/>
      <c r="E27" s="351"/>
      <c r="F27" s="351"/>
      <c r="G27" s="351"/>
      <c r="H27" s="351"/>
      <c r="I27" s="351"/>
      <c r="J27" s="351"/>
      <c r="K27" s="989"/>
      <c r="M27" s="988"/>
      <c r="N27" s="351"/>
      <c r="O27" s="351"/>
      <c r="P27" s="351"/>
      <c r="Q27" s="351"/>
      <c r="R27" s="351"/>
      <c r="S27" s="351"/>
      <c r="T27" s="351"/>
      <c r="U27" s="351"/>
      <c r="V27" s="351"/>
      <c r="W27" s="989"/>
    </row>
    <row r="28" spans="1:23" ht="12.75" customHeight="1">
      <c r="A28" s="988"/>
      <c r="B28" s="351"/>
      <c r="C28" s="351"/>
      <c r="D28" s="351"/>
      <c r="E28" s="351"/>
      <c r="F28" s="351"/>
      <c r="G28" s="351"/>
      <c r="H28" s="351"/>
      <c r="I28" s="351"/>
      <c r="J28" s="351"/>
      <c r="K28" s="989"/>
      <c r="M28" s="988"/>
      <c r="N28" s="351"/>
      <c r="O28" s="351"/>
      <c r="P28" s="351"/>
      <c r="Q28" s="351"/>
      <c r="R28" s="351"/>
      <c r="S28" s="351"/>
      <c r="T28" s="351"/>
      <c r="U28" s="351"/>
      <c r="V28" s="351"/>
      <c r="W28" s="989"/>
    </row>
    <row r="29" spans="1:23" ht="12.75" customHeight="1">
      <c r="A29" s="988"/>
      <c r="B29" s="351"/>
      <c r="C29" s="351"/>
      <c r="D29" s="351"/>
      <c r="E29" s="351"/>
      <c r="F29" s="351"/>
      <c r="G29" s="351"/>
      <c r="H29" s="351"/>
      <c r="I29" s="351"/>
      <c r="J29" s="351"/>
      <c r="K29" s="989"/>
      <c r="M29" s="988"/>
      <c r="N29" s="351"/>
      <c r="O29" s="351"/>
      <c r="P29" s="351"/>
      <c r="Q29" s="351"/>
      <c r="R29" s="351"/>
      <c r="S29" s="351"/>
      <c r="T29" s="351"/>
      <c r="U29" s="351"/>
      <c r="V29" s="351"/>
      <c r="W29" s="989"/>
    </row>
    <row r="30" spans="1:23" ht="12.75" customHeight="1">
      <c r="A30" s="988"/>
      <c r="B30" s="351"/>
      <c r="C30" s="351"/>
      <c r="D30" s="351"/>
      <c r="E30" s="351"/>
      <c r="F30" s="351"/>
      <c r="G30" s="351"/>
      <c r="H30" s="351"/>
      <c r="I30" s="351"/>
      <c r="J30" s="351"/>
      <c r="K30" s="989"/>
      <c r="M30" s="988"/>
      <c r="N30" s="351"/>
      <c r="O30" s="351"/>
      <c r="P30" s="351"/>
      <c r="Q30" s="351"/>
      <c r="R30" s="351"/>
      <c r="S30" s="351"/>
      <c r="T30" s="351"/>
      <c r="U30" s="351"/>
      <c r="V30" s="351"/>
      <c r="W30" s="989"/>
    </row>
    <row r="31" spans="1:23" ht="12.75" customHeight="1">
      <c r="A31" s="988"/>
      <c r="B31" s="351"/>
      <c r="C31" s="351"/>
      <c r="D31" s="351"/>
      <c r="E31" s="351"/>
      <c r="F31" s="351"/>
      <c r="G31" s="351"/>
      <c r="H31" s="351"/>
      <c r="I31" s="351"/>
      <c r="J31" s="351"/>
      <c r="K31" s="989"/>
      <c r="M31" s="988"/>
      <c r="N31" s="351"/>
      <c r="O31" s="351"/>
      <c r="P31" s="351"/>
      <c r="Q31" s="351"/>
      <c r="R31" s="351"/>
      <c r="S31" s="351"/>
      <c r="T31" s="351"/>
      <c r="U31" s="351"/>
      <c r="V31" s="351"/>
      <c r="W31" s="989"/>
    </row>
    <row r="32" spans="1:23" ht="12.75" customHeight="1">
      <c r="A32" s="988"/>
      <c r="B32" s="351"/>
      <c r="C32" s="351"/>
      <c r="D32" s="351"/>
      <c r="E32" s="351"/>
      <c r="F32" s="351"/>
      <c r="G32" s="351"/>
      <c r="H32" s="351"/>
      <c r="I32" s="351"/>
      <c r="J32" s="351"/>
      <c r="K32" s="989"/>
      <c r="M32" s="988"/>
      <c r="N32" s="351"/>
      <c r="O32" s="351"/>
      <c r="P32" s="351"/>
      <c r="Q32" s="351"/>
      <c r="R32" s="351"/>
      <c r="S32" s="351"/>
      <c r="T32" s="351"/>
      <c r="U32" s="351"/>
      <c r="V32" s="351"/>
      <c r="W32" s="989"/>
    </row>
    <row r="33" spans="1:23" ht="12.75" customHeight="1">
      <c r="A33" s="988"/>
      <c r="B33" s="351"/>
      <c r="C33" s="351"/>
      <c r="D33" s="351"/>
      <c r="E33" s="351"/>
      <c r="F33" s="351"/>
      <c r="G33" s="351"/>
      <c r="H33" s="351"/>
      <c r="I33" s="351"/>
      <c r="J33" s="351"/>
      <c r="K33" s="989"/>
      <c r="M33" s="988"/>
      <c r="N33" s="351"/>
      <c r="O33" s="351"/>
      <c r="P33" s="351"/>
      <c r="Q33" s="351"/>
      <c r="R33" s="351"/>
      <c r="S33" s="351"/>
      <c r="T33" s="351"/>
      <c r="U33" s="351"/>
      <c r="V33" s="351"/>
      <c r="W33" s="989"/>
    </row>
    <row r="34" spans="1:23" ht="12.75" customHeight="1" thickBot="1">
      <c r="A34" s="990"/>
      <c r="B34" s="991"/>
      <c r="C34" s="991"/>
      <c r="D34" s="991"/>
      <c r="E34" s="991"/>
      <c r="F34" s="991"/>
      <c r="G34" s="991"/>
      <c r="H34" s="991"/>
      <c r="I34" s="991"/>
      <c r="J34" s="991"/>
      <c r="K34" s="992"/>
      <c r="M34" s="990"/>
      <c r="N34" s="991"/>
      <c r="O34" s="991"/>
      <c r="P34" s="991"/>
      <c r="Q34" s="991"/>
      <c r="R34" s="991"/>
      <c r="S34" s="991"/>
      <c r="T34" s="991"/>
      <c r="U34" s="991"/>
      <c r="V34" s="991"/>
      <c r="W34" s="992"/>
    </row>
    <row r="35" ht="12.75" customHeight="1" thickBot="1"/>
    <row r="36" spans="1:23" ht="12.75" customHeight="1">
      <c r="A36" s="985"/>
      <c r="B36" s="986"/>
      <c r="C36" s="986"/>
      <c r="D36" s="986"/>
      <c r="E36" s="986"/>
      <c r="F36" s="986"/>
      <c r="G36" s="986"/>
      <c r="H36" s="986"/>
      <c r="I36" s="986"/>
      <c r="J36" s="986"/>
      <c r="K36" s="987"/>
      <c r="M36" s="985"/>
      <c r="N36" s="986"/>
      <c r="O36" s="986"/>
      <c r="P36" s="986"/>
      <c r="Q36" s="986"/>
      <c r="R36" s="986"/>
      <c r="S36" s="986"/>
      <c r="T36" s="986"/>
      <c r="U36" s="986"/>
      <c r="V36" s="986"/>
      <c r="W36" s="987"/>
    </row>
    <row r="37" spans="1:23" ht="12.75" customHeight="1">
      <c r="A37" s="988"/>
      <c r="B37" s="351"/>
      <c r="C37" s="351"/>
      <c r="D37" s="351"/>
      <c r="E37" s="351"/>
      <c r="F37" s="351"/>
      <c r="G37" s="351"/>
      <c r="H37" s="351"/>
      <c r="I37" s="351"/>
      <c r="J37" s="351"/>
      <c r="K37" s="989"/>
      <c r="M37" s="988"/>
      <c r="N37" s="351"/>
      <c r="O37" s="351"/>
      <c r="P37" s="351"/>
      <c r="Q37" s="351"/>
      <c r="R37" s="351"/>
      <c r="S37" s="351"/>
      <c r="T37" s="351"/>
      <c r="U37" s="351"/>
      <c r="V37" s="351"/>
      <c r="W37" s="989"/>
    </row>
    <row r="38" spans="1:23" ht="12.75" customHeight="1">
      <c r="A38" s="988"/>
      <c r="B38" s="351"/>
      <c r="C38" s="351"/>
      <c r="D38" s="351"/>
      <c r="E38" s="351"/>
      <c r="F38" s="351"/>
      <c r="G38" s="351"/>
      <c r="H38" s="351"/>
      <c r="I38" s="351"/>
      <c r="J38" s="351"/>
      <c r="K38" s="989"/>
      <c r="M38" s="988"/>
      <c r="N38" s="351"/>
      <c r="O38" s="351"/>
      <c r="P38" s="351"/>
      <c r="Q38" s="351"/>
      <c r="R38" s="351"/>
      <c r="S38" s="351"/>
      <c r="T38" s="351"/>
      <c r="U38" s="351"/>
      <c r="V38" s="351"/>
      <c r="W38" s="989"/>
    </row>
    <row r="39" spans="1:23" ht="12.75" customHeight="1">
      <c r="A39" s="988"/>
      <c r="B39" s="351"/>
      <c r="C39" s="351"/>
      <c r="D39" s="351"/>
      <c r="E39" s="351"/>
      <c r="F39" s="351"/>
      <c r="G39" s="351"/>
      <c r="H39" s="351"/>
      <c r="I39" s="351"/>
      <c r="J39" s="351"/>
      <c r="K39" s="989"/>
      <c r="M39" s="988"/>
      <c r="N39" s="351"/>
      <c r="O39" s="351"/>
      <c r="P39" s="351"/>
      <c r="Q39" s="351"/>
      <c r="R39" s="351"/>
      <c r="S39" s="351"/>
      <c r="T39" s="351"/>
      <c r="U39" s="351"/>
      <c r="V39" s="351"/>
      <c r="W39" s="989"/>
    </row>
    <row r="40" spans="1:23" ht="12.75" customHeight="1">
      <c r="A40" s="988"/>
      <c r="B40" s="351"/>
      <c r="C40" s="351"/>
      <c r="D40" s="351"/>
      <c r="E40" s="351"/>
      <c r="F40" s="351"/>
      <c r="G40" s="351"/>
      <c r="H40" s="351"/>
      <c r="I40" s="351"/>
      <c r="J40" s="351"/>
      <c r="K40" s="989"/>
      <c r="M40" s="988"/>
      <c r="N40" s="351"/>
      <c r="O40" s="351"/>
      <c r="P40" s="351"/>
      <c r="Q40" s="351"/>
      <c r="R40" s="351"/>
      <c r="S40" s="351"/>
      <c r="T40" s="351"/>
      <c r="U40" s="351"/>
      <c r="V40" s="351"/>
      <c r="W40" s="989"/>
    </row>
    <row r="41" spans="1:23" ht="12.75" customHeight="1">
      <c r="A41" s="988"/>
      <c r="B41" s="351"/>
      <c r="C41" s="351"/>
      <c r="D41" s="351"/>
      <c r="E41" s="351"/>
      <c r="F41" s="351"/>
      <c r="G41" s="351"/>
      <c r="H41" s="351"/>
      <c r="I41" s="351"/>
      <c r="J41" s="351"/>
      <c r="K41" s="989"/>
      <c r="M41" s="988"/>
      <c r="N41" s="351"/>
      <c r="O41" s="351"/>
      <c r="P41" s="351"/>
      <c r="Q41" s="351"/>
      <c r="R41" s="351"/>
      <c r="S41" s="351"/>
      <c r="T41" s="351"/>
      <c r="U41" s="351"/>
      <c r="V41" s="351"/>
      <c r="W41" s="989"/>
    </row>
    <row r="42" spans="1:23" ht="12.75" customHeight="1">
      <c r="A42" s="988"/>
      <c r="B42" s="351"/>
      <c r="C42" s="351"/>
      <c r="D42" s="351"/>
      <c r="E42" s="351"/>
      <c r="F42" s="351"/>
      <c r="G42" s="351"/>
      <c r="H42" s="351"/>
      <c r="I42" s="351"/>
      <c r="J42" s="351"/>
      <c r="K42" s="989"/>
      <c r="M42" s="988"/>
      <c r="N42" s="351"/>
      <c r="O42" s="351"/>
      <c r="P42" s="351"/>
      <c r="Q42" s="351"/>
      <c r="R42" s="351"/>
      <c r="S42" s="351"/>
      <c r="T42" s="351"/>
      <c r="U42" s="351"/>
      <c r="V42" s="351"/>
      <c r="W42" s="989"/>
    </row>
    <row r="43" spans="1:23" ht="12.75" customHeight="1">
      <c r="A43" s="988"/>
      <c r="B43" s="351"/>
      <c r="C43" s="351"/>
      <c r="D43" s="351"/>
      <c r="E43" s="351"/>
      <c r="F43" s="351"/>
      <c r="G43" s="351"/>
      <c r="H43" s="351"/>
      <c r="I43" s="351"/>
      <c r="J43" s="351"/>
      <c r="K43" s="989"/>
      <c r="M43" s="988"/>
      <c r="N43" s="351"/>
      <c r="O43" s="351"/>
      <c r="P43" s="351"/>
      <c r="Q43" s="351"/>
      <c r="R43" s="351"/>
      <c r="S43" s="351"/>
      <c r="T43" s="351"/>
      <c r="U43" s="351"/>
      <c r="V43" s="351"/>
      <c r="W43" s="989"/>
    </row>
    <row r="44" spans="1:23" ht="12.75" customHeight="1">
      <c r="A44" s="988"/>
      <c r="B44" s="351"/>
      <c r="C44" s="351"/>
      <c r="D44" s="351"/>
      <c r="E44" s="351"/>
      <c r="F44" s="351"/>
      <c r="G44" s="351"/>
      <c r="H44" s="351"/>
      <c r="I44" s="351"/>
      <c r="J44" s="351"/>
      <c r="K44" s="989"/>
      <c r="M44" s="988"/>
      <c r="N44" s="351"/>
      <c r="O44" s="351"/>
      <c r="P44" s="351"/>
      <c r="Q44" s="351"/>
      <c r="R44" s="351"/>
      <c r="S44" s="351"/>
      <c r="T44" s="351"/>
      <c r="U44" s="351"/>
      <c r="V44" s="351"/>
      <c r="W44" s="989"/>
    </row>
    <row r="45" spans="1:23" ht="12.75" customHeight="1">
      <c r="A45" s="988"/>
      <c r="B45" s="351"/>
      <c r="C45" s="351"/>
      <c r="D45" s="351"/>
      <c r="E45" s="351"/>
      <c r="F45" s="351"/>
      <c r="G45" s="351"/>
      <c r="H45" s="351"/>
      <c r="I45" s="351"/>
      <c r="J45" s="351"/>
      <c r="K45" s="989"/>
      <c r="M45" s="988"/>
      <c r="N45" s="351"/>
      <c r="O45" s="351"/>
      <c r="P45" s="351"/>
      <c r="Q45" s="351"/>
      <c r="R45" s="351"/>
      <c r="S45" s="351"/>
      <c r="T45" s="351"/>
      <c r="U45" s="351"/>
      <c r="V45" s="351"/>
      <c r="W45" s="989"/>
    </row>
    <row r="46" spans="1:23" ht="12.75" customHeight="1">
      <c r="A46" s="988"/>
      <c r="B46" s="351"/>
      <c r="C46" s="351"/>
      <c r="D46" s="351"/>
      <c r="E46" s="351"/>
      <c r="F46" s="351"/>
      <c r="G46" s="351"/>
      <c r="H46" s="351"/>
      <c r="I46" s="351"/>
      <c r="J46" s="351"/>
      <c r="K46" s="989"/>
      <c r="M46" s="988"/>
      <c r="N46" s="351"/>
      <c r="O46" s="351"/>
      <c r="P46" s="351"/>
      <c r="Q46" s="351"/>
      <c r="R46" s="351"/>
      <c r="S46" s="351"/>
      <c r="T46" s="351"/>
      <c r="U46" s="351"/>
      <c r="V46" s="351"/>
      <c r="W46" s="989"/>
    </row>
    <row r="47" spans="1:23" ht="12.75" customHeight="1">
      <c r="A47" s="988"/>
      <c r="B47" s="351"/>
      <c r="C47" s="351"/>
      <c r="D47" s="351"/>
      <c r="E47" s="351"/>
      <c r="F47" s="351"/>
      <c r="G47" s="351"/>
      <c r="H47" s="351"/>
      <c r="I47" s="351"/>
      <c r="J47" s="351"/>
      <c r="K47" s="989"/>
      <c r="M47" s="988"/>
      <c r="N47" s="351"/>
      <c r="O47" s="351"/>
      <c r="P47" s="351"/>
      <c r="Q47" s="351"/>
      <c r="R47" s="351"/>
      <c r="S47" s="351"/>
      <c r="T47" s="351"/>
      <c r="U47" s="351"/>
      <c r="V47" s="351"/>
      <c r="W47" s="989"/>
    </row>
    <row r="48" spans="1:23" ht="12.75" customHeight="1">
      <c r="A48" s="988"/>
      <c r="B48" s="351"/>
      <c r="C48" s="351"/>
      <c r="D48" s="351"/>
      <c r="E48" s="351"/>
      <c r="F48" s="351"/>
      <c r="G48" s="351"/>
      <c r="H48" s="351"/>
      <c r="I48" s="351"/>
      <c r="J48" s="351"/>
      <c r="K48" s="989"/>
      <c r="M48" s="988"/>
      <c r="N48" s="351"/>
      <c r="O48" s="351"/>
      <c r="P48" s="351"/>
      <c r="Q48" s="351"/>
      <c r="R48" s="351"/>
      <c r="S48" s="351"/>
      <c r="T48" s="351"/>
      <c r="U48" s="351"/>
      <c r="V48" s="351"/>
      <c r="W48" s="989"/>
    </row>
    <row r="49" spans="1:23" ht="12.75" customHeight="1">
      <c r="A49" s="988"/>
      <c r="B49" s="351"/>
      <c r="C49" s="351"/>
      <c r="D49" s="351"/>
      <c r="E49" s="351"/>
      <c r="F49" s="351"/>
      <c r="G49" s="351"/>
      <c r="H49" s="351"/>
      <c r="I49" s="351"/>
      <c r="J49" s="351"/>
      <c r="K49" s="989"/>
      <c r="M49" s="988"/>
      <c r="N49" s="351"/>
      <c r="O49" s="351"/>
      <c r="P49" s="351"/>
      <c r="Q49" s="351"/>
      <c r="R49" s="351"/>
      <c r="S49" s="351"/>
      <c r="T49" s="351"/>
      <c r="U49" s="351"/>
      <c r="V49" s="351"/>
      <c r="W49" s="989"/>
    </row>
    <row r="50" spans="1:23" ht="12.75" customHeight="1">
      <c r="A50" s="988"/>
      <c r="B50" s="351"/>
      <c r="C50" s="351"/>
      <c r="D50" s="351"/>
      <c r="E50" s="351"/>
      <c r="F50" s="351"/>
      <c r="G50" s="351"/>
      <c r="H50" s="351"/>
      <c r="I50" s="351"/>
      <c r="J50" s="351"/>
      <c r="K50" s="989"/>
      <c r="M50" s="988"/>
      <c r="N50" s="351"/>
      <c r="O50" s="351"/>
      <c r="P50" s="351"/>
      <c r="Q50" s="351"/>
      <c r="R50" s="351"/>
      <c r="S50" s="351"/>
      <c r="T50" s="351"/>
      <c r="U50" s="351"/>
      <c r="V50" s="351"/>
      <c r="W50" s="989"/>
    </row>
    <row r="51" spans="1:23" ht="12.75" customHeight="1">
      <c r="A51" s="988"/>
      <c r="B51" s="351"/>
      <c r="C51" s="351"/>
      <c r="D51" s="351"/>
      <c r="E51" s="351"/>
      <c r="F51" s="351"/>
      <c r="G51" s="351"/>
      <c r="H51" s="351"/>
      <c r="I51" s="351"/>
      <c r="J51" s="351"/>
      <c r="K51" s="989"/>
      <c r="M51" s="988"/>
      <c r="N51" s="351"/>
      <c r="O51" s="351"/>
      <c r="P51" s="351"/>
      <c r="Q51" s="351"/>
      <c r="R51" s="351"/>
      <c r="S51" s="351"/>
      <c r="T51" s="351"/>
      <c r="U51" s="351"/>
      <c r="V51" s="351"/>
      <c r="W51" s="989"/>
    </row>
    <row r="52" spans="1:23" ht="12.75" customHeight="1">
      <c r="A52" s="988"/>
      <c r="B52" s="351"/>
      <c r="C52" s="351"/>
      <c r="D52" s="351"/>
      <c r="E52" s="351"/>
      <c r="F52" s="351"/>
      <c r="G52" s="351"/>
      <c r="H52" s="351"/>
      <c r="I52" s="351"/>
      <c r="J52" s="351"/>
      <c r="K52" s="989"/>
      <c r="M52" s="988"/>
      <c r="N52" s="351"/>
      <c r="O52" s="351"/>
      <c r="P52" s="351"/>
      <c r="Q52" s="351"/>
      <c r="R52" s="351"/>
      <c r="S52" s="351"/>
      <c r="T52" s="351"/>
      <c r="U52" s="351"/>
      <c r="V52" s="351"/>
      <c r="W52" s="989"/>
    </row>
    <row r="53" spans="1:23" ht="12.75" customHeight="1">
      <c r="A53" s="988"/>
      <c r="B53" s="351"/>
      <c r="C53" s="351"/>
      <c r="D53" s="351"/>
      <c r="E53" s="351"/>
      <c r="F53" s="351"/>
      <c r="G53" s="351"/>
      <c r="H53" s="351"/>
      <c r="I53" s="351"/>
      <c r="J53" s="351"/>
      <c r="K53" s="989"/>
      <c r="M53" s="988"/>
      <c r="N53" s="351"/>
      <c r="O53" s="351"/>
      <c r="P53" s="351"/>
      <c r="Q53" s="351"/>
      <c r="R53" s="351"/>
      <c r="S53" s="351"/>
      <c r="T53" s="351"/>
      <c r="U53" s="351"/>
      <c r="V53" s="351"/>
      <c r="W53" s="989"/>
    </row>
    <row r="54" spans="1:23" ht="12.75" customHeight="1">
      <c r="A54" s="988"/>
      <c r="B54" s="351"/>
      <c r="C54" s="351"/>
      <c r="D54" s="351"/>
      <c r="E54" s="351"/>
      <c r="F54" s="351"/>
      <c r="G54" s="351"/>
      <c r="H54" s="351"/>
      <c r="I54" s="351"/>
      <c r="J54" s="351"/>
      <c r="K54" s="989"/>
      <c r="M54" s="988"/>
      <c r="N54" s="351"/>
      <c r="O54" s="351"/>
      <c r="P54" s="351"/>
      <c r="Q54" s="351"/>
      <c r="R54" s="351"/>
      <c r="S54" s="351"/>
      <c r="T54" s="351"/>
      <c r="U54" s="351"/>
      <c r="V54" s="351"/>
      <c r="W54" s="989"/>
    </row>
    <row r="55" spans="1:23" ht="12.75" customHeight="1">
      <c r="A55" s="988"/>
      <c r="B55" s="351"/>
      <c r="C55" s="351"/>
      <c r="D55" s="351"/>
      <c r="E55" s="351"/>
      <c r="F55" s="351"/>
      <c r="G55" s="351"/>
      <c r="H55" s="351"/>
      <c r="I55" s="351"/>
      <c r="J55" s="351"/>
      <c r="K55" s="989"/>
      <c r="M55" s="988"/>
      <c r="N55" s="351"/>
      <c r="O55" s="351"/>
      <c r="P55" s="351"/>
      <c r="Q55" s="351"/>
      <c r="R55" s="351"/>
      <c r="S55" s="351"/>
      <c r="T55" s="351"/>
      <c r="U55" s="351"/>
      <c r="V55" s="351"/>
      <c r="W55" s="989"/>
    </row>
    <row r="56" spans="1:23" ht="12.75" customHeight="1">
      <c r="A56" s="988"/>
      <c r="B56" s="351"/>
      <c r="C56" s="351"/>
      <c r="D56" s="351"/>
      <c r="E56" s="351"/>
      <c r="F56" s="351"/>
      <c r="G56" s="351"/>
      <c r="H56" s="351"/>
      <c r="I56" s="351"/>
      <c r="J56" s="351"/>
      <c r="K56" s="989"/>
      <c r="M56" s="988"/>
      <c r="N56" s="351"/>
      <c r="O56" s="351"/>
      <c r="P56" s="351"/>
      <c r="Q56" s="351"/>
      <c r="R56" s="351"/>
      <c r="S56" s="351"/>
      <c r="T56" s="351"/>
      <c r="U56" s="351"/>
      <c r="V56" s="351"/>
      <c r="W56" s="989"/>
    </row>
    <row r="57" spans="1:23" ht="12.75" customHeight="1">
      <c r="A57" s="988"/>
      <c r="B57" s="351"/>
      <c r="C57" s="351"/>
      <c r="D57" s="351"/>
      <c r="E57" s="351"/>
      <c r="F57" s="351"/>
      <c r="G57" s="351"/>
      <c r="H57" s="351"/>
      <c r="I57" s="351"/>
      <c r="J57" s="351"/>
      <c r="K57" s="989"/>
      <c r="M57" s="988"/>
      <c r="N57" s="351"/>
      <c r="O57" s="351"/>
      <c r="P57" s="351"/>
      <c r="Q57" s="351"/>
      <c r="R57" s="351"/>
      <c r="S57" s="351"/>
      <c r="T57" s="351"/>
      <c r="U57" s="351"/>
      <c r="V57" s="351"/>
      <c r="W57" s="989"/>
    </row>
    <row r="58" spans="1:23" ht="12.75" customHeight="1">
      <c r="A58" s="988"/>
      <c r="B58" s="351"/>
      <c r="C58" s="351"/>
      <c r="D58" s="351"/>
      <c r="E58" s="351"/>
      <c r="F58" s="351"/>
      <c r="G58" s="351"/>
      <c r="H58" s="351"/>
      <c r="I58" s="351"/>
      <c r="J58" s="351"/>
      <c r="K58" s="989"/>
      <c r="M58" s="988"/>
      <c r="N58" s="351"/>
      <c r="O58" s="351"/>
      <c r="P58" s="351"/>
      <c r="Q58" s="351"/>
      <c r="R58" s="351"/>
      <c r="S58" s="351"/>
      <c r="T58" s="351"/>
      <c r="U58" s="351"/>
      <c r="V58" s="351"/>
      <c r="W58" s="989"/>
    </row>
    <row r="59" spans="1:23" ht="12.75" customHeight="1">
      <c r="A59" s="988"/>
      <c r="B59" s="351"/>
      <c r="C59" s="351"/>
      <c r="D59" s="351"/>
      <c r="E59" s="351"/>
      <c r="F59" s="351"/>
      <c r="G59" s="351"/>
      <c r="H59" s="351"/>
      <c r="I59" s="351"/>
      <c r="J59" s="351"/>
      <c r="K59" s="989"/>
      <c r="M59" s="988"/>
      <c r="N59" s="351"/>
      <c r="O59" s="351"/>
      <c r="P59" s="351"/>
      <c r="Q59" s="351"/>
      <c r="R59" s="351"/>
      <c r="S59" s="351"/>
      <c r="T59" s="351"/>
      <c r="U59" s="351"/>
      <c r="V59" s="351"/>
      <c r="W59" s="989"/>
    </row>
    <row r="60" spans="1:23" ht="12.75" customHeight="1">
      <c r="A60" s="988"/>
      <c r="B60" s="351"/>
      <c r="C60" s="351"/>
      <c r="D60" s="351"/>
      <c r="E60" s="351"/>
      <c r="F60" s="351"/>
      <c r="G60" s="351"/>
      <c r="H60" s="351"/>
      <c r="I60" s="351"/>
      <c r="J60" s="351"/>
      <c r="K60" s="989"/>
      <c r="M60" s="988"/>
      <c r="N60" s="351"/>
      <c r="O60" s="351"/>
      <c r="P60" s="351"/>
      <c r="Q60" s="351"/>
      <c r="R60" s="351"/>
      <c r="S60" s="351"/>
      <c r="T60" s="351"/>
      <c r="U60" s="351"/>
      <c r="V60" s="351"/>
      <c r="W60" s="989"/>
    </row>
    <row r="61" spans="1:23" ht="12.75" customHeight="1">
      <c r="A61" s="988"/>
      <c r="B61" s="351"/>
      <c r="C61" s="351"/>
      <c r="D61" s="351"/>
      <c r="E61" s="351"/>
      <c r="F61" s="351"/>
      <c r="G61" s="351"/>
      <c r="H61" s="351"/>
      <c r="I61" s="351"/>
      <c r="J61" s="351"/>
      <c r="K61" s="989"/>
      <c r="M61" s="988"/>
      <c r="N61" s="351"/>
      <c r="O61" s="351"/>
      <c r="P61" s="351"/>
      <c r="Q61" s="351"/>
      <c r="R61" s="351"/>
      <c r="S61" s="351"/>
      <c r="T61" s="351"/>
      <c r="U61" s="351"/>
      <c r="V61" s="351"/>
      <c r="W61" s="989"/>
    </row>
    <row r="62" spans="1:23" ht="12.75" customHeight="1">
      <c r="A62" s="988"/>
      <c r="B62" s="351"/>
      <c r="C62" s="351"/>
      <c r="D62" s="351"/>
      <c r="E62" s="351"/>
      <c r="F62" s="351"/>
      <c r="G62" s="351"/>
      <c r="H62" s="351"/>
      <c r="I62" s="351"/>
      <c r="J62" s="351"/>
      <c r="K62" s="989"/>
      <c r="M62" s="988"/>
      <c r="N62" s="351"/>
      <c r="O62" s="351"/>
      <c r="P62" s="351"/>
      <c r="Q62" s="351"/>
      <c r="R62" s="351"/>
      <c r="S62" s="351"/>
      <c r="T62" s="351"/>
      <c r="U62" s="351"/>
      <c r="V62" s="351"/>
      <c r="W62" s="989"/>
    </row>
    <row r="63" spans="1:23" ht="12.75" customHeight="1">
      <c r="A63" s="988"/>
      <c r="B63" s="351"/>
      <c r="C63" s="351"/>
      <c r="D63" s="351"/>
      <c r="E63" s="351"/>
      <c r="F63" s="351"/>
      <c r="G63" s="351"/>
      <c r="H63" s="351"/>
      <c r="I63" s="351"/>
      <c r="J63" s="351"/>
      <c r="K63" s="989"/>
      <c r="M63" s="988"/>
      <c r="N63" s="351"/>
      <c r="O63" s="351"/>
      <c r="P63" s="351"/>
      <c r="Q63" s="351"/>
      <c r="R63" s="351"/>
      <c r="S63" s="351"/>
      <c r="T63" s="351"/>
      <c r="U63" s="351"/>
      <c r="V63" s="351"/>
      <c r="W63" s="989"/>
    </row>
    <row r="64" spans="1:23" ht="12.75" customHeight="1">
      <c r="A64" s="988"/>
      <c r="B64" s="351"/>
      <c r="C64" s="351"/>
      <c r="D64" s="351"/>
      <c r="E64" s="351"/>
      <c r="F64" s="351"/>
      <c r="G64" s="351"/>
      <c r="H64" s="351"/>
      <c r="I64" s="351"/>
      <c r="J64" s="351"/>
      <c r="K64" s="989"/>
      <c r="M64" s="988"/>
      <c r="N64" s="351"/>
      <c r="O64" s="351"/>
      <c r="P64" s="351"/>
      <c r="Q64" s="351"/>
      <c r="R64" s="351"/>
      <c r="S64" s="351"/>
      <c r="T64" s="351"/>
      <c r="U64" s="351"/>
      <c r="V64" s="351"/>
      <c r="W64" s="989"/>
    </row>
    <row r="65" spans="1:23" ht="12.75" customHeight="1">
      <c r="A65" s="988"/>
      <c r="B65" s="351"/>
      <c r="C65" s="351"/>
      <c r="D65" s="351"/>
      <c r="E65" s="351"/>
      <c r="F65" s="351"/>
      <c r="G65" s="351"/>
      <c r="H65" s="351"/>
      <c r="I65" s="351"/>
      <c r="J65" s="351"/>
      <c r="K65" s="989"/>
      <c r="M65" s="988"/>
      <c r="N65" s="351"/>
      <c r="O65" s="351"/>
      <c r="P65" s="351"/>
      <c r="Q65" s="351"/>
      <c r="R65" s="351"/>
      <c r="S65" s="351"/>
      <c r="T65" s="351"/>
      <c r="U65" s="351"/>
      <c r="V65" s="351"/>
      <c r="W65" s="989"/>
    </row>
    <row r="66" spans="1:23" ht="12.75" customHeight="1">
      <c r="A66" s="988"/>
      <c r="B66" s="351"/>
      <c r="C66" s="351"/>
      <c r="D66" s="351"/>
      <c r="E66" s="351"/>
      <c r="F66" s="351"/>
      <c r="G66" s="351"/>
      <c r="H66" s="351"/>
      <c r="I66" s="351"/>
      <c r="J66" s="351"/>
      <c r="K66" s="989"/>
      <c r="M66" s="988"/>
      <c r="N66" s="351"/>
      <c r="O66" s="351"/>
      <c r="P66" s="351"/>
      <c r="Q66" s="351"/>
      <c r="R66" s="351"/>
      <c r="S66" s="351"/>
      <c r="T66" s="351"/>
      <c r="U66" s="351"/>
      <c r="V66" s="351"/>
      <c r="W66" s="989"/>
    </row>
    <row r="67" spans="1:23" ht="12.75" customHeight="1">
      <c r="A67" s="988"/>
      <c r="B67" s="351"/>
      <c r="C67" s="351"/>
      <c r="D67" s="351"/>
      <c r="E67" s="351"/>
      <c r="F67" s="351"/>
      <c r="G67" s="351"/>
      <c r="H67" s="351"/>
      <c r="I67" s="351"/>
      <c r="J67" s="351"/>
      <c r="K67" s="989"/>
      <c r="M67" s="988"/>
      <c r="N67" s="351"/>
      <c r="O67" s="351"/>
      <c r="P67" s="351"/>
      <c r="Q67" s="351"/>
      <c r="R67" s="351"/>
      <c r="S67" s="351"/>
      <c r="T67" s="351"/>
      <c r="U67" s="351"/>
      <c r="V67" s="351"/>
      <c r="W67" s="989"/>
    </row>
    <row r="68" spans="1:23" ht="12.75" customHeight="1">
      <c r="A68" s="988"/>
      <c r="B68" s="351"/>
      <c r="C68" s="351"/>
      <c r="D68" s="351"/>
      <c r="E68" s="351"/>
      <c r="F68" s="351"/>
      <c r="G68" s="351"/>
      <c r="H68" s="351"/>
      <c r="I68" s="351"/>
      <c r="J68" s="351"/>
      <c r="K68" s="989"/>
      <c r="M68" s="988"/>
      <c r="N68" s="351"/>
      <c r="O68" s="351"/>
      <c r="P68" s="351"/>
      <c r="Q68" s="351"/>
      <c r="R68" s="351"/>
      <c r="S68" s="351"/>
      <c r="T68" s="351"/>
      <c r="U68" s="351"/>
      <c r="V68" s="351"/>
      <c r="W68" s="989"/>
    </row>
    <row r="69" spans="1:23" ht="12.75" customHeight="1" thickBot="1">
      <c r="A69" s="990"/>
      <c r="B69" s="991"/>
      <c r="C69" s="991"/>
      <c r="D69" s="991"/>
      <c r="E69" s="991"/>
      <c r="F69" s="991"/>
      <c r="G69" s="991"/>
      <c r="H69" s="991"/>
      <c r="I69" s="991"/>
      <c r="J69" s="991"/>
      <c r="K69" s="992"/>
      <c r="M69" s="990"/>
      <c r="N69" s="991"/>
      <c r="O69" s="991"/>
      <c r="P69" s="991"/>
      <c r="Q69" s="991"/>
      <c r="R69" s="991"/>
      <c r="S69" s="991"/>
      <c r="T69" s="991"/>
      <c r="U69" s="991"/>
      <c r="V69" s="991"/>
      <c r="W69" s="992"/>
    </row>
  </sheetData>
  <printOptions horizontalCentered="1" verticalCentered="1"/>
  <pageMargins left="0.25" right="0.25" top="0.2" bottom="0.2" header="0.2" footer="0.2"/>
  <pageSetup horizontalDpi="600" verticalDpi="600" orientation="landscape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workbookViewId="0" topLeftCell="A5">
      <selection activeCell="A27" sqref="A1:IV16384"/>
    </sheetView>
  </sheetViews>
  <sheetFormatPr defaultColWidth="9.140625" defaultRowHeight="12.75"/>
  <cols>
    <col min="1" max="1" width="43.7109375" style="1119" customWidth="1"/>
    <col min="2" max="2" width="13.8515625" style="1119" customWidth="1"/>
    <col min="3" max="3" width="12.7109375" style="1119" customWidth="1"/>
    <col min="4" max="4" width="21.00390625" style="1119" customWidth="1"/>
    <col min="5" max="5" width="22.421875" style="1119" customWidth="1"/>
    <col min="6" max="6" width="19.421875" style="1119" customWidth="1"/>
    <col min="7" max="7" width="18.28125" style="1119" customWidth="1"/>
    <col min="8" max="16384" width="13.140625" style="1119" customWidth="1"/>
  </cols>
  <sheetData>
    <row r="1" spans="1:19" ht="13.5" thickBot="1">
      <c r="A1" s="1117"/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8"/>
      <c r="R1" s="1118"/>
      <c r="S1" s="1118"/>
    </row>
    <row r="2" spans="1:19" ht="18.75">
      <c r="A2" s="1120" t="s">
        <v>537</v>
      </c>
      <c r="B2" s="1121"/>
      <c r="C2" s="1121"/>
      <c r="D2" s="1122"/>
      <c r="E2" s="1122"/>
      <c r="F2" s="1122"/>
      <c r="G2" s="1123"/>
      <c r="H2" s="1124" t="s">
        <v>232</v>
      </c>
      <c r="I2" s="1117"/>
      <c r="J2" s="1117"/>
      <c r="K2" s="1117"/>
      <c r="L2" s="1117"/>
      <c r="M2" s="1117"/>
      <c r="N2" s="1117"/>
      <c r="O2" s="1117"/>
      <c r="P2" s="1117"/>
      <c r="Q2" s="1118"/>
      <c r="R2" s="1118"/>
      <c r="S2" s="1118"/>
    </row>
    <row r="3" spans="1:19" ht="16.5" thickBot="1">
      <c r="A3" s="1574" t="s">
        <v>67</v>
      </c>
      <c r="B3" s="1575"/>
      <c r="C3" s="1575"/>
      <c r="D3" s="1576"/>
      <c r="E3" s="1125" t="s">
        <v>65</v>
      </c>
      <c r="F3" s="1126" t="s">
        <v>69</v>
      </c>
      <c r="G3" s="1127" t="s">
        <v>66</v>
      </c>
      <c r="H3" s="1124"/>
      <c r="I3" s="1117"/>
      <c r="J3" s="1117"/>
      <c r="K3" s="1117"/>
      <c r="L3" s="1117"/>
      <c r="M3" s="1117"/>
      <c r="N3" s="1117"/>
      <c r="O3" s="1117"/>
      <c r="P3" s="1117"/>
      <c r="Q3" s="1118"/>
      <c r="R3" s="1118"/>
      <c r="S3" s="1118"/>
    </row>
    <row r="4" spans="1:19" ht="20.25">
      <c r="A4" s="1128" t="s">
        <v>218</v>
      </c>
      <c r="B4" s="1129"/>
      <c r="C4" s="1129"/>
      <c r="D4" s="1129"/>
      <c r="E4" s="1130" t="s">
        <v>533</v>
      </c>
      <c r="F4" s="1131"/>
      <c r="G4" s="1132">
        <v>39416</v>
      </c>
      <c r="H4" s="1133"/>
      <c r="I4" s="1134"/>
      <c r="J4" s="1134"/>
      <c r="K4" s="1134"/>
      <c r="L4" s="1134"/>
      <c r="M4" s="1134"/>
      <c r="N4" s="1134"/>
      <c r="O4" s="1134"/>
      <c r="P4" s="1134"/>
      <c r="Q4" s="1118"/>
      <c r="R4" s="1118"/>
      <c r="S4" s="1118"/>
    </row>
    <row r="5" spans="1:19" ht="15">
      <c r="A5" s="1135" t="s">
        <v>48</v>
      </c>
      <c r="B5" s="1136" t="s">
        <v>240</v>
      </c>
      <c r="C5" s="1137" t="s">
        <v>69</v>
      </c>
      <c r="D5" s="1138" t="s">
        <v>48</v>
      </c>
      <c r="E5" s="1139"/>
      <c r="F5" s="1136" t="s">
        <v>240</v>
      </c>
      <c r="G5" s="1140" t="s">
        <v>69</v>
      </c>
      <c r="H5" s="1117"/>
      <c r="I5" s="1117"/>
      <c r="J5" s="1117"/>
      <c r="K5" s="1117"/>
      <c r="L5" s="1117"/>
      <c r="M5" s="1117"/>
      <c r="N5" s="1117"/>
      <c r="O5" s="1117"/>
      <c r="P5" s="1117"/>
      <c r="Q5" s="1118"/>
      <c r="R5" s="1118"/>
      <c r="S5" s="1118"/>
    </row>
    <row r="6" spans="1:19" ht="12.75">
      <c r="A6" s="1141" t="s">
        <v>219</v>
      </c>
      <c r="B6" s="1142" t="s">
        <v>223</v>
      </c>
      <c r="C6" s="1143"/>
      <c r="D6" s="1144"/>
      <c r="E6" s="1145"/>
      <c r="F6" s="1143"/>
      <c r="G6" s="1146"/>
      <c r="H6" s="1117"/>
      <c r="I6" s="1117"/>
      <c r="J6" s="1117"/>
      <c r="K6" s="1117"/>
      <c r="L6" s="1117"/>
      <c r="M6" s="1117"/>
      <c r="N6" s="1117"/>
      <c r="O6" s="1117"/>
      <c r="P6" s="1117"/>
      <c r="Q6" s="1118"/>
      <c r="R6" s="1118"/>
      <c r="S6" s="1118"/>
    </row>
    <row r="7" spans="1:19" ht="12.75">
      <c r="A7" s="1147" t="s">
        <v>220</v>
      </c>
      <c r="B7" s="1148" t="s">
        <v>224</v>
      </c>
      <c r="C7" s="1149"/>
      <c r="D7" s="1150"/>
      <c r="E7" s="1151"/>
      <c r="F7" s="1149"/>
      <c r="G7" s="1152"/>
      <c r="H7" s="1117"/>
      <c r="I7" s="1117"/>
      <c r="J7" s="1117"/>
      <c r="K7" s="1117"/>
      <c r="L7" s="1117"/>
      <c r="M7" s="1117"/>
      <c r="N7" s="1117"/>
      <c r="O7" s="1117"/>
      <c r="P7" s="1117"/>
      <c r="Q7" s="1118"/>
      <c r="R7" s="1118"/>
      <c r="S7" s="1118"/>
    </row>
    <row r="8" spans="1:19" ht="12.75">
      <c r="A8" s="1147" t="s">
        <v>221</v>
      </c>
      <c r="B8" s="1148" t="s">
        <v>222</v>
      </c>
      <c r="C8" s="1149"/>
      <c r="D8" s="1150"/>
      <c r="E8" s="1151"/>
      <c r="F8" s="1149"/>
      <c r="G8" s="1152"/>
      <c r="H8" s="1117"/>
      <c r="I8" s="1117"/>
      <c r="J8" s="1117"/>
      <c r="K8" s="1117"/>
      <c r="L8" s="1117"/>
      <c r="M8" s="1117"/>
      <c r="N8" s="1117"/>
      <c r="O8" s="1117"/>
      <c r="P8" s="1117"/>
      <c r="Q8" s="1118"/>
      <c r="R8" s="1118"/>
      <c r="S8" s="1118"/>
    </row>
    <row r="9" spans="1:19" ht="12.75">
      <c r="A9" s="1147"/>
      <c r="B9" s="1148"/>
      <c r="C9" s="1149"/>
      <c r="D9" s="1150"/>
      <c r="E9" s="1151"/>
      <c r="F9" s="1149"/>
      <c r="G9" s="1152"/>
      <c r="H9" s="1117"/>
      <c r="I9" s="1117"/>
      <c r="J9" s="1117"/>
      <c r="K9" s="1117"/>
      <c r="L9" s="1117"/>
      <c r="M9" s="1117"/>
      <c r="N9" s="1117"/>
      <c r="O9" s="1117"/>
      <c r="P9" s="1117"/>
      <c r="Q9" s="1118"/>
      <c r="R9" s="1118"/>
      <c r="S9" s="1118"/>
    </row>
    <row r="10" spans="1:19" ht="12.75">
      <c r="A10" s="1153"/>
      <c r="B10" s="1154"/>
      <c r="C10" s="1155"/>
      <c r="D10" s="1156"/>
      <c r="E10" s="1157"/>
      <c r="F10" s="1155"/>
      <c r="G10" s="1158"/>
      <c r="H10" s="1117"/>
      <c r="I10" s="1117"/>
      <c r="J10" s="1117"/>
      <c r="K10" s="1117"/>
      <c r="L10" s="1117"/>
      <c r="M10" s="1117"/>
      <c r="N10" s="1117"/>
      <c r="O10" s="1117"/>
      <c r="P10" s="1117"/>
      <c r="Q10" s="1118"/>
      <c r="R10" s="1118"/>
      <c r="S10" s="1118"/>
    </row>
    <row r="11" spans="1:19" ht="6" customHeight="1" thickBot="1">
      <c r="A11" s="1545"/>
      <c r="B11" s="1546"/>
      <c r="C11" s="1546"/>
      <c r="D11" s="1546"/>
      <c r="E11" s="1159"/>
      <c r="F11" s="1160"/>
      <c r="G11" s="1161"/>
      <c r="H11" s="1117"/>
      <c r="I11" s="1117"/>
      <c r="J11" s="1117"/>
      <c r="K11" s="1117"/>
      <c r="L11" s="1117"/>
      <c r="M11" s="1117"/>
      <c r="N11" s="1117"/>
      <c r="O11" s="1117"/>
      <c r="P11" s="1117"/>
      <c r="Q11" s="1118"/>
      <c r="R11" s="1118"/>
      <c r="S11" s="1118"/>
    </row>
    <row r="12" spans="1:19" ht="4.5" customHeight="1" thickBot="1">
      <c r="A12" s="1542"/>
      <c r="B12" s="1542"/>
      <c r="C12" s="1542"/>
      <c r="D12" s="1514"/>
      <c r="E12" s="1542"/>
      <c r="F12" s="1514"/>
      <c r="G12" s="1514"/>
      <c r="H12" s="1118"/>
      <c r="I12" s="1118"/>
      <c r="J12" s="1118"/>
      <c r="K12" s="1118"/>
      <c r="L12" s="1118"/>
      <c r="M12" s="1118"/>
      <c r="N12" s="1118"/>
      <c r="O12" s="1118"/>
      <c r="P12" s="1118"/>
      <c r="Q12" s="1118"/>
      <c r="R12" s="1118"/>
      <c r="S12" s="1118"/>
    </row>
    <row r="13" spans="1:19" ht="14.25">
      <c r="A13" s="1568" t="s">
        <v>49</v>
      </c>
      <c r="B13" s="1569"/>
      <c r="C13" s="1569"/>
      <c r="D13" s="1570"/>
      <c r="E13" s="1570"/>
      <c r="F13" s="1570"/>
      <c r="G13" s="1571"/>
      <c r="H13" s="1118"/>
      <c r="I13" s="1118"/>
      <c r="J13" s="1118"/>
      <c r="K13" s="1118"/>
      <c r="L13" s="1118"/>
      <c r="M13" s="1118"/>
      <c r="N13" s="1118"/>
      <c r="O13" s="1118"/>
      <c r="P13" s="1118"/>
      <c r="Q13" s="1118"/>
      <c r="R13" s="1118"/>
      <c r="S13" s="1118"/>
    </row>
    <row r="14" spans="1:19" ht="12.75">
      <c r="A14" s="1541"/>
      <c r="B14" s="1542"/>
      <c r="C14" s="1542"/>
      <c r="D14" s="1514"/>
      <c r="E14" s="1514"/>
      <c r="F14" s="1514"/>
      <c r="G14" s="1543"/>
      <c r="H14" s="1118"/>
      <c r="I14" s="1118"/>
      <c r="J14" s="1118"/>
      <c r="K14" s="1118"/>
      <c r="L14" s="1118"/>
      <c r="M14" s="1118"/>
      <c r="N14" s="1118"/>
      <c r="O14" s="1118"/>
      <c r="P14" s="1118"/>
      <c r="Q14" s="1118"/>
      <c r="R14" s="1118"/>
      <c r="S14" s="1118"/>
    </row>
    <row r="15" spans="1:19" ht="12.75">
      <c r="A15" s="1541"/>
      <c r="B15" s="1542"/>
      <c r="C15" s="1542"/>
      <c r="D15" s="1514"/>
      <c r="E15" s="1514"/>
      <c r="F15" s="1514"/>
      <c r="G15" s="1543"/>
      <c r="H15" s="1118"/>
      <c r="I15" s="1118"/>
      <c r="J15" s="1118"/>
      <c r="K15" s="1118"/>
      <c r="L15" s="1118"/>
      <c r="M15" s="1118"/>
      <c r="N15" s="1118"/>
      <c r="O15" s="1118"/>
      <c r="P15" s="1118"/>
      <c r="Q15" s="1118"/>
      <c r="R15" s="1118"/>
      <c r="S15" s="1118"/>
    </row>
    <row r="16" spans="1:19" ht="12.75">
      <c r="A16" s="1544"/>
      <c r="B16" s="1514"/>
      <c r="C16" s="1514"/>
      <c r="D16" s="1514"/>
      <c r="E16" s="1514"/>
      <c r="F16" s="1514"/>
      <c r="G16" s="1543"/>
      <c r="H16" s="1118"/>
      <c r="I16" s="1118"/>
      <c r="J16" s="1118"/>
      <c r="K16" s="1118"/>
      <c r="L16" s="1118"/>
      <c r="M16" s="1118"/>
      <c r="N16" s="1118"/>
      <c r="O16" s="1118"/>
      <c r="P16" s="1118"/>
      <c r="Q16" s="1118"/>
      <c r="R16" s="1118"/>
      <c r="S16" s="1118"/>
    </row>
    <row r="17" spans="1:19" ht="12.75">
      <c r="A17" s="1544"/>
      <c r="B17" s="1514"/>
      <c r="C17" s="1514"/>
      <c r="D17" s="1514"/>
      <c r="E17" s="1514"/>
      <c r="F17" s="1514"/>
      <c r="G17" s="1543"/>
      <c r="H17" s="1118"/>
      <c r="I17" s="1118"/>
      <c r="J17" s="1118"/>
      <c r="K17" s="1118"/>
      <c r="L17" s="1118"/>
      <c r="M17" s="1118"/>
      <c r="N17" s="1118"/>
      <c r="O17" s="1118"/>
      <c r="P17" s="1118"/>
      <c r="Q17" s="1118"/>
      <c r="R17" s="1118"/>
      <c r="S17" s="1118"/>
    </row>
    <row r="18" spans="1:19" ht="12.75">
      <c r="A18" s="1572"/>
      <c r="B18" s="1518"/>
      <c r="C18" s="1518"/>
      <c r="D18" s="1518"/>
      <c r="E18" s="1518"/>
      <c r="F18" s="1518"/>
      <c r="G18" s="1573"/>
      <c r="H18" s="1118"/>
      <c r="I18" s="1118"/>
      <c r="J18" s="1118"/>
      <c r="K18" s="1118"/>
      <c r="L18" s="1118"/>
      <c r="M18" s="1118"/>
      <c r="N18" s="1118"/>
      <c r="O18" s="1118"/>
      <c r="P18" s="1118"/>
      <c r="Q18" s="1118"/>
      <c r="R18" s="1118"/>
      <c r="S18" s="1118"/>
    </row>
    <row r="19" spans="1:19" ht="14.25">
      <c r="A19" s="1537" t="s">
        <v>50</v>
      </c>
      <c r="B19" s="1538"/>
      <c r="C19" s="1538"/>
      <c r="D19" s="1539"/>
      <c r="E19" s="1539"/>
      <c r="F19" s="1539"/>
      <c r="G19" s="1540"/>
      <c r="H19" s="1118"/>
      <c r="I19" s="1118"/>
      <c r="J19" s="1118"/>
      <c r="K19" s="1118"/>
      <c r="L19" s="1118"/>
      <c r="M19" s="1118"/>
      <c r="N19" s="1118"/>
      <c r="O19" s="1118"/>
      <c r="P19" s="1118"/>
      <c r="Q19" s="1118"/>
      <c r="R19" s="1118"/>
      <c r="S19" s="1118"/>
    </row>
    <row r="20" spans="1:19" ht="12.75">
      <c r="A20" s="1541"/>
      <c r="B20" s="1542"/>
      <c r="C20" s="1542"/>
      <c r="D20" s="1514"/>
      <c r="E20" s="1514"/>
      <c r="F20" s="1514"/>
      <c r="G20" s="1543"/>
      <c r="H20" s="1118"/>
      <c r="I20" s="1118"/>
      <c r="J20" s="1118"/>
      <c r="K20" s="1118"/>
      <c r="L20" s="1118"/>
      <c r="M20" s="1118"/>
      <c r="N20" s="1118"/>
      <c r="O20" s="1118"/>
      <c r="P20" s="1118"/>
      <c r="Q20" s="1118"/>
      <c r="R20" s="1118"/>
      <c r="S20" s="1118"/>
    </row>
    <row r="21" spans="1:19" ht="12.75">
      <c r="A21" s="1541"/>
      <c r="B21" s="1542"/>
      <c r="C21" s="1542"/>
      <c r="D21" s="1514"/>
      <c r="E21" s="1514"/>
      <c r="F21" s="1514"/>
      <c r="G21" s="1543"/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1118"/>
    </row>
    <row r="22" spans="1:19" ht="12.75">
      <c r="A22" s="1541"/>
      <c r="B22" s="1542"/>
      <c r="C22" s="1542"/>
      <c r="D22" s="1514"/>
      <c r="E22" s="1514"/>
      <c r="F22" s="1514"/>
      <c r="G22" s="1543"/>
      <c r="H22" s="1118"/>
      <c r="I22" s="1118"/>
      <c r="J22" s="1118"/>
      <c r="K22" s="1118"/>
      <c r="L22" s="1118"/>
      <c r="M22" s="1118"/>
      <c r="N22" s="1118"/>
      <c r="O22" s="1118"/>
      <c r="P22" s="1118"/>
      <c r="Q22" s="1118"/>
      <c r="R22" s="1118"/>
      <c r="S22" s="1118"/>
    </row>
    <row r="23" spans="1:19" ht="12.75">
      <c r="A23" s="1544"/>
      <c r="B23" s="1514"/>
      <c r="C23" s="1514"/>
      <c r="D23" s="1514"/>
      <c r="E23" s="1514"/>
      <c r="F23" s="1514"/>
      <c r="G23" s="1543"/>
      <c r="H23" s="1118"/>
      <c r="I23" s="1118"/>
      <c r="J23" s="1118"/>
      <c r="K23" s="1118"/>
      <c r="L23" s="1118"/>
      <c r="M23" s="1118"/>
      <c r="N23" s="1118"/>
      <c r="O23" s="1118"/>
      <c r="P23" s="1118"/>
      <c r="Q23" s="1118"/>
      <c r="R23" s="1118"/>
      <c r="S23" s="1118"/>
    </row>
    <row r="24" spans="1:19" ht="12.75">
      <c r="A24" s="1544"/>
      <c r="B24" s="1514"/>
      <c r="C24" s="1514"/>
      <c r="D24" s="1514"/>
      <c r="E24" s="1514"/>
      <c r="F24" s="1514"/>
      <c r="G24" s="1543"/>
      <c r="H24" s="1118"/>
      <c r="I24" s="1118"/>
      <c r="J24" s="1118"/>
      <c r="K24" s="1118"/>
      <c r="L24" s="1118"/>
      <c r="M24" s="1118"/>
      <c r="N24" s="1118"/>
      <c r="O24" s="1118"/>
      <c r="P24" s="1118"/>
      <c r="Q24" s="1118"/>
      <c r="R24" s="1118"/>
      <c r="S24" s="1118"/>
    </row>
    <row r="25" spans="1:19" ht="12.75">
      <c r="A25" s="1572"/>
      <c r="B25" s="1518"/>
      <c r="C25" s="1518"/>
      <c r="D25" s="1518"/>
      <c r="E25" s="1518"/>
      <c r="F25" s="1518"/>
      <c r="G25" s="1573"/>
      <c r="H25" s="1118"/>
      <c r="I25" s="1118"/>
      <c r="J25" s="1118"/>
      <c r="K25" s="1118"/>
      <c r="L25" s="1118"/>
      <c r="M25" s="1118"/>
      <c r="N25" s="1118"/>
      <c r="O25" s="1118"/>
      <c r="P25" s="1118"/>
      <c r="Q25" s="1118"/>
      <c r="R25" s="1118"/>
      <c r="S25" s="1118"/>
    </row>
    <row r="26" spans="1:19" ht="14.25">
      <c r="A26" s="1537" t="s">
        <v>64</v>
      </c>
      <c r="B26" s="1538"/>
      <c r="C26" s="1538"/>
      <c r="D26" s="1539"/>
      <c r="E26" s="1539"/>
      <c r="F26" s="1539"/>
      <c r="G26" s="1540"/>
      <c r="H26" s="1118"/>
      <c r="I26" s="1118"/>
      <c r="J26" s="1118"/>
      <c r="K26" s="1118"/>
      <c r="L26" s="1118"/>
      <c r="M26" s="1118"/>
      <c r="N26" s="1118"/>
      <c r="O26" s="1118"/>
      <c r="P26" s="1118"/>
      <c r="Q26" s="1118"/>
      <c r="R26" s="1118"/>
      <c r="S26" s="1118"/>
    </row>
    <row r="27" spans="1:19" ht="12.75">
      <c r="A27" s="1541"/>
      <c r="B27" s="1542"/>
      <c r="C27" s="1542"/>
      <c r="D27" s="1514"/>
      <c r="E27" s="1514"/>
      <c r="F27" s="1514"/>
      <c r="G27" s="1543"/>
      <c r="H27" s="1118"/>
      <c r="I27" s="1118"/>
      <c r="J27" s="1118"/>
      <c r="K27" s="1118"/>
      <c r="L27" s="1118"/>
      <c r="M27" s="1118"/>
      <c r="N27" s="1118"/>
      <c r="O27" s="1118"/>
      <c r="P27" s="1118"/>
      <c r="Q27" s="1118"/>
      <c r="R27" s="1118"/>
      <c r="S27" s="1118"/>
    </row>
    <row r="28" spans="1:19" ht="12.75">
      <c r="A28" s="1541"/>
      <c r="B28" s="1542"/>
      <c r="C28" s="1542"/>
      <c r="D28" s="1514"/>
      <c r="E28" s="1514"/>
      <c r="F28" s="1514"/>
      <c r="G28" s="1543"/>
      <c r="H28" s="1117"/>
      <c r="I28" s="1117"/>
      <c r="J28" s="1117"/>
      <c r="K28" s="1117"/>
      <c r="L28" s="1117"/>
      <c r="M28" s="1117"/>
      <c r="N28" s="1117"/>
      <c r="O28" s="1117"/>
      <c r="P28" s="1117"/>
      <c r="Q28" s="1117"/>
      <c r="R28" s="1117"/>
      <c r="S28" s="1117"/>
    </row>
    <row r="29" spans="1:19" ht="12.75">
      <c r="A29" s="1541"/>
      <c r="B29" s="1542"/>
      <c r="C29" s="1542"/>
      <c r="D29" s="1514"/>
      <c r="E29" s="1514"/>
      <c r="F29" s="1514"/>
      <c r="G29" s="1543"/>
      <c r="H29" s="1117"/>
      <c r="I29" s="1117"/>
      <c r="J29" s="1117"/>
      <c r="K29" s="1117"/>
      <c r="L29" s="1117"/>
      <c r="M29" s="1117"/>
      <c r="N29" s="1117"/>
      <c r="O29" s="1117"/>
      <c r="P29" s="1117"/>
      <c r="Q29" s="1117"/>
      <c r="R29" s="1117"/>
      <c r="S29" s="1117"/>
    </row>
    <row r="30" spans="1:19" ht="12.75">
      <c r="A30" s="1544"/>
      <c r="B30" s="1514"/>
      <c r="C30" s="1514"/>
      <c r="D30" s="1514"/>
      <c r="E30" s="1514"/>
      <c r="F30" s="1514"/>
      <c r="G30" s="1543"/>
      <c r="H30" s="1117"/>
      <c r="I30" s="1117"/>
      <c r="J30" s="1117"/>
      <c r="K30" s="1117"/>
      <c r="L30" s="1117"/>
      <c r="M30" s="1117"/>
      <c r="N30" s="1117"/>
      <c r="O30" s="1117"/>
      <c r="P30" s="1117"/>
      <c r="Q30" s="1117"/>
      <c r="R30" s="1117"/>
      <c r="S30" s="1117"/>
    </row>
    <row r="31" spans="1:19" ht="12.75">
      <c r="A31" s="1544"/>
      <c r="B31" s="1514"/>
      <c r="C31" s="1514"/>
      <c r="D31" s="1514"/>
      <c r="E31" s="1514"/>
      <c r="F31" s="1514"/>
      <c r="G31" s="1543"/>
      <c r="H31" s="1117"/>
      <c r="I31" s="1117"/>
      <c r="J31" s="1117"/>
      <c r="K31" s="1117"/>
      <c r="L31" s="1117"/>
      <c r="M31" s="1117"/>
      <c r="N31" s="1117"/>
      <c r="O31" s="1117"/>
      <c r="P31" s="1117"/>
      <c r="Q31" s="1117"/>
      <c r="R31" s="1117"/>
      <c r="S31" s="1117"/>
    </row>
    <row r="32" spans="1:19" ht="13.5" thickBot="1">
      <c r="A32" s="1545"/>
      <c r="B32" s="1546"/>
      <c r="C32" s="1546"/>
      <c r="D32" s="1546"/>
      <c r="E32" s="1546"/>
      <c r="F32" s="1546"/>
      <c r="G32" s="1547"/>
      <c r="H32" s="1117"/>
      <c r="I32" s="1117"/>
      <c r="J32" s="1117"/>
      <c r="K32" s="1117"/>
      <c r="L32" s="1117"/>
      <c r="M32" s="1117"/>
      <c r="N32" s="1117"/>
      <c r="O32" s="1117"/>
      <c r="P32" s="1117"/>
      <c r="Q32" s="1117"/>
      <c r="R32" s="1117"/>
      <c r="S32" s="1117"/>
    </row>
    <row r="33" spans="1:19" ht="6.75" customHeight="1" thickBot="1">
      <c r="A33" s="1162"/>
      <c r="B33" s="1162"/>
      <c r="C33" s="1162"/>
      <c r="D33" s="1162"/>
      <c r="E33" s="1162"/>
      <c r="F33" s="1162"/>
      <c r="G33" s="1162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</row>
    <row r="34" spans="1:19" ht="15.75" customHeight="1" thickBot="1">
      <c r="A34" s="1548" t="s">
        <v>294</v>
      </c>
      <c r="B34" s="1549"/>
      <c r="C34" s="1549"/>
      <c r="D34" s="1550"/>
      <c r="E34" s="1550"/>
      <c r="F34" s="1550"/>
      <c r="G34" s="1551"/>
      <c r="H34" s="1117"/>
      <c r="I34" s="1117"/>
      <c r="J34" s="1117"/>
      <c r="K34" s="1117"/>
      <c r="L34" s="1117"/>
      <c r="M34" s="1117"/>
      <c r="N34" s="1117"/>
      <c r="O34" s="1117"/>
      <c r="P34" s="1117"/>
      <c r="Q34" s="1117"/>
      <c r="R34" s="1117"/>
      <c r="S34" s="1117"/>
    </row>
    <row r="35" spans="1:19" ht="12.75">
      <c r="A35" s="1164" t="s">
        <v>1016</v>
      </c>
      <c r="B35" s="1165" t="s">
        <v>238</v>
      </c>
      <c r="C35" s="1165" t="s">
        <v>142</v>
      </c>
      <c r="D35" s="1166" t="s">
        <v>538</v>
      </c>
      <c r="E35" s="1166" t="s">
        <v>539</v>
      </c>
      <c r="F35" s="1166" t="s">
        <v>545</v>
      </c>
      <c r="G35" s="1167" t="s">
        <v>339</v>
      </c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</row>
    <row r="36" spans="1:19" ht="12.75">
      <c r="A36" s="1168"/>
      <c r="B36" s="1117"/>
      <c r="C36" s="1169"/>
      <c r="D36" s="1170"/>
      <c r="E36" s="1171"/>
      <c r="F36" s="1172"/>
      <c r="G36" s="1173"/>
      <c r="H36" s="1117"/>
      <c r="I36" s="1117"/>
      <c r="J36" s="1117"/>
      <c r="K36" s="1117"/>
      <c r="L36" s="1117"/>
      <c r="M36" s="1117"/>
      <c r="N36" s="1117"/>
      <c r="O36" s="1174"/>
      <c r="P36" s="1117"/>
      <c r="Q36" s="1117"/>
      <c r="R36" s="1117"/>
      <c r="S36" s="1117"/>
    </row>
    <row r="37" spans="1:19" ht="12.75">
      <c r="A37" s="1117"/>
      <c r="B37" s="1117"/>
      <c r="C37" s="1169"/>
      <c r="D37" s="1174"/>
      <c r="E37" s="1171"/>
      <c r="F37" s="1172"/>
      <c r="G37" s="1173"/>
      <c r="H37" s="1117"/>
      <c r="I37" s="1117"/>
      <c r="J37" s="1117"/>
      <c r="K37" s="1117"/>
      <c r="L37" s="1117"/>
      <c r="M37" s="1117"/>
      <c r="N37" s="1174"/>
      <c r="O37" s="1175"/>
      <c r="P37" s="1117"/>
      <c r="Q37" s="1117"/>
      <c r="R37" s="1117"/>
      <c r="S37" s="1117"/>
    </row>
    <row r="38" spans="1:19" ht="12.75">
      <c r="A38" s="1117"/>
      <c r="B38" s="1117"/>
      <c r="C38" s="1169"/>
      <c r="D38" s="1174"/>
      <c r="E38" s="1171"/>
      <c r="F38" s="1172"/>
      <c r="G38" s="1173"/>
      <c r="H38" s="1117"/>
      <c r="I38" s="1117"/>
      <c r="J38" s="1117"/>
      <c r="K38" s="1117"/>
      <c r="L38" s="1117"/>
      <c r="M38" s="1117"/>
      <c r="N38" s="1174"/>
      <c r="O38" s="1175"/>
      <c r="P38" s="1117"/>
      <c r="Q38" s="1117"/>
      <c r="R38" s="1117"/>
      <c r="S38" s="1117"/>
    </row>
    <row r="39" spans="1:19" ht="12.75">
      <c r="A39" s="1176"/>
      <c r="B39" s="1176"/>
      <c r="C39" s="1177"/>
      <c r="D39" s="1178"/>
      <c r="E39" s="1179"/>
      <c r="F39" s="1180"/>
      <c r="G39" s="1181"/>
      <c r="H39" s="1117"/>
      <c r="I39" s="1117"/>
      <c r="J39" s="1117"/>
      <c r="K39" s="1117"/>
      <c r="L39" s="1117"/>
      <c r="N39" s="1174"/>
      <c r="O39" s="1175"/>
      <c r="P39" s="1117"/>
      <c r="Q39" s="1117"/>
      <c r="R39" s="1117"/>
      <c r="S39" s="1117"/>
    </row>
    <row r="40" spans="1:19" ht="12.75">
      <c r="A40" s="1168"/>
      <c r="B40" s="1117"/>
      <c r="C40" s="1169"/>
      <c r="D40" s="1170"/>
      <c r="E40" s="1171"/>
      <c r="F40" s="1172"/>
      <c r="G40" s="1173"/>
      <c r="H40" s="1117"/>
      <c r="I40" s="1117"/>
      <c r="J40" s="1117"/>
      <c r="K40" s="1117"/>
      <c r="L40" s="1117"/>
      <c r="M40" s="1117"/>
      <c r="N40" s="1174"/>
      <c r="O40" s="1174"/>
      <c r="P40" s="1117"/>
      <c r="Q40" s="1117"/>
      <c r="R40" s="1117"/>
      <c r="S40" s="1117"/>
    </row>
    <row r="41" spans="1:19" ht="12.75">
      <c r="A41" s="1182"/>
      <c r="B41" s="1117"/>
      <c r="C41" s="1169"/>
      <c r="D41" s="1183"/>
      <c r="E41" s="1179"/>
      <c r="F41" s="1180"/>
      <c r="G41" s="1181"/>
      <c r="H41" s="1117"/>
      <c r="I41" s="1117"/>
      <c r="J41" s="1117"/>
      <c r="K41" s="1117"/>
      <c r="L41" s="1117"/>
      <c r="M41" s="1117"/>
      <c r="N41" s="1117"/>
      <c r="O41" s="1174"/>
      <c r="P41" s="1117"/>
      <c r="Q41" s="1117"/>
      <c r="R41" s="1117"/>
      <c r="S41" s="1184"/>
    </row>
    <row r="42" spans="1:19" ht="12.75">
      <c r="A42" s="1168"/>
      <c r="B42" s="1117"/>
      <c r="C42" s="1169"/>
      <c r="D42" s="1170"/>
      <c r="E42" s="1171"/>
      <c r="F42" s="1172"/>
      <c r="G42" s="1173"/>
      <c r="H42" s="1117"/>
      <c r="I42" s="1117"/>
      <c r="J42" s="1117"/>
      <c r="K42" s="1117"/>
      <c r="L42" s="1117"/>
      <c r="M42" s="1117"/>
      <c r="N42" s="1117"/>
      <c r="O42" s="1174"/>
      <c r="P42" s="1117"/>
      <c r="Q42" s="1117"/>
      <c r="R42" s="1117"/>
      <c r="S42" s="1117"/>
    </row>
    <row r="43" spans="1:19" ht="12.75">
      <c r="A43" s="1168"/>
      <c r="B43" s="1117"/>
      <c r="C43" s="1169"/>
      <c r="D43" s="1170"/>
      <c r="E43" s="1171"/>
      <c r="F43" s="1172"/>
      <c r="G43" s="1173"/>
      <c r="H43" s="1117"/>
      <c r="I43" s="1117"/>
      <c r="J43" s="1117"/>
      <c r="K43" s="1117"/>
      <c r="L43" s="1117"/>
      <c r="M43" s="1117"/>
      <c r="N43" s="1174"/>
      <c r="O43" s="1174"/>
      <c r="P43" s="1117"/>
      <c r="Q43" s="1117"/>
      <c r="R43" s="1117"/>
      <c r="S43" s="1117"/>
    </row>
    <row r="44" spans="1:19" ht="12.75">
      <c r="A44" s="1168"/>
      <c r="B44" s="1117"/>
      <c r="C44" s="1169"/>
      <c r="D44" s="1170"/>
      <c r="E44" s="1171"/>
      <c r="F44" s="1172"/>
      <c r="G44" s="1173"/>
      <c r="H44" s="1117"/>
      <c r="I44" s="1117"/>
      <c r="J44" s="1117"/>
      <c r="K44" s="1117"/>
      <c r="L44" s="1117"/>
      <c r="M44" s="1117"/>
      <c r="N44" s="1117"/>
      <c r="O44" s="1174"/>
      <c r="P44" s="1117"/>
      <c r="Q44" s="1117"/>
      <c r="R44" s="1117"/>
      <c r="S44" s="1117"/>
    </row>
    <row r="45" spans="1:19" ht="12.75">
      <c r="A45" s="1168"/>
      <c r="B45" s="1117"/>
      <c r="C45" s="1169"/>
      <c r="D45" s="1170"/>
      <c r="E45" s="1171"/>
      <c r="F45" s="1172"/>
      <c r="G45" s="1173"/>
      <c r="H45" s="1117"/>
      <c r="I45" s="1117"/>
      <c r="J45" s="1117"/>
      <c r="K45" s="1117"/>
      <c r="L45" s="1117"/>
      <c r="M45" s="1117"/>
      <c r="N45" s="1174"/>
      <c r="O45" s="1174"/>
      <c r="P45" s="1117"/>
      <c r="Q45" s="1117"/>
      <c r="R45" s="1117"/>
      <c r="S45" s="1117"/>
    </row>
    <row r="46" spans="1:19" ht="12.75">
      <c r="A46" s="1182"/>
      <c r="B46" s="1117"/>
      <c r="C46" s="1169"/>
      <c r="D46" s="1183"/>
      <c r="E46" s="1179"/>
      <c r="F46" s="1180"/>
      <c r="G46" s="1181"/>
      <c r="H46" s="1117"/>
      <c r="I46" s="1117"/>
      <c r="J46" s="1117"/>
      <c r="K46" s="1117"/>
      <c r="L46" s="1117"/>
      <c r="M46" s="1117"/>
      <c r="N46" s="1117"/>
      <c r="O46" s="1174"/>
      <c r="P46" s="1117"/>
      <c r="Q46" s="1117"/>
      <c r="R46" s="1117"/>
      <c r="S46" s="1184"/>
    </row>
    <row r="47" spans="1:19" ht="12.75">
      <c r="A47" s="1168"/>
      <c r="B47" s="1117"/>
      <c r="C47" s="1169"/>
      <c r="D47" s="1170"/>
      <c r="E47" s="1185"/>
      <c r="F47" s="1172"/>
      <c r="G47" s="1173"/>
      <c r="H47" s="1117"/>
      <c r="I47" s="1117"/>
      <c r="J47" s="1117"/>
      <c r="K47" s="1117"/>
      <c r="L47" s="1117"/>
      <c r="M47" s="1117"/>
      <c r="N47" s="1174"/>
      <c r="O47" s="1174"/>
      <c r="P47" s="1117"/>
      <c r="Q47" s="1117"/>
      <c r="R47" s="1117"/>
      <c r="S47" s="1117"/>
    </row>
    <row r="48" spans="1:19" ht="12.75">
      <c r="A48" s="1168"/>
      <c r="B48" s="1117"/>
      <c r="C48" s="1169"/>
      <c r="D48" s="1170"/>
      <c r="E48" s="1171"/>
      <c r="F48" s="1172"/>
      <c r="G48" s="1173"/>
      <c r="H48" s="1117"/>
      <c r="I48" s="1117"/>
      <c r="J48" s="1117"/>
      <c r="K48" s="1117"/>
      <c r="L48" s="1117"/>
      <c r="M48" s="1117"/>
      <c r="N48" s="1117"/>
      <c r="O48" s="1174"/>
      <c r="P48" s="1117"/>
      <c r="Q48" s="1117"/>
      <c r="R48" s="1117"/>
      <c r="S48" s="1117"/>
    </row>
    <row r="49" spans="1:19" ht="12.75">
      <c r="A49" s="1182"/>
      <c r="B49" s="1117"/>
      <c r="C49" s="1169"/>
      <c r="D49" s="1183"/>
      <c r="E49" s="1179"/>
      <c r="F49" s="1180"/>
      <c r="G49" s="1181"/>
      <c r="H49" s="1117"/>
      <c r="I49" s="1117"/>
      <c r="J49" s="1117"/>
      <c r="K49" s="1117"/>
      <c r="L49" s="1117"/>
      <c r="M49" s="1117"/>
      <c r="N49" s="1117"/>
      <c r="O49" s="1174"/>
      <c r="P49" s="1117"/>
      <c r="Q49" s="1117"/>
      <c r="R49" s="1117"/>
      <c r="S49" s="1184"/>
    </row>
    <row r="50" spans="1:19" ht="13.5" thickBot="1">
      <c r="A50" s="1186"/>
      <c r="B50" s="1187"/>
      <c r="C50" s="1187"/>
      <c r="D50" s="1188"/>
      <c r="E50" s="1188"/>
      <c r="F50" s="1189"/>
      <c r="G50" s="1190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</row>
    <row r="51" spans="1:19" ht="4.5" customHeight="1" thickBot="1">
      <c r="A51" s="1191"/>
      <c r="B51" s="1191"/>
      <c r="C51" s="1191"/>
      <c r="D51" s="1191"/>
      <c r="E51" s="1191"/>
      <c r="F51" s="1191"/>
      <c r="G51" s="1191"/>
      <c r="H51" s="1117"/>
      <c r="I51" s="1117"/>
      <c r="J51" s="1117"/>
      <c r="K51" s="1117"/>
      <c r="L51" s="1117"/>
      <c r="M51" s="1117"/>
      <c r="N51" s="1117"/>
      <c r="O51" s="1117"/>
      <c r="P51" s="1117"/>
      <c r="Q51" s="1117"/>
      <c r="R51" s="1117"/>
      <c r="S51" s="1117"/>
    </row>
    <row r="52" spans="1:19" ht="15">
      <c r="A52" s="1192"/>
      <c r="B52" s="1193"/>
      <c r="C52" s="1193"/>
      <c r="D52" s="1194" t="s">
        <v>542</v>
      </c>
      <c r="E52" s="1195"/>
      <c r="F52" s="1195"/>
      <c r="G52" s="1196"/>
      <c r="H52" s="1191"/>
      <c r="I52" s="1191"/>
      <c r="J52" s="1117"/>
      <c r="K52" s="1117"/>
      <c r="L52" s="1117"/>
      <c r="M52" s="1117"/>
      <c r="N52" s="1117"/>
      <c r="O52" s="1117"/>
      <c r="P52" s="1117"/>
      <c r="Q52" s="1117"/>
      <c r="R52" s="1117"/>
      <c r="S52" s="1117"/>
    </row>
    <row r="53" spans="1:19" ht="12.75">
      <c r="A53" s="1552"/>
      <c r="B53" s="1553"/>
      <c r="C53" s="1553"/>
      <c r="D53" s="1554"/>
      <c r="E53" s="1197"/>
      <c r="F53" s="1198" t="s">
        <v>540</v>
      </c>
      <c r="G53" s="1198" t="s">
        <v>541</v>
      </c>
      <c r="H53" s="1191"/>
      <c r="I53" s="1191"/>
      <c r="J53" s="1117"/>
      <c r="K53" s="1117"/>
      <c r="L53" s="1117"/>
      <c r="M53" s="1117"/>
      <c r="N53" s="1117"/>
      <c r="O53" s="1117"/>
      <c r="P53" s="1117"/>
      <c r="Q53" s="1117"/>
      <c r="R53" s="1117"/>
      <c r="S53" s="1117"/>
    </row>
    <row r="54" spans="1:19" ht="15">
      <c r="A54" s="1555"/>
      <c r="B54" s="1556"/>
      <c r="C54" s="1556"/>
      <c r="D54" s="1557"/>
      <c r="E54" s="1199" t="s">
        <v>54</v>
      </c>
      <c r="F54" s="1200">
        <f>SUM('COST PERFORMANCE BY RLM &amp; JOB'!C9)</f>
        <v>755</v>
      </c>
      <c r="G54" s="1201">
        <f>SUM('COST PERFORMANCE BY RLM &amp; JOB'!K9)</f>
        <v>127</v>
      </c>
      <c r="H54" s="1191"/>
      <c r="I54" s="1191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</row>
    <row r="55" spans="1:19" ht="15">
      <c r="A55" s="1555"/>
      <c r="B55" s="1556"/>
      <c r="C55" s="1556"/>
      <c r="D55" s="1557"/>
      <c r="E55" s="1199" t="s">
        <v>55</v>
      </c>
      <c r="F55" s="1200">
        <f>SUM('COST PERFORMANCE BY RLM &amp; JOB'!D9)</f>
        <v>754.927</v>
      </c>
      <c r="G55" s="1201">
        <f>SUM('COST PERFORMANCE BY RLM &amp; JOB'!L9)</f>
        <v>127.22900000000003</v>
      </c>
      <c r="H55" s="1191"/>
      <c r="I55" s="1191"/>
      <c r="J55" s="1118"/>
      <c r="K55" s="1118"/>
      <c r="L55" s="1118"/>
      <c r="M55" s="1118"/>
      <c r="N55" s="1118"/>
      <c r="O55" s="1118"/>
      <c r="P55" s="1118"/>
      <c r="Q55" s="1118"/>
      <c r="R55" s="1118"/>
      <c r="S55" s="1118"/>
    </row>
    <row r="56" spans="1:19" ht="15">
      <c r="A56" s="1555"/>
      <c r="B56" s="1556"/>
      <c r="C56" s="1556"/>
      <c r="D56" s="1557"/>
      <c r="E56" s="1199" t="s">
        <v>56</v>
      </c>
      <c r="F56" s="1200">
        <f>SUM('COST PERFORMANCE BY RLM &amp; JOB'!E9)</f>
        <v>836.8385888685475</v>
      </c>
      <c r="G56" s="1201">
        <f>SUM('COST PERFORMANCE BY RLM &amp; JOB'!M9)</f>
        <v>143.093</v>
      </c>
      <c r="H56" s="1191"/>
      <c r="I56" s="1191"/>
      <c r="J56" s="1118"/>
      <c r="K56" s="1118"/>
      <c r="L56" s="1118"/>
      <c r="M56" s="1118"/>
      <c r="N56" s="1118"/>
      <c r="O56" s="1118"/>
      <c r="P56" s="1118"/>
      <c r="Q56" s="1118"/>
      <c r="R56" s="1118"/>
      <c r="S56" s="1118"/>
    </row>
    <row r="57" spans="1:19" ht="15">
      <c r="A57" s="1555"/>
      <c r="B57" s="1556"/>
      <c r="C57" s="1556"/>
      <c r="D57" s="1557"/>
      <c r="E57" s="1199" t="s">
        <v>57</v>
      </c>
      <c r="F57" s="1200">
        <f>+F55-F56</f>
        <v>-81.91158886854748</v>
      </c>
      <c r="G57" s="1202"/>
      <c r="H57" s="1191"/>
      <c r="I57" s="1191"/>
      <c r="J57" s="1118"/>
      <c r="K57" s="1118"/>
      <c r="L57" s="1118"/>
      <c r="M57" s="1118"/>
      <c r="N57" s="1118"/>
      <c r="O57" s="1118"/>
      <c r="P57" s="1118"/>
      <c r="Q57" s="1118"/>
      <c r="R57" s="1118"/>
      <c r="S57" s="1118"/>
    </row>
    <row r="58" spans="1:19" ht="15">
      <c r="A58" s="1555"/>
      <c r="B58" s="1556"/>
      <c r="C58" s="1556"/>
      <c r="D58" s="1557"/>
      <c r="E58" s="1199" t="s">
        <v>58</v>
      </c>
      <c r="F58" s="1200">
        <f>+F55-F54</f>
        <v>-0.07299999999997908</v>
      </c>
      <c r="G58" s="1202"/>
      <c r="H58" s="1191"/>
      <c r="I58" s="1191"/>
      <c r="J58" s="1118"/>
      <c r="K58" s="1118"/>
      <c r="L58" s="1118"/>
      <c r="M58" s="1118"/>
      <c r="N58" s="1118"/>
      <c r="O58" s="1118"/>
      <c r="P58" s="1118"/>
      <c r="Q58" s="1118"/>
      <c r="R58" s="1118"/>
      <c r="S58" s="1118"/>
    </row>
    <row r="59" spans="1:19" ht="12.75">
      <c r="A59" s="1555"/>
      <c r="B59" s="1556"/>
      <c r="C59" s="1556"/>
      <c r="D59" s="1557"/>
      <c r="E59" s="1199" t="s">
        <v>59</v>
      </c>
      <c r="F59" s="1203">
        <f>+F55/F56</f>
        <v>0.9021178158391375</v>
      </c>
      <c r="G59" s="1204">
        <f>+G55/G56</f>
        <v>0.8891350380521761</v>
      </c>
      <c r="H59" s="1191"/>
      <c r="I59" s="1191"/>
      <c r="J59" s="1118"/>
      <c r="K59" s="1118"/>
      <c r="L59" s="1118"/>
      <c r="M59" s="1118"/>
      <c r="N59" s="1118"/>
      <c r="O59" s="1118"/>
      <c r="P59" s="1118"/>
      <c r="Q59" s="1118"/>
      <c r="R59" s="1118"/>
      <c r="S59" s="1118"/>
    </row>
    <row r="60" spans="1:19" ht="12.75">
      <c r="A60" s="1555"/>
      <c r="B60" s="1556"/>
      <c r="C60" s="1556"/>
      <c r="D60" s="1557"/>
      <c r="E60" s="1199" t="s">
        <v>60</v>
      </c>
      <c r="F60" s="1203">
        <f>+F55/F54</f>
        <v>0.9999033112582781</v>
      </c>
      <c r="G60" s="1204">
        <f>+G55/G54</f>
        <v>1.0018031496062993</v>
      </c>
      <c r="H60" s="1191"/>
      <c r="I60" s="1191"/>
      <c r="J60" s="1118"/>
      <c r="K60" s="1118"/>
      <c r="L60" s="1118"/>
      <c r="M60" s="1118"/>
      <c r="N60" s="1118"/>
      <c r="O60" s="1118"/>
      <c r="P60" s="1118"/>
      <c r="Q60" s="1118"/>
      <c r="R60" s="1118"/>
      <c r="S60" s="1118"/>
    </row>
    <row r="61" spans="1:19" ht="15">
      <c r="A61" s="1555"/>
      <c r="B61" s="1556"/>
      <c r="C61" s="1556"/>
      <c r="D61" s="1557"/>
      <c r="E61" s="1199" t="s">
        <v>52</v>
      </c>
      <c r="F61" s="1200">
        <f>SUM('COST PERFORMANCE BY RLM &amp; JOB'!R9)+'Baseline Reconciliation'!F140</f>
        <v>11057.503999999999</v>
      </c>
      <c r="G61" s="1202"/>
      <c r="H61" s="1191"/>
      <c r="I61" s="1191"/>
      <c r="J61" s="1118"/>
      <c r="K61" s="1118"/>
      <c r="L61" s="1118"/>
      <c r="M61" s="1118"/>
      <c r="N61" s="1118"/>
      <c r="O61" s="1118"/>
      <c r="P61" s="1118"/>
      <c r="Q61" s="1118"/>
      <c r="R61" s="1118"/>
      <c r="S61" s="1118"/>
    </row>
    <row r="62" spans="1:19" ht="15">
      <c r="A62" s="1555"/>
      <c r="B62" s="1556"/>
      <c r="C62" s="1556"/>
      <c r="D62" s="1557"/>
      <c r="E62" s="1199" t="s">
        <v>53</v>
      </c>
      <c r="F62" s="1200">
        <f>SUM('COST PERFORMANCE BY RLM &amp; JOB'!V9)+'Baseline Reconciliation'!F140</f>
        <v>11455.503999999999</v>
      </c>
      <c r="G62" s="1202"/>
      <c r="H62" s="1191"/>
      <c r="I62" s="1191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</row>
    <row r="63" spans="1:19" ht="12.75">
      <c r="A63" s="1555"/>
      <c r="B63" s="1556"/>
      <c r="C63" s="1556"/>
      <c r="D63" s="1557"/>
      <c r="E63" s="1205" t="s">
        <v>51</v>
      </c>
      <c r="F63" s="1206"/>
      <c r="G63" s="1207"/>
      <c r="H63" s="1191"/>
      <c r="I63" s="1191"/>
      <c r="J63" s="1118"/>
      <c r="K63" s="1118"/>
      <c r="L63" s="1118"/>
      <c r="M63" s="1118"/>
      <c r="N63" s="1118"/>
      <c r="O63" s="1118"/>
      <c r="P63" s="1118"/>
      <c r="Q63" s="1118"/>
      <c r="R63" s="1118"/>
      <c r="S63" s="1118"/>
    </row>
    <row r="64" spans="1:19" ht="12.75">
      <c r="A64" s="1555"/>
      <c r="B64" s="1556"/>
      <c r="C64" s="1556"/>
      <c r="D64" s="1557"/>
      <c r="E64" s="1208" t="s">
        <v>61</v>
      </c>
      <c r="F64" s="1561"/>
      <c r="G64" s="1562"/>
      <c r="H64" s="1191"/>
      <c r="I64" s="1191"/>
      <c r="J64" s="1118"/>
      <c r="K64" s="1118"/>
      <c r="L64" s="1118"/>
      <c r="M64" s="1118"/>
      <c r="N64" s="1118"/>
      <c r="O64" s="1118"/>
      <c r="P64" s="1118"/>
      <c r="Q64" s="1118"/>
      <c r="R64" s="1118"/>
      <c r="S64" s="1118"/>
    </row>
    <row r="65" spans="1:19" ht="12.75">
      <c r="A65" s="1555"/>
      <c r="B65" s="1556"/>
      <c r="C65" s="1556"/>
      <c r="D65" s="1557"/>
      <c r="E65" s="1563"/>
      <c r="F65" s="1531"/>
      <c r="G65" s="1564"/>
      <c r="H65" s="1191"/>
      <c r="I65" s="1191"/>
      <c r="J65" s="1118"/>
      <c r="K65" s="1118"/>
      <c r="L65" s="1118"/>
      <c r="M65" s="1118"/>
      <c r="N65" s="1118"/>
      <c r="O65" s="1118"/>
      <c r="P65" s="1118"/>
      <c r="Q65" s="1118"/>
      <c r="R65" s="1118"/>
      <c r="S65" s="1118"/>
    </row>
    <row r="66" spans="1:19" ht="81" customHeight="1">
      <c r="A66" s="1558"/>
      <c r="B66" s="1559"/>
      <c r="C66" s="1559"/>
      <c r="D66" s="1560"/>
      <c r="E66" s="1565"/>
      <c r="F66" s="1566"/>
      <c r="G66" s="1567"/>
      <c r="H66" s="1191"/>
      <c r="I66" s="1191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</row>
    <row r="67" spans="1:19" ht="12.75">
      <c r="A67" s="1520" t="s">
        <v>543</v>
      </c>
      <c r="B67" s="1521"/>
      <c r="C67" s="1521"/>
      <c r="D67" s="1522"/>
      <c r="E67" s="1522"/>
      <c r="F67" s="1522"/>
      <c r="G67" s="1523"/>
      <c r="H67" s="1191"/>
      <c r="I67" s="1117"/>
      <c r="J67" s="1118"/>
      <c r="K67" s="1118"/>
      <c r="L67" s="1118"/>
      <c r="M67" s="1118"/>
      <c r="N67" s="1118"/>
      <c r="O67" s="1118"/>
      <c r="P67" s="1118"/>
      <c r="Q67" s="1118"/>
      <c r="R67" s="1118"/>
      <c r="S67" s="1118"/>
    </row>
    <row r="68" spans="1:19" ht="12.75">
      <c r="A68" s="1524" t="s">
        <v>70</v>
      </c>
      <c r="B68" s="1525"/>
      <c r="C68" s="1525"/>
      <c r="D68" s="1526"/>
      <c r="E68" s="1209" t="s">
        <v>71</v>
      </c>
      <c r="F68" s="1210"/>
      <c r="G68" s="1211"/>
      <c r="H68" s="1117"/>
      <c r="I68" s="1117"/>
      <c r="J68" s="1118"/>
      <c r="K68" s="1118"/>
      <c r="L68" s="1118"/>
      <c r="M68" s="1118"/>
      <c r="N68" s="1118"/>
      <c r="O68" s="1118"/>
      <c r="P68" s="1118"/>
      <c r="Q68" s="1118"/>
      <c r="R68" s="1118"/>
      <c r="S68" s="1118"/>
    </row>
    <row r="69" spans="1:19" ht="12.75">
      <c r="A69" s="1527"/>
      <c r="B69" s="1528"/>
      <c r="C69" s="1528"/>
      <c r="D69" s="1529"/>
      <c r="E69" s="1528"/>
      <c r="F69" s="1529"/>
      <c r="G69" s="1534"/>
      <c r="H69" s="1117"/>
      <c r="I69" s="1117"/>
      <c r="J69" s="1118"/>
      <c r="K69" s="1118"/>
      <c r="L69" s="1118"/>
      <c r="M69" s="1118"/>
      <c r="N69" s="1118"/>
      <c r="O69" s="1118"/>
      <c r="P69" s="1118"/>
      <c r="Q69" s="1118"/>
      <c r="R69" s="1118"/>
      <c r="S69" s="1118"/>
    </row>
    <row r="70" spans="1:19" ht="12.75">
      <c r="A70" s="1530"/>
      <c r="B70" s="1531"/>
      <c r="C70" s="1531"/>
      <c r="D70" s="1531"/>
      <c r="E70" s="1531"/>
      <c r="F70" s="1531"/>
      <c r="G70" s="1535"/>
      <c r="H70" s="1117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</row>
    <row r="71" spans="1:19" ht="12.75">
      <c r="A71" s="1530"/>
      <c r="B71" s="1531"/>
      <c r="C71" s="1531"/>
      <c r="D71" s="1531"/>
      <c r="E71" s="1531"/>
      <c r="F71" s="1531"/>
      <c r="G71" s="1535"/>
      <c r="H71" s="1117"/>
      <c r="I71" s="1118"/>
      <c r="J71" s="1118"/>
      <c r="K71" s="1118"/>
      <c r="L71" s="1118"/>
      <c r="M71" s="1118"/>
      <c r="N71" s="1118"/>
      <c r="O71" s="1118"/>
      <c r="P71" s="1118"/>
      <c r="Q71" s="1118"/>
      <c r="R71" s="1118"/>
      <c r="S71" s="1118"/>
    </row>
    <row r="72" spans="1:19" ht="13.5" thickBot="1">
      <c r="A72" s="1532"/>
      <c r="B72" s="1533"/>
      <c r="C72" s="1533"/>
      <c r="D72" s="1533"/>
      <c r="E72" s="1533"/>
      <c r="F72" s="1533"/>
      <c r="G72" s="1536"/>
      <c r="H72" s="1191"/>
      <c r="I72" s="1118"/>
      <c r="J72" s="1118"/>
      <c r="K72" s="1118"/>
      <c r="L72" s="1118"/>
      <c r="M72" s="1118"/>
      <c r="N72" s="1118"/>
      <c r="O72" s="1118"/>
      <c r="P72" s="1118"/>
      <c r="Q72" s="1118"/>
      <c r="R72" s="1118"/>
      <c r="S72" s="1118"/>
    </row>
    <row r="73" spans="1:19" ht="4.5" customHeight="1" thickBot="1">
      <c r="A73" s="1162"/>
      <c r="B73" s="1162"/>
      <c r="C73" s="1162"/>
      <c r="D73" s="1162"/>
      <c r="E73" s="1162"/>
      <c r="F73" s="1162"/>
      <c r="G73" s="1162"/>
      <c r="H73" s="1191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</row>
    <row r="74" spans="1:19" ht="14.25">
      <c r="A74" s="1212" t="s">
        <v>63</v>
      </c>
      <c r="B74" s="1213"/>
      <c r="C74" s="1213"/>
      <c r="D74" s="1214"/>
      <c r="E74" s="1215"/>
      <c r="F74" s="1216"/>
      <c r="G74" s="1217"/>
      <c r="H74" s="1117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</row>
    <row r="75" spans="1:19" ht="12.75">
      <c r="A75" s="1218" t="s">
        <v>544</v>
      </c>
      <c r="B75" s="1219"/>
      <c r="C75" s="1219"/>
      <c r="D75" s="1220" t="s">
        <v>62</v>
      </c>
      <c r="E75" s="1221" t="s">
        <v>546</v>
      </c>
      <c r="F75" s="1222"/>
      <c r="G75" s="1223"/>
      <c r="H75" s="1117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</row>
    <row r="76" spans="1:19" ht="12.75">
      <c r="A76" s="1510"/>
      <c r="B76" s="1224"/>
      <c r="C76" s="1224"/>
      <c r="D76" s="1510"/>
      <c r="E76" s="1510"/>
      <c r="F76" s="1512"/>
      <c r="G76" s="1513"/>
      <c r="H76" s="1117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</row>
    <row r="77" spans="1:19" ht="12.75">
      <c r="A77" s="1511"/>
      <c r="B77" s="1162"/>
      <c r="C77" s="1162"/>
      <c r="D77" s="1511"/>
      <c r="E77" s="1511"/>
      <c r="F77" s="1514"/>
      <c r="G77" s="1515"/>
      <c r="H77" s="1117"/>
      <c r="I77" s="1118"/>
      <c r="J77" s="1118"/>
      <c r="K77" s="1118"/>
      <c r="L77" s="1118"/>
      <c r="M77" s="1118"/>
      <c r="N77" s="1118"/>
      <c r="O77" s="1118"/>
      <c r="P77" s="1118"/>
      <c r="Q77" s="1118"/>
      <c r="R77" s="1118"/>
      <c r="S77" s="1118"/>
    </row>
    <row r="78" spans="1:19" ht="12.75">
      <c r="A78" s="1516"/>
      <c r="B78" s="1225"/>
      <c r="C78" s="1225"/>
      <c r="D78" s="1516"/>
      <c r="E78" s="1516"/>
      <c r="F78" s="1514"/>
      <c r="G78" s="1515"/>
      <c r="H78" s="1117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</row>
    <row r="79" spans="1:19" ht="12.75">
      <c r="A79" s="1517"/>
      <c r="B79" s="1163"/>
      <c r="C79" s="1163"/>
      <c r="D79" s="1517"/>
      <c r="E79" s="1517"/>
      <c r="F79" s="1518"/>
      <c r="G79" s="1519"/>
      <c r="H79" s="1117"/>
      <c r="I79" s="1118"/>
      <c r="J79" s="1118"/>
      <c r="K79" s="1118"/>
      <c r="L79" s="1118"/>
      <c r="M79" s="1118"/>
      <c r="N79" s="1118"/>
      <c r="O79" s="1118"/>
      <c r="P79" s="1118"/>
      <c r="Q79" s="1118"/>
      <c r="R79" s="1118"/>
      <c r="S79" s="1118"/>
    </row>
    <row r="80" spans="1:19" ht="12.75">
      <c r="A80" s="1118"/>
      <c r="B80" s="1118"/>
      <c r="C80" s="1118"/>
      <c r="D80" s="1118"/>
      <c r="E80" s="1118"/>
      <c r="F80" s="1118"/>
      <c r="G80" s="1118"/>
      <c r="H80" s="1118"/>
      <c r="I80" s="1118"/>
      <c r="J80" s="1118"/>
      <c r="K80" s="1118"/>
      <c r="L80" s="1118"/>
      <c r="M80" s="1118"/>
      <c r="N80" s="1118"/>
      <c r="O80" s="1118"/>
      <c r="P80" s="1118"/>
      <c r="Q80" s="1118"/>
      <c r="R80" s="1118"/>
      <c r="S80" s="1118"/>
    </row>
    <row r="81" spans="1:19" ht="12.75">
      <c r="A81" s="1118"/>
      <c r="B81" s="1118"/>
      <c r="C81" s="1118"/>
      <c r="D81" s="1118"/>
      <c r="E81" s="1118"/>
      <c r="F81" s="1118"/>
      <c r="G81" s="1118"/>
      <c r="H81" s="1118"/>
      <c r="I81" s="1118"/>
      <c r="J81" s="1118"/>
      <c r="K81" s="1118"/>
      <c r="L81" s="1118"/>
      <c r="M81" s="1118"/>
      <c r="N81" s="1118"/>
      <c r="O81" s="1118"/>
      <c r="P81" s="1118"/>
      <c r="Q81" s="1118"/>
      <c r="R81" s="1118"/>
      <c r="S81" s="1118"/>
    </row>
    <row r="82" spans="1:19" ht="12.75">
      <c r="A82" s="1118"/>
      <c r="B82" s="1118"/>
      <c r="C82" s="1118"/>
      <c r="D82" s="1118"/>
      <c r="E82" s="1118"/>
      <c r="F82" s="1118"/>
      <c r="G82" s="1118"/>
      <c r="H82" s="1118"/>
      <c r="I82" s="1118"/>
      <c r="J82" s="1118"/>
      <c r="K82" s="1118"/>
      <c r="L82" s="1118"/>
      <c r="M82" s="1118"/>
      <c r="N82" s="1118"/>
      <c r="O82" s="1118"/>
      <c r="P82" s="1118"/>
      <c r="Q82" s="1118"/>
      <c r="R82" s="1118"/>
      <c r="S82" s="1118"/>
    </row>
    <row r="83" spans="1:19" ht="12.75">
      <c r="A83" s="1118"/>
      <c r="B83" s="1118"/>
      <c r="C83" s="1118"/>
      <c r="D83" s="1118"/>
      <c r="E83" s="1118"/>
      <c r="F83" s="1118"/>
      <c r="G83" s="1118"/>
      <c r="H83" s="1118"/>
      <c r="I83" s="1118"/>
      <c r="J83" s="1118"/>
      <c r="K83" s="1118"/>
      <c r="L83" s="1118"/>
      <c r="M83" s="1118"/>
      <c r="N83" s="1118"/>
      <c r="O83" s="1118"/>
      <c r="P83" s="1118"/>
      <c r="Q83" s="1118"/>
      <c r="R83" s="1118"/>
      <c r="S83" s="1118"/>
    </row>
    <row r="84" spans="1:19" ht="12.75">
      <c r="A84" s="1118"/>
      <c r="B84" s="1118"/>
      <c r="C84" s="1118"/>
      <c r="D84" s="1118"/>
      <c r="E84" s="1118"/>
      <c r="F84" s="1118"/>
      <c r="G84" s="1118"/>
      <c r="H84" s="1118"/>
      <c r="I84" s="1118"/>
      <c r="J84" s="1118"/>
      <c r="K84" s="1118"/>
      <c r="L84" s="1118"/>
      <c r="M84" s="1118"/>
      <c r="N84" s="1118"/>
      <c r="O84" s="1118"/>
      <c r="P84" s="1118"/>
      <c r="Q84" s="1118"/>
      <c r="R84" s="1118"/>
      <c r="S84" s="1118"/>
    </row>
    <row r="85" spans="1:19" ht="12.75">
      <c r="A85" s="1118"/>
      <c r="B85" s="1118"/>
      <c r="C85" s="1118"/>
      <c r="D85" s="1118"/>
      <c r="E85" s="1118"/>
      <c r="F85" s="1118"/>
      <c r="G85" s="1118"/>
      <c r="H85" s="1118"/>
      <c r="I85" s="1118"/>
      <c r="J85" s="1118"/>
      <c r="K85" s="1118"/>
      <c r="L85" s="1118"/>
      <c r="M85" s="1118"/>
      <c r="N85" s="1118"/>
      <c r="O85" s="1118"/>
      <c r="P85" s="1118"/>
      <c r="Q85" s="1118"/>
      <c r="R85" s="1118"/>
      <c r="S85" s="1118"/>
    </row>
    <row r="86" spans="1:19" ht="12.75">
      <c r="A86" s="1118"/>
      <c r="B86" s="1118"/>
      <c r="C86" s="1118"/>
      <c r="D86" s="1118"/>
      <c r="E86" s="1118"/>
      <c r="F86" s="1118"/>
      <c r="G86" s="1118"/>
      <c r="H86" s="1118"/>
      <c r="I86" s="1118"/>
      <c r="J86" s="1118"/>
      <c r="K86" s="1118"/>
      <c r="L86" s="1118"/>
      <c r="M86" s="1118"/>
      <c r="N86" s="1118"/>
      <c r="O86" s="1118"/>
      <c r="P86" s="1118"/>
      <c r="Q86" s="1118"/>
      <c r="R86" s="1118"/>
      <c r="S86" s="1118"/>
    </row>
    <row r="87" spans="1:19" ht="12.75">
      <c r="A87" s="1117" t="s">
        <v>87</v>
      </c>
      <c r="B87" s="1117"/>
      <c r="C87" s="1117"/>
      <c r="D87" s="1117"/>
      <c r="E87" s="1117"/>
      <c r="F87" s="1174"/>
      <c r="G87" s="1117" t="s">
        <v>94</v>
      </c>
      <c r="H87" s="1117"/>
      <c r="I87" s="1117" t="s">
        <v>95</v>
      </c>
      <c r="J87" s="1174">
        <v>39276</v>
      </c>
      <c r="K87" s="1117">
        <v>3</v>
      </c>
      <c r="L87" s="1117"/>
      <c r="M87" s="1117"/>
      <c r="N87" s="1174">
        <v>39276</v>
      </c>
      <c r="O87" s="1118"/>
      <c r="P87" s="1118"/>
      <c r="Q87" s="1118"/>
      <c r="R87" s="1118"/>
      <c r="S87" s="1118"/>
    </row>
    <row r="88" spans="1:19" ht="12.75">
      <c r="A88" s="1117" t="s">
        <v>89</v>
      </c>
      <c r="B88" s="1117"/>
      <c r="C88" s="1117"/>
      <c r="D88" s="1117"/>
      <c r="E88" s="1117"/>
      <c r="F88" s="1117"/>
      <c r="G88" s="1117" t="s">
        <v>90</v>
      </c>
      <c r="H88" s="1117"/>
      <c r="I88" s="1117"/>
      <c r="J88" s="1174">
        <v>39331</v>
      </c>
      <c r="K88" s="1117">
        <v>3</v>
      </c>
      <c r="L88" s="1117"/>
      <c r="M88" s="1117"/>
      <c r="N88" s="1117"/>
      <c r="O88" s="1118"/>
      <c r="P88" s="1118"/>
      <c r="Q88" s="1118"/>
      <c r="R88" s="1118"/>
      <c r="S88" s="1118"/>
    </row>
    <row r="89" spans="1:19" ht="12.75">
      <c r="A89" s="1117" t="s">
        <v>72</v>
      </c>
      <c r="B89" s="1117"/>
      <c r="C89" s="1117"/>
      <c r="D89" s="1117"/>
      <c r="E89" s="1117"/>
      <c r="F89" s="1117"/>
      <c r="G89" s="1117" t="s">
        <v>92</v>
      </c>
      <c r="H89" s="1117"/>
      <c r="I89" s="1117"/>
      <c r="J89" s="1174">
        <v>39386</v>
      </c>
      <c r="K89" s="1117">
        <v>2</v>
      </c>
      <c r="L89" s="1117"/>
      <c r="M89" s="1117"/>
      <c r="N89" s="1174"/>
      <c r="O89" s="1118"/>
      <c r="P89" s="1118"/>
      <c r="Q89" s="1118"/>
      <c r="R89" s="1118"/>
      <c r="S89" s="1118"/>
    </row>
    <row r="90" spans="1:19" ht="12.75">
      <c r="A90" s="1117" t="s">
        <v>74</v>
      </c>
      <c r="B90" s="1117"/>
      <c r="C90" s="1117"/>
      <c r="D90" s="1117"/>
      <c r="E90" s="1117"/>
      <c r="F90" s="1174"/>
      <c r="G90" s="1117" t="s">
        <v>97</v>
      </c>
      <c r="H90" s="1117"/>
      <c r="I90" s="1117"/>
      <c r="J90" s="1174">
        <v>39407</v>
      </c>
      <c r="K90" s="1117">
        <v>3</v>
      </c>
      <c r="L90" s="1117"/>
      <c r="M90" s="1117"/>
      <c r="N90" s="1174">
        <v>39479</v>
      </c>
      <c r="O90" s="1118"/>
      <c r="P90" s="1118"/>
      <c r="Q90" s="1118"/>
      <c r="R90" s="1118"/>
      <c r="S90" s="1118"/>
    </row>
    <row r="91" spans="1:19" ht="12.75">
      <c r="A91" s="1117" t="s">
        <v>75</v>
      </c>
      <c r="B91" s="1117"/>
      <c r="C91" s="1117"/>
      <c r="D91" s="1117"/>
      <c r="E91" s="1117"/>
      <c r="F91" s="1117"/>
      <c r="G91" s="1117" t="s">
        <v>80</v>
      </c>
      <c r="H91" s="1117"/>
      <c r="I91" s="1117"/>
      <c r="J91" s="1174">
        <v>39484</v>
      </c>
      <c r="K91" s="1117">
        <v>3</v>
      </c>
      <c r="L91" s="1117"/>
      <c r="M91" s="1117"/>
      <c r="N91" s="1174">
        <v>39580</v>
      </c>
      <c r="O91" s="1118"/>
      <c r="P91" s="1118"/>
      <c r="Q91" s="1118"/>
      <c r="R91" s="1118"/>
      <c r="S91" s="1118"/>
    </row>
    <row r="92" spans="1:19" ht="12.75">
      <c r="A92" s="1117" t="s">
        <v>77</v>
      </c>
      <c r="B92" s="1117"/>
      <c r="C92" s="1117"/>
      <c r="D92" s="1117"/>
      <c r="E92" s="1117"/>
      <c r="F92" s="1117"/>
      <c r="G92" s="1117" t="s">
        <v>73</v>
      </c>
      <c r="H92" s="1117"/>
      <c r="I92" s="1117"/>
      <c r="J92" s="1174">
        <v>39577</v>
      </c>
      <c r="K92" s="1117">
        <v>2</v>
      </c>
      <c r="L92" s="1117"/>
      <c r="M92" s="1117"/>
      <c r="N92" s="1117"/>
      <c r="O92" s="1118"/>
      <c r="P92" s="1118"/>
      <c r="Q92" s="1118"/>
      <c r="R92" s="1118"/>
      <c r="S92" s="1118"/>
    </row>
    <row r="93" spans="1:19" ht="12.75">
      <c r="A93" s="1117" t="s">
        <v>91</v>
      </c>
      <c r="B93" s="1117"/>
      <c r="C93" s="1117"/>
      <c r="D93" s="1117"/>
      <c r="E93" s="1117"/>
      <c r="F93" s="1174"/>
      <c r="G93" s="1117" t="s">
        <v>88</v>
      </c>
      <c r="H93" s="1117"/>
      <c r="I93" s="1117"/>
      <c r="J93" s="1174">
        <v>39603</v>
      </c>
      <c r="K93" s="1117">
        <v>3</v>
      </c>
      <c r="L93" s="1117"/>
      <c r="M93" s="1117"/>
      <c r="N93" s="1117"/>
      <c r="O93" s="1118"/>
      <c r="P93" s="1118"/>
      <c r="Q93" s="1118"/>
      <c r="R93" s="1118"/>
      <c r="S93" s="1118"/>
    </row>
    <row r="94" spans="1:19" ht="12.75">
      <c r="A94" s="1117" t="s">
        <v>93</v>
      </c>
      <c r="B94" s="1117"/>
      <c r="C94" s="1117"/>
      <c r="D94" s="1117"/>
      <c r="E94" s="1117"/>
      <c r="F94" s="1117"/>
      <c r="G94" s="1117"/>
      <c r="H94" s="1117"/>
      <c r="I94" s="1117"/>
      <c r="J94" s="1117"/>
      <c r="K94" s="1117"/>
      <c r="L94" s="1117"/>
      <c r="M94" s="1117"/>
      <c r="N94" s="1117"/>
      <c r="O94" s="1118"/>
      <c r="P94" s="1118"/>
      <c r="Q94" s="1118"/>
      <c r="R94" s="1118"/>
      <c r="S94" s="1118"/>
    </row>
    <row r="95" spans="1:19" ht="12.75">
      <c r="A95" s="1117" t="s">
        <v>79</v>
      </c>
      <c r="B95" s="1117"/>
      <c r="C95" s="1117"/>
      <c r="D95" s="1117"/>
      <c r="E95" s="1117"/>
      <c r="F95" s="1117"/>
      <c r="G95" s="1117"/>
      <c r="H95" s="1117"/>
      <c r="I95" s="1117"/>
      <c r="J95" s="1117"/>
      <c r="K95" s="1117"/>
      <c r="L95" s="1117"/>
      <c r="M95" s="1117"/>
      <c r="N95" s="1117"/>
      <c r="O95" s="1118"/>
      <c r="P95" s="1118"/>
      <c r="Q95" s="1118"/>
      <c r="R95" s="1118"/>
      <c r="S95" s="1118"/>
    </row>
    <row r="96" spans="1:19" ht="12.75">
      <c r="A96" s="1117" t="s">
        <v>96</v>
      </c>
      <c r="B96" s="1117"/>
      <c r="C96" s="1117"/>
      <c r="D96" s="1117"/>
      <c r="E96" s="1117"/>
      <c r="F96" s="1174"/>
      <c r="G96" s="1117"/>
      <c r="H96" s="1117"/>
      <c r="I96" s="1117"/>
      <c r="J96" s="1117"/>
      <c r="K96" s="1117"/>
      <c r="L96" s="1117"/>
      <c r="M96" s="1117"/>
      <c r="N96" s="1117"/>
      <c r="O96" s="1118"/>
      <c r="P96" s="1118"/>
      <c r="Q96" s="1118"/>
      <c r="R96" s="1118"/>
      <c r="S96" s="1118"/>
    </row>
    <row r="97" spans="1:19" ht="12.75">
      <c r="A97" s="1117" t="s">
        <v>81</v>
      </c>
      <c r="B97" s="1117"/>
      <c r="C97" s="1117"/>
      <c r="D97" s="1117"/>
      <c r="E97" s="1117"/>
      <c r="F97" s="1174"/>
      <c r="G97" s="1117"/>
      <c r="H97" s="1117"/>
      <c r="I97" s="1117"/>
      <c r="J97" s="1117"/>
      <c r="K97" s="1117"/>
      <c r="L97" s="1117"/>
      <c r="M97" s="1117"/>
      <c r="N97" s="1117"/>
      <c r="O97" s="1118"/>
      <c r="P97" s="1118"/>
      <c r="Q97" s="1118"/>
      <c r="R97" s="1118"/>
      <c r="S97" s="1118"/>
    </row>
    <row r="98" spans="1:19" ht="12.75">
      <c r="A98" s="1117" t="s">
        <v>83</v>
      </c>
      <c r="B98" s="1117"/>
      <c r="C98" s="1117"/>
      <c r="D98" s="1117"/>
      <c r="E98" s="1117"/>
      <c r="F98" s="1174"/>
      <c r="G98" s="1117" t="s">
        <v>76</v>
      </c>
      <c r="H98" s="1174">
        <v>39602</v>
      </c>
      <c r="I98" s="1117"/>
      <c r="J98" s="1174">
        <v>39616</v>
      </c>
      <c r="K98" s="1117">
        <v>2</v>
      </c>
      <c r="L98" s="1117"/>
      <c r="M98" s="1117"/>
      <c r="N98" s="1117"/>
      <c r="O98" s="1118"/>
      <c r="P98" s="1118"/>
      <c r="Q98" s="1118"/>
      <c r="R98" s="1118"/>
      <c r="S98" s="1118"/>
    </row>
    <row r="99" spans="1:19" ht="12.75">
      <c r="A99" s="1117" t="s">
        <v>85</v>
      </c>
      <c r="B99" s="1117"/>
      <c r="C99" s="1117"/>
      <c r="D99" s="1117"/>
      <c r="E99" s="1117"/>
      <c r="F99" s="1117"/>
      <c r="G99" s="1117" t="s">
        <v>98</v>
      </c>
      <c r="H99" s="1174">
        <v>39617</v>
      </c>
      <c r="I99" s="1117"/>
      <c r="J99" s="1174">
        <v>39618</v>
      </c>
      <c r="K99" s="1117">
        <v>3</v>
      </c>
      <c r="L99" s="1117"/>
      <c r="M99" s="1117"/>
      <c r="N99" s="1117"/>
      <c r="O99" s="1118"/>
      <c r="P99" s="1118"/>
      <c r="Q99" s="1118"/>
      <c r="R99" s="1118"/>
      <c r="S99" s="1118"/>
    </row>
    <row r="100" spans="1:19" ht="12.75">
      <c r="A100" s="1118"/>
      <c r="B100" s="1118"/>
      <c r="C100" s="1118"/>
      <c r="D100" s="1118"/>
      <c r="E100" s="1118"/>
      <c r="F100" s="1174"/>
      <c r="G100" s="1117" t="s">
        <v>78</v>
      </c>
      <c r="H100" s="1174">
        <v>39682</v>
      </c>
      <c r="I100" s="1117"/>
      <c r="J100" s="1174">
        <v>39702</v>
      </c>
      <c r="K100" s="1117">
        <v>2</v>
      </c>
      <c r="L100" s="1118"/>
      <c r="M100" s="1118"/>
      <c r="N100" s="1118"/>
      <c r="O100" s="1118"/>
      <c r="P100" s="1118"/>
      <c r="Q100" s="1118"/>
      <c r="R100" s="1118"/>
      <c r="S100" s="1118"/>
    </row>
    <row r="101" spans="1:19" ht="12.75">
      <c r="A101" s="1118"/>
      <c r="B101" s="1118"/>
      <c r="C101" s="1118"/>
      <c r="D101" s="1118"/>
      <c r="E101" s="1118"/>
      <c r="F101" s="1174"/>
      <c r="G101" s="1117" t="s">
        <v>82</v>
      </c>
      <c r="H101" s="1174">
        <v>39750</v>
      </c>
      <c r="I101" s="1117"/>
      <c r="J101" s="1174">
        <v>39750</v>
      </c>
      <c r="K101" s="1117">
        <v>2</v>
      </c>
      <c r="L101" s="1118"/>
      <c r="M101" s="1118"/>
      <c r="N101" s="1118"/>
      <c r="O101" s="1118"/>
      <c r="P101" s="1118"/>
      <c r="Q101" s="1118"/>
      <c r="R101" s="1118"/>
      <c r="S101" s="1118"/>
    </row>
    <row r="102" spans="1:19" ht="12.75">
      <c r="A102" s="1118"/>
      <c r="B102" s="1118"/>
      <c r="C102" s="1118"/>
      <c r="D102" s="1118"/>
      <c r="E102" s="1118"/>
      <c r="F102" s="1174"/>
      <c r="G102" s="1117" t="s">
        <v>84</v>
      </c>
      <c r="H102" s="1174">
        <v>39883</v>
      </c>
      <c r="I102" s="1117"/>
      <c r="J102" s="1174">
        <v>39883</v>
      </c>
      <c r="K102" s="1117">
        <v>2</v>
      </c>
      <c r="L102" s="1118"/>
      <c r="M102" s="1118"/>
      <c r="N102" s="1118"/>
      <c r="O102" s="1118"/>
      <c r="P102" s="1118"/>
      <c r="Q102" s="1118"/>
      <c r="R102" s="1118"/>
      <c r="S102" s="1118"/>
    </row>
    <row r="103" spans="1:19" ht="12.75">
      <c r="A103" s="1118"/>
      <c r="B103" s="1118"/>
      <c r="C103" s="1118"/>
      <c r="D103" s="1118"/>
      <c r="E103" s="1118"/>
      <c r="F103" s="1117"/>
      <c r="G103" s="1117" t="s">
        <v>86</v>
      </c>
      <c r="H103" s="1174">
        <v>39972</v>
      </c>
      <c r="I103" s="1117"/>
      <c r="J103" s="1174">
        <v>39972</v>
      </c>
      <c r="K103" s="1117">
        <v>2</v>
      </c>
      <c r="L103" s="1118"/>
      <c r="M103" s="1118"/>
      <c r="N103" s="1118"/>
      <c r="O103" s="1118"/>
      <c r="P103" s="1118"/>
      <c r="Q103" s="1118"/>
      <c r="R103" s="1118"/>
      <c r="S103" s="1118"/>
    </row>
    <row r="104" spans="1:19" ht="12.75">
      <c r="A104" s="1118"/>
      <c r="B104" s="1118"/>
      <c r="C104" s="1118"/>
      <c r="D104" s="1118"/>
      <c r="E104" s="1118"/>
      <c r="F104" s="1118"/>
      <c r="G104" s="1118"/>
      <c r="H104" s="1118"/>
      <c r="I104" s="1118"/>
      <c r="J104" s="1118"/>
      <c r="K104" s="1118"/>
      <c r="L104" s="1118"/>
      <c r="M104" s="1118"/>
      <c r="N104" s="1118"/>
      <c r="O104" s="1118"/>
      <c r="P104" s="1118"/>
      <c r="Q104" s="1118"/>
      <c r="R104" s="1118"/>
      <c r="S104" s="1118"/>
    </row>
    <row r="105" spans="1:19" ht="12.75">
      <c r="A105" s="1118"/>
      <c r="B105" s="1118"/>
      <c r="C105" s="1118"/>
      <c r="D105" s="1118"/>
      <c r="E105" s="1118"/>
      <c r="F105" s="1117"/>
      <c r="G105" s="1117"/>
      <c r="H105" s="1174"/>
      <c r="I105" s="1117"/>
      <c r="J105" s="1117"/>
      <c r="K105" s="1117"/>
      <c r="L105" s="1118"/>
      <c r="M105" s="1118"/>
      <c r="N105" s="1118"/>
      <c r="O105" s="1118"/>
      <c r="P105" s="1118"/>
      <c r="Q105" s="1118"/>
      <c r="R105" s="1118"/>
      <c r="S105" s="1118"/>
    </row>
    <row r="106" spans="1:19" ht="12.75">
      <c r="A106" s="1118"/>
      <c r="B106" s="1118"/>
      <c r="C106" s="1118"/>
      <c r="D106" s="1118"/>
      <c r="E106" s="1118"/>
      <c r="F106" s="1118"/>
      <c r="G106" s="1118"/>
      <c r="H106" s="1118"/>
      <c r="I106" s="1118"/>
      <c r="J106" s="1118"/>
      <c r="K106" s="1118"/>
      <c r="L106" s="1118"/>
      <c r="M106" s="1118"/>
      <c r="N106" s="1118"/>
      <c r="O106" s="1118"/>
      <c r="P106" s="1118"/>
      <c r="Q106" s="1118"/>
      <c r="R106" s="1118"/>
      <c r="S106" s="1118"/>
    </row>
    <row r="107" spans="1:19" ht="12.75">
      <c r="A107" s="1118"/>
      <c r="B107" s="1118"/>
      <c r="C107" s="1118"/>
      <c r="D107" s="1118"/>
      <c r="E107" s="1118"/>
      <c r="F107" s="1118"/>
      <c r="G107" s="1118"/>
      <c r="H107" s="1118"/>
      <c r="I107" s="1118"/>
      <c r="J107" s="1118"/>
      <c r="K107" s="1118"/>
      <c r="L107" s="1118"/>
      <c r="M107" s="1118"/>
      <c r="N107" s="1118"/>
      <c r="O107" s="1118"/>
      <c r="P107" s="1118"/>
      <c r="Q107" s="1118"/>
      <c r="R107" s="1118"/>
      <c r="S107" s="1118"/>
    </row>
    <row r="108" spans="1:19" ht="12.75">
      <c r="A108" s="1118"/>
      <c r="B108" s="1118"/>
      <c r="C108" s="1118"/>
      <c r="D108" s="1118"/>
      <c r="E108" s="1118"/>
      <c r="F108" s="1118"/>
      <c r="G108" s="1118"/>
      <c r="H108" s="1118"/>
      <c r="I108" s="1118"/>
      <c r="J108" s="1118"/>
      <c r="K108" s="1118"/>
      <c r="L108" s="1118"/>
      <c r="M108" s="1118"/>
      <c r="N108" s="1118"/>
      <c r="O108" s="1118"/>
      <c r="P108" s="1118"/>
      <c r="Q108" s="1118"/>
      <c r="R108" s="1118"/>
      <c r="S108" s="1118"/>
    </row>
    <row r="109" spans="1:19" ht="12.75">
      <c r="A109" s="1118"/>
      <c r="B109" s="1118"/>
      <c r="C109" s="1118"/>
      <c r="D109" s="1118"/>
      <c r="E109" s="1118"/>
      <c r="F109" s="1174"/>
      <c r="G109" s="1117"/>
      <c r="H109" s="1117"/>
      <c r="I109" s="1117"/>
      <c r="J109" s="1117"/>
      <c r="K109" s="1117"/>
      <c r="L109" s="1118"/>
      <c r="M109" s="1118"/>
      <c r="N109" s="1118"/>
      <c r="O109" s="1118"/>
      <c r="P109" s="1118"/>
      <c r="Q109" s="1118"/>
      <c r="R109" s="1118"/>
      <c r="S109" s="1118"/>
    </row>
  </sheetData>
  <mergeCells count="24">
    <mergeCell ref="A3:D3"/>
    <mergeCell ref="A11:D11"/>
    <mergeCell ref="A12:D12"/>
    <mergeCell ref="E12:G12"/>
    <mergeCell ref="A13:G13"/>
    <mergeCell ref="A14:G18"/>
    <mergeCell ref="A19:G19"/>
    <mergeCell ref="A20:G25"/>
    <mergeCell ref="A26:G26"/>
    <mergeCell ref="A27:G32"/>
    <mergeCell ref="A34:G34"/>
    <mergeCell ref="A53:D66"/>
    <mergeCell ref="F64:G64"/>
    <mergeCell ref="E65:G66"/>
    <mergeCell ref="A67:G67"/>
    <mergeCell ref="A68:D68"/>
    <mergeCell ref="A69:D72"/>
    <mergeCell ref="E69:G72"/>
    <mergeCell ref="A76:A77"/>
    <mergeCell ref="D76:D77"/>
    <mergeCell ref="E76:G77"/>
    <mergeCell ref="A78:A79"/>
    <mergeCell ref="D78:D79"/>
    <mergeCell ref="E78:G79"/>
  </mergeCells>
  <printOptions gridLines="1"/>
  <pageMargins left="0.17" right="0.17" top="0.25" bottom="0.39" header="0.17" footer="0.17"/>
  <pageSetup fitToHeight="1" fitToWidth="1" horizontalDpi="600" verticalDpi="600" orientation="portrait" scale="67" r:id="rId2"/>
  <headerFooter alignWithMargins="0">
    <oddFooter>&amp;R&amp;F    &amp;A    &amp;D  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workbookViewId="0" topLeftCell="A1">
      <selection activeCell="V85" sqref="V85:AJ10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5.421875" style="86" customWidth="1"/>
    <col min="6" max="6" width="17.140625" style="86" customWidth="1"/>
    <col min="7" max="7" width="19.421875" style="86" customWidth="1"/>
    <col min="8" max="8" width="9.8515625" style="86" customWidth="1"/>
    <col min="9" max="10" width="13.140625" style="86" customWidth="1"/>
    <col min="11" max="11" width="4.8515625" style="86" customWidth="1"/>
    <col min="12" max="12" width="25.8515625" style="86" customWidth="1"/>
    <col min="13" max="13" width="6.421875" style="86" customWidth="1"/>
    <col min="14" max="16" width="15.00390625" style="86" customWidth="1"/>
    <col min="17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537</v>
      </c>
      <c r="B2" s="27"/>
      <c r="C2" s="27"/>
      <c r="D2" s="28"/>
      <c r="E2" s="28"/>
      <c r="F2" s="28"/>
      <c r="G2" s="29"/>
      <c r="H2" s="934" t="s">
        <v>232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577" t="s">
        <v>67</v>
      </c>
      <c r="B3" s="1578"/>
      <c r="C3" s="1578"/>
      <c r="D3" s="1579"/>
      <c r="E3" s="231" t="s">
        <v>216</v>
      </c>
      <c r="F3" s="232" t="s">
        <v>69</v>
      </c>
      <c r="G3" s="233" t="s">
        <v>66</v>
      </c>
      <c r="H3" s="935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217</v>
      </c>
      <c r="B4" s="34"/>
      <c r="C4" s="34"/>
      <c r="D4" s="34"/>
      <c r="E4" s="237" t="s">
        <v>534</v>
      </c>
      <c r="F4" s="35"/>
      <c r="G4" s="611">
        <v>39416</v>
      </c>
      <c r="H4" s="1057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48</v>
      </c>
      <c r="B5" s="188" t="s">
        <v>240</v>
      </c>
      <c r="C5" s="189" t="s">
        <v>69</v>
      </c>
      <c r="D5" s="186" t="s">
        <v>48</v>
      </c>
      <c r="E5" s="187"/>
      <c r="F5" s="188" t="s">
        <v>240</v>
      </c>
      <c r="G5" s="201" t="s">
        <v>69</v>
      </c>
      <c r="H5" s="221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947" t="s">
        <v>203</v>
      </c>
      <c r="B6" s="948" t="s">
        <v>204</v>
      </c>
      <c r="C6" s="949"/>
      <c r="D6" s="950" t="s">
        <v>211</v>
      </c>
      <c r="E6" s="951"/>
      <c r="F6" s="949" t="s">
        <v>212</v>
      </c>
      <c r="G6" s="203"/>
      <c r="H6" s="221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952" t="s">
        <v>205</v>
      </c>
      <c r="B7" s="953" t="s">
        <v>206</v>
      </c>
      <c r="C7" s="954"/>
      <c r="D7" s="955" t="s">
        <v>213</v>
      </c>
      <c r="E7" s="956"/>
      <c r="F7" s="954" t="s">
        <v>196</v>
      </c>
      <c r="G7" s="185"/>
      <c r="H7" s="221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952" t="s">
        <v>207</v>
      </c>
      <c r="B8" s="953" t="s">
        <v>194</v>
      </c>
      <c r="C8" s="954"/>
      <c r="D8" s="955" t="s">
        <v>214</v>
      </c>
      <c r="E8" s="956"/>
      <c r="F8" s="954" t="s">
        <v>198</v>
      </c>
      <c r="G8" s="185"/>
      <c r="H8" s="221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952" t="s">
        <v>208</v>
      </c>
      <c r="B9" s="953" t="s">
        <v>202</v>
      </c>
      <c r="C9" s="954"/>
      <c r="D9" s="955" t="s">
        <v>215</v>
      </c>
      <c r="E9" s="956"/>
      <c r="F9" s="954" t="s">
        <v>116</v>
      </c>
      <c r="G9" s="185"/>
      <c r="H9" s="221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957" t="s">
        <v>209</v>
      </c>
      <c r="B10" s="958" t="s">
        <v>210</v>
      </c>
      <c r="C10" s="959"/>
      <c r="D10" s="960"/>
      <c r="E10" s="961"/>
      <c r="F10" s="959"/>
      <c r="G10" s="206"/>
      <c r="H10" s="221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440"/>
      <c r="B11" s="1441"/>
      <c r="C11" s="1441"/>
      <c r="D11" s="1441"/>
      <c r="E11" s="190"/>
      <c r="F11" s="39"/>
      <c r="G11" s="40"/>
      <c r="H11" s="221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442"/>
      <c r="B12" s="1442"/>
      <c r="C12" s="1442"/>
      <c r="D12" s="1443"/>
      <c r="E12" s="1442"/>
      <c r="F12" s="1443"/>
      <c r="G12" s="1443"/>
      <c r="H12" s="337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1444" t="s">
        <v>49</v>
      </c>
      <c r="B13" s="1445"/>
      <c r="C13" s="1445"/>
      <c r="D13" s="1446"/>
      <c r="E13" s="1446"/>
      <c r="F13" s="1446"/>
      <c r="G13" s="1447"/>
      <c r="H13" s="337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448"/>
      <c r="B14" s="1449"/>
      <c r="C14" s="1449"/>
      <c r="D14" s="1450"/>
      <c r="E14" s="1450"/>
      <c r="F14" s="1450"/>
      <c r="G14" s="1451"/>
      <c r="H14" s="337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448"/>
      <c r="B15" s="1449"/>
      <c r="C15" s="1449"/>
      <c r="D15" s="1450"/>
      <c r="E15" s="1450"/>
      <c r="F15" s="1450"/>
      <c r="G15" s="1451"/>
      <c r="H15" s="337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448"/>
      <c r="B16" s="1449"/>
      <c r="C16" s="1449"/>
      <c r="D16" s="1450"/>
      <c r="E16" s="1450"/>
      <c r="F16" s="1450"/>
      <c r="G16" s="1451"/>
      <c r="H16" s="337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452"/>
      <c r="B17" s="1450"/>
      <c r="C17" s="1450"/>
      <c r="D17" s="1450"/>
      <c r="E17" s="1450"/>
      <c r="F17" s="1450"/>
      <c r="G17" s="1451"/>
      <c r="H17" s="33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452"/>
      <c r="B18" s="1450"/>
      <c r="C18" s="1450"/>
      <c r="D18" s="1450"/>
      <c r="E18" s="1450"/>
      <c r="F18" s="1450"/>
      <c r="G18" s="1451"/>
      <c r="H18" s="337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1453"/>
      <c r="B19" s="1454"/>
      <c r="C19" s="1454"/>
      <c r="D19" s="1454"/>
      <c r="E19" s="1454"/>
      <c r="F19" s="1454"/>
      <c r="G19" s="1455"/>
      <c r="H19" s="337"/>
      <c r="I19"/>
      <c r="J19"/>
      <c r="K19"/>
      <c r="L19"/>
      <c r="M19"/>
      <c r="N19"/>
      <c r="O19"/>
      <c r="P19"/>
      <c r="Q19"/>
      <c r="R19"/>
      <c r="S19"/>
    </row>
    <row r="20" spans="1:19" ht="14.25">
      <c r="A20" s="1456" t="s">
        <v>50</v>
      </c>
      <c r="B20" s="1457"/>
      <c r="C20" s="1457"/>
      <c r="D20" s="1458"/>
      <c r="E20" s="1458"/>
      <c r="F20" s="1458"/>
      <c r="G20" s="1459"/>
      <c r="H20" s="337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448"/>
      <c r="B21" s="1449"/>
      <c r="C21" s="1449"/>
      <c r="D21" s="1450"/>
      <c r="E21" s="1450"/>
      <c r="F21" s="1450"/>
      <c r="G21" s="1451"/>
      <c r="H21" s="337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448"/>
      <c r="B22" s="1449"/>
      <c r="C22" s="1449"/>
      <c r="D22" s="1450"/>
      <c r="E22" s="1450"/>
      <c r="F22" s="1450"/>
      <c r="G22" s="1451"/>
      <c r="H22" s="337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448"/>
      <c r="B23" s="1449"/>
      <c r="C23" s="1449"/>
      <c r="D23" s="1450"/>
      <c r="E23" s="1450"/>
      <c r="F23" s="1450"/>
      <c r="G23" s="1451"/>
      <c r="H23" s="337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452"/>
      <c r="B24" s="1450"/>
      <c r="C24" s="1450"/>
      <c r="D24" s="1450"/>
      <c r="E24" s="1450"/>
      <c r="F24" s="1450"/>
      <c r="G24" s="1451"/>
      <c r="H24" s="337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452"/>
      <c r="B25" s="1450"/>
      <c r="C25" s="1450"/>
      <c r="D25" s="1450"/>
      <c r="E25" s="1450"/>
      <c r="F25" s="1450"/>
      <c r="G25" s="1451"/>
      <c r="H25" s="337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s="1453"/>
      <c r="B26" s="1454"/>
      <c r="C26" s="1454"/>
      <c r="D26" s="1454"/>
      <c r="E26" s="1454"/>
      <c r="F26" s="1454"/>
      <c r="G26" s="1455"/>
      <c r="H26" s="337"/>
      <c r="I26"/>
      <c r="J26"/>
      <c r="K26"/>
      <c r="L26"/>
      <c r="M26"/>
      <c r="N26"/>
      <c r="O26"/>
      <c r="P26"/>
      <c r="Q26"/>
      <c r="R26"/>
      <c r="S26"/>
    </row>
    <row r="27" spans="1:19" ht="14.25">
      <c r="A27" s="1456" t="s">
        <v>64</v>
      </c>
      <c r="B27" s="1457"/>
      <c r="C27" s="1457"/>
      <c r="D27" s="1458"/>
      <c r="E27" s="1458"/>
      <c r="F27" s="1458"/>
      <c r="G27" s="1459"/>
      <c r="H27" s="33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448"/>
      <c r="B28" s="1449"/>
      <c r="C28" s="1449"/>
      <c r="D28" s="1450"/>
      <c r="E28" s="1450"/>
      <c r="F28" s="1450"/>
      <c r="G28" s="1451"/>
      <c r="H28" s="337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s="1448"/>
      <c r="B29" s="1449"/>
      <c r="C29" s="1449"/>
      <c r="D29" s="1450"/>
      <c r="E29" s="1450"/>
      <c r="F29" s="1450"/>
      <c r="G29" s="1451"/>
      <c r="H29" s="337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s="1448"/>
      <c r="B30" s="1449"/>
      <c r="C30" s="1449"/>
      <c r="D30" s="1450"/>
      <c r="E30" s="1450"/>
      <c r="F30" s="1450"/>
      <c r="G30" s="1451"/>
      <c r="H30" s="22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448"/>
      <c r="B31" s="1449"/>
      <c r="C31" s="1449"/>
      <c r="D31" s="1450"/>
      <c r="E31" s="1450"/>
      <c r="F31" s="1450"/>
      <c r="G31" s="1451"/>
      <c r="H31" s="22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6" ht="12.75">
      <c r="A32" s="1452"/>
      <c r="B32" s="1450"/>
      <c r="C32" s="1450"/>
      <c r="D32" s="1450"/>
      <c r="E32" s="1450"/>
      <c r="F32" s="1450"/>
      <c r="G32" s="1451"/>
      <c r="H32" s="22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1452"/>
      <c r="B33" s="1450"/>
      <c r="C33" s="1450"/>
      <c r="D33" s="1450"/>
      <c r="E33" s="1450"/>
      <c r="F33" s="1450"/>
      <c r="G33" s="1451"/>
      <c r="H33" s="221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thickBot="1">
      <c r="A34" s="1460"/>
      <c r="B34" s="1461"/>
      <c r="C34" s="1461"/>
      <c r="D34" s="1461"/>
      <c r="E34" s="1461"/>
      <c r="F34" s="1461"/>
      <c r="G34" s="1462"/>
      <c r="H34" s="22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6.75" customHeight="1" thickBot="1">
      <c r="A35" s="42"/>
      <c r="B35" s="42"/>
      <c r="C35" s="42"/>
      <c r="D35" s="42"/>
      <c r="E35" s="42"/>
      <c r="F35" s="42"/>
      <c r="G35" s="42"/>
      <c r="H35" s="2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thickBot="1">
      <c r="A36" s="1463" t="s">
        <v>1034</v>
      </c>
      <c r="B36" s="1464"/>
      <c r="C36" s="1464"/>
      <c r="D36" s="1465"/>
      <c r="E36" s="1465"/>
      <c r="F36" s="1465"/>
      <c r="G36" s="1466"/>
      <c r="H36" s="221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>
      <c r="A37" s="927" t="s">
        <v>1016</v>
      </c>
      <c r="B37" s="928" t="s">
        <v>238</v>
      </c>
      <c r="C37" s="928" t="s">
        <v>142</v>
      </c>
      <c r="D37" s="257" t="s">
        <v>538</v>
      </c>
      <c r="E37" s="257" t="s">
        <v>539</v>
      </c>
      <c r="F37" s="257" t="s">
        <v>545</v>
      </c>
      <c r="G37" s="258" t="s">
        <v>1033</v>
      </c>
      <c r="H37" s="221"/>
      <c r="I37" s="25" t="s">
        <v>99</v>
      </c>
      <c r="J37" s="25" t="s">
        <v>100</v>
      </c>
      <c r="K37" s="25" t="s">
        <v>102</v>
      </c>
      <c r="L37" s="25" t="s">
        <v>103</v>
      </c>
      <c r="M37" s="25" t="s">
        <v>549</v>
      </c>
      <c r="N37" s="25" t="s">
        <v>105</v>
      </c>
      <c r="O37" s="25" t="s">
        <v>758</v>
      </c>
      <c r="P37" s="25" t="s">
        <v>101</v>
      </c>
      <c r="Q37" s="25" t="s">
        <v>760</v>
      </c>
      <c r="R37" s="25" t="s">
        <v>1024</v>
      </c>
      <c r="S37" s="25"/>
      <c r="T37" s="25"/>
      <c r="U37" s="25"/>
      <c r="V37" s="25"/>
      <c r="W37" s="25"/>
      <c r="X37" s="25"/>
      <c r="Y37" s="25"/>
      <c r="Z37" s="25"/>
    </row>
    <row r="38" spans="1:35" ht="12.75">
      <c r="A38" s="1267" t="str">
        <f>+J38&amp;H38&amp;I38</f>
        <v>Shims required  for 1st 3 pack MC assy -(task S21-5.04X</v>
      </c>
      <c r="B38" s="1110">
        <v>1431</v>
      </c>
      <c r="C38" s="1110" t="s">
        <v>198</v>
      </c>
      <c r="D38" s="1268">
        <v>39345</v>
      </c>
      <c r="E38" s="1268">
        <v>39458</v>
      </c>
      <c r="F38" s="1269">
        <v>39417</v>
      </c>
      <c r="G38" s="1110">
        <v>-39</v>
      </c>
      <c r="H38" s="243" t="s">
        <v>1035</v>
      </c>
      <c r="I38" s="243" t="s">
        <v>197</v>
      </c>
      <c r="J38" s="243" t="s">
        <v>92</v>
      </c>
      <c r="K38" s="243">
        <v>1431</v>
      </c>
      <c r="L38" s="243" t="s">
        <v>198</v>
      </c>
      <c r="M38" s="49">
        <v>39345</v>
      </c>
      <c r="N38" s="49">
        <v>39458</v>
      </c>
      <c r="O38" s="1228">
        <v>39417</v>
      </c>
      <c r="P38" s="243">
        <v>2</v>
      </c>
      <c r="Q38" s="243">
        <v>-39</v>
      </c>
      <c r="R38" s="243" t="s">
        <v>1027</v>
      </c>
      <c r="S38" s="243"/>
      <c r="T38" s="243"/>
      <c r="U38" s="243"/>
      <c r="V38" s="243"/>
      <c r="W38" s="243"/>
      <c r="X38" s="25"/>
      <c r="Y38" s="25"/>
      <c r="Z38" s="25"/>
      <c r="AA38" s="25" t="s">
        <v>101</v>
      </c>
      <c r="AB38" s="25" t="s">
        <v>102</v>
      </c>
      <c r="AC38" s="25" t="s">
        <v>103</v>
      </c>
      <c r="AD38" s="25" t="s">
        <v>548</v>
      </c>
      <c r="AE38" s="53" t="s">
        <v>549</v>
      </c>
      <c r="AF38" s="25" t="s">
        <v>104</v>
      </c>
      <c r="AG38" s="25" t="s">
        <v>105</v>
      </c>
      <c r="AH38" s="25" t="s">
        <v>582</v>
      </c>
      <c r="AI38" s="25"/>
    </row>
    <row r="39" spans="1:35" ht="12.75">
      <c r="A39" s="1265" t="str">
        <f aca="true" t="shared" si="0" ref="A39:A44">+J39&amp;H39&amp;I39</f>
        <v>Final Scan of VVSA #3 Station 1 complete -(task R1810-1329</v>
      </c>
      <c r="B39" s="1229">
        <v>1810</v>
      </c>
      <c r="C39" s="1229" t="s">
        <v>202</v>
      </c>
      <c r="D39" s="1261">
        <v>39484</v>
      </c>
      <c r="E39" s="1261">
        <v>39468</v>
      </c>
      <c r="F39" s="1229"/>
      <c r="G39" s="280">
        <v>302</v>
      </c>
      <c r="H39" s="243" t="s">
        <v>1035</v>
      </c>
      <c r="I39" s="71" t="s">
        <v>201</v>
      </c>
      <c r="J39" s="86" t="s">
        <v>587</v>
      </c>
      <c r="K39" s="86">
        <v>1810</v>
      </c>
      <c r="L39" s="86" t="s">
        <v>202</v>
      </c>
      <c r="M39" s="264">
        <v>39484</v>
      </c>
      <c r="N39" s="264">
        <v>39468</v>
      </c>
      <c r="P39" s="86">
        <v>3</v>
      </c>
      <c r="Q39" s="71">
        <v>302</v>
      </c>
      <c r="R39" s="71"/>
      <c r="S39" s="71"/>
      <c r="T39" s="71"/>
      <c r="U39" s="71"/>
      <c r="V39" s="71"/>
      <c r="W39" s="71"/>
      <c r="X39" s="25"/>
      <c r="Y39" s="25"/>
      <c r="Z39" s="25"/>
      <c r="AA39" s="25">
        <v>3</v>
      </c>
      <c r="AB39" s="25">
        <v>1803</v>
      </c>
      <c r="AC39" s="25" t="s">
        <v>194</v>
      </c>
      <c r="AD39" s="53" t="s">
        <v>193</v>
      </c>
      <c r="AE39" s="223">
        <v>39276</v>
      </c>
      <c r="AF39" s="25" t="s">
        <v>550</v>
      </c>
      <c r="AG39" s="53" t="s">
        <v>551</v>
      </c>
      <c r="AH39" s="25">
        <v>-2</v>
      </c>
      <c r="AI39" s="25"/>
    </row>
    <row r="40" spans="1:35" ht="12.75">
      <c r="A40" s="1265" t="str">
        <f t="shared" si="0"/>
        <v> Station 5 FDR -(task 1803-5.6</v>
      </c>
      <c r="B40" s="1229">
        <v>1803</v>
      </c>
      <c r="C40" s="1229" t="s">
        <v>194</v>
      </c>
      <c r="D40" s="1261">
        <v>39407</v>
      </c>
      <c r="E40" s="1261">
        <v>39497</v>
      </c>
      <c r="F40" s="1229"/>
      <c r="G40" s="280">
        <v>69</v>
      </c>
      <c r="H40" s="243" t="s">
        <v>1035</v>
      </c>
      <c r="I40" s="71" t="s">
        <v>199</v>
      </c>
      <c r="J40" s="86" t="s">
        <v>200</v>
      </c>
      <c r="K40" s="86">
        <v>1803</v>
      </c>
      <c r="L40" s="86" t="s">
        <v>194</v>
      </c>
      <c r="M40" s="264">
        <v>39407</v>
      </c>
      <c r="N40" s="264">
        <v>39497</v>
      </c>
      <c r="P40" s="86">
        <v>3</v>
      </c>
      <c r="Q40" s="71">
        <v>69</v>
      </c>
      <c r="R40" s="71" t="s">
        <v>1027</v>
      </c>
      <c r="S40" s="71"/>
      <c r="T40" s="71"/>
      <c r="U40" s="71"/>
      <c r="V40" s="71"/>
      <c r="W40" s="71"/>
      <c r="X40" s="25"/>
      <c r="Y40" s="25"/>
      <c r="Z40" s="25"/>
      <c r="AA40" s="25">
        <v>3</v>
      </c>
      <c r="AB40" s="25">
        <v>3101</v>
      </c>
      <c r="AC40" s="25" t="s">
        <v>196</v>
      </c>
      <c r="AD40" s="53"/>
      <c r="AE40" s="223">
        <v>39331</v>
      </c>
      <c r="AF40" s="25"/>
      <c r="AG40" s="53" t="s">
        <v>581</v>
      </c>
      <c r="AH40" s="25">
        <v>19</v>
      </c>
      <c r="AI40" s="53"/>
    </row>
    <row r="41" spans="1:35" ht="12.75">
      <c r="A41" s="1267" t="str">
        <f t="shared" si="0"/>
        <v>Complete 1st MCHP Assy (Sta 2) -(task S21-11.07M</v>
      </c>
      <c r="B41" s="1270">
        <v>1810</v>
      </c>
      <c r="C41" s="1270" t="s">
        <v>202</v>
      </c>
      <c r="D41" s="1271">
        <v>39577</v>
      </c>
      <c r="E41" s="1271">
        <v>39591</v>
      </c>
      <c r="F41" s="1272">
        <v>39692</v>
      </c>
      <c r="G41" s="1110">
        <v>-39</v>
      </c>
      <c r="H41" s="243" t="s">
        <v>1035</v>
      </c>
      <c r="I41" s="71" t="s">
        <v>1030</v>
      </c>
      <c r="J41" s="86" t="s">
        <v>1031</v>
      </c>
      <c r="K41" s="86">
        <v>1810</v>
      </c>
      <c r="L41" s="86" t="s">
        <v>202</v>
      </c>
      <c r="M41" s="264">
        <v>39577</v>
      </c>
      <c r="N41" s="264">
        <v>39591</v>
      </c>
      <c r="O41" s="936">
        <v>39692</v>
      </c>
      <c r="P41" s="86">
        <v>2</v>
      </c>
      <c r="Q41" s="71">
        <v>-39</v>
      </c>
      <c r="R41" s="71" t="s">
        <v>1027</v>
      </c>
      <c r="S41" s="71"/>
      <c r="T41" s="71"/>
      <c r="U41" s="71"/>
      <c r="V41" s="71"/>
      <c r="W41" s="71"/>
      <c r="X41" s="25"/>
      <c r="Y41" s="25"/>
      <c r="Z41" s="25"/>
      <c r="AA41" s="25">
        <v>2</v>
      </c>
      <c r="AB41" s="25">
        <v>1431</v>
      </c>
      <c r="AC41" s="86" t="s">
        <v>198</v>
      </c>
      <c r="AD41" s="53">
        <v>39345</v>
      </c>
      <c r="AE41" s="223"/>
      <c r="AF41" s="264">
        <v>39349</v>
      </c>
      <c r="AG41" s="53"/>
      <c r="AH41" s="86">
        <v>-2</v>
      </c>
      <c r="AI41" s="53"/>
    </row>
    <row r="42" spans="1:35" ht="12.75">
      <c r="A42" s="1273" t="str">
        <f t="shared" si="0"/>
        <v>Remove from stand  Move A2-B2-C2 to holding area -(task S22-11.06</v>
      </c>
      <c r="B42" s="1263">
        <v>1810</v>
      </c>
      <c r="C42" s="1263" t="s">
        <v>202</v>
      </c>
      <c r="D42" s="1264">
        <v>39618</v>
      </c>
      <c r="E42" s="1264">
        <v>39591</v>
      </c>
      <c r="F42" s="1263"/>
      <c r="G42" s="1274">
        <v>-29</v>
      </c>
      <c r="H42" s="243" t="s">
        <v>1035</v>
      </c>
      <c r="I42" s="71" t="s">
        <v>1073</v>
      </c>
      <c r="J42" s="86" t="s">
        <v>98</v>
      </c>
      <c r="K42" s="86">
        <v>1810</v>
      </c>
      <c r="L42" s="86" t="s">
        <v>202</v>
      </c>
      <c r="M42" s="264">
        <v>39618</v>
      </c>
      <c r="N42" s="264">
        <v>39591</v>
      </c>
      <c r="P42" s="86">
        <v>3</v>
      </c>
      <c r="Q42" s="71">
        <v>-29</v>
      </c>
      <c r="R42" s="71">
        <v>2110</v>
      </c>
      <c r="S42" s="71"/>
      <c r="T42" s="71"/>
      <c r="U42" s="71"/>
      <c r="V42" s="71"/>
      <c r="W42" s="71"/>
      <c r="X42" s="25"/>
      <c r="Y42" s="25"/>
      <c r="Z42" s="25"/>
      <c r="AA42" s="25">
        <v>3</v>
      </c>
      <c r="AB42" s="25">
        <v>1803</v>
      </c>
      <c r="AC42" s="25" t="s">
        <v>194</v>
      </c>
      <c r="AD42" s="53"/>
      <c r="AE42" s="223">
        <v>39407</v>
      </c>
      <c r="AF42" s="25"/>
      <c r="AG42" s="53">
        <v>39384</v>
      </c>
      <c r="AH42" s="25">
        <v>17</v>
      </c>
      <c r="AI42" s="53"/>
    </row>
    <row r="43" spans="1:35" ht="12.75">
      <c r="A43" s="1265" t="str">
        <f t="shared" si="0"/>
        <v> Station 6 FDR -(task 1803-6.6</v>
      </c>
      <c r="B43" s="1229">
        <v>1803</v>
      </c>
      <c r="C43" s="1229" t="s">
        <v>194</v>
      </c>
      <c r="D43" s="1261">
        <v>39603</v>
      </c>
      <c r="E43" s="1261">
        <v>39603</v>
      </c>
      <c r="F43" s="1262"/>
      <c r="G43" s="280">
        <v>69</v>
      </c>
      <c r="H43" s="243" t="s">
        <v>1035</v>
      </c>
      <c r="I43" s="71" t="s">
        <v>849</v>
      </c>
      <c r="J43" s="86" t="s">
        <v>850</v>
      </c>
      <c r="K43" s="86">
        <v>1803</v>
      </c>
      <c r="L43" s="86" t="s">
        <v>194</v>
      </c>
      <c r="M43" s="264">
        <v>39603</v>
      </c>
      <c r="N43" s="264">
        <v>39603</v>
      </c>
      <c r="O43" s="936"/>
      <c r="P43" s="86">
        <v>3</v>
      </c>
      <c r="Q43" s="71">
        <v>69</v>
      </c>
      <c r="R43" s="71" t="s">
        <v>1027</v>
      </c>
      <c r="S43" s="71"/>
      <c r="T43" s="71"/>
      <c r="U43" s="71"/>
      <c r="V43" s="71"/>
      <c r="W43" s="71"/>
      <c r="X43" s="25"/>
      <c r="Y43" s="25"/>
      <c r="Z43" s="25"/>
      <c r="AA43" s="25">
        <v>3</v>
      </c>
      <c r="AB43" s="25">
        <v>1810</v>
      </c>
      <c r="AC43" s="53" t="s">
        <v>202</v>
      </c>
      <c r="AD43" s="53">
        <v>39479</v>
      </c>
      <c r="AE43" s="223">
        <v>39484</v>
      </c>
      <c r="AF43" s="53">
        <v>39511</v>
      </c>
      <c r="AG43" s="53">
        <v>39514</v>
      </c>
      <c r="AH43" s="53">
        <v>-22</v>
      </c>
      <c r="AI43" s="53"/>
    </row>
    <row r="44" spans="1:35" ht="14.25">
      <c r="A44" s="1266" t="str">
        <f t="shared" si="0"/>
        <v>COMPLETE VPI OF 18th MOD COIL -(task P3-171VM</v>
      </c>
      <c r="B44" s="284">
        <v>1451</v>
      </c>
      <c r="C44" s="284" t="s">
        <v>204</v>
      </c>
      <c r="D44" s="283">
        <v>39644</v>
      </c>
      <c r="E44" s="283">
        <v>39629</v>
      </c>
      <c r="F44" s="641">
        <v>39753</v>
      </c>
      <c r="G44" s="284">
        <v>44</v>
      </c>
      <c r="H44" s="243" t="s">
        <v>1035</v>
      </c>
      <c r="I44" s="261" t="s">
        <v>847</v>
      </c>
      <c r="J44" s="261" t="s">
        <v>848</v>
      </c>
      <c r="K44" s="261">
        <v>1451</v>
      </c>
      <c r="L44" s="261" t="s">
        <v>204</v>
      </c>
      <c r="M44" s="55">
        <v>39644</v>
      </c>
      <c r="N44" s="55">
        <v>39629</v>
      </c>
      <c r="O44" s="1059">
        <v>39753</v>
      </c>
      <c r="P44" s="261">
        <v>2</v>
      </c>
      <c r="Q44" s="261">
        <v>44</v>
      </c>
      <c r="R44" s="261" t="s">
        <v>1027</v>
      </c>
      <c r="S44" s="261"/>
      <c r="T44" s="261"/>
      <c r="U44" s="261"/>
      <c r="V44" s="261"/>
      <c r="W44" s="261"/>
      <c r="X44" s="25"/>
      <c r="Y44" s="25"/>
      <c r="Z44" s="25"/>
      <c r="AA44" s="25"/>
      <c r="AB44" s="25"/>
      <c r="AC44" s="25"/>
      <c r="AD44" s="25"/>
      <c r="AE44" s="53"/>
      <c r="AF44" s="25"/>
      <c r="AG44" s="53"/>
      <c r="AH44" s="25"/>
      <c r="AI44" s="59"/>
    </row>
    <row r="45" spans="1:26" ht="13.5" thickBot="1">
      <c r="A45" s="262"/>
      <c r="B45" s="263"/>
      <c r="C45" s="263"/>
      <c r="D45" s="265"/>
      <c r="E45" s="642"/>
      <c r="F45" s="286"/>
      <c r="G45" s="266"/>
      <c r="H45" s="221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4.5" customHeight="1" thickBot="1">
      <c r="A46" s="38"/>
      <c r="B46" s="38"/>
      <c r="C46" s="38"/>
      <c r="D46" s="38"/>
      <c r="E46" s="38"/>
      <c r="F46" s="38"/>
      <c r="G46" s="38"/>
      <c r="H46" s="221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66"/>
      <c r="B47" s="67"/>
      <c r="C47" s="67"/>
      <c r="D47" s="68" t="s">
        <v>542</v>
      </c>
      <c r="E47" s="69"/>
      <c r="F47" s="69"/>
      <c r="G47" s="70"/>
      <c r="H47" s="38"/>
      <c r="I47" s="71"/>
      <c r="J47" s="71"/>
      <c r="K47" s="71"/>
      <c r="L47" s="71"/>
      <c r="M47" s="71"/>
      <c r="N47" s="71"/>
      <c r="O47" s="71"/>
      <c r="P47" s="71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>
      <c r="A48" s="1467"/>
      <c r="B48" s="1468"/>
      <c r="C48" s="1468"/>
      <c r="D48" s="1469"/>
      <c r="E48" s="207"/>
      <c r="F48" s="72" t="s">
        <v>540</v>
      </c>
      <c r="G48" s="72" t="s">
        <v>541</v>
      </c>
      <c r="H48" s="38"/>
      <c r="I48" s="71"/>
      <c r="J48" s="71"/>
      <c r="K48" s="71"/>
      <c r="L48" s="71"/>
      <c r="M48" s="71"/>
      <c r="N48" s="71"/>
      <c r="O48" s="71"/>
      <c r="P48" s="71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">
      <c r="A49" s="1470"/>
      <c r="B49" s="1471"/>
      <c r="C49" s="1471"/>
      <c r="D49" s="1472"/>
      <c r="E49" s="73" t="s">
        <v>54</v>
      </c>
      <c r="F49" s="183">
        <f>SUM('COST PERFORMANCE BY RLM &amp; JOB'!C37)</f>
        <v>4659.28</v>
      </c>
      <c r="G49" s="208">
        <f>SUM('COST PERFORMANCE BY RLM &amp; JOB'!K37)</f>
        <v>641.77</v>
      </c>
      <c r="H49" s="38"/>
      <c r="I49" s="71"/>
      <c r="J49" s="71"/>
      <c r="K49" s="71"/>
      <c r="L49" s="71"/>
      <c r="M49" s="71"/>
      <c r="N49" s="71"/>
      <c r="O49" s="71"/>
      <c r="P49" s="71"/>
      <c r="Q49"/>
      <c r="R49"/>
      <c r="S49"/>
      <c r="T49"/>
      <c r="U49"/>
      <c r="V49"/>
      <c r="W49"/>
      <c r="X49"/>
      <c r="Y49"/>
      <c r="Z49"/>
    </row>
    <row r="50" spans="1:19" ht="15">
      <c r="A50" s="1470"/>
      <c r="B50" s="1471"/>
      <c r="C50" s="1471"/>
      <c r="D50" s="1472"/>
      <c r="E50" s="73" t="s">
        <v>55</v>
      </c>
      <c r="F50" s="183">
        <f>SUM('COST PERFORMANCE BY RLM &amp; JOB'!D37)</f>
        <v>4333.6990753499995</v>
      </c>
      <c r="G50" s="208">
        <f>SUM('COST PERFORMANCE BY RLM &amp; JOB'!L37)</f>
        <v>539.19307535</v>
      </c>
      <c r="H50" s="38"/>
      <c r="I50" s="71"/>
      <c r="J50"/>
      <c r="K50"/>
      <c r="L50"/>
      <c r="M50"/>
      <c r="N50"/>
      <c r="O50"/>
      <c r="P50"/>
      <c r="Q50"/>
      <c r="R50"/>
      <c r="S50"/>
    </row>
    <row r="51" spans="1:19" ht="15">
      <c r="A51" s="1470"/>
      <c r="B51" s="1471"/>
      <c r="C51" s="1471"/>
      <c r="D51" s="1472"/>
      <c r="E51" s="73" t="s">
        <v>56</v>
      </c>
      <c r="F51" s="183">
        <f>SUM('COST PERFORMANCE BY RLM &amp; JOB'!E37)</f>
        <v>3726.687819234341</v>
      </c>
      <c r="G51" s="208">
        <f>SUM('COST PERFORMANCE BY RLM &amp; JOB'!M37)</f>
        <v>571.916</v>
      </c>
      <c r="H51" s="38"/>
      <c r="I51" s="71"/>
      <c r="J51"/>
      <c r="K51"/>
      <c r="L51"/>
      <c r="M51"/>
      <c r="N51"/>
      <c r="O51"/>
      <c r="P51"/>
      <c r="Q51"/>
      <c r="R51"/>
      <c r="S51"/>
    </row>
    <row r="52" spans="1:19" ht="12.75">
      <c r="A52" s="1470"/>
      <c r="B52" s="1471"/>
      <c r="C52" s="1471"/>
      <c r="D52" s="1472"/>
      <c r="E52" s="73" t="s">
        <v>57</v>
      </c>
      <c r="F52" s="242">
        <f>+F50-F51</f>
        <v>607.0112561156584</v>
      </c>
      <c r="G52" s="209"/>
      <c r="H52" s="38"/>
      <c r="I52" s="71"/>
      <c r="J52"/>
      <c r="K52"/>
      <c r="L52"/>
      <c r="M52"/>
      <c r="N52"/>
      <c r="O52"/>
      <c r="P52"/>
      <c r="Q52"/>
      <c r="R52"/>
      <c r="S52"/>
    </row>
    <row r="53" spans="1:19" ht="12.75">
      <c r="A53" s="1470"/>
      <c r="B53" s="1471"/>
      <c r="C53" s="1471"/>
      <c r="D53" s="1472"/>
      <c r="E53" s="73" t="s">
        <v>58</v>
      </c>
      <c r="F53" s="242">
        <f>+F50-F49</f>
        <v>-325.58092465000027</v>
      </c>
      <c r="G53" s="209"/>
      <c r="H53" s="38"/>
      <c r="I53" s="71"/>
      <c r="J53"/>
      <c r="K53"/>
      <c r="L53"/>
      <c r="M53"/>
      <c r="N53"/>
      <c r="O53"/>
      <c r="P53"/>
      <c r="Q53"/>
      <c r="R53"/>
      <c r="S53"/>
    </row>
    <row r="54" spans="1:19" ht="12.75">
      <c r="A54" s="1470"/>
      <c r="B54" s="1471"/>
      <c r="C54" s="1471"/>
      <c r="D54" s="1472"/>
      <c r="E54" s="73" t="s">
        <v>59</v>
      </c>
      <c r="F54" s="613">
        <f>+F50/F51</f>
        <v>1.1628822390173725</v>
      </c>
      <c r="G54" s="614">
        <f>+G50/G51</f>
        <v>0.9427836873771671</v>
      </c>
      <c r="H54" s="38"/>
      <c r="I54" s="71"/>
      <c r="J54"/>
      <c r="K54"/>
      <c r="L54"/>
      <c r="M54"/>
      <c r="N54"/>
      <c r="O54"/>
      <c r="P54"/>
      <c r="Q54"/>
      <c r="R54"/>
      <c r="S54"/>
    </row>
    <row r="55" spans="1:19" ht="12.75">
      <c r="A55" s="1470"/>
      <c r="B55" s="1471"/>
      <c r="C55" s="1471"/>
      <c r="D55" s="1472"/>
      <c r="E55" s="73" t="s">
        <v>60</v>
      </c>
      <c r="F55" s="613">
        <f>+F50/F49</f>
        <v>0.9301220521947596</v>
      </c>
      <c r="G55" s="614">
        <f>+G50/G49</f>
        <v>0.840165597254468</v>
      </c>
      <c r="H55" s="38"/>
      <c r="I55" s="71"/>
      <c r="J55"/>
      <c r="K55"/>
      <c r="L55"/>
      <c r="M55"/>
      <c r="N55"/>
      <c r="O55"/>
      <c r="P55"/>
      <c r="Q55"/>
      <c r="R55"/>
      <c r="S55"/>
    </row>
    <row r="56" spans="1:19" ht="15">
      <c r="A56" s="1470"/>
      <c r="B56" s="1471"/>
      <c r="C56" s="1471"/>
      <c r="D56" s="1472"/>
      <c r="E56" s="73" t="s">
        <v>52</v>
      </c>
      <c r="F56" s="183">
        <f>SUM('COST PERFORMANCE BY RLM &amp; JOB'!R37)+'Baseline Reconciliation'!F141</f>
        <v>45219.331000000006</v>
      </c>
      <c r="G56" s="210"/>
      <c r="H56" s="38"/>
      <c r="I56" s="71"/>
      <c r="J56"/>
      <c r="K56"/>
      <c r="L56"/>
      <c r="M56"/>
      <c r="N56"/>
      <c r="O56"/>
      <c r="P56"/>
      <c r="Q56"/>
      <c r="R56"/>
      <c r="S56"/>
    </row>
    <row r="57" spans="1:19" ht="15">
      <c r="A57" s="1470"/>
      <c r="B57" s="1471"/>
      <c r="C57" s="1471"/>
      <c r="D57" s="1472"/>
      <c r="E57" s="73" t="s">
        <v>53</v>
      </c>
      <c r="F57" s="184">
        <f>SUM('COST PERFORMANCE BY RLM &amp; JOB'!V37)+'Baseline Reconciliation'!F141</f>
        <v>46927.30422031069</v>
      </c>
      <c r="G57" s="210"/>
      <c r="H57" s="38"/>
      <c r="I57" s="71"/>
      <c r="J57"/>
      <c r="K57"/>
      <c r="L57"/>
      <c r="M57"/>
      <c r="N57"/>
      <c r="O57"/>
      <c r="P57"/>
      <c r="Q57"/>
      <c r="R57"/>
      <c r="S57"/>
    </row>
    <row r="58" spans="1:19" ht="12.75">
      <c r="A58" s="1470"/>
      <c r="B58" s="1471"/>
      <c r="C58" s="1471"/>
      <c r="D58" s="1472"/>
      <c r="E58" s="211" t="s">
        <v>51</v>
      </c>
      <c r="F58" s="212"/>
      <c r="G58" s="213"/>
      <c r="H58" s="38"/>
      <c r="I58" s="71"/>
      <c r="J58"/>
      <c r="K58"/>
      <c r="L58"/>
      <c r="M58"/>
      <c r="N58"/>
      <c r="O58"/>
      <c r="P58"/>
      <c r="Q58"/>
      <c r="R58"/>
      <c r="S58"/>
    </row>
    <row r="59" spans="1:19" ht="12.75">
      <c r="A59" s="1470"/>
      <c r="B59" s="1471"/>
      <c r="C59" s="1471"/>
      <c r="D59" s="1472"/>
      <c r="E59" s="75" t="s">
        <v>61</v>
      </c>
      <c r="F59" s="1476"/>
      <c r="G59" s="1477"/>
      <c r="H59" s="38"/>
      <c r="I59" s="71"/>
      <c r="J59"/>
      <c r="K59"/>
      <c r="L59"/>
      <c r="M59"/>
      <c r="N59"/>
      <c r="O59"/>
      <c r="P59"/>
      <c r="Q59"/>
      <c r="R59"/>
      <c r="S59"/>
    </row>
    <row r="60" spans="1:19" ht="12.75">
      <c r="A60" s="1470"/>
      <c r="B60" s="1471"/>
      <c r="C60" s="1471"/>
      <c r="D60" s="1472"/>
      <c r="E60" s="1478"/>
      <c r="F60" s="1479"/>
      <c r="G60" s="1480"/>
      <c r="H60" s="38"/>
      <c r="I60" s="71"/>
      <c r="J60"/>
      <c r="K60"/>
      <c r="L60"/>
      <c r="M60"/>
      <c r="N60"/>
      <c r="O60"/>
      <c r="P60"/>
      <c r="Q60"/>
      <c r="R60"/>
      <c r="S60"/>
    </row>
    <row r="61" spans="1:19" ht="12.75">
      <c r="A61" s="1470"/>
      <c r="B61" s="1471"/>
      <c r="C61" s="1471"/>
      <c r="D61" s="1472"/>
      <c r="E61" s="1478"/>
      <c r="F61" s="1479"/>
      <c r="G61" s="1480"/>
      <c r="H61" s="38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473"/>
      <c r="B62" s="1474"/>
      <c r="C62" s="1474"/>
      <c r="D62" s="1475"/>
      <c r="E62" s="1481"/>
      <c r="F62" s="1482"/>
      <c r="G62" s="1483"/>
      <c r="H62" s="38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484" t="s">
        <v>543</v>
      </c>
      <c r="B63" s="1485"/>
      <c r="C63" s="1485"/>
      <c r="D63" s="1486"/>
      <c r="E63" s="1486"/>
      <c r="F63" s="1486"/>
      <c r="G63" s="1487"/>
      <c r="H63" s="38"/>
      <c r="I63" s="25"/>
      <c r="J63"/>
      <c r="K63"/>
      <c r="L63"/>
      <c r="M63"/>
      <c r="N63"/>
      <c r="O63"/>
      <c r="P63"/>
      <c r="Q63"/>
      <c r="R63"/>
      <c r="S63"/>
    </row>
    <row r="64" spans="1:19" ht="12.75">
      <c r="A64" s="1488" t="s">
        <v>70</v>
      </c>
      <c r="B64" s="1489"/>
      <c r="C64" s="1489"/>
      <c r="D64" s="1490"/>
      <c r="E64" s="76" t="s">
        <v>71</v>
      </c>
      <c r="F64" s="77"/>
      <c r="G64" s="78"/>
      <c r="H64" s="221"/>
      <c r="I64" s="25"/>
      <c r="J64"/>
      <c r="K64"/>
      <c r="L64"/>
      <c r="M64"/>
      <c r="N64"/>
      <c r="O64"/>
      <c r="P64"/>
      <c r="Q64"/>
      <c r="R64"/>
      <c r="S64"/>
    </row>
    <row r="65" spans="1:19" ht="12.75">
      <c r="A65" s="1491"/>
      <c r="B65" s="1492"/>
      <c r="C65" s="1492"/>
      <c r="D65" s="1493"/>
      <c r="E65" s="1492"/>
      <c r="F65" s="1493"/>
      <c r="G65" s="1499"/>
      <c r="H65" s="221"/>
      <c r="I65" s="25"/>
      <c r="J65"/>
      <c r="K65"/>
      <c r="L65"/>
      <c r="M65"/>
      <c r="N65"/>
      <c r="O65"/>
      <c r="P65"/>
      <c r="Q65"/>
      <c r="R65"/>
      <c r="S65"/>
    </row>
    <row r="66" spans="1:19" ht="12.75">
      <c r="A66" s="1494"/>
      <c r="B66" s="1495"/>
      <c r="C66" s="1495"/>
      <c r="D66" s="1479"/>
      <c r="E66" s="1495"/>
      <c r="F66" s="1479"/>
      <c r="G66" s="1500"/>
      <c r="H66" s="221"/>
      <c r="I66" s="25"/>
      <c r="J66"/>
      <c r="K66"/>
      <c r="L66"/>
      <c r="M66"/>
      <c r="N66"/>
      <c r="O66"/>
      <c r="P66"/>
      <c r="Q66"/>
      <c r="R66"/>
      <c r="S66"/>
    </row>
    <row r="67" spans="1:19" ht="12.75">
      <c r="A67" s="1494"/>
      <c r="B67" s="1495"/>
      <c r="C67" s="1495"/>
      <c r="D67" s="1479"/>
      <c r="E67" s="1495"/>
      <c r="F67" s="1479"/>
      <c r="G67" s="1500"/>
      <c r="H67" s="221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494"/>
      <c r="B68" s="1495"/>
      <c r="C68" s="1495"/>
      <c r="D68" s="1479"/>
      <c r="E68" s="1495"/>
      <c r="F68" s="1479"/>
      <c r="G68" s="1500"/>
      <c r="H68" s="221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494"/>
      <c r="B69" s="1495"/>
      <c r="C69" s="1495"/>
      <c r="D69" s="1479"/>
      <c r="E69" s="1495"/>
      <c r="F69" s="1479"/>
      <c r="G69" s="1500"/>
      <c r="H69" s="221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496"/>
      <c r="B70" s="1479"/>
      <c r="C70" s="1479"/>
      <c r="D70" s="1479"/>
      <c r="E70" s="1479"/>
      <c r="F70" s="1479"/>
      <c r="G70" s="1500"/>
      <c r="H70" s="221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496"/>
      <c r="B71" s="1479"/>
      <c r="C71" s="1479"/>
      <c r="D71" s="1479"/>
      <c r="E71" s="1479"/>
      <c r="F71" s="1479"/>
      <c r="G71" s="1500"/>
      <c r="H71" s="221"/>
      <c r="I71"/>
      <c r="J71"/>
      <c r="K71"/>
      <c r="L71"/>
      <c r="M71"/>
      <c r="N71"/>
      <c r="O71"/>
      <c r="P71"/>
      <c r="Q71"/>
      <c r="R71"/>
      <c r="S71"/>
    </row>
    <row r="72" spans="1:19" ht="13.5" thickBot="1">
      <c r="A72" s="1497"/>
      <c r="B72" s="1498"/>
      <c r="C72" s="1498"/>
      <c r="D72" s="1498"/>
      <c r="E72" s="1498"/>
      <c r="F72" s="1498"/>
      <c r="G72" s="1501"/>
      <c r="H72" s="38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42"/>
      <c r="B73" s="42"/>
      <c r="C73" s="42"/>
      <c r="D73" s="42"/>
      <c r="E73" s="42"/>
      <c r="F73" s="42"/>
      <c r="G73" s="42"/>
      <c r="H73" s="38"/>
      <c r="I73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63</v>
      </c>
      <c r="B74" s="80"/>
      <c r="C74" s="80"/>
      <c r="D74" s="81"/>
      <c r="E74" s="82"/>
      <c r="F74" s="83"/>
      <c r="G74" s="84"/>
      <c r="H74" s="221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544</v>
      </c>
      <c r="B75" s="215"/>
      <c r="C75" s="215"/>
      <c r="D75" s="217" t="s">
        <v>62</v>
      </c>
      <c r="E75" s="218" t="s">
        <v>546</v>
      </c>
      <c r="F75" s="219"/>
      <c r="G75" s="220"/>
      <c r="H75" s="221"/>
      <c r="I75"/>
      <c r="J75"/>
      <c r="K75"/>
      <c r="L75"/>
      <c r="M75"/>
      <c r="N75"/>
      <c r="O75"/>
      <c r="P75"/>
      <c r="Q75"/>
      <c r="R75"/>
      <c r="S75"/>
    </row>
    <row r="76" spans="1:19" ht="27" customHeight="1">
      <c r="A76" s="780"/>
      <c r="B76" s="939"/>
      <c r="C76" s="940"/>
      <c r="D76" s="780"/>
      <c r="E76" s="780"/>
      <c r="F76" s="782"/>
      <c r="G76" s="783"/>
      <c r="H76" s="221"/>
      <c r="I76"/>
      <c r="J76"/>
      <c r="K76"/>
      <c r="L76"/>
      <c r="M76"/>
      <c r="N76"/>
      <c r="O76"/>
      <c r="P76"/>
      <c r="Q76"/>
      <c r="R76"/>
      <c r="S76"/>
    </row>
    <row r="77" spans="1:29" ht="21.75" customHeight="1">
      <c r="A77" s="941"/>
      <c r="B77" s="942"/>
      <c r="C77" s="943"/>
      <c r="D77" s="785"/>
      <c r="E77" s="785"/>
      <c r="F77" s="43"/>
      <c r="G77" s="784"/>
      <c r="H77" s="221"/>
      <c r="I77"/>
      <c r="J77"/>
      <c r="K77"/>
      <c r="L77"/>
      <c r="M77"/>
      <c r="N77"/>
      <c r="O77"/>
      <c r="P77"/>
      <c r="Q77"/>
      <c r="R77"/>
      <c r="S77"/>
      <c r="AB77" s="686"/>
      <c r="AC77" s="686"/>
    </row>
    <row r="78" spans="1:28" ht="21.75" customHeight="1">
      <c r="A78" s="941"/>
      <c r="B78" s="942"/>
      <c r="C78" s="943"/>
      <c r="D78" s="781"/>
      <c r="E78" s="781"/>
      <c r="F78" s="43"/>
      <c r="G78" s="784"/>
      <c r="H78" s="221"/>
      <c r="I78"/>
      <c r="J78"/>
      <c r="K78"/>
      <c r="L78"/>
      <c r="M78"/>
      <c r="N78"/>
      <c r="O78"/>
      <c r="P78"/>
      <c r="Q78"/>
      <c r="R78"/>
      <c r="S78"/>
      <c r="AB78" s="686"/>
    </row>
    <row r="79" spans="1:28" ht="21.75" customHeight="1">
      <c r="A79" s="941"/>
      <c r="B79" s="942"/>
      <c r="C79" s="943"/>
      <c r="D79" s="785"/>
      <c r="E79" s="785"/>
      <c r="F79" s="43"/>
      <c r="G79" s="784"/>
      <c r="H79" s="221"/>
      <c r="I79"/>
      <c r="J79"/>
      <c r="K79"/>
      <c r="L79"/>
      <c r="M79"/>
      <c r="N79"/>
      <c r="O79"/>
      <c r="P79"/>
      <c r="Q79"/>
      <c r="R79"/>
      <c r="S79"/>
      <c r="AB79" s="686"/>
    </row>
    <row r="80" spans="1:28" ht="21.75" customHeight="1">
      <c r="A80" s="944"/>
      <c r="B80" s="945"/>
      <c r="C80" s="946"/>
      <c r="D80" s="786"/>
      <c r="E80" s="786"/>
      <c r="F80" s="44"/>
      <c r="G80" s="787"/>
      <c r="H80" s="221"/>
      <c r="I80"/>
      <c r="J80"/>
      <c r="K80"/>
      <c r="L80"/>
      <c r="M80"/>
      <c r="N80"/>
      <c r="O80"/>
      <c r="P80"/>
      <c r="Q80"/>
      <c r="R80"/>
      <c r="S80"/>
      <c r="AB80" s="686"/>
    </row>
    <row r="81" spans="1:28" ht="60.75">
      <c r="A81"/>
      <c r="B81"/>
      <c r="C81"/>
      <c r="D81"/>
      <c r="E81"/>
      <c r="F81"/>
      <c r="G81"/>
      <c r="H81" s="337"/>
      <c r="I81"/>
      <c r="J81"/>
      <c r="K81"/>
      <c r="L81"/>
      <c r="M81"/>
      <c r="N81"/>
      <c r="O81"/>
      <c r="P81"/>
      <c r="Q81"/>
      <c r="R81"/>
      <c r="S81"/>
      <c r="AB81" s="686"/>
    </row>
    <row r="82" spans="1:28" ht="60.75">
      <c r="A82"/>
      <c r="B82"/>
      <c r="C82"/>
      <c r="D82"/>
      <c r="E82"/>
      <c r="F82"/>
      <c r="G82"/>
      <c r="H82" s="337"/>
      <c r="I82"/>
      <c r="J82"/>
      <c r="K82"/>
      <c r="L82"/>
      <c r="M82"/>
      <c r="N82"/>
      <c r="O82"/>
      <c r="P82"/>
      <c r="Q82"/>
      <c r="R82"/>
      <c r="S82"/>
      <c r="AB82" s="686"/>
    </row>
    <row r="83" spans="1:28" ht="60.75">
      <c r="A83"/>
      <c r="B83"/>
      <c r="C83"/>
      <c r="D83"/>
      <c r="E83"/>
      <c r="F83"/>
      <c r="G83"/>
      <c r="H83" s="337"/>
      <c r="I83"/>
      <c r="J83"/>
      <c r="K83"/>
      <c r="L83"/>
      <c r="M83"/>
      <c r="N83"/>
      <c r="O83"/>
      <c r="P83"/>
      <c r="Q83"/>
      <c r="R83"/>
      <c r="S83"/>
      <c r="AB83" s="686"/>
    </row>
    <row r="84" spans="1:28" ht="61.5" thickBot="1">
      <c r="A84"/>
      <c r="B84"/>
      <c r="C84"/>
      <c r="D84"/>
      <c r="E84"/>
      <c r="F84"/>
      <c r="G84"/>
      <c r="H84" s="337"/>
      <c r="I84"/>
      <c r="J84"/>
      <c r="K84"/>
      <c r="L84"/>
      <c r="M84"/>
      <c r="N84"/>
      <c r="O84"/>
      <c r="P84"/>
      <c r="Q84"/>
      <c r="R84"/>
      <c r="S84"/>
      <c r="AB84" s="686"/>
    </row>
    <row r="85" spans="1:36" ht="76.5" customHeight="1">
      <c r="A85"/>
      <c r="B85"/>
      <c r="C85"/>
      <c r="D85"/>
      <c r="E85"/>
      <c r="F85"/>
      <c r="G85"/>
      <c r="H85" s="337"/>
      <c r="I85"/>
      <c r="J85"/>
      <c r="K85"/>
      <c r="L85"/>
      <c r="M85"/>
      <c r="N85"/>
      <c r="O85"/>
      <c r="P85"/>
      <c r="Q85"/>
      <c r="R85"/>
      <c r="S85"/>
      <c r="V85" s="688"/>
      <c r="W85" s="689"/>
      <c r="X85" s="689"/>
      <c r="Y85" s="689"/>
      <c r="Z85" s="689"/>
      <c r="AA85" s="689"/>
      <c r="AB85" s="690"/>
      <c r="AC85" s="690"/>
      <c r="AD85" s="689"/>
      <c r="AE85" s="689"/>
      <c r="AF85" s="689"/>
      <c r="AG85" s="689"/>
      <c r="AH85" s="689"/>
      <c r="AI85" s="689"/>
      <c r="AJ85" s="691"/>
    </row>
    <row r="86" spans="1:36" ht="76.5" customHeight="1">
      <c r="A86"/>
      <c r="B86"/>
      <c r="C86"/>
      <c r="D86"/>
      <c r="E86"/>
      <c r="F86"/>
      <c r="G86"/>
      <c r="H86" s="337"/>
      <c r="I86"/>
      <c r="J86"/>
      <c r="K86"/>
      <c r="L86"/>
      <c r="M86"/>
      <c r="N86"/>
      <c r="O86"/>
      <c r="P86"/>
      <c r="Q86"/>
      <c r="R86"/>
      <c r="S86"/>
      <c r="V86" s="692"/>
      <c r="X86" s="684"/>
      <c r="Y86" s="684"/>
      <c r="Z86" s="685"/>
      <c r="AA86" s="685"/>
      <c r="AB86" s="686"/>
      <c r="AC86" s="687" t="s">
        <v>764</v>
      </c>
      <c r="AD86" s="685"/>
      <c r="AE86" s="685"/>
      <c r="AF86" s="685"/>
      <c r="AG86" s="685"/>
      <c r="AH86" s="684"/>
      <c r="AJ86" s="693"/>
    </row>
    <row r="87" spans="22:36" ht="76.5" customHeight="1">
      <c r="V87" s="692"/>
      <c r="X87" s="684"/>
      <c r="Y87" s="684"/>
      <c r="Z87" s="685"/>
      <c r="AA87" s="685"/>
      <c r="AB87" s="686"/>
      <c r="AC87" s="687"/>
      <c r="AD87" s="685"/>
      <c r="AE87" s="685"/>
      <c r="AF87" s="685"/>
      <c r="AG87" s="685"/>
      <c r="AH87" s="684"/>
      <c r="AJ87" s="693"/>
    </row>
    <row r="88" spans="22:36" ht="76.5" customHeight="1">
      <c r="V88" s="692"/>
      <c r="X88" s="684"/>
      <c r="Y88" s="684"/>
      <c r="Z88" s="685"/>
      <c r="AA88" s="685"/>
      <c r="AB88" s="686"/>
      <c r="AC88" s="687" t="s">
        <v>765</v>
      </c>
      <c r="AD88" s="685"/>
      <c r="AE88" s="685"/>
      <c r="AF88" s="685"/>
      <c r="AG88" s="685"/>
      <c r="AH88" s="684"/>
      <c r="AJ88" s="693"/>
    </row>
    <row r="89" spans="22:36" ht="76.5" customHeight="1">
      <c r="V89" s="692"/>
      <c r="X89" s="684"/>
      <c r="Y89" s="684"/>
      <c r="Z89" s="685"/>
      <c r="AA89" s="685"/>
      <c r="AB89" s="686"/>
      <c r="AC89" s="687"/>
      <c r="AD89" s="685"/>
      <c r="AE89" s="685"/>
      <c r="AF89" s="685"/>
      <c r="AG89" s="685"/>
      <c r="AH89" s="684"/>
      <c r="AJ89" s="693"/>
    </row>
    <row r="90" spans="22:36" ht="76.5" customHeight="1">
      <c r="V90" s="692"/>
      <c r="X90" s="684"/>
      <c r="Y90" s="684"/>
      <c r="Z90" s="685"/>
      <c r="AA90" s="685"/>
      <c r="AB90" s="686"/>
      <c r="AC90" s="687" t="s">
        <v>766</v>
      </c>
      <c r="AD90" s="685"/>
      <c r="AE90" s="685"/>
      <c r="AF90" s="685"/>
      <c r="AG90" s="685"/>
      <c r="AH90" s="684"/>
      <c r="AJ90" s="693"/>
    </row>
    <row r="91" spans="22:36" ht="76.5" customHeight="1">
      <c r="V91" s="692"/>
      <c r="X91" s="684"/>
      <c r="Y91" s="684"/>
      <c r="Z91" s="685"/>
      <c r="AA91" s="685"/>
      <c r="AB91" s="686"/>
      <c r="AC91" s="687"/>
      <c r="AD91" s="685"/>
      <c r="AE91" s="685"/>
      <c r="AF91" s="685"/>
      <c r="AG91" s="685"/>
      <c r="AH91" s="684"/>
      <c r="AJ91" s="693"/>
    </row>
    <row r="92" spans="22:36" ht="76.5" customHeight="1">
      <c r="V92" s="692"/>
      <c r="X92" s="684"/>
      <c r="Y92" s="684"/>
      <c r="Z92" s="685"/>
      <c r="AA92" s="685"/>
      <c r="AB92" s="685"/>
      <c r="AC92" s="938" t="s">
        <v>46</v>
      </c>
      <c r="AD92" s="685"/>
      <c r="AE92" s="685"/>
      <c r="AF92" s="685"/>
      <c r="AG92" s="685"/>
      <c r="AH92" s="684"/>
      <c r="AJ92" s="693"/>
    </row>
    <row r="93" spans="22:36" ht="12.75">
      <c r="V93" s="692"/>
      <c r="X93" s="684"/>
      <c r="Y93" s="684"/>
      <c r="Z93" s="684"/>
      <c r="AA93" s="684"/>
      <c r="AB93" s="684"/>
      <c r="AC93" s="684"/>
      <c r="AD93" s="684"/>
      <c r="AE93" s="684"/>
      <c r="AF93" s="684"/>
      <c r="AG93" s="684"/>
      <c r="AH93" s="684"/>
      <c r="AJ93" s="693"/>
    </row>
    <row r="94" spans="22:36" ht="12.75">
      <c r="V94" s="692"/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4"/>
      <c r="AJ94" s="693"/>
    </row>
    <row r="95" spans="22:36" ht="12.75">
      <c r="V95" s="692"/>
      <c r="X95" s="684"/>
      <c r="Y95" s="684"/>
      <c r="Z95" s="684"/>
      <c r="AA95" s="684"/>
      <c r="AB95" s="684"/>
      <c r="AC95" s="684"/>
      <c r="AD95" s="684"/>
      <c r="AE95" s="684"/>
      <c r="AF95" s="684"/>
      <c r="AG95" s="684"/>
      <c r="AH95" s="684"/>
      <c r="AJ95" s="693"/>
    </row>
    <row r="96" spans="22:36" ht="12.75">
      <c r="V96" s="692"/>
      <c r="X96" s="684"/>
      <c r="Y96" s="684"/>
      <c r="Z96" s="684"/>
      <c r="AA96" s="684"/>
      <c r="AB96" s="684"/>
      <c r="AC96" s="684"/>
      <c r="AD96" s="684"/>
      <c r="AE96" s="684"/>
      <c r="AF96" s="684"/>
      <c r="AG96" s="684"/>
      <c r="AH96" s="684"/>
      <c r="AJ96" s="693"/>
    </row>
    <row r="97" spans="22:36" ht="12.75">
      <c r="V97" s="692"/>
      <c r="X97" s="684"/>
      <c r="Y97" s="684"/>
      <c r="Z97" s="684"/>
      <c r="AA97" s="684"/>
      <c r="AB97" s="684"/>
      <c r="AC97" s="684"/>
      <c r="AD97" s="684"/>
      <c r="AE97" s="684"/>
      <c r="AF97" s="684"/>
      <c r="AG97" s="684"/>
      <c r="AH97" s="684"/>
      <c r="AJ97" s="693"/>
    </row>
    <row r="98" spans="22:36" ht="12.75">
      <c r="V98" s="692"/>
      <c r="X98" s="684"/>
      <c r="Y98" s="684"/>
      <c r="Z98" s="684"/>
      <c r="AA98" s="684"/>
      <c r="AB98" s="684"/>
      <c r="AC98" s="684"/>
      <c r="AD98" s="684"/>
      <c r="AE98" s="684"/>
      <c r="AF98" s="684"/>
      <c r="AG98" s="684"/>
      <c r="AH98" s="684"/>
      <c r="AJ98" s="693"/>
    </row>
    <row r="99" spans="22:36" ht="12.75">
      <c r="V99" s="692"/>
      <c r="AJ99" s="693"/>
    </row>
    <row r="100" spans="22:36" ht="12.75">
      <c r="V100" s="692"/>
      <c r="AJ100" s="693"/>
    </row>
    <row r="101" spans="22:36" ht="12.75">
      <c r="V101" s="692"/>
      <c r="AJ101" s="693"/>
    </row>
    <row r="102" spans="22:36" ht="12.75">
      <c r="V102" s="692"/>
      <c r="AJ102" s="693"/>
    </row>
    <row r="103" spans="22:36" ht="12.75">
      <c r="V103" s="692"/>
      <c r="AJ103" s="693"/>
    </row>
    <row r="104" spans="22:36" ht="13.5" thickBot="1">
      <c r="V104" s="694"/>
      <c r="W104" s="695"/>
      <c r="X104" s="695"/>
      <c r="Y104" s="695"/>
      <c r="Z104" s="695"/>
      <c r="AA104" s="695"/>
      <c r="AB104" s="695"/>
      <c r="AC104" s="695"/>
      <c r="AD104" s="695"/>
      <c r="AE104" s="695"/>
      <c r="AF104" s="695"/>
      <c r="AG104" s="695"/>
      <c r="AH104" s="695"/>
      <c r="AI104" s="695"/>
      <c r="AJ104" s="696"/>
    </row>
  </sheetData>
  <mergeCells count="18">
    <mergeCell ref="A3:D3"/>
    <mergeCell ref="A11:D11"/>
    <mergeCell ref="A12:D12"/>
    <mergeCell ref="E12:G12"/>
    <mergeCell ref="A13:G13"/>
    <mergeCell ref="A14:G19"/>
    <mergeCell ref="A20:G20"/>
    <mergeCell ref="A21:G26"/>
    <mergeCell ref="A27:G27"/>
    <mergeCell ref="A28:G34"/>
    <mergeCell ref="A36:G36"/>
    <mergeCell ref="A48:D62"/>
    <mergeCell ref="F59:G59"/>
    <mergeCell ref="E60:G62"/>
    <mergeCell ref="A63:G63"/>
    <mergeCell ref="A64:D64"/>
    <mergeCell ref="A65:D72"/>
    <mergeCell ref="E65:G72"/>
  </mergeCells>
  <printOptions horizontalCentered="1" verticalCentered="1"/>
  <pageMargins left="0.17" right="0.17" top="0.21" bottom="0.3" header="0.17" footer="0.18"/>
  <pageSetup fitToHeight="1" fitToWidth="1" horizontalDpi="600" verticalDpi="600" orientation="landscape" scale="67" r:id="rId2"/>
  <headerFooter alignWithMargins="0">
    <oddFooter>&amp;R&amp;F     &amp;A   &amp;D 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workbookViewId="0" topLeftCell="A28">
      <selection activeCell="A37" sqref="A37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8.28125" style="86" customWidth="1"/>
    <col min="7" max="7" width="16.57421875" style="86" customWidth="1"/>
    <col min="8" max="8" width="7.7109375" style="86" customWidth="1"/>
    <col min="9" max="9" width="12.140625" style="86" customWidth="1"/>
    <col min="10" max="10" width="6.140625" style="86" customWidth="1"/>
    <col min="11" max="12" width="10.28125" style="86" customWidth="1"/>
    <col min="13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537</v>
      </c>
      <c r="B2" s="27"/>
      <c r="C2" s="27"/>
      <c r="D2" s="28"/>
      <c r="E2" s="28"/>
      <c r="F2" s="28"/>
      <c r="G2" s="29"/>
      <c r="H2" s="1052" t="s">
        <v>232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ht="16.5" thickBot="1">
      <c r="A3" s="1437" t="s">
        <v>67</v>
      </c>
      <c r="B3" s="1438"/>
      <c r="C3" s="1438"/>
      <c r="D3" s="1439"/>
      <c r="E3" s="31" t="s">
        <v>65</v>
      </c>
      <c r="F3" s="32" t="s">
        <v>69</v>
      </c>
      <c r="G3" s="33" t="s">
        <v>66</v>
      </c>
      <c r="H3" s="1052"/>
      <c r="I3" s="25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120</v>
      </c>
      <c r="B4" s="34"/>
      <c r="C4" s="34"/>
      <c r="D4" s="34"/>
      <c r="E4" s="237" t="s">
        <v>121</v>
      </c>
      <c r="F4" s="35"/>
      <c r="G4" s="611">
        <v>39416</v>
      </c>
      <c r="H4" s="615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48</v>
      </c>
      <c r="B5" s="188" t="s">
        <v>240</v>
      </c>
      <c r="C5" s="189" t="s">
        <v>69</v>
      </c>
      <c r="D5" s="186" t="s">
        <v>48</v>
      </c>
      <c r="E5" s="187"/>
      <c r="F5" s="188" t="s">
        <v>240</v>
      </c>
      <c r="G5" s="201" t="s">
        <v>69</v>
      </c>
      <c r="H5" s="1053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132</v>
      </c>
      <c r="B6" s="191" t="s">
        <v>122</v>
      </c>
      <c r="C6" s="191"/>
      <c r="D6" s="194" t="s">
        <v>137</v>
      </c>
      <c r="E6" s="195"/>
      <c r="F6" s="191" t="s">
        <v>127</v>
      </c>
      <c r="G6" s="203"/>
      <c r="H6" s="1053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133</v>
      </c>
      <c r="B7" s="192" t="s">
        <v>123</v>
      </c>
      <c r="C7" s="192"/>
      <c r="D7" s="196" t="s">
        <v>138</v>
      </c>
      <c r="E7" s="197"/>
      <c r="F7" s="192" t="s">
        <v>128</v>
      </c>
      <c r="G7" s="185"/>
      <c r="H7" s="1053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134</v>
      </c>
      <c r="B8" s="192" t="s">
        <v>124</v>
      </c>
      <c r="C8" s="192"/>
      <c r="D8" s="196" t="s">
        <v>139</v>
      </c>
      <c r="E8" s="197"/>
      <c r="F8" s="192" t="s">
        <v>129</v>
      </c>
      <c r="G8" s="185"/>
      <c r="H8" s="1053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 t="s">
        <v>135</v>
      </c>
      <c r="B9" s="192" t="s">
        <v>125</v>
      </c>
      <c r="C9" s="192"/>
      <c r="D9" s="196" t="s">
        <v>140</v>
      </c>
      <c r="E9" s="197"/>
      <c r="F9" s="192" t="s">
        <v>130</v>
      </c>
      <c r="G9" s="185"/>
      <c r="H9" s="1053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 t="s">
        <v>136</v>
      </c>
      <c r="B10" s="193" t="s">
        <v>126</v>
      </c>
      <c r="C10" s="193"/>
      <c r="D10" s="198" t="s">
        <v>141</v>
      </c>
      <c r="E10" s="199"/>
      <c r="F10" s="193" t="s">
        <v>131</v>
      </c>
      <c r="G10" s="206"/>
      <c r="H10" s="1053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440"/>
      <c r="B11" s="1441"/>
      <c r="C11" s="1441"/>
      <c r="D11" s="1441"/>
      <c r="E11" s="190"/>
      <c r="F11" s="39"/>
      <c r="G11" s="40"/>
      <c r="H11" s="1053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442"/>
      <c r="B12" s="1442"/>
      <c r="C12" s="1442"/>
      <c r="D12" s="1443"/>
      <c r="E12" s="1442"/>
      <c r="F12" s="1443"/>
      <c r="G12" s="1443"/>
      <c r="H12" s="1054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1444" t="s">
        <v>49</v>
      </c>
      <c r="B13" s="1445"/>
      <c r="C13" s="1445"/>
      <c r="D13" s="1446"/>
      <c r="E13" s="1446"/>
      <c r="F13" s="1446"/>
      <c r="G13" s="1447"/>
      <c r="H13" s="1054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448"/>
      <c r="B14" s="1449"/>
      <c r="C14" s="1449"/>
      <c r="D14" s="1450"/>
      <c r="E14" s="1450"/>
      <c r="F14" s="1450"/>
      <c r="G14" s="1451"/>
      <c r="H14" s="105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448"/>
      <c r="B15" s="1449"/>
      <c r="C15" s="1449"/>
      <c r="D15" s="1450"/>
      <c r="E15" s="1450"/>
      <c r="F15" s="1450"/>
      <c r="G15" s="1451"/>
      <c r="H15" s="1054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452"/>
      <c r="B16" s="1450"/>
      <c r="C16" s="1450"/>
      <c r="D16" s="1450"/>
      <c r="E16" s="1450"/>
      <c r="F16" s="1450"/>
      <c r="G16" s="1451"/>
      <c r="H16" s="1054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452"/>
      <c r="B17" s="1450"/>
      <c r="C17" s="1450"/>
      <c r="D17" s="1450"/>
      <c r="E17" s="1450"/>
      <c r="F17" s="1450"/>
      <c r="G17" s="1451"/>
      <c r="H17" s="1054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453"/>
      <c r="B18" s="1454"/>
      <c r="C18" s="1454"/>
      <c r="D18" s="1454"/>
      <c r="E18" s="1454"/>
      <c r="F18" s="1454"/>
      <c r="G18" s="1455"/>
      <c r="H18" s="1054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1456" t="s">
        <v>50</v>
      </c>
      <c r="B19" s="1457"/>
      <c r="C19" s="1457"/>
      <c r="D19" s="1458"/>
      <c r="E19" s="1458"/>
      <c r="F19" s="1458"/>
      <c r="G19" s="1459"/>
      <c r="H19" s="1054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448"/>
      <c r="B20" s="1449"/>
      <c r="C20" s="1449"/>
      <c r="D20" s="1450"/>
      <c r="E20" s="1450"/>
      <c r="F20" s="1450"/>
      <c r="G20" s="1451"/>
      <c r="H20" s="1054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448"/>
      <c r="B21" s="1449"/>
      <c r="C21" s="1449"/>
      <c r="D21" s="1450"/>
      <c r="E21" s="1450"/>
      <c r="F21" s="1450"/>
      <c r="G21" s="1451"/>
      <c r="H21" s="1054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448"/>
      <c r="B22" s="1449"/>
      <c r="C22" s="1449"/>
      <c r="D22" s="1450"/>
      <c r="E22" s="1450"/>
      <c r="F22" s="1450"/>
      <c r="G22" s="1451"/>
      <c r="H22" s="1054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452"/>
      <c r="B23" s="1450"/>
      <c r="C23" s="1450"/>
      <c r="D23" s="1450"/>
      <c r="E23" s="1450"/>
      <c r="F23" s="1450"/>
      <c r="G23" s="1451"/>
      <c r="H23" s="1054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452"/>
      <c r="B24" s="1450"/>
      <c r="C24" s="1450"/>
      <c r="D24" s="1450"/>
      <c r="E24" s="1450"/>
      <c r="F24" s="1450"/>
      <c r="G24" s="1451"/>
      <c r="H24" s="105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453"/>
      <c r="B25" s="1454"/>
      <c r="C25" s="1454"/>
      <c r="D25" s="1454"/>
      <c r="E25" s="1454"/>
      <c r="F25" s="1454"/>
      <c r="G25" s="1455"/>
      <c r="H25" s="1054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1456" t="s">
        <v>64</v>
      </c>
      <c r="B26" s="1457"/>
      <c r="C26" s="1457"/>
      <c r="D26" s="1458"/>
      <c r="E26" s="1458"/>
      <c r="F26" s="1458"/>
      <c r="G26" s="1459"/>
      <c r="H26" s="1054"/>
      <c r="I26"/>
      <c r="J26"/>
      <c r="K26"/>
      <c r="L26"/>
      <c r="M26"/>
      <c r="N26"/>
      <c r="O26"/>
      <c r="P26"/>
      <c r="Q26"/>
      <c r="R26"/>
      <c r="S26"/>
    </row>
    <row r="27" spans="1:19" ht="59.25" customHeight="1">
      <c r="A27" s="1449"/>
      <c r="B27" s="1586"/>
      <c r="C27" s="1586"/>
      <c r="D27" s="1586"/>
      <c r="E27" s="1586"/>
      <c r="F27" s="1586"/>
      <c r="G27" s="1586"/>
      <c r="H27" s="1054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290"/>
      <c r="B28" s="290"/>
      <c r="C28" s="290"/>
      <c r="D28" s="291"/>
      <c r="E28" s="291"/>
      <c r="F28" s="288"/>
      <c r="G28" s="288"/>
      <c r="H28" s="1053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ht="16.5" customHeight="1" thickBot="1">
      <c r="A29" s="289"/>
      <c r="B29" s="289"/>
      <c r="C29" s="289"/>
      <c r="D29" s="289"/>
      <c r="E29" s="289"/>
      <c r="F29" s="289"/>
      <c r="G29" s="289"/>
      <c r="H29" s="105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5.75" customHeight="1" thickBot="1">
      <c r="A30" s="1463" t="s">
        <v>1034</v>
      </c>
      <c r="B30" s="1464"/>
      <c r="C30" s="1464"/>
      <c r="D30" s="1465"/>
      <c r="E30" s="1465"/>
      <c r="F30" s="1465"/>
      <c r="G30" s="1466"/>
      <c r="H30" s="105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9" ht="12.75">
      <c r="A31" s="927" t="s">
        <v>1016</v>
      </c>
      <c r="B31" s="928" t="s">
        <v>238</v>
      </c>
      <c r="C31" s="928" t="s">
        <v>142</v>
      </c>
      <c r="D31" s="257" t="s">
        <v>538</v>
      </c>
      <c r="E31" s="257" t="s">
        <v>539</v>
      </c>
      <c r="F31" s="257" t="s">
        <v>545</v>
      </c>
      <c r="G31" s="258" t="s">
        <v>1033</v>
      </c>
      <c r="H31" s="1055"/>
      <c r="I31" s="38" t="s">
        <v>99</v>
      </c>
      <c r="J31" s="38" t="s">
        <v>100</v>
      </c>
      <c r="K31" s="38" t="s">
        <v>102</v>
      </c>
      <c r="L31" s="38" t="s">
        <v>103</v>
      </c>
      <c r="M31" s="38" t="s">
        <v>549</v>
      </c>
      <c r="N31" s="38" t="s">
        <v>105</v>
      </c>
      <c r="O31" s="38" t="s">
        <v>758</v>
      </c>
      <c r="P31" s="38" t="s">
        <v>101</v>
      </c>
      <c r="Q31" s="25" t="s">
        <v>760</v>
      </c>
      <c r="R31" s="25" t="s">
        <v>1024</v>
      </c>
      <c r="S31" s="25"/>
      <c r="T31" s="25"/>
      <c r="U31" s="25"/>
      <c r="V31" s="25"/>
      <c r="W31" s="25"/>
      <c r="X31" s="25"/>
      <c r="Y31" s="625"/>
      <c r="Z31" s="625"/>
      <c r="AA31" s="625"/>
      <c r="AB31" s="625"/>
      <c r="AC31" s="625"/>
    </row>
    <row r="32" spans="1:29" ht="12.75">
      <c r="A32" s="48" t="s">
        <v>1036</v>
      </c>
      <c r="B32" s="937">
        <v>1421</v>
      </c>
      <c r="C32" s="937" t="s">
        <v>110</v>
      </c>
      <c r="D32" s="49">
        <v>39329</v>
      </c>
      <c r="E32" s="49" t="s">
        <v>1017</v>
      </c>
      <c r="F32" s="1228">
        <v>39387</v>
      </c>
      <c r="G32" s="1246"/>
      <c r="H32" s="1056" t="s">
        <v>1035</v>
      </c>
      <c r="I32" s="38" t="s">
        <v>565</v>
      </c>
      <c r="J32" s="86" t="s">
        <v>583</v>
      </c>
      <c r="K32" s="86">
        <v>1421</v>
      </c>
      <c r="L32" s="86" t="s">
        <v>110</v>
      </c>
      <c r="M32" s="250">
        <v>39329</v>
      </c>
      <c r="N32" s="250" t="s">
        <v>1017</v>
      </c>
      <c r="O32" s="965">
        <v>39387</v>
      </c>
      <c r="P32" s="38">
        <v>2</v>
      </c>
      <c r="Q32" s="25"/>
      <c r="R32" s="25" t="s">
        <v>1027</v>
      </c>
      <c r="S32" s="25"/>
      <c r="T32" s="53"/>
      <c r="U32" s="25"/>
      <c r="V32" s="53"/>
      <c r="W32" s="25"/>
      <c r="X32" s="25"/>
      <c r="Y32" s="625"/>
      <c r="Z32" s="625"/>
      <c r="AA32" s="625"/>
      <c r="AB32" s="625"/>
      <c r="AC32" s="625"/>
    </row>
    <row r="33" spans="1:29" ht="12.75">
      <c r="A33" s="1233" t="s">
        <v>1037</v>
      </c>
      <c r="B33" s="1234">
        <v>1806</v>
      </c>
      <c r="C33" s="1234" t="s">
        <v>109</v>
      </c>
      <c r="D33" s="1235">
        <v>39336</v>
      </c>
      <c r="E33" s="1235">
        <v>39423</v>
      </c>
      <c r="F33" s="1236"/>
      <c r="G33" s="1247">
        <v>-21</v>
      </c>
      <c r="H33" s="1056" t="s">
        <v>1035</v>
      </c>
      <c r="I33" s="38" t="s">
        <v>555</v>
      </c>
      <c r="J33" s="86" t="s">
        <v>108</v>
      </c>
      <c r="K33" s="86">
        <v>1806</v>
      </c>
      <c r="L33" s="86" t="s">
        <v>109</v>
      </c>
      <c r="M33" s="250">
        <v>39336</v>
      </c>
      <c r="N33" s="250">
        <v>39423</v>
      </c>
      <c r="O33" s="38"/>
      <c r="P33" s="38">
        <v>3</v>
      </c>
      <c r="Q33" s="25">
        <v>-21</v>
      </c>
      <c r="R33" s="25"/>
      <c r="S33" s="25"/>
      <c r="T33" s="53"/>
      <c r="U33" s="25"/>
      <c r="V33" s="53"/>
      <c r="W33" s="25"/>
      <c r="X33" s="25"/>
      <c r="Y33" s="625"/>
      <c r="Z33" s="625"/>
      <c r="AA33" s="625"/>
      <c r="AB33" s="625"/>
      <c r="AC33" s="625"/>
    </row>
    <row r="34" spans="1:24" s="624" customFormat="1" ht="12.75">
      <c r="A34" s="1233" t="s">
        <v>1038</v>
      </c>
      <c r="B34" s="1234">
        <v>1806</v>
      </c>
      <c r="C34" s="1234" t="s">
        <v>109</v>
      </c>
      <c r="D34" s="1237">
        <v>39336</v>
      </c>
      <c r="E34" s="1237">
        <v>39427</v>
      </c>
      <c r="F34" s="1238"/>
      <c r="G34" s="1248">
        <v>-23</v>
      </c>
      <c r="H34" s="1056" t="s">
        <v>1035</v>
      </c>
      <c r="I34" s="267" t="s">
        <v>560</v>
      </c>
      <c r="J34" s="624" t="s">
        <v>111</v>
      </c>
      <c r="K34" s="624">
        <v>1806</v>
      </c>
      <c r="L34" s="624" t="s">
        <v>109</v>
      </c>
      <c r="M34" s="269">
        <v>39336</v>
      </c>
      <c r="N34" s="269">
        <v>39427</v>
      </c>
      <c r="O34" s="627"/>
      <c r="P34" s="627">
        <v>3</v>
      </c>
      <c r="Q34" s="224">
        <v>-23</v>
      </c>
      <c r="R34" s="224"/>
      <c r="S34" s="227"/>
      <c r="T34" s="227"/>
      <c r="U34" s="224"/>
      <c r="V34" s="224"/>
      <c r="W34" s="224"/>
      <c r="X34" s="224"/>
    </row>
    <row r="35" spans="1:24" s="630" customFormat="1" ht="12.75">
      <c r="A35" s="1239" t="s">
        <v>1039</v>
      </c>
      <c r="B35" s="1242">
        <v>1302</v>
      </c>
      <c r="C35" s="1242" t="s">
        <v>116</v>
      </c>
      <c r="D35" s="1245">
        <v>39427</v>
      </c>
      <c r="E35" s="1245">
        <v>39430</v>
      </c>
      <c r="F35" s="1245"/>
      <c r="G35" s="1249">
        <v>57</v>
      </c>
      <c r="H35" s="1056" t="s">
        <v>1035</v>
      </c>
      <c r="I35" s="633" t="s">
        <v>1025</v>
      </c>
      <c r="J35" s="630" t="s">
        <v>1026</v>
      </c>
      <c r="K35" s="630">
        <v>1302</v>
      </c>
      <c r="L35" s="630" t="s">
        <v>116</v>
      </c>
      <c r="M35" s="634">
        <v>39427</v>
      </c>
      <c r="N35" s="634">
        <v>39430</v>
      </c>
      <c r="O35" s="634"/>
      <c r="P35" s="633">
        <v>3</v>
      </c>
      <c r="Q35" s="635">
        <v>57</v>
      </c>
      <c r="R35" s="962" t="s">
        <v>1027</v>
      </c>
      <c r="S35" s="635"/>
      <c r="T35" s="636"/>
      <c r="U35" s="635"/>
      <c r="V35" s="636"/>
      <c r="W35" s="635"/>
      <c r="X35" s="635"/>
    </row>
    <row r="36" spans="1:29" ht="12.75">
      <c r="A36" s="48" t="s">
        <v>1040</v>
      </c>
      <c r="B36" s="1092">
        <v>1361</v>
      </c>
      <c r="C36" s="1092" t="s">
        <v>116</v>
      </c>
      <c r="D36" s="912">
        <v>39409</v>
      </c>
      <c r="E36" s="912">
        <v>39430</v>
      </c>
      <c r="F36" s="912"/>
      <c r="G36" s="1250">
        <v>389</v>
      </c>
      <c r="H36" s="1056" t="s">
        <v>1035</v>
      </c>
      <c r="I36" s="38" t="s">
        <v>570</v>
      </c>
      <c r="J36" s="86" t="s">
        <v>118</v>
      </c>
      <c r="K36" s="86">
        <v>1361</v>
      </c>
      <c r="L36" s="86" t="s">
        <v>116</v>
      </c>
      <c r="M36" s="250">
        <v>39409</v>
      </c>
      <c r="N36" s="250">
        <v>39430</v>
      </c>
      <c r="O36" s="250"/>
      <c r="P36" s="38">
        <v>3</v>
      </c>
      <c r="Q36" s="25">
        <v>389</v>
      </c>
      <c r="R36" s="25"/>
      <c r="S36" s="53"/>
      <c r="T36" s="53"/>
      <c r="U36" s="25"/>
      <c r="V36" s="53"/>
      <c r="W36" s="25"/>
      <c r="X36" s="25"/>
      <c r="Y36" s="625"/>
      <c r="Z36" s="625"/>
      <c r="AA36" s="625"/>
      <c r="AB36" s="625"/>
      <c r="AC36" s="625"/>
    </row>
    <row r="37" spans="1:24" s="630" customFormat="1" ht="12.75">
      <c r="A37" s="48" t="s">
        <v>1041</v>
      </c>
      <c r="B37" s="1092">
        <v>1501</v>
      </c>
      <c r="C37" s="1092" t="s">
        <v>112</v>
      </c>
      <c r="D37" s="912">
        <v>39346</v>
      </c>
      <c r="E37" s="912">
        <v>39430</v>
      </c>
      <c r="F37" s="912"/>
      <c r="G37" s="1251">
        <v>106</v>
      </c>
      <c r="H37" s="1056" t="s">
        <v>1035</v>
      </c>
      <c r="I37" s="633" t="s">
        <v>589</v>
      </c>
      <c r="J37" s="630" t="s">
        <v>590</v>
      </c>
      <c r="K37" s="630">
        <v>1501</v>
      </c>
      <c r="L37" s="630" t="s">
        <v>112</v>
      </c>
      <c r="M37" s="634">
        <v>39346</v>
      </c>
      <c r="N37" s="634">
        <v>39430</v>
      </c>
      <c r="O37" s="634"/>
      <c r="P37" s="633">
        <v>3</v>
      </c>
      <c r="Q37" s="635">
        <v>106</v>
      </c>
      <c r="R37" s="962" t="s">
        <v>1027</v>
      </c>
      <c r="S37" s="636"/>
      <c r="T37" s="636"/>
      <c r="U37" s="635"/>
      <c r="V37" s="635"/>
      <c r="W37" s="635"/>
      <c r="X37" s="635"/>
    </row>
    <row r="38" spans="1:24" s="630" customFormat="1" ht="12.75">
      <c r="A38" s="1233" t="s">
        <v>1042</v>
      </c>
      <c r="B38" s="1234">
        <v>8205</v>
      </c>
      <c r="C38" s="1234" t="s">
        <v>107</v>
      </c>
      <c r="D38" s="1235">
        <v>39325</v>
      </c>
      <c r="E38" s="1235">
        <v>39437</v>
      </c>
      <c r="F38" s="1236"/>
      <c r="G38" s="1247">
        <v>-31</v>
      </c>
      <c r="H38" s="1056" t="s">
        <v>1035</v>
      </c>
      <c r="I38" s="633" t="s">
        <v>552</v>
      </c>
      <c r="J38" s="630" t="s">
        <v>106</v>
      </c>
      <c r="K38" s="630">
        <v>8205</v>
      </c>
      <c r="L38" s="630" t="s">
        <v>107</v>
      </c>
      <c r="M38" s="634">
        <v>39325</v>
      </c>
      <c r="N38" s="634">
        <v>39437</v>
      </c>
      <c r="O38" s="633"/>
      <c r="P38" s="963">
        <v>3</v>
      </c>
      <c r="Q38" s="635">
        <v>-31</v>
      </c>
      <c r="R38" s="635"/>
      <c r="S38" s="636"/>
      <c r="T38" s="636"/>
      <c r="U38" s="636"/>
      <c r="V38" s="636"/>
      <c r="W38" s="635"/>
      <c r="X38" s="639"/>
    </row>
    <row r="39" spans="1:29" ht="12.75">
      <c r="A39" s="48" t="s">
        <v>1043</v>
      </c>
      <c r="B39" s="1092">
        <v>1416</v>
      </c>
      <c r="C39" s="1092" t="s">
        <v>110</v>
      </c>
      <c r="D39" s="912">
        <v>39407</v>
      </c>
      <c r="E39" s="912">
        <v>39454</v>
      </c>
      <c r="F39" s="912"/>
      <c r="G39" s="1250">
        <v>26</v>
      </c>
      <c r="H39" s="1056" t="s">
        <v>1035</v>
      </c>
      <c r="I39" s="38" t="s">
        <v>562</v>
      </c>
      <c r="J39" s="86" t="s">
        <v>113</v>
      </c>
      <c r="K39" s="86">
        <v>1416</v>
      </c>
      <c r="L39" s="86" t="s">
        <v>110</v>
      </c>
      <c r="M39" s="250">
        <v>39407</v>
      </c>
      <c r="N39" s="250">
        <v>39454</v>
      </c>
      <c r="O39" s="250"/>
      <c r="P39" s="38">
        <v>3</v>
      </c>
      <c r="Q39" s="25">
        <v>26</v>
      </c>
      <c r="R39" s="25"/>
      <c r="S39" s="53"/>
      <c r="T39" s="53"/>
      <c r="U39" s="53"/>
      <c r="V39" s="53"/>
      <c r="W39" s="25"/>
      <c r="X39" s="25"/>
      <c r="Y39" s="625"/>
      <c r="Z39" s="625"/>
      <c r="AA39" s="625"/>
      <c r="AB39" s="625"/>
      <c r="AC39" s="625"/>
    </row>
    <row r="40" spans="1:29" ht="12.75">
      <c r="A40" s="48" t="s">
        <v>1044</v>
      </c>
      <c r="B40" s="1092">
        <v>8205</v>
      </c>
      <c r="C40" s="1092" t="s">
        <v>107</v>
      </c>
      <c r="D40" s="912">
        <v>39370</v>
      </c>
      <c r="E40" s="912">
        <v>39458</v>
      </c>
      <c r="F40" s="912"/>
      <c r="G40" s="1250">
        <v>6</v>
      </c>
      <c r="H40" s="1056" t="s">
        <v>1035</v>
      </c>
      <c r="I40" s="38" t="s">
        <v>566</v>
      </c>
      <c r="J40" s="86" t="s">
        <v>114</v>
      </c>
      <c r="K40" s="86">
        <v>8205</v>
      </c>
      <c r="L40" s="86" t="s">
        <v>107</v>
      </c>
      <c r="M40" s="250">
        <v>39370</v>
      </c>
      <c r="N40" s="250">
        <v>39458</v>
      </c>
      <c r="O40" s="250"/>
      <c r="P40" s="38">
        <v>3</v>
      </c>
      <c r="Q40" s="25">
        <v>6</v>
      </c>
      <c r="R40" s="25"/>
      <c r="S40" s="53"/>
      <c r="T40" s="53"/>
      <c r="U40" s="25"/>
      <c r="V40" s="53"/>
      <c r="W40" s="25"/>
      <c r="X40" s="25"/>
      <c r="Y40" s="625"/>
      <c r="Z40" s="625"/>
      <c r="AA40" s="625"/>
      <c r="AB40" s="625"/>
      <c r="AC40" s="625"/>
    </row>
    <row r="41" spans="1:24" s="630" customFormat="1" ht="12.75">
      <c r="A41" s="1239" t="s">
        <v>1045</v>
      </c>
      <c r="B41" s="1242">
        <v>1302</v>
      </c>
      <c r="C41" s="1242" t="s">
        <v>116</v>
      </c>
      <c r="D41" s="1243">
        <v>39531</v>
      </c>
      <c r="E41" s="1243">
        <v>39483</v>
      </c>
      <c r="F41" s="1244"/>
      <c r="G41" s="1252">
        <v>54</v>
      </c>
      <c r="H41" s="1056" t="s">
        <v>1035</v>
      </c>
      <c r="I41" s="629" t="s">
        <v>572</v>
      </c>
      <c r="J41" s="630" t="s">
        <v>585</v>
      </c>
      <c r="K41" s="630">
        <v>1302</v>
      </c>
      <c r="L41" s="630" t="s">
        <v>116</v>
      </c>
      <c r="M41" s="631">
        <v>39531</v>
      </c>
      <c r="N41" s="631">
        <v>39476</v>
      </c>
      <c r="O41" s="632"/>
      <c r="P41" s="629">
        <v>3</v>
      </c>
      <c r="Q41" s="637">
        <v>54</v>
      </c>
      <c r="R41" s="964" t="s">
        <v>1027</v>
      </c>
      <c r="S41" s="638"/>
      <c r="T41" s="638"/>
      <c r="U41" s="637"/>
      <c r="V41" s="638"/>
      <c r="W41" s="637"/>
      <c r="X41" s="637"/>
    </row>
    <row r="42" spans="1:29" ht="12.75">
      <c r="A42" s="48" t="s">
        <v>1046</v>
      </c>
      <c r="B42" s="1092">
        <v>1416</v>
      </c>
      <c r="C42" s="1092" t="s">
        <v>110</v>
      </c>
      <c r="D42" s="912">
        <v>39461</v>
      </c>
      <c r="E42" s="912">
        <v>39477</v>
      </c>
      <c r="F42" s="912"/>
      <c r="G42" s="1250">
        <v>24</v>
      </c>
      <c r="H42" s="1056" t="s">
        <v>1035</v>
      </c>
      <c r="I42" s="38" t="s">
        <v>573</v>
      </c>
      <c r="J42" s="86" t="s">
        <v>119</v>
      </c>
      <c r="K42" s="86">
        <v>1416</v>
      </c>
      <c r="L42" s="86" t="s">
        <v>110</v>
      </c>
      <c r="M42" s="250">
        <v>39461</v>
      </c>
      <c r="N42" s="250">
        <v>39477</v>
      </c>
      <c r="O42" s="250"/>
      <c r="P42" s="38">
        <v>3</v>
      </c>
      <c r="Q42" s="25">
        <v>24</v>
      </c>
      <c r="R42" s="25" t="s">
        <v>1027</v>
      </c>
      <c r="S42" s="25"/>
      <c r="T42" s="53"/>
      <c r="U42" s="25"/>
      <c r="V42" s="53"/>
      <c r="W42" s="25"/>
      <c r="X42" s="59"/>
      <c r="Y42" s="625"/>
      <c r="Z42" s="625"/>
      <c r="AA42" s="625"/>
      <c r="AB42" s="625"/>
      <c r="AC42" s="625"/>
    </row>
    <row r="43" spans="1:29" ht="12.75">
      <c r="A43" s="48" t="s">
        <v>1047</v>
      </c>
      <c r="B43" s="1092">
        <v>1416</v>
      </c>
      <c r="C43" s="1092" t="s">
        <v>110</v>
      </c>
      <c r="D43" s="912">
        <v>39392</v>
      </c>
      <c r="E43" s="912">
        <v>39478</v>
      </c>
      <c r="F43" s="912"/>
      <c r="G43" s="1253">
        <v>1169</v>
      </c>
      <c r="H43" s="1056" t="s">
        <v>1035</v>
      </c>
      <c r="I43" s="38" t="s">
        <v>568</v>
      </c>
      <c r="J43" s="86" t="s">
        <v>117</v>
      </c>
      <c r="K43" s="86">
        <v>1416</v>
      </c>
      <c r="L43" s="86" t="s">
        <v>110</v>
      </c>
      <c r="M43" s="250">
        <v>39392</v>
      </c>
      <c r="N43" s="250">
        <v>39478</v>
      </c>
      <c r="O43" s="250"/>
      <c r="P43" s="38">
        <v>3</v>
      </c>
      <c r="Q43" s="1226">
        <v>1169</v>
      </c>
      <c r="R43" s="25"/>
      <c r="S43" s="53"/>
      <c r="T43" s="53"/>
      <c r="U43" s="53"/>
      <c r="V43" s="53"/>
      <c r="W43" s="25"/>
      <c r="X43" s="25"/>
      <c r="Y43" s="625"/>
      <c r="Z43" s="625"/>
      <c r="AA43" s="625"/>
      <c r="AB43" s="625"/>
      <c r="AC43" s="625"/>
    </row>
    <row r="44" spans="1:29" ht="12.75">
      <c r="A44" s="48" t="s">
        <v>1048</v>
      </c>
      <c r="B44" s="1092">
        <v>1421</v>
      </c>
      <c r="C44" s="1092" t="s">
        <v>110</v>
      </c>
      <c r="D44" s="912">
        <v>39454</v>
      </c>
      <c r="E44" s="912">
        <v>39482</v>
      </c>
      <c r="F44" s="912"/>
      <c r="G44" s="1250">
        <v>429</v>
      </c>
      <c r="H44" s="1056" t="s">
        <v>1035</v>
      </c>
      <c r="I44" s="38" t="s">
        <v>574</v>
      </c>
      <c r="J44" s="86" t="s">
        <v>759</v>
      </c>
      <c r="K44" s="86">
        <v>1421</v>
      </c>
      <c r="L44" s="86" t="s">
        <v>110</v>
      </c>
      <c r="M44" s="250">
        <v>39454</v>
      </c>
      <c r="N44" s="250">
        <v>39482</v>
      </c>
      <c r="O44" s="250"/>
      <c r="P44" s="38">
        <v>3</v>
      </c>
      <c r="Q44" s="25">
        <v>429</v>
      </c>
      <c r="R44" s="25" t="s">
        <v>1027</v>
      </c>
      <c r="S44" s="53"/>
      <c r="T44" s="53"/>
      <c r="U44" s="25"/>
      <c r="V44" s="53"/>
      <c r="W44" s="25"/>
      <c r="X44" s="25"/>
      <c r="Y44" s="625"/>
      <c r="Z44" s="625"/>
      <c r="AA44" s="625"/>
      <c r="AB44" s="625"/>
      <c r="AC44" s="625"/>
    </row>
    <row r="45" spans="1:29" ht="12.75">
      <c r="A45" s="1239" t="s">
        <v>1049</v>
      </c>
      <c r="B45" s="1242">
        <v>1702</v>
      </c>
      <c r="C45" s="1242" t="s">
        <v>112</v>
      </c>
      <c r="D45" s="1245">
        <v>39412</v>
      </c>
      <c r="E45" s="1245">
        <v>39485</v>
      </c>
      <c r="F45" s="1245"/>
      <c r="G45" s="1249">
        <v>32</v>
      </c>
      <c r="H45" s="1056" t="s">
        <v>1035</v>
      </c>
      <c r="I45" s="38" t="s">
        <v>586</v>
      </c>
      <c r="J45" s="86" t="s">
        <v>588</v>
      </c>
      <c r="K45" s="86">
        <v>1702</v>
      </c>
      <c r="L45" s="86" t="s">
        <v>112</v>
      </c>
      <c r="M45" s="250">
        <v>39412</v>
      </c>
      <c r="N45" s="250">
        <v>39485</v>
      </c>
      <c r="O45" s="250"/>
      <c r="P45" s="38">
        <v>3</v>
      </c>
      <c r="Q45" s="25">
        <v>32</v>
      </c>
      <c r="R45" s="25" t="s">
        <v>1027</v>
      </c>
      <c r="S45" s="53"/>
      <c r="T45" s="53"/>
      <c r="U45" s="53"/>
      <c r="V45" s="53"/>
      <c r="W45" s="25"/>
      <c r="X45" s="25"/>
      <c r="Y45" s="625"/>
      <c r="Z45" s="625"/>
      <c r="AA45" s="625"/>
      <c r="AB45" s="625"/>
      <c r="AC45" s="625"/>
    </row>
    <row r="46" spans="1:29" ht="15">
      <c r="A46" s="1230" t="s">
        <v>1050</v>
      </c>
      <c r="B46" s="1231">
        <v>1702</v>
      </c>
      <c r="C46" s="1231" t="s">
        <v>112</v>
      </c>
      <c r="D46" s="915">
        <v>39482</v>
      </c>
      <c r="E46" s="915">
        <v>39520</v>
      </c>
      <c r="F46" s="915">
        <v>39569</v>
      </c>
      <c r="G46" s="1254">
        <v>32</v>
      </c>
      <c r="H46" s="1056" t="s">
        <v>1035</v>
      </c>
      <c r="I46" s="38" t="s">
        <v>593</v>
      </c>
      <c r="J46" s="86" t="s">
        <v>594</v>
      </c>
      <c r="K46" s="86">
        <v>1702</v>
      </c>
      <c r="L46" s="86" t="s">
        <v>112</v>
      </c>
      <c r="M46" s="250">
        <v>39482</v>
      </c>
      <c r="N46" s="250">
        <v>39520</v>
      </c>
      <c r="O46" s="250">
        <v>39569</v>
      </c>
      <c r="P46" s="38">
        <v>2</v>
      </c>
      <c r="Q46" s="25">
        <v>32</v>
      </c>
      <c r="R46" s="25" t="s">
        <v>1027</v>
      </c>
      <c r="S46" s="53"/>
      <c r="T46" s="53"/>
      <c r="U46" s="53"/>
      <c r="V46" s="53"/>
      <c r="W46" s="25"/>
      <c r="X46" s="25"/>
      <c r="Y46" s="625"/>
      <c r="Z46" s="625"/>
      <c r="AA46" s="625"/>
      <c r="AB46" s="625"/>
      <c r="AC46" s="625"/>
    </row>
    <row r="47" spans="1:24" s="624" customFormat="1" ht="15">
      <c r="A47" s="1230" t="s">
        <v>1051</v>
      </c>
      <c r="B47" s="1232">
        <v>1352</v>
      </c>
      <c r="C47" s="1232" t="s">
        <v>116</v>
      </c>
      <c r="D47" s="283">
        <v>39595</v>
      </c>
      <c r="E47" s="283">
        <v>39563</v>
      </c>
      <c r="F47" s="641">
        <v>39692</v>
      </c>
      <c r="G47" s="1255">
        <v>54</v>
      </c>
      <c r="H47" s="1056" t="s">
        <v>1035</v>
      </c>
      <c r="I47" s="267" t="s">
        <v>591</v>
      </c>
      <c r="J47" s="624" t="s">
        <v>592</v>
      </c>
      <c r="K47" s="624">
        <v>1352</v>
      </c>
      <c r="L47" s="624" t="s">
        <v>116</v>
      </c>
      <c r="M47" s="269">
        <v>39595</v>
      </c>
      <c r="N47" s="269">
        <v>39539</v>
      </c>
      <c r="O47" s="627">
        <v>39692</v>
      </c>
      <c r="P47" s="267">
        <v>2</v>
      </c>
      <c r="Q47" s="224">
        <v>54</v>
      </c>
      <c r="R47" s="224" t="s">
        <v>1027</v>
      </c>
      <c r="S47" s="227"/>
      <c r="T47" s="227"/>
      <c r="U47" s="227"/>
      <c r="V47" s="227"/>
      <c r="W47" s="224"/>
      <c r="X47" s="628"/>
    </row>
    <row r="48" spans="1:28" ht="12.75">
      <c r="A48" s="48" t="s">
        <v>1052</v>
      </c>
      <c r="B48" s="243">
        <v>1601</v>
      </c>
      <c r="C48" s="243" t="s">
        <v>1020</v>
      </c>
      <c r="D48" s="49">
        <v>39540</v>
      </c>
      <c r="E48" s="49">
        <v>39540</v>
      </c>
      <c r="F48" s="49"/>
      <c r="G48" s="1246">
        <v>96</v>
      </c>
      <c r="H48" s="1056" t="s">
        <v>1035</v>
      </c>
      <c r="I48" s="38" t="s">
        <v>1018</v>
      </c>
      <c r="J48" s="38" t="s">
        <v>1019</v>
      </c>
      <c r="K48" s="38">
        <v>1601</v>
      </c>
      <c r="L48" s="38" t="s">
        <v>1020</v>
      </c>
      <c r="M48" s="250">
        <v>39540</v>
      </c>
      <c r="N48" s="250">
        <v>39540</v>
      </c>
      <c r="O48" s="250"/>
      <c r="P48" s="965">
        <v>3</v>
      </c>
      <c r="Q48" s="25">
        <v>96</v>
      </c>
      <c r="R48" s="25" t="s">
        <v>1027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3.5" customHeight="1">
      <c r="A49" s="1239" t="s">
        <v>1053</v>
      </c>
      <c r="B49" s="1240">
        <v>1354</v>
      </c>
      <c r="C49" s="1240" t="s">
        <v>116</v>
      </c>
      <c r="D49" s="1240"/>
      <c r="E49" s="1241">
        <v>39554</v>
      </c>
      <c r="F49" s="1240"/>
      <c r="G49" s="1256">
        <v>0</v>
      </c>
      <c r="H49" s="1056" t="s">
        <v>1035</v>
      </c>
      <c r="I49" s="38" t="s">
        <v>1021</v>
      </c>
      <c r="J49" s="38" t="s">
        <v>1022</v>
      </c>
      <c r="K49" s="38">
        <v>1354</v>
      </c>
      <c r="L49" s="38" t="s">
        <v>116</v>
      </c>
      <c r="M49" s="38"/>
      <c r="N49" s="250">
        <v>39554</v>
      </c>
      <c r="O49" s="38"/>
      <c r="P49" s="38">
        <v>3</v>
      </c>
      <c r="Q49" s="25">
        <v>0</v>
      </c>
      <c r="R49" s="25" t="s">
        <v>1027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3.5" thickBot="1">
      <c r="A50" s="1257" t="s">
        <v>1054</v>
      </c>
      <c r="B50" s="1258">
        <v>1354</v>
      </c>
      <c r="C50" s="1258" t="s">
        <v>116</v>
      </c>
      <c r="D50" s="1258"/>
      <c r="E50" s="1259">
        <v>39602</v>
      </c>
      <c r="F50" s="1258"/>
      <c r="G50" s="1260">
        <v>0</v>
      </c>
      <c r="H50" s="1056" t="s">
        <v>1035</v>
      </c>
      <c r="I50" s="71" t="s">
        <v>1028</v>
      </c>
      <c r="J50" t="s">
        <v>1029</v>
      </c>
      <c r="K50">
        <v>1354</v>
      </c>
      <c r="L50" t="s">
        <v>116</v>
      </c>
      <c r="M50"/>
      <c r="N50" s="1227">
        <v>39602</v>
      </c>
      <c r="O50"/>
      <c r="P50">
        <v>3</v>
      </c>
      <c r="Q50">
        <v>0</v>
      </c>
      <c r="R50" t="s">
        <v>1027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5">
      <c r="A51" s="66"/>
      <c r="B51" s="67"/>
      <c r="C51" s="67"/>
      <c r="D51" s="68" t="s">
        <v>542</v>
      </c>
      <c r="E51" s="69"/>
      <c r="F51" s="69"/>
      <c r="G51" s="70"/>
      <c r="H51" s="287"/>
      <c r="I51" s="287"/>
      <c r="J51" s="287"/>
      <c r="K51" s="287"/>
      <c r="L51" s="287"/>
      <c r="M51" s="287"/>
      <c r="N51" s="287"/>
      <c r="O51" s="287"/>
      <c r="P51" s="287"/>
      <c r="Q51" s="71"/>
      <c r="R51" s="71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5">
      <c r="A52" s="1467"/>
      <c r="B52" s="1468"/>
      <c r="C52" s="1468"/>
      <c r="D52" s="1469"/>
      <c r="E52" s="207"/>
      <c r="F52" s="72" t="s">
        <v>540</v>
      </c>
      <c r="G52" s="72" t="s">
        <v>541</v>
      </c>
      <c r="H52" s="285" t="s">
        <v>232</v>
      </c>
      <c r="I52" s="285"/>
      <c r="J52" s="285"/>
      <c r="K52" s="285"/>
      <c r="L52" s="285"/>
      <c r="M52" s="285"/>
      <c r="N52" s="285"/>
      <c r="O52" s="285"/>
      <c r="P52" s="285"/>
      <c r="Q52" s="71"/>
      <c r="R52" s="71"/>
      <c r="S52"/>
      <c r="T52"/>
      <c r="U52"/>
      <c r="V52"/>
      <c r="W52"/>
      <c r="X52"/>
      <c r="Y52"/>
      <c r="Z52"/>
      <c r="AA52"/>
      <c r="AB52"/>
    </row>
    <row r="53" spans="1:28" ht="15">
      <c r="A53" s="1470"/>
      <c r="B53" s="1471"/>
      <c r="C53" s="1471"/>
      <c r="D53" s="1472"/>
      <c r="E53" s="73" t="s">
        <v>54</v>
      </c>
      <c r="F53" s="183">
        <f>SUM('COST PERFORMANCE BY RLM &amp; JOB'!C65)</f>
        <v>3601.4</v>
      </c>
      <c r="G53" s="208">
        <f>SUM('COST PERFORMANCE BY RLM &amp; JOB'!K65)</f>
        <v>413.6</v>
      </c>
      <c r="H53" s="285"/>
      <c r="I53" s="285"/>
      <c r="J53" s="285"/>
      <c r="K53" s="285"/>
      <c r="L53" s="285"/>
      <c r="M53" s="285"/>
      <c r="N53" s="285"/>
      <c r="O53" s="285"/>
      <c r="P53" s="285"/>
      <c r="Q53" s="71"/>
      <c r="R53" s="71"/>
      <c r="S53"/>
      <c r="T53"/>
      <c r="U53"/>
      <c r="V53"/>
      <c r="W53"/>
      <c r="X53"/>
      <c r="Y53"/>
      <c r="Z53"/>
      <c r="AA53"/>
      <c r="AB53"/>
    </row>
    <row r="54" spans="1:23" ht="15">
      <c r="A54" s="1470"/>
      <c r="B54" s="1471"/>
      <c r="C54" s="1471"/>
      <c r="D54" s="1472"/>
      <c r="E54" s="73" t="s">
        <v>55</v>
      </c>
      <c r="F54" s="183">
        <f>SUM('COST PERFORMANCE BY RLM &amp; JOB'!D65)</f>
        <v>3091.3718048800006</v>
      </c>
      <c r="G54" s="208">
        <f>SUM('COST PERFORMANCE BY RLM &amp; JOB'!L65)</f>
        <v>369.2287048799999</v>
      </c>
      <c r="H54" s="38"/>
      <c r="S54"/>
      <c r="T54"/>
      <c r="U54"/>
      <c r="V54"/>
      <c r="W54"/>
    </row>
    <row r="55" spans="1:19" ht="15">
      <c r="A55" s="1470"/>
      <c r="B55" s="1471"/>
      <c r="C55" s="1471"/>
      <c r="D55" s="1472"/>
      <c r="E55" s="73" t="s">
        <v>56</v>
      </c>
      <c r="F55" s="183">
        <f>SUM('COST PERFORMANCE BY RLM &amp; JOB'!E65)</f>
        <v>2776.345653312274</v>
      </c>
      <c r="G55" s="208">
        <f>SUM('COST PERFORMANCE BY RLM &amp; JOB'!M65)</f>
        <v>371.60299999999995</v>
      </c>
      <c r="H55" s="38"/>
      <c r="I55" s="71"/>
      <c r="J55"/>
      <c r="K55"/>
      <c r="L55"/>
      <c r="M55"/>
      <c r="N55"/>
      <c r="O55"/>
      <c r="P55"/>
      <c r="Q55"/>
      <c r="R55"/>
      <c r="S55"/>
    </row>
    <row r="56" spans="1:19" ht="12.75">
      <c r="A56" s="1470"/>
      <c r="B56" s="1471"/>
      <c r="C56" s="1471"/>
      <c r="D56" s="1472"/>
      <c r="E56" s="73" t="s">
        <v>57</v>
      </c>
      <c r="F56" s="242">
        <f>+F54-F55</f>
        <v>315.02615156772663</v>
      </c>
      <c r="G56" s="209"/>
      <c r="H56" s="38"/>
      <c r="I56" s="71"/>
      <c r="J56"/>
      <c r="K56"/>
      <c r="L56"/>
      <c r="M56"/>
      <c r="N56"/>
      <c r="O56"/>
      <c r="P56"/>
      <c r="Q56"/>
      <c r="R56"/>
      <c r="S56"/>
    </row>
    <row r="57" spans="1:19" ht="12.75">
      <c r="A57" s="1470"/>
      <c r="B57" s="1471"/>
      <c r="C57" s="1471"/>
      <c r="D57" s="1472"/>
      <c r="E57" s="73" t="s">
        <v>58</v>
      </c>
      <c r="F57" s="242">
        <f>+F54-F53</f>
        <v>-510.0281951199995</v>
      </c>
      <c r="G57" s="209"/>
      <c r="H57" s="38"/>
      <c r="I57" s="71"/>
      <c r="J57"/>
      <c r="K57"/>
      <c r="L57"/>
      <c r="M57"/>
      <c r="N57"/>
      <c r="O57"/>
      <c r="P57"/>
      <c r="Q57"/>
      <c r="R57"/>
      <c r="S57"/>
    </row>
    <row r="58" spans="1:19" ht="12.75">
      <c r="A58" s="1470"/>
      <c r="B58" s="1471"/>
      <c r="C58" s="1471"/>
      <c r="D58" s="1472"/>
      <c r="E58" s="73" t="s">
        <v>59</v>
      </c>
      <c r="F58" s="617">
        <f>+F54/F55</f>
        <v>1.1134679146279534</v>
      </c>
      <c r="G58" s="612">
        <f>+G54/G55</f>
        <v>0.9936106675134483</v>
      </c>
      <c r="H58" s="38"/>
      <c r="I58" s="71"/>
      <c r="J58"/>
      <c r="K58"/>
      <c r="L58"/>
      <c r="M58"/>
      <c r="N58"/>
      <c r="O58"/>
      <c r="P58"/>
      <c r="Q58"/>
      <c r="R58"/>
      <c r="S58"/>
    </row>
    <row r="59" spans="1:19" ht="12.75">
      <c r="A59" s="1470"/>
      <c r="B59" s="1471"/>
      <c r="C59" s="1471"/>
      <c r="D59" s="1472"/>
      <c r="E59" s="73" t="s">
        <v>60</v>
      </c>
      <c r="F59" s="617">
        <f>+F54/F53</f>
        <v>0.858380575576165</v>
      </c>
      <c r="G59" s="612">
        <f>+G54/G53</f>
        <v>0.8927193058027076</v>
      </c>
      <c r="H59" s="38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470"/>
      <c r="B60" s="1471"/>
      <c r="C60" s="1471"/>
      <c r="D60" s="1472"/>
      <c r="E60" s="73" t="s">
        <v>52</v>
      </c>
      <c r="F60" s="183">
        <f>SUM('COST PERFORMANCE BY RLM &amp; JOB'!R65)+'Baseline Reconciliation'!F142</f>
        <v>56600.653000000006</v>
      </c>
      <c r="G60" s="210"/>
      <c r="H60" s="38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470"/>
      <c r="B61" s="1471"/>
      <c r="C61" s="1471"/>
      <c r="D61" s="1472"/>
      <c r="E61" s="73" t="s">
        <v>53</v>
      </c>
      <c r="F61" s="618">
        <f>SUM('COST PERFORMANCE BY RLM &amp; JOB'!V65)+'Baseline Reconciliation'!F142</f>
        <v>58681.27182577725</v>
      </c>
      <c r="G61" s="210"/>
      <c r="H61" s="38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470"/>
      <c r="B62" s="1471"/>
      <c r="C62" s="1471"/>
      <c r="D62" s="1472"/>
      <c r="E62" s="211" t="s">
        <v>51</v>
      </c>
      <c r="F62" s="212"/>
      <c r="G62" s="213"/>
      <c r="H62" s="38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470"/>
      <c r="B63" s="1471"/>
      <c r="C63" s="1471"/>
      <c r="D63" s="1472"/>
      <c r="E63" s="75" t="s">
        <v>61</v>
      </c>
      <c r="F63" s="1476"/>
      <c r="G63" s="1477"/>
      <c r="H63" s="38"/>
      <c r="I63" s="71"/>
      <c r="J63"/>
      <c r="K63"/>
      <c r="L63"/>
      <c r="M63"/>
      <c r="N63"/>
      <c r="O63"/>
      <c r="P63"/>
      <c r="Q63"/>
      <c r="R63"/>
      <c r="S63"/>
    </row>
    <row r="64" spans="1:19" ht="37.5" customHeight="1">
      <c r="A64" s="1470"/>
      <c r="B64" s="1471"/>
      <c r="C64" s="1471"/>
      <c r="D64" s="1472"/>
      <c r="E64" s="1580"/>
      <c r="F64" s="1581"/>
      <c r="G64" s="1582"/>
      <c r="H64" s="38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473"/>
      <c r="B65" s="1474"/>
      <c r="C65" s="1474"/>
      <c r="D65" s="1475"/>
      <c r="E65" s="1583"/>
      <c r="F65" s="1584"/>
      <c r="G65" s="1585"/>
      <c r="H65" s="38"/>
      <c r="I65" s="25"/>
      <c r="J65"/>
      <c r="K65"/>
      <c r="L65"/>
      <c r="M65"/>
      <c r="N65"/>
      <c r="O65"/>
      <c r="P65"/>
      <c r="Q65"/>
      <c r="R65"/>
      <c r="S65"/>
    </row>
    <row r="66" spans="1:19" ht="12.75">
      <c r="A66" s="1484" t="s">
        <v>543</v>
      </c>
      <c r="B66" s="1485"/>
      <c r="C66" s="1485"/>
      <c r="D66" s="1486"/>
      <c r="E66" s="1486"/>
      <c r="F66" s="1486"/>
      <c r="G66" s="1487"/>
      <c r="H66" s="221"/>
      <c r="I66" s="25"/>
      <c r="J66"/>
      <c r="K66"/>
      <c r="L66"/>
      <c r="M66"/>
      <c r="N66"/>
      <c r="O66"/>
      <c r="P66"/>
      <c r="Q66"/>
      <c r="R66"/>
      <c r="S66"/>
    </row>
    <row r="67" spans="1:19" ht="12.75">
      <c r="A67" s="1488" t="s">
        <v>70</v>
      </c>
      <c r="B67" s="1489"/>
      <c r="C67" s="1489"/>
      <c r="D67" s="1490"/>
      <c r="E67" s="76" t="s">
        <v>71</v>
      </c>
      <c r="F67" s="77"/>
      <c r="G67" s="78"/>
      <c r="H67" s="221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491"/>
      <c r="B68" s="1492"/>
      <c r="C68" s="1492"/>
      <c r="D68" s="1493"/>
      <c r="E68" s="1492"/>
      <c r="F68" s="1493"/>
      <c r="G68" s="1499"/>
      <c r="H68" s="221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494"/>
      <c r="B69" s="1495"/>
      <c r="C69" s="1495"/>
      <c r="D69" s="1479"/>
      <c r="E69" s="1495"/>
      <c r="F69" s="1479"/>
      <c r="G69" s="1500"/>
      <c r="H69" s="221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494"/>
      <c r="B70" s="1495"/>
      <c r="C70" s="1495"/>
      <c r="D70" s="1479"/>
      <c r="E70" s="1495"/>
      <c r="F70" s="1479"/>
      <c r="G70" s="1500"/>
      <c r="H70" s="221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496"/>
      <c r="B71" s="1479"/>
      <c r="C71" s="1479"/>
      <c r="D71" s="1479"/>
      <c r="E71" s="1479"/>
      <c r="F71" s="1479"/>
      <c r="G71" s="1500"/>
      <c r="H71" s="221"/>
      <c r="I71"/>
      <c r="J71"/>
      <c r="K71"/>
      <c r="L71"/>
      <c r="M71"/>
      <c r="N71"/>
      <c r="O71"/>
      <c r="P71"/>
      <c r="Q71"/>
      <c r="R71"/>
      <c r="S71"/>
    </row>
    <row r="72" spans="1:19" ht="12.75">
      <c r="A72" s="1496"/>
      <c r="B72" s="1479"/>
      <c r="C72" s="1479"/>
      <c r="D72" s="1479"/>
      <c r="E72" s="1479"/>
      <c r="F72" s="1479"/>
      <c r="G72" s="1500"/>
      <c r="H72" s="38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1497"/>
      <c r="B73" s="1498"/>
      <c r="C73" s="1498"/>
      <c r="D73" s="1498"/>
      <c r="E73" s="1498"/>
      <c r="F73" s="1498"/>
      <c r="G73" s="1501"/>
      <c r="H73" s="38"/>
      <c r="I73"/>
      <c r="J73"/>
      <c r="K73"/>
      <c r="L73"/>
      <c r="M73"/>
      <c r="N73"/>
      <c r="O73"/>
      <c r="P73"/>
      <c r="Q73"/>
      <c r="R73"/>
      <c r="S73"/>
    </row>
    <row r="74" spans="1:19" ht="13.5" thickBot="1">
      <c r="A74" s="42"/>
      <c r="B74" s="42"/>
      <c r="C74" s="42"/>
      <c r="D74" s="42"/>
      <c r="E74" s="42"/>
      <c r="F74" s="42"/>
      <c r="G74" s="42"/>
      <c r="H74" s="221"/>
      <c r="I74"/>
      <c r="J74"/>
      <c r="K74"/>
      <c r="L74"/>
      <c r="M74"/>
      <c r="N74"/>
      <c r="O74"/>
      <c r="P74"/>
      <c r="Q74"/>
      <c r="R74"/>
      <c r="S74"/>
    </row>
    <row r="75" spans="1:19" ht="14.25">
      <c r="A75" s="79" t="s">
        <v>63</v>
      </c>
      <c r="B75" s="80"/>
      <c r="C75" s="80"/>
      <c r="D75" s="81"/>
      <c r="E75" s="82"/>
      <c r="F75" s="83"/>
      <c r="G75" s="84"/>
      <c r="H75" s="221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214" t="s">
        <v>544</v>
      </c>
      <c r="B76" s="215"/>
      <c r="C76" s="215"/>
      <c r="D76" s="217" t="s">
        <v>62</v>
      </c>
      <c r="E76" s="218" t="s">
        <v>546</v>
      </c>
      <c r="F76" s="219"/>
      <c r="G76" s="220"/>
      <c r="H76" s="221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 s="1502"/>
      <c r="B77" s="216"/>
      <c r="C77" s="216"/>
      <c r="D77" s="1502"/>
      <c r="E77" s="1502"/>
      <c r="F77" s="1504"/>
      <c r="G77" s="1505"/>
      <c r="H77" s="221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 s="1507"/>
      <c r="B78" s="85"/>
      <c r="C78" s="85"/>
      <c r="D78" s="1507"/>
      <c r="E78" s="1507"/>
      <c r="F78" s="1450"/>
      <c r="G78" s="1506"/>
      <c r="H78" s="221"/>
      <c r="I78"/>
      <c r="J78"/>
      <c r="K78"/>
      <c r="L78"/>
      <c r="M78"/>
      <c r="N78"/>
      <c r="O78"/>
      <c r="P78"/>
      <c r="Q78"/>
      <c r="R78"/>
      <c r="S78"/>
    </row>
    <row r="79" spans="1:19" ht="12.75">
      <c r="A79" s="1503"/>
      <c r="B79" s="43"/>
      <c r="C79" s="43"/>
      <c r="D79" s="1503"/>
      <c r="E79" s="1503"/>
      <c r="F79" s="1450"/>
      <c r="G79" s="1506"/>
      <c r="H79" s="221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1507"/>
      <c r="B80" s="85"/>
      <c r="C80" s="85"/>
      <c r="D80" s="1507"/>
      <c r="E80" s="1507"/>
      <c r="F80" s="1450"/>
      <c r="G80" s="1506"/>
      <c r="H80" s="221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1508"/>
      <c r="B81" s="44"/>
      <c r="C81" s="44"/>
      <c r="D81" s="1508"/>
      <c r="E81" s="1508"/>
      <c r="F81" s="1454"/>
      <c r="G81" s="1509"/>
      <c r="H81" s="337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 s="337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 s="337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 s="337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 s="337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 s="337"/>
      <c r="I86"/>
      <c r="J86"/>
      <c r="K86"/>
      <c r="L86"/>
      <c r="M86"/>
      <c r="N86"/>
      <c r="O86"/>
      <c r="P86"/>
      <c r="Q86"/>
      <c r="R86"/>
      <c r="S86"/>
    </row>
    <row r="87" spans="1:7" ht="12.75">
      <c r="A87"/>
      <c r="B87"/>
      <c r="C87"/>
      <c r="D87"/>
      <c r="E87"/>
      <c r="F87"/>
      <c r="G87"/>
    </row>
  </sheetData>
  <mergeCells count="24">
    <mergeCell ref="A27:G27"/>
    <mergeCell ref="A14:G18"/>
    <mergeCell ref="A20:G25"/>
    <mergeCell ref="A26:G26"/>
    <mergeCell ref="A19:G19"/>
    <mergeCell ref="A77:A79"/>
    <mergeCell ref="D77:D79"/>
    <mergeCell ref="E77:G79"/>
    <mergeCell ref="A80:A81"/>
    <mergeCell ref="D80:D81"/>
    <mergeCell ref="E80:G81"/>
    <mergeCell ref="A13:G13"/>
    <mergeCell ref="A3:D3"/>
    <mergeCell ref="A11:D11"/>
    <mergeCell ref="A12:D12"/>
    <mergeCell ref="E12:G12"/>
    <mergeCell ref="A30:G30"/>
    <mergeCell ref="A52:D65"/>
    <mergeCell ref="A68:D73"/>
    <mergeCell ref="E68:G73"/>
    <mergeCell ref="A67:D67"/>
    <mergeCell ref="A66:G66"/>
    <mergeCell ref="E64:G65"/>
    <mergeCell ref="F63:G63"/>
  </mergeCells>
  <printOptions gridLines="1"/>
  <pageMargins left="0.17" right="0.17" top="0.18" bottom="0.27" header="0.17" footer="0.17"/>
  <pageSetup fitToHeight="1" fitToWidth="1" horizontalDpi="600" verticalDpi="600" orientation="portrait" scale="66" r:id="rId2"/>
  <headerFooter alignWithMargins="0">
    <oddFooter>&amp;R&amp;F           &amp;A      &amp;D  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="25" zoomScaleNormal="25" workbookViewId="0" topLeftCell="A7">
      <selection activeCell="J7" sqref="J7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4.421875" style="86" customWidth="1"/>
    <col min="6" max="6" width="17.140625" style="86" customWidth="1"/>
    <col min="7" max="7" width="14.710937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537</v>
      </c>
      <c r="B2" s="27"/>
      <c r="C2" s="27"/>
      <c r="D2" s="28"/>
      <c r="E2" s="28"/>
      <c r="F2" s="28"/>
      <c r="G2" s="29"/>
      <c r="H2" s="30" t="s">
        <v>232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577" t="s">
        <v>67</v>
      </c>
      <c r="B3" s="1578"/>
      <c r="C3" s="1578"/>
      <c r="D3" s="1579"/>
      <c r="E3" s="231" t="s">
        <v>216</v>
      </c>
      <c r="F3" s="232" t="s">
        <v>69</v>
      </c>
      <c r="G3" s="233" t="s">
        <v>66</v>
      </c>
      <c r="H3" s="234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225</v>
      </c>
      <c r="B4" s="34"/>
      <c r="C4" s="34"/>
      <c r="D4" s="34"/>
      <c r="E4" s="237" t="s">
        <v>536</v>
      </c>
      <c r="F4" s="35"/>
      <c r="G4" s="238">
        <v>39293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48</v>
      </c>
      <c r="B5" s="188" t="s">
        <v>240</v>
      </c>
      <c r="C5" s="189" t="s">
        <v>69</v>
      </c>
      <c r="D5" s="186" t="s">
        <v>48</v>
      </c>
      <c r="E5" s="187"/>
      <c r="F5" s="188" t="s">
        <v>240</v>
      </c>
      <c r="G5" s="201" t="s">
        <v>69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226</v>
      </c>
      <c r="B6" s="228" t="s">
        <v>227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228</v>
      </c>
      <c r="B7" s="229" t="s">
        <v>229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230</v>
      </c>
      <c r="B8" s="229" t="s">
        <v>231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440"/>
      <c r="B11" s="1441"/>
      <c r="C11" s="1441"/>
      <c r="D11" s="1441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442"/>
      <c r="B12" s="1442"/>
      <c r="C12" s="1442"/>
      <c r="D12" s="1443"/>
      <c r="E12" s="1442"/>
      <c r="F12" s="1443"/>
      <c r="G12" s="1443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1444" t="s">
        <v>49</v>
      </c>
      <c r="B13" s="1445"/>
      <c r="C13" s="1445"/>
      <c r="D13" s="1446"/>
      <c r="E13" s="1446"/>
      <c r="F13" s="1446"/>
      <c r="G13" s="1447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448"/>
      <c r="B14" s="1449"/>
      <c r="C14" s="1449"/>
      <c r="D14" s="1450"/>
      <c r="E14" s="1450"/>
      <c r="F14" s="1450"/>
      <c r="G14" s="1451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448"/>
      <c r="B15" s="1449"/>
      <c r="C15" s="1449"/>
      <c r="D15" s="1450"/>
      <c r="E15" s="1450"/>
      <c r="F15" s="1450"/>
      <c r="G15" s="1451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452"/>
      <c r="B16" s="1450"/>
      <c r="C16" s="1450"/>
      <c r="D16" s="1450"/>
      <c r="E16" s="1450"/>
      <c r="F16" s="1450"/>
      <c r="G16" s="1451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452"/>
      <c r="B17" s="1450"/>
      <c r="C17" s="1450"/>
      <c r="D17" s="1450"/>
      <c r="E17" s="1450"/>
      <c r="F17" s="1450"/>
      <c r="G17" s="1451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453"/>
      <c r="B18" s="1454"/>
      <c r="C18" s="1454"/>
      <c r="D18" s="1454"/>
      <c r="E18" s="1454"/>
      <c r="F18" s="1454"/>
      <c r="G18" s="1455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1456" t="s">
        <v>50</v>
      </c>
      <c r="B19" s="1457"/>
      <c r="C19" s="1457"/>
      <c r="D19" s="1458"/>
      <c r="E19" s="1458"/>
      <c r="F19" s="1458"/>
      <c r="G19" s="145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448"/>
      <c r="B20" s="1449"/>
      <c r="C20" s="1449"/>
      <c r="D20" s="1450"/>
      <c r="E20" s="1450"/>
      <c r="F20" s="1450"/>
      <c r="G20" s="1451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448"/>
      <c r="B21" s="1449"/>
      <c r="C21" s="1449"/>
      <c r="D21" s="1450"/>
      <c r="E21" s="1450"/>
      <c r="F21" s="1450"/>
      <c r="G21" s="145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448"/>
      <c r="B22" s="1449"/>
      <c r="C22" s="1449"/>
      <c r="D22" s="1450"/>
      <c r="E22" s="1450"/>
      <c r="F22" s="1450"/>
      <c r="G22" s="1451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452"/>
      <c r="B23" s="1450"/>
      <c r="C23" s="1450"/>
      <c r="D23" s="1450"/>
      <c r="E23" s="1450"/>
      <c r="F23" s="1450"/>
      <c r="G23" s="1451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452"/>
      <c r="B24" s="1450"/>
      <c r="C24" s="1450"/>
      <c r="D24" s="1450"/>
      <c r="E24" s="1450"/>
      <c r="F24" s="1450"/>
      <c r="G24" s="1451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453"/>
      <c r="B25" s="1454"/>
      <c r="C25" s="1454"/>
      <c r="D25" s="1454"/>
      <c r="E25" s="1454"/>
      <c r="F25" s="1454"/>
      <c r="G25" s="1455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1456" t="s">
        <v>64</v>
      </c>
      <c r="B26" s="1457"/>
      <c r="C26" s="1457"/>
      <c r="D26" s="1458"/>
      <c r="E26" s="1458"/>
      <c r="F26" s="1458"/>
      <c r="G26" s="1459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448"/>
      <c r="B27" s="1449"/>
      <c r="C27" s="1449"/>
      <c r="D27" s="1450"/>
      <c r="E27" s="1450"/>
      <c r="F27" s="1450"/>
      <c r="G27" s="1451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448"/>
      <c r="B28" s="1449"/>
      <c r="C28" s="1449"/>
      <c r="D28" s="1450"/>
      <c r="E28" s="1450"/>
      <c r="F28" s="1450"/>
      <c r="G28" s="1451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448"/>
      <c r="B29" s="1449"/>
      <c r="C29" s="1449"/>
      <c r="D29" s="1450"/>
      <c r="E29" s="1450"/>
      <c r="F29" s="1450"/>
      <c r="G29" s="145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452"/>
      <c r="B30" s="1450"/>
      <c r="C30" s="1450"/>
      <c r="D30" s="1450"/>
      <c r="E30" s="1450"/>
      <c r="F30" s="1450"/>
      <c r="G30" s="145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452"/>
      <c r="B31" s="1450"/>
      <c r="C31" s="1450"/>
      <c r="D31" s="1450"/>
      <c r="E31" s="1450"/>
      <c r="F31" s="1450"/>
      <c r="G31" s="145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460"/>
      <c r="B32" s="1461"/>
      <c r="C32" s="1461"/>
      <c r="D32" s="1461"/>
      <c r="E32" s="1461"/>
      <c r="F32" s="1461"/>
      <c r="G32" s="1462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463" t="s">
        <v>294</v>
      </c>
      <c r="B34" s="1464"/>
      <c r="C34" s="1464"/>
      <c r="D34" s="1587"/>
      <c r="E34" s="1587"/>
      <c r="F34" s="1587"/>
      <c r="G34" s="158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68</v>
      </c>
      <c r="B35" s="45" t="s">
        <v>238</v>
      </c>
      <c r="C35" s="45" t="s">
        <v>142</v>
      </c>
      <c r="D35" s="46" t="s">
        <v>538</v>
      </c>
      <c r="E35" s="46" t="s">
        <v>539</v>
      </c>
      <c r="F35" s="46" t="s">
        <v>545</v>
      </c>
      <c r="G35" s="47" t="s">
        <v>339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 t="s">
        <v>99</v>
      </c>
      <c r="L36" s="25" t="s">
        <v>100</v>
      </c>
      <c r="M36" s="25" t="s">
        <v>104</v>
      </c>
      <c r="N36" s="25" t="s">
        <v>105</v>
      </c>
      <c r="O36" s="53" t="s">
        <v>101</v>
      </c>
      <c r="P36" s="25" t="s">
        <v>102</v>
      </c>
      <c r="Q36" s="25" t="s">
        <v>103</v>
      </c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 t="s">
        <v>192</v>
      </c>
      <c r="L37" s="25" t="s">
        <v>94</v>
      </c>
      <c r="M37" s="25" t="s">
        <v>193</v>
      </c>
      <c r="N37" s="53">
        <v>39276</v>
      </c>
      <c r="O37" s="223">
        <v>3</v>
      </c>
      <c r="P37" s="25">
        <v>1803</v>
      </c>
      <c r="Q37" s="25" t="s">
        <v>194</v>
      </c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 t="s">
        <v>195</v>
      </c>
      <c r="L38" s="25" t="s">
        <v>90</v>
      </c>
      <c r="M38" s="25"/>
      <c r="N38" s="53">
        <v>39331</v>
      </c>
      <c r="O38" s="223">
        <v>3</v>
      </c>
      <c r="P38" s="25">
        <v>3101</v>
      </c>
      <c r="Q38" s="25" t="s">
        <v>196</v>
      </c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 t="s">
        <v>197</v>
      </c>
      <c r="L39" s="25" t="s">
        <v>92</v>
      </c>
      <c r="N39" s="53">
        <v>39345</v>
      </c>
      <c r="O39" s="223">
        <v>2</v>
      </c>
      <c r="P39" s="25">
        <v>1431</v>
      </c>
      <c r="Q39" s="25" t="s">
        <v>198</v>
      </c>
      <c r="R39" s="25"/>
      <c r="S39" s="25"/>
    </row>
    <row r="40" spans="1:19" ht="12.75">
      <c r="A40" s="25"/>
      <c r="B40" s="221"/>
      <c r="C40" s="222"/>
      <c r="D40" s="53"/>
      <c r="E40" s="50"/>
      <c r="F40" s="51"/>
      <c r="G40" s="52"/>
      <c r="H40" s="25"/>
      <c r="I40" s="25"/>
      <c r="J40" s="25"/>
      <c r="K40" s="25" t="s">
        <v>199</v>
      </c>
      <c r="L40" s="25" t="s">
        <v>200</v>
      </c>
      <c r="M40" s="25"/>
      <c r="N40" s="53">
        <v>39407</v>
      </c>
      <c r="O40" s="223">
        <v>3</v>
      </c>
      <c r="P40" s="25">
        <v>1803</v>
      </c>
      <c r="Q40" s="25" t="s">
        <v>194</v>
      </c>
      <c r="R40" s="25"/>
      <c r="S40" s="25"/>
    </row>
    <row r="41" spans="1:19" ht="12.75">
      <c r="A41" s="25"/>
      <c r="B41" s="221"/>
      <c r="C41" s="222"/>
      <c r="D41" s="53"/>
      <c r="E41" s="50"/>
      <c r="F41" s="51"/>
      <c r="G41" s="52"/>
      <c r="H41" s="25"/>
      <c r="I41" s="25"/>
      <c r="J41" s="25"/>
      <c r="K41" s="25" t="s">
        <v>201</v>
      </c>
      <c r="L41" s="25" t="s">
        <v>80</v>
      </c>
      <c r="M41" s="53">
        <v>39479</v>
      </c>
      <c r="N41" s="53">
        <v>39484</v>
      </c>
      <c r="O41" s="223">
        <v>3</v>
      </c>
      <c r="P41" s="25">
        <v>1810</v>
      </c>
      <c r="Q41" s="25" t="s">
        <v>202</v>
      </c>
      <c r="R41" s="25"/>
      <c r="S41" s="25"/>
    </row>
    <row r="42" spans="1:19" ht="12.75">
      <c r="A42" s="54"/>
      <c r="B42" s="221"/>
      <c r="C42" s="222"/>
      <c r="D42" s="55"/>
      <c r="E42" s="56"/>
      <c r="F42" s="57"/>
      <c r="G42" s="58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59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25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53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50"/>
      <c r="F47" s="51"/>
      <c r="G47" s="52"/>
      <c r="H47" s="25"/>
      <c r="I47" s="25"/>
      <c r="J47" s="25"/>
      <c r="K47" s="25"/>
      <c r="L47" s="25"/>
      <c r="M47" s="25"/>
      <c r="N47" s="25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53"/>
      <c r="O48" s="53"/>
      <c r="P48" s="25"/>
      <c r="Q48" s="25"/>
      <c r="R48" s="25"/>
      <c r="S48" s="25"/>
    </row>
    <row r="49" spans="1:19" ht="12.75">
      <c r="A49" s="48"/>
      <c r="B49" s="221"/>
      <c r="C49" s="222"/>
      <c r="D49" s="49"/>
      <c r="E49" s="50"/>
      <c r="F49" s="51"/>
      <c r="G49" s="52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25"/>
    </row>
    <row r="50" spans="1:19" ht="12.75">
      <c r="A50" s="48"/>
      <c r="B50" s="221"/>
      <c r="C50" s="222"/>
      <c r="D50" s="49"/>
      <c r="E50" s="50"/>
      <c r="F50" s="51"/>
      <c r="G50" s="52"/>
      <c r="H50" s="25"/>
      <c r="I50" s="25"/>
      <c r="J50" s="25"/>
      <c r="K50" s="25"/>
      <c r="L50" s="25"/>
      <c r="M50" s="25"/>
      <c r="N50" s="53"/>
      <c r="O50" s="53"/>
      <c r="P50" s="25"/>
      <c r="Q50" s="25"/>
      <c r="R50" s="25"/>
      <c r="S50" s="25"/>
    </row>
    <row r="51" spans="1:19" ht="12.75">
      <c r="A51" s="54"/>
      <c r="B51" s="221"/>
      <c r="C51" s="222"/>
      <c r="D51" s="55"/>
      <c r="E51" s="56"/>
      <c r="F51" s="57"/>
      <c r="G51" s="58"/>
      <c r="H51" s="25"/>
      <c r="I51" s="25"/>
      <c r="J51" s="25"/>
      <c r="K51" s="25"/>
      <c r="L51" s="25"/>
      <c r="M51" s="25"/>
      <c r="N51" s="25"/>
      <c r="O51" s="53"/>
      <c r="P51" s="25"/>
      <c r="Q51" s="25"/>
      <c r="R51" s="25"/>
      <c r="S51" s="59"/>
    </row>
    <row r="52" spans="1:19" ht="12.75">
      <c r="A52" s="48"/>
      <c r="B52" s="221"/>
      <c r="C52" s="222"/>
      <c r="D52" s="49"/>
      <c r="E52" s="60"/>
      <c r="F52" s="51"/>
      <c r="G52" s="52"/>
      <c r="H52" s="25"/>
      <c r="I52" s="25"/>
      <c r="J52" s="25"/>
      <c r="K52" s="25"/>
      <c r="L52" s="25"/>
      <c r="M52" s="25"/>
      <c r="N52" s="53"/>
      <c r="O52" s="53"/>
      <c r="P52" s="25"/>
      <c r="Q52" s="25"/>
      <c r="R52" s="25"/>
      <c r="S52" s="25"/>
    </row>
    <row r="53" spans="1:19" ht="12.75">
      <c r="A53" s="48"/>
      <c r="B53" s="221"/>
      <c r="C53" s="222"/>
      <c r="D53" s="49"/>
      <c r="E53" s="50"/>
      <c r="F53" s="51"/>
      <c r="G53" s="52"/>
      <c r="H53" s="25"/>
      <c r="I53" s="25"/>
      <c r="J53" s="25"/>
      <c r="K53" s="25"/>
      <c r="L53" s="25"/>
      <c r="M53" s="25"/>
      <c r="N53" s="25"/>
      <c r="O53" s="53"/>
      <c r="P53" s="25"/>
      <c r="Q53" s="25"/>
      <c r="R53" s="25"/>
      <c r="S53" s="25"/>
    </row>
    <row r="54" spans="1:19" ht="12.75">
      <c r="A54" s="54"/>
      <c r="B54" s="221"/>
      <c r="C54" s="222"/>
      <c r="D54" s="55"/>
      <c r="E54" s="56"/>
      <c r="F54" s="57"/>
      <c r="G54" s="58"/>
      <c r="H54" s="25"/>
      <c r="I54" s="25"/>
      <c r="J54" s="25"/>
      <c r="K54" s="25"/>
      <c r="L54" s="25"/>
      <c r="M54" s="25"/>
      <c r="N54" s="25"/>
      <c r="O54" s="53"/>
      <c r="P54" s="25"/>
      <c r="Q54" s="25"/>
      <c r="R54" s="25"/>
      <c r="S54" s="59"/>
    </row>
    <row r="55" spans="1:19" ht="13.5" thickBot="1">
      <c r="A55" s="61"/>
      <c r="B55" s="62"/>
      <c r="C55" s="62"/>
      <c r="D55" s="63"/>
      <c r="E55" s="63"/>
      <c r="F55" s="64"/>
      <c r="G55" s="6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.5" customHeight="1" thickBot="1">
      <c r="A56" s="38"/>
      <c r="B56" s="38"/>
      <c r="C56" s="38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5">
      <c r="A57" s="66"/>
      <c r="B57" s="67"/>
      <c r="C57" s="67"/>
      <c r="D57" s="68" t="s">
        <v>542</v>
      </c>
      <c r="E57" s="69"/>
      <c r="F57" s="69"/>
      <c r="G57" s="70"/>
      <c r="H57" s="71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1467"/>
      <c r="B58" s="1468"/>
      <c r="C58" s="1468"/>
      <c r="D58" s="1469"/>
      <c r="E58" s="207"/>
      <c r="F58" s="72" t="s">
        <v>540</v>
      </c>
      <c r="G58" s="72" t="s">
        <v>541</v>
      </c>
      <c r="H58" s="71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5">
      <c r="A59" s="1470"/>
      <c r="B59" s="1471"/>
      <c r="C59" s="1471"/>
      <c r="D59" s="1472"/>
      <c r="E59" s="73" t="s">
        <v>54</v>
      </c>
      <c r="F59" s="183">
        <f>SUM(Summary!E6)</f>
        <v>-90.8</v>
      </c>
      <c r="G59" s="208">
        <f>SUM(Summary!H6)</f>
        <v>1.3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470"/>
      <c r="B60" s="1471"/>
      <c r="C60" s="1471"/>
      <c r="D60" s="1472"/>
      <c r="E60" s="73" t="s">
        <v>55</v>
      </c>
      <c r="F60" s="183"/>
      <c r="G60" s="208"/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470"/>
      <c r="B61" s="1471"/>
      <c r="C61" s="1471"/>
      <c r="D61" s="1472"/>
      <c r="E61" s="73" t="s">
        <v>56</v>
      </c>
      <c r="F61" s="183"/>
      <c r="G61" s="208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470"/>
      <c r="B62" s="1471"/>
      <c r="C62" s="1471"/>
      <c r="D62" s="1472"/>
      <c r="E62" s="73" t="s">
        <v>57</v>
      </c>
      <c r="F62" s="74"/>
      <c r="G62" s="209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470"/>
      <c r="B63" s="1471"/>
      <c r="C63" s="1471"/>
      <c r="D63" s="1472"/>
      <c r="E63" s="73" t="s">
        <v>58</v>
      </c>
      <c r="F63" s="74"/>
      <c r="G63" s="209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470"/>
      <c r="B64" s="1471"/>
      <c r="C64" s="1471"/>
      <c r="D64" s="1472"/>
      <c r="E64" s="73" t="s">
        <v>59</v>
      </c>
      <c r="F64" s="74"/>
      <c r="G64" s="209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470"/>
      <c r="B65" s="1471"/>
      <c r="C65" s="1471"/>
      <c r="D65" s="1472"/>
      <c r="E65" s="73" t="s">
        <v>60</v>
      </c>
      <c r="F65" s="74"/>
      <c r="G65" s="209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15">
      <c r="A66" s="1470"/>
      <c r="B66" s="1471"/>
      <c r="C66" s="1471"/>
      <c r="D66" s="1472"/>
      <c r="E66" s="73" t="s">
        <v>52</v>
      </c>
      <c r="F66" s="183">
        <f>SUM(Summary!A6)</f>
        <v>5082.849999999999</v>
      </c>
      <c r="G66" s="210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5">
      <c r="A67" s="1470"/>
      <c r="B67" s="1471"/>
      <c r="C67" s="1471"/>
      <c r="D67" s="1472"/>
      <c r="E67" s="73" t="s">
        <v>53</v>
      </c>
      <c r="F67" s="184"/>
      <c r="G67" s="210"/>
      <c r="H67" s="71"/>
      <c r="I67" s="71"/>
      <c r="J67"/>
      <c r="K67"/>
      <c r="L67"/>
      <c r="M67"/>
      <c r="N67"/>
      <c r="O67"/>
      <c r="P67"/>
      <c r="Q67"/>
      <c r="R67"/>
      <c r="S67"/>
    </row>
    <row r="68" spans="1:19" ht="12.75">
      <c r="A68" s="1470"/>
      <c r="B68" s="1471"/>
      <c r="C68" s="1471"/>
      <c r="D68" s="1472"/>
      <c r="E68" s="211" t="s">
        <v>51</v>
      </c>
      <c r="F68" s="212"/>
      <c r="G68" s="213"/>
      <c r="H68" s="71"/>
      <c r="I68" s="71"/>
      <c r="J68"/>
      <c r="K68"/>
      <c r="L68"/>
      <c r="M68"/>
      <c r="N68"/>
      <c r="O68"/>
      <c r="P68"/>
      <c r="Q68"/>
      <c r="R68"/>
      <c r="S68"/>
    </row>
    <row r="69" spans="1:19" ht="12.75">
      <c r="A69" s="1470"/>
      <c r="B69" s="1471"/>
      <c r="C69" s="1471"/>
      <c r="D69" s="1472"/>
      <c r="E69" s="75" t="s">
        <v>61</v>
      </c>
      <c r="F69" s="1476"/>
      <c r="G69" s="1477"/>
      <c r="H69" s="71"/>
      <c r="I69" s="71"/>
      <c r="J69"/>
      <c r="K69"/>
      <c r="L69"/>
      <c r="M69"/>
      <c r="N69"/>
      <c r="O69"/>
      <c r="P69"/>
      <c r="Q69"/>
      <c r="R69"/>
      <c r="S69"/>
    </row>
    <row r="70" spans="1:19" ht="12.75">
      <c r="A70" s="1470"/>
      <c r="B70" s="1471"/>
      <c r="C70" s="1471"/>
      <c r="D70" s="1472"/>
      <c r="E70" s="1478"/>
      <c r="F70" s="1479"/>
      <c r="G70" s="1480"/>
      <c r="H70" s="71"/>
      <c r="I70" s="71"/>
      <c r="J70"/>
      <c r="K70"/>
      <c r="L70"/>
      <c r="M70"/>
      <c r="N70"/>
      <c r="O70"/>
      <c r="P70"/>
      <c r="Q70"/>
      <c r="R70"/>
      <c r="S70"/>
    </row>
    <row r="71" spans="1:19" ht="12.75">
      <c r="A71" s="1473"/>
      <c r="B71" s="1474"/>
      <c r="C71" s="1474"/>
      <c r="D71" s="1475"/>
      <c r="E71" s="1481"/>
      <c r="F71" s="1482"/>
      <c r="G71" s="1483"/>
      <c r="H71" s="71"/>
      <c r="I71" s="71"/>
      <c r="J71"/>
      <c r="K71"/>
      <c r="L71"/>
      <c r="M71"/>
      <c r="N71"/>
      <c r="O71"/>
      <c r="P71"/>
      <c r="Q71"/>
      <c r="R71"/>
      <c r="S71"/>
    </row>
    <row r="72" spans="1:19" ht="12.75">
      <c r="A72" s="1484" t="s">
        <v>543</v>
      </c>
      <c r="B72" s="1485"/>
      <c r="C72" s="1485"/>
      <c r="D72" s="1486"/>
      <c r="E72" s="1486"/>
      <c r="F72" s="1486"/>
      <c r="G72" s="1487"/>
      <c r="H72" s="71"/>
      <c r="I72" s="25"/>
      <c r="J72"/>
      <c r="K72"/>
      <c r="L72"/>
      <c r="M72"/>
      <c r="N72"/>
      <c r="O72"/>
      <c r="P72"/>
      <c r="Q72"/>
      <c r="R72"/>
      <c r="S72"/>
    </row>
    <row r="73" spans="1:19" ht="12.75">
      <c r="A73" s="1488" t="s">
        <v>70</v>
      </c>
      <c r="B73" s="1489"/>
      <c r="C73" s="1489"/>
      <c r="D73" s="1490"/>
      <c r="E73" s="76" t="s">
        <v>71</v>
      </c>
      <c r="F73" s="77"/>
      <c r="G73" s="78"/>
      <c r="H73" s="25"/>
      <c r="I73" s="25"/>
      <c r="J73"/>
      <c r="K73"/>
      <c r="L73"/>
      <c r="M73"/>
      <c r="N73"/>
      <c r="O73"/>
      <c r="P73"/>
      <c r="Q73"/>
      <c r="R73"/>
      <c r="S73"/>
    </row>
    <row r="74" spans="1:19" ht="12.75">
      <c r="A74" s="1491"/>
      <c r="B74" s="1492"/>
      <c r="C74" s="1492"/>
      <c r="D74" s="1493"/>
      <c r="E74" s="1492"/>
      <c r="F74" s="1493"/>
      <c r="G74" s="1499"/>
      <c r="H74" s="25"/>
      <c r="I74" s="25"/>
      <c r="J74"/>
      <c r="K74"/>
      <c r="L74"/>
      <c r="M74"/>
      <c r="N74"/>
      <c r="O74"/>
      <c r="P74"/>
      <c r="Q74"/>
      <c r="R74"/>
      <c r="S74"/>
    </row>
    <row r="75" spans="1:19" ht="12.75">
      <c r="A75" s="1496"/>
      <c r="B75" s="1479"/>
      <c r="C75" s="1479"/>
      <c r="D75" s="1479"/>
      <c r="E75" s="1479"/>
      <c r="F75" s="1479"/>
      <c r="G75" s="1500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496"/>
      <c r="B76" s="1479"/>
      <c r="C76" s="1479"/>
      <c r="D76" s="1479"/>
      <c r="E76" s="1479"/>
      <c r="F76" s="1479"/>
      <c r="G76" s="1500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1497"/>
      <c r="B77" s="1498"/>
      <c r="C77" s="1498"/>
      <c r="D77" s="1498"/>
      <c r="E77" s="1498"/>
      <c r="F77" s="1498"/>
      <c r="G77" s="1501"/>
      <c r="H77" s="71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42"/>
      <c r="B78" s="42"/>
      <c r="C78" s="42"/>
      <c r="D78" s="42"/>
      <c r="E78" s="42"/>
      <c r="F78" s="42"/>
      <c r="G78" s="42"/>
      <c r="H78" s="71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79" t="s">
        <v>63</v>
      </c>
      <c r="B79" s="80"/>
      <c r="C79" s="80"/>
      <c r="D79" s="81"/>
      <c r="E79" s="82"/>
      <c r="F79" s="83"/>
      <c r="G79" s="84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14" t="s">
        <v>544</v>
      </c>
      <c r="B80" s="215"/>
      <c r="C80" s="215"/>
      <c r="D80" s="217" t="s">
        <v>62</v>
      </c>
      <c r="E80" s="218" t="s">
        <v>546</v>
      </c>
      <c r="F80" s="219"/>
      <c r="G80" s="22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1502"/>
      <c r="B81" s="216"/>
      <c r="C81" s="216"/>
      <c r="D81" s="1502"/>
      <c r="E81" s="1502"/>
      <c r="F81" s="1504"/>
      <c r="G81" s="1505"/>
      <c r="H81" s="25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1503"/>
      <c r="B82" s="43"/>
      <c r="C82" s="43"/>
      <c r="D82" s="1503"/>
      <c r="E82" s="1503"/>
      <c r="F82" s="1450"/>
      <c r="G82" s="1506"/>
      <c r="H82" s="25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1507"/>
      <c r="B83" s="85"/>
      <c r="C83" s="85"/>
      <c r="D83" s="1507"/>
      <c r="E83" s="1507"/>
      <c r="F83" s="1450"/>
      <c r="G83" s="1506"/>
      <c r="H83" s="25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1508"/>
      <c r="B84" s="44"/>
      <c r="C84" s="44"/>
      <c r="D84" s="1508"/>
      <c r="E84" s="1508"/>
      <c r="F84" s="1454"/>
      <c r="G84" s="1509"/>
      <c r="H84" s="25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25" t="s">
        <v>87</v>
      </c>
      <c r="B92" s="25"/>
      <c r="C92" s="25"/>
      <c r="D92" s="25"/>
      <c r="E92" s="25"/>
      <c r="F92" s="53"/>
      <c r="G92" s="25" t="s">
        <v>94</v>
      </c>
      <c r="H92" s="25"/>
      <c r="I92" s="25" t="s">
        <v>95</v>
      </c>
      <c r="J92" s="53">
        <v>39276</v>
      </c>
      <c r="K92" s="25">
        <v>3</v>
      </c>
      <c r="L92" s="25"/>
      <c r="M92" s="25"/>
      <c r="N92" s="53">
        <v>39276</v>
      </c>
      <c r="O92"/>
      <c r="P92"/>
      <c r="Q92"/>
      <c r="R92"/>
      <c r="S92"/>
    </row>
    <row r="93" spans="1:19" ht="12.75">
      <c r="A93" s="25" t="s">
        <v>89</v>
      </c>
      <c r="B93" s="25"/>
      <c r="C93" s="25"/>
      <c r="D93" s="25"/>
      <c r="E93" s="25"/>
      <c r="F93" s="25"/>
      <c r="G93" s="25" t="s">
        <v>90</v>
      </c>
      <c r="H93" s="25"/>
      <c r="I93" s="25"/>
      <c r="J93" s="53">
        <v>39331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72</v>
      </c>
      <c r="B94" s="25"/>
      <c r="C94" s="25"/>
      <c r="D94" s="25"/>
      <c r="E94" s="25"/>
      <c r="F94" s="25"/>
      <c r="G94" s="25" t="s">
        <v>92</v>
      </c>
      <c r="H94" s="25"/>
      <c r="I94" s="25"/>
      <c r="J94" s="53">
        <v>39386</v>
      </c>
      <c r="K94" s="25">
        <v>2</v>
      </c>
      <c r="L94" s="25"/>
      <c r="M94" s="25"/>
      <c r="N94" s="53"/>
      <c r="O94"/>
      <c r="P94"/>
      <c r="Q94"/>
      <c r="R94"/>
      <c r="S94"/>
    </row>
    <row r="95" spans="1:19" ht="12.75">
      <c r="A95" s="25" t="s">
        <v>74</v>
      </c>
      <c r="B95" s="25"/>
      <c r="C95" s="25"/>
      <c r="D95" s="25"/>
      <c r="E95" s="25"/>
      <c r="F95" s="53"/>
      <c r="G95" s="25" t="s">
        <v>97</v>
      </c>
      <c r="H95" s="25"/>
      <c r="I95" s="25"/>
      <c r="J95" s="53">
        <v>39407</v>
      </c>
      <c r="K95" s="25">
        <v>3</v>
      </c>
      <c r="L95" s="25"/>
      <c r="M95" s="25"/>
      <c r="N95" s="53">
        <v>39479</v>
      </c>
      <c r="O95"/>
      <c r="P95"/>
      <c r="Q95"/>
      <c r="R95"/>
      <c r="S95"/>
    </row>
    <row r="96" spans="1:19" ht="12.75">
      <c r="A96" s="25" t="s">
        <v>75</v>
      </c>
      <c r="B96" s="25"/>
      <c r="C96" s="25"/>
      <c r="D96" s="25"/>
      <c r="E96" s="25"/>
      <c r="F96" s="25"/>
      <c r="G96" s="25" t="s">
        <v>80</v>
      </c>
      <c r="H96" s="25"/>
      <c r="I96" s="25"/>
      <c r="J96" s="53">
        <v>39484</v>
      </c>
      <c r="K96" s="25">
        <v>3</v>
      </c>
      <c r="L96" s="25"/>
      <c r="M96" s="25"/>
      <c r="N96" s="53">
        <v>39580</v>
      </c>
      <c r="O96"/>
      <c r="P96"/>
      <c r="Q96"/>
      <c r="R96"/>
      <c r="S96"/>
    </row>
    <row r="97" spans="1:19" ht="12.75">
      <c r="A97" s="25" t="s">
        <v>77</v>
      </c>
      <c r="B97" s="25"/>
      <c r="C97" s="25"/>
      <c r="D97" s="25"/>
      <c r="E97" s="25"/>
      <c r="F97" s="25"/>
      <c r="G97" s="25" t="s">
        <v>73</v>
      </c>
      <c r="H97" s="25"/>
      <c r="I97" s="25"/>
      <c r="J97" s="53">
        <v>39577</v>
      </c>
      <c r="K97" s="25">
        <v>2</v>
      </c>
      <c r="L97" s="25"/>
      <c r="M97" s="25"/>
      <c r="N97" s="25"/>
      <c r="O97"/>
      <c r="P97"/>
      <c r="Q97"/>
      <c r="R97"/>
      <c r="S97"/>
    </row>
    <row r="98" spans="1:19" ht="12.75">
      <c r="A98" s="25" t="s">
        <v>91</v>
      </c>
      <c r="B98" s="25"/>
      <c r="C98" s="25"/>
      <c r="D98" s="25"/>
      <c r="E98" s="25"/>
      <c r="F98" s="53"/>
      <c r="G98" s="25" t="s">
        <v>88</v>
      </c>
      <c r="H98" s="25"/>
      <c r="I98" s="25"/>
      <c r="J98" s="53">
        <v>39603</v>
      </c>
      <c r="K98" s="25">
        <v>3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93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/>
      <c r="P99"/>
      <c r="Q99"/>
      <c r="R99"/>
      <c r="S99"/>
    </row>
    <row r="100" spans="1:19" ht="12.75">
      <c r="A100" s="25" t="s">
        <v>79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/>
      <c r="P100"/>
      <c r="Q100"/>
      <c r="R100"/>
      <c r="S100"/>
    </row>
    <row r="101" spans="1:19" ht="12.75">
      <c r="A101" s="25" t="s">
        <v>96</v>
      </c>
      <c r="B101" s="25"/>
      <c r="C101" s="25"/>
      <c r="D101" s="25"/>
      <c r="E101" s="25"/>
      <c r="F101" s="53"/>
      <c r="G101" s="25"/>
      <c r="H101" s="25"/>
      <c r="I101" s="25"/>
      <c r="J101" s="25"/>
      <c r="K101" s="25"/>
      <c r="L101" s="25"/>
      <c r="M101" s="25"/>
      <c r="N101" s="25"/>
      <c r="O101"/>
      <c r="P101"/>
      <c r="Q101"/>
      <c r="R101"/>
      <c r="S101"/>
    </row>
    <row r="102" spans="1:19" ht="12.75">
      <c r="A102" s="25" t="s">
        <v>81</v>
      </c>
      <c r="B102" s="25"/>
      <c r="C102" s="25"/>
      <c r="D102" s="25"/>
      <c r="E102" s="25"/>
      <c r="F102" s="53"/>
      <c r="G102" s="25"/>
      <c r="H102" s="25"/>
      <c r="I102" s="25"/>
      <c r="J102" s="25"/>
      <c r="K102" s="25"/>
      <c r="L102" s="25"/>
      <c r="M102" s="25"/>
      <c r="N102" s="25"/>
      <c r="O102"/>
      <c r="P102"/>
      <c r="Q102"/>
      <c r="R102"/>
      <c r="S102"/>
    </row>
    <row r="103" spans="1:19" ht="12.75">
      <c r="A103" s="25" t="s">
        <v>83</v>
      </c>
      <c r="B103" s="25"/>
      <c r="C103" s="25"/>
      <c r="D103" s="25"/>
      <c r="E103" s="25"/>
      <c r="F103" s="53"/>
      <c r="G103" s="25" t="s">
        <v>76</v>
      </c>
      <c r="H103" s="53">
        <v>39602</v>
      </c>
      <c r="I103" s="25"/>
      <c r="J103" s="53">
        <v>39616</v>
      </c>
      <c r="K103" s="25">
        <v>2</v>
      </c>
      <c r="L103" s="25"/>
      <c r="M103" s="25"/>
      <c r="N103" s="25"/>
      <c r="O103"/>
      <c r="P103"/>
      <c r="Q103"/>
      <c r="R103"/>
      <c r="S103"/>
    </row>
    <row r="104" spans="1:19" ht="12.75">
      <c r="A104" s="25" t="s">
        <v>85</v>
      </c>
      <c r="B104" s="25"/>
      <c r="C104" s="25"/>
      <c r="D104" s="25"/>
      <c r="E104" s="25"/>
      <c r="F104" s="25"/>
      <c r="G104" s="25" t="s">
        <v>98</v>
      </c>
      <c r="H104" s="53">
        <v>39617</v>
      </c>
      <c r="I104" s="25"/>
      <c r="J104" s="53">
        <v>39618</v>
      </c>
      <c r="K104" s="25">
        <v>3</v>
      </c>
      <c r="L104" s="25"/>
      <c r="M104" s="25"/>
      <c r="N104" s="25"/>
      <c r="O104"/>
      <c r="P104"/>
      <c r="Q104"/>
      <c r="R104"/>
      <c r="S104"/>
    </row>
    <row r="105" spans="1:19" ht="12.75">
      <c r="A105"/>
      <c r="B105"/>
      <c r="C105"/>
      <c r="D105"/>
      <c r="E105"/>
      <c r="F105" s="53"/>
      <c r="G105" s="25" t="s">
        <v>78</v>
      </c>
      <c r="H105" s="53">
        <v>39682</v>
      </c>
      <c r="I105" s="25"/>
      <c r="J105" s="53">
        <v>39702</v>
      </c>
      <c r="K105" s="25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53"/>
      <c r="G106" s="25" t="s">
        <v>82</v>
      </c>
      <c r="H106" s="53">
        <v>39750</v>
      </c>
      <c r="I106" s="25"/>
      <c r="J106" s="53">
        <v>39750</v>
      </c>
      <c r="K106" s="25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53"/>
      <c r="G107" s="25" t="s">
        <v>84</v>
      </c>
      <c r="H107" s="53">
        <v>39883</v>
      </c>
      <c r="I107" s="25"/>
      <c r="J107" s="53">
        <v>39883</v>
      </c>
      <c r="K107" s="25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25"/>
      <c r="G108" s="25" t="s">
        <v>86</v>
      </c>
      <c r="H108" s="53">
        <v>39972</v>
      </c>
      <c r="I108" s="25"/>
      <c r="J108" s="53">
        <v>39972</v>
      </c>
      <c r="K108" s="25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25"/>
      <c r="G110" s="25"/>
      <c r="H110" s="53"/>
      <c r="I110" s="25"/>
      <c r="J110" s="25"/>
      <c r="K110" s="25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53"/>
      <c r="G114" s="25"/>
      <c r="H114" s="25"/>
      <c r="I114" s="25"/>
      <c r="J114" s="25"/>
      <c r="K114" s="25"/>
      <c r="L114"/>
      <c r="M114"/>
      <c r="N114"/>
      <c r="O114"/>
      <c r="P114"/>
      <c r="Q114"/>
      <c r="R114"/>
      <c r="S114"/>
    </row>
  </sheetData>
  <mergeCells count="24">
    <mergeCell ref="A3:D3"/>
    <mergeCell ref="A11:D11"/>
    <mergeCell ref="A12:D12"/>
    <mergeCell ref="E12:G12"/>
    <mergeCell ref="A13:G13"/>
    <mergeCell ref="A14:G18"/>
    <mergeCell ref="A19:G19"/>
    <mergeCell ref="A20:G25"/>
    <mergeCell ref="A26:G26"/>
    <mergeCell ref="A27:G32"/>
    <mergeCell ref="A34:G34"/>
    <mergeCell ref="A58:D71"/>
    <mergeCell ref="F69:G69"/>
    <mergeCell ref="E70:G71"/>
    <mergeCell ref="A72:G72"/>
    <mergeCell ref="A73:D73"/>
    <mergeCell ref="A74:D77"/>
    <mergeCell ref="E74:G77"/>
    <mergeCell ref="A81:A82"/>
    <mergeCell ref="D81:D82"/>
    <mergeCell ref="E81:G82"/>
    <mergeCell ref="A83:A84"/>
    <mergeCell ref="D83:D84"/>
    <mergeCell ref="E83:G84"/>
  </mergeCells>
  <printOptions gridLines="1"/>
  <pageMargins left="0.17" right="0.17" top="0.17" bottom="0.33" header="0.17" footer="0.17"/>
  <pageSetup fitToHeight="1" fitToWidth="1" horizontalDpi="600" verticalDpi="600" orientation="portrait" scale="70" r:id="rId2"/>
  <headerFooter alignWithMargins="0">
    <oddFooter>&amp;R&amp;F      &amp;A    &amp;D   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26"/>
  <sheetViews>
    <sheetView workbookViewId="0" topLeftCell="A1">
      <selection activeCell="O35" sqref="O35"/>
    </sheetView>
  </sheetViews>
  <sheetFormatPr defaultColWidth="9.140625" defaultRowHeight="12.75"/>
  <cols>
    <col min="2" max="2" width="11.421875" style="0" customWidth="1"/>
    <col min="3" max="3" width="33.28125" style="0" customWidth="1"/>
    <col min="4" max="9" width="11.00390625" style="0" customWidth="1"/>
    <col min="10" max="15" width="10.421875" style="0" bestFit="1" customWidth="1"/>
    <col min="16" max="16" width="9.421875" style="0" bestFit="1" customWidth="1"/>
    <col min="17" max="17" width="9.8515625" style="0" bestFit="1" customWidth="1"/>
    <col min="18" max="21" width="10.421875" style="0" bestFit="1" customWidth="1"/>
    <col min="22" max="48" width="9.28125" style="0" bestFit="1" customWidth="1"/>
    <col min="59" max="59" width="9.140625" style="333" customWidth="1"/>
  </cols>
  <sheetData>
    <row r="5" spans="3:60" ht="12.75">
      <c r="C5" t="s">
        <v>605</v>
      </c>
      <c r="D5" s="17" t="s">
        <v>310</v>
      </c>
      <c r="E5" s="17" t="s">
        <v>311</v>
      </c>
      <c r="F5" s="17" t="s">
        <v>312</v>
      </c>
      <c r="G5" s="17" t="s">
        <v>313</v>
      </c>
      <c r="H5" s="17" t="s">
        <v>314</v>
      </c>
      <c r="I5" s="17" t="s">
        <v>315</v>
      </c>
      <c r="J5" s="17" t="s">
        <v>316</v>
      </c>
      <c r="K5" s="17" t="s">
        <v>317</v>
      </c>
      <c r="L5" s="17" t="s">
        <v>318</v>
      </c>
      <c r="M5" s="17" t="s">
        <v>319</v>
      </c>
      <c r="N5" s="17" t="s">
        <v>320</v>
      </c>
      <c r="O5" s="17" t="s">
        <v>321</v>
      </c>
      <c r="P5" s="17" t="s">
        <v>322</v>
      </c>
      <c r="Q5" s="17" t="s">
        <v>323</v>
      </c>
      <c r="R5" s="17" t="s">
        <v>324</v>
      </c>
      <c r="S5" s="17" t="s">
        <v>325</v>
      </c>
      <c r="T5" s="17" t="s">
        <v>326</v>
      </c>
      <c r="U5" s="17" t="s">
        <v>327</v>
      </c>
      <c r="V5" s="17" t="s">
        <v>328</v>
      </c>
      <c r="W5" s="17" t="s">
        <v>329</v>
      </c>
      <c r="X5" s="17" t="s">
        <v>330</v>
      </c>
      <c r="Y5" s="17" t="s">
        <v>331</v>
      </c>
      <c r="Z5" s="17" t="s">
        <v>332</v>
      </c>
      <c r="AA5" s="17" t="s">
        <v>333</v>
      </c>
      <c r="AB5" s="17" t="s">
        <v>334</v>
      </c>
      <c r="AC5" s="17" t="s">
        <v>335</v>
      </c>
      <c r="AD5" s="17" t="s">
        <v>336</v>
      </c>
      <c r="AE5" s="17" t="s">
        <v>337</v>
      </c>
      <c r="AF5" s="17" t="s">
        <v>338</v>
      </c>
      <c r="AG5" s="17" t="s">
        <v>359</v>
      </c>
      <c r="AH5" s="17" t="s">
        <v>360</v>
      </c>
      <c r="AI5" s="17" t="s">
        <v>361</v>
      </c>
      <c r="AJ5" s="17" t="s">
        <v>362</v>
      </c>
      <c r="AK5" s="17" t="s">
        <v>363</v>
      </c>
      <c r="AL5" s="17" t="s">
        <v>364</v>
      </c>
      <c r="AM5" s="17" t="s">
        <v>365</v>
      </c>
      <c r="AN5" s="17" t="s">
        <v>366</v>
      </c>
      <c r="AO5" s="17" t="s">
        <v>367</v>
      </c>
      <c r="AP5" s="17" t="s">
        <v>368</v>
      </c>
      <c r="AQ5" s="17" t="s">
        <v>353</v>
      </c>
      <c r="AR5" s="17" t="s">
        <v>354</v>
      </c>
      <c r="AS5" s="17" t="s">
        <v>369</v>
      </c>
      <c r="AT5" s="17" t="s">
        <v>370</v>
      </c>
      <c r="AU5" s="17" t="s">
        <v>371</v>
      </c>
      <c r="AV5" s="17" t="s">
        <v>372</v>
      </c>
      <c r="AW5" s="17" t="s">
        <v>373</v>
      </c>
      <c r="AX5" s="17" t="s">
        <v>374</v>
      </c>
      <c r="AY5" s="17" t="s">
        <v>375</v>
      </c>
      <c r="AZ5" s="17" t="s">
        <v>376</v>
      </c>
      <c r="BA5" s="17" t="s">
        <v>377</v>
      </c>
      <c r="BB5" s="17" t="s">
        <v>378</v>
      </c>
      <c r="BC5" s="17" t="s">
        <v>355</v>
      </c>
      <c r="BD5" s="17" t="s">
        <v>356</v>
      </c>
      <c r="BE5" s="17" t="s">
        <v>379</v>
      </c>
      <c r="BF5" s="17" t="s">
        <v>380</v>
      </c>
      <c r="BG5" s="332" t="s">
        <v>381</v>
      </c>
      <c r="BH5" s="17"/>
    </row>
    <row r="6" ht="18">
      <c r="B6" s="324" t="s">
        <v>598</v>
      </c>
    </row>
    <row r="7" spans="3:20" ht="12.75">
      <c r="C7" t="s">
        <v>599</v>
      </c>
      <c r="D7" s="305">
        <v>14380</v>
      </c>
      <c r="E7" s="305">
        <v>14380</v>
      </c>
      <c r="F7" s="305">
        <v>14380</v>
      </c>
      <c r="G7" s="305">
        <v>14380</v>
      </c>
      <c r="H7" s="305">
        <v>14380</v>
      </c>
      <c r="I7" s="305">
        <v>14380</v>
      </c>
      <c r="J7" s="305">
        <v>14380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</row>
    <row r="8" spans="3:20" ht="12.75">
      <c r="C8" t="s">
        <v>600</v>
      </c>
      <c r="D8" s="305">
        <v>0</v>
      </c>
      <c r="E8" s="305">
        <v>0</v>
      </c>
      <c r="F8" s="305">
        <v>0</v>
      </c>
      <c r="G8" s="305">
        <v>0</v>
      </c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</row>
    <row r="9" spans="3:20" ht="12.75">
      <c r="C9" s="325" t="s">
        <v>602</v>
      </c>
      <c r="D9" s="327" t="s">
        <v>603</v>
      </c>
      <c r="E9" s="327" t="s">
        <v>603</v>
      </c>
      <c r="F9" s="327" t="s">
        <v>603</v>
      </c>
      <c r="G9" s="327" t="s">
        <v>603</v>
      </c>
      <c r="H9" s="327" t="s">
        <v>603</v>
      </c>
      <c r="I9" s="327" t="s">
        <v>603</v>
      </c>
      <c r="J9" s="327" t="s">
        <v>603</v>
      </c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3:20" ht="12.75">
      <c r="C10" t="s">
        <v>761</v>
      </c>
      <c r="D10" s="305">
        <v>0</v>
      </c>
      <c r="E10" s="305">
        <v>0</v>
      </c>
      <c r="F10" s="305">
        <v>0</v>
      </c>
      <c r="G10" s="305">
        <v>0</v>
      </c>
      <c r="H10" s="305">
        <v>-531</v>
      </c>
      <c r="I10" s="305">
        <v>-43</v>
      </c>
      <c r="J10" s="305">
        <v>-1277</v>
      </c>
      <c r="K10" s="305"/>
      <c r="L10" s="305"/>
      <c r="M10" s="305"/>
      <c r="N10" s="305"/>
      <c r="O10" s="305"/>
      <c r="P10" s="305"/>
      <c r="Q10" s="305"/>
      <c r="R10" s="305"/>
      <c r="S10" s="305"/>
      <c r="T10" s="305"/>
    </row>
    <row r="11" spans="3:20" ht="12.75">
      <c r="C11" t="s">
        <v>762</v>
      </c>
      <c r="D11" s="305">
        <v>-209.45471999999995</v>
      </c>
      <c r="E11" s="305">
        <v>49.055450000000064</v>
      </c>
      <c r="F11" s="305">
        <v>671.9424374648838</v>
      </c>
      <c r="G11" s="305">
        <v>452.1688476648842</v>
      </c>
      <c r="H11" s="305">
        <v>278</v>
      </c>
      <c r="I11" s="305">
        <v>901</v>
      </c>
      <c r="J11" s="305">
        <v>854</v>
      </c>
      <c r="K11" s="305"/>
      <c r="L11" s="305"/>
      <c r="M11" s="305"/>
      <c r="N11" s="305"/>
      <c r="O11" s="305"/>
      <c r="P11" s="305"/>
      <c r="Q11" s="305"/>
      <c r="R11" s="305"/>
      <c r="S11" s="305"/>
      <c r="T11" s="305"/>
    </row>
    <row r="12" spans="2:20" ht="15">
      <c r="B12" s="337"/>
      <c r="C12" t="s">
        <v>763</v>
      </c>
      <c r="D12" s="320">
        <v>0</v>
      </c>
      <c r="E12" s="320">
        <v>0</v>
      </c>
      <c r="F12" s="320">
        <v>0</v>
      </c>
      <c r="G12" s="320">
        <f>+G24*202</f>
        <v>-221.23809523809527</v>
      </c>
      <c r="H12" s="320">
        <f>+H24*202</f>
        <v>-548.2857142857143</v>
      </c>
      <c r="I12" s="320">
        <f>+I24*202</f>
        <v>-375.114</v>
      </c>
      <c r="J12" s="320">
        <f>+J24*202</f>
        <v>-505</v>
      </c>
      <c r="K12" s="320"/>
      <c r="L12" s="320"/>
      <c r="M12" s="320"/>
      <c r="N12" s="320"/>
      <c r="O12" s="320"/>
      <c r="P12" s="320"/>
      <c r="Q12" s="320"/>
      <c r="R12" s="320"/>
      <c r="S12" s="320"/>
      <c r="T12" s="320"/>
    </row>
    <row r="13" spans="1:20" ht="15">
      <c r="A13" s="336"/>
      <c r="B13" s="336"/>
      <c r="C13" s="321" t="s">
        <v>608</v>
      </c>
      <c r="D13" s="323">
        <f aca="true" t="shared" si="0" ref="D13:J13">SUM(D7:D12)</f>
        <v>14170.54528</v>
      </c>
      <c r="E13" s="323">
        <f t="shared" si="0"/>
        <v>14429.05545</v>
      </c>
      <c r="F13" s="323">
        <f t="shared" si="0"/>
        <v>15051.942437464884</v>
      </c>
      <c r="G13" s="323">
        <f t="shared" si="0"/>
        <v>14610.93075242679</v>
      </c>
      <c r="H13" s="323">
        <f t="shared" si="0"/>
        <v>13578.714285714286</v>
      </c>
      <c r="I13" s="323">
        <f t="shared" si="0"/>
        <v>14862.886</v>
      </c>
      <c r="J13" s="323">
        <f t="shared" si="0"/>
        <v>13452</v>
      </c>
      <c r="K13" s="305"/>
      <c r="L13" s="305"/>
      <c r="M13" s="305"/>
      <c r="N13" s="305"/>
      <c r="O13" s="305"/>
      <c r="P13" s="305"/>
      <c r="Q13" s="305"/>
      <c r="R13" s="305"/>
      <c r="S13" s="305"/>
      <c r="T13" s="305"/>
    </row>
    <row r="14" ht="12.75">
      <c r="B14" s="337"/>
    </row>
    <row r="15" spans="2:10" ht="12.75">
      <c r="B15" s="337"/>
      <c r="C15" t="s">
        <v>601</v>
      </c>
      <c r="D15" s="305">
        <f>50854-Summary!F35-D10-D12</f>
        <v>50433</v>
      </c>
      <c r="E15" s="305">
        <f>50854-Summary!G35-E10-E12</f>
        <v>49162</v>
      </c>
      <c r="F15" s="305">
        <f>50854-Summary!H35-F10-F12</f>
        <v>47668</v>
      </c>
      <c r="G15" s="305">
        <f>50853-4429</f>
        <v>46424</v>
      </c>
      <c r="H15" s="305">
        <f>50853-5554</f>
        <v>45299</v>
      </c>
      <c r="I15" s="305">
        <v>43803</v>
      </c>
      <c r="J15">
        <v>42764</v>
      </c>
    </row>
    <row r="16" spans="2:10" ht="15">
      <c r="B16" s="337"/>
      <c r="C16" s="321" t="s">
        <v>609</v>
      </c>
      <c r="D16" s="322">
        <f aca="true" t="shared" si="1" ref="D16:J16">+D13/D15</f>
        <v>0.2809776392441457</v>
      </c>
      <c r="E16" s="322">
        <f t="shared" si="1"/>
        <v>0.29350017188072086</v>
      </c>
      <c r="F16" s="322">
        <f t="shared" si="1"/>
        <v>0.3157661835500731</v>
      </c>
      <c r="G16" s="322">
        <f t="shared" si="1"/>
        <v>0.314727958651275</v>
      </c>
      <c r="H16" s="322">
        <f t="shared" si="1"/>
        <v>0.2997574843973219</v>
      </c>
      <c r="I16" s="322">
        <f t="shared" si="1"/>
        <v>0.3393120562518549</v>
      </c>
      <c r="J16" s="322">
        <f t="shared" si="1"/>
        <v>0.3145636516696287</v>
      </c>
    </row>
    <row r="17" spans="2:48" ht="12.75">
      <c r="B17" s="337"/>
      <c r="C17" t="s">
        <v>606</v>
      </c>
      <c r="D17" s="319">
        <v>0.283</v>
      </c>
      <c r="E17" s="319">
        <v>0.283</v>
      </c>
      <c r="F17" s="319">
        <v>0.283</v>
      </c>
      <c r="G17" s="319">
        <v>0.283</v>
      </c>
      <c r="H17" s="319">
        <v>0.283</v>
      </c>
      <c r="I17" s="319">
        <v>0.283</v>
      </c>
      <c r="J17" s="319">
        <v>0.283</v>
      </c>
      <c r="K17" s="319">
        <v>0.283</v>
      </c>
      <c r="L17" s="319">
        <v>0.283</v>
      </c>
      <c r="M17" s="319">
        <v>0.283</v>
      </c>
      <c r="N17" s="319">
        <v>0.283</v>
      </c>
      <c r="O17" s="319">
        <v>0.283</v>
      </c>
      <c r="P17" s="319">
        <v>0.283</v>
      </c>
      <c r="Q17" s="319">
        <v>0.283</v>
      </c>
      <c r="R17" s="319">
        <v>0.283</v>
      </c>
      <c r="S17" s="319">
        <v>0.283</v>
      </c>
      <c r="T17" s="319">
        <v>0.283</v>
      </c>
      <c r="U17" s="319">
        <v>0.283</v>
      </c>
      <c r="V17" s="319">
        <v>0.283</v>
      </c>
      <c r="W17" s="319">
        <v>0.283</v>
      </c>
      <c r="X17" s="319">
        <v>0.283</v>
      </c>
      <c r="Y17" s="319">
        <v>0.283</v>
      </c>
      <c r="Z17" s="319">
        <v>0.283</v>
      </c>
      <c r="AA17" s="319">
        <v>0.283</v>
      </c>
      <c r="AB17" s="319">
        <v>0.283</v>
      </c>
      <c r="AC17" s="319">
        <v>0.283</v>
      </c>
      <c r="AD17" s="319">
        <v>0.283</v>
      </c>
      <c r="AE17" s="319">
        <v>0.283</v>
      </c>
      <c r="AF17" s="319">
        <v>0.283</v>
      </c>
      <c r="AG17" s="319">
        <v>0.283</v>
      </c>
      <c r="AH17" s="319">
        <v>0.283</v>
      </c>
      <c r="AI17" s="319">
        <v>0.283</v>
      </c>
      <c r="AJ17" s="319">
        <v>0.283</v>
      </c>
      <c r="AK17" s="319">
        <v>0.283</v>
      </c>
      <c r="AL17" s="319">
        <v>0.283</v>
      </c>
      <c r="AM17" s="319">
        <v>0.283</v>
      </c>
      <c r="AN17" s="319">
        <v>0.283</v>
      </c>
      <c r="AO17" s="319">
        <v>0.283</v>
      </c>
      <c r="AP17" s="319">
        <v>0.283</v>
      </c>
      <c r="AQ17" s="319">
        <v>0.283</v>
      </c>
      <c r="AR17" s="319">
        <v>0.283</v>
      </c>
      <c r="AS17" s="319">
        <v>0.283</v>
      </c>
      <c r="AT17" s="319">
        <v>0.283</v>
      </c>
      <c r="AU17" s="319">
        <v>0.283</v>
      </c>
      <c r="AV17" s="319">
        <v>0.283</v>
      </c>
    </row>
    <row r="18" spans="2:48" ht="12.75">
      <c r="B18" s="337"/>
      <c r="C18" t="s">
        <v>601</v>
      </c>
      <c r="D18" s="318">
        <f>50625-D19</f>
        <v>50004</v>
      </c>
      <c r="E18" s="318">
        <f>+D18-E19</f>
        <v>48796</v>
      </c>
      <c r="F18" s="318">
        <f aca="true" t="shared" si="2" ref="F18:AV18">+E18-F19</f>
        <v>47244</v>
      </c>
      <c r="G18" s="318">
        <f t="shared" si="2"/>
        <v>45880</v>
      </c>
      <c r="H18" s="318">
        <f t="shared" si="2"/>
        <v>44747</v>
      </c>
      <c r="I18" s="318">
        <f t="shared" si="2"/>
        <v>42784</v>
      </c>
      <c r="J18" s="318">
        <f t="shared" si="2"/>
        <v>41635</v>
      </c>
      <c r="K18" s="318">
        <f t="shared" si="2"/>
        <v>40752</v>
      </c>
      <c r="L18" s="318">
        <f t="shared" si="2"/>
        <v>39450</v>
      </c>
      <c r="M18" s="318">
        <f t="shared" si="2"/>
        <v>38335</v>
      </c>
      <c r="N18" s="318">
        <f t="shared" si="2"/>
        <v>37213</v>
      </c>
      <c r="O18" s="318">
        <f t="shared" si="2"/>
        <v>36161</v>
      </c>
      <c r="P18" s="318">
        <f t="shared" si="2"/>
        <v>35165</v>
      </c>
      <c r="Q18" s="318">
        <f t="shared" si="2"/>
        <v>34114</v>
      </c>
      <c r="R18" s="318">
        <f t="shared" si="2"/>
        <v>32769</v>
      </c>
      <c r="S18" s="318">
        <f t="shared" si="2"/>
        <v>31484</v>
      </c>
      <c r="T18" s="318">
        <f t="shared" si="2"/>
        <v>30259</v>
      </c>
      <c r="U18" s="318">
        <f t="shared" si="2"/>
        <v>28922</v>
      </c>
      <c r="V18" s="318">
        <f t="shared" si="2"/>
        <v>27784</v>
      </c>
      <c r="W18" s="318">
        <f t="shared" si="2"/>
        <v>26546</v>
      </c>
      <c r="X18" s="318">
        <f t="shared" si="2"/>
        <v>25056</v>
      </c>
      <c r="Y18" s="318">
        <f t="shared" si="2"/>
        <v>23790</v>
      </c>
      <c r="Z18" s="318">
        <f t="shared" si="2"/>
        <v>22420</v>
      </c>
      <c r="AA18" s="318">
        <f t="shared" si="2"/>
        <v>21112</v>
      </c>
      <c r="AB18" s="318">
        <f t="shared" si="2"/>
        <v>19903</v>
      </c>
      <c r="AC18" s="318">
        <f t="shared" si="2"/>
        <v>18646</v>
      </c>
      <c r="AD18" s="318">
        <f t="shared" si="2"/>
        <v>17495</v>
      </c>
      <c r="AE18" s="318">
        <f t="shared" si="2"/>
        <v>16340</v>
      </c>
      <c r="AF18" s="318">
        <f t="shared" si="2"/>
        <v>15192</v>
      </c>
      <c r="AG18" s="318">
        <f t="shared" si="2"/>
        <v>13640</v>
      </c>
      <c r="AH18" s="318">
        <f t="shared" si="2"/>
        <v>12387</v>
      </c>
      <c r="AI18" s="318">
        <f t="shared" si="2"/>
        <v>11389</v>
      </c>
      <c r="AJ18" s="318">
        <f t="shared" si="2"/>
        <v>10182</v>
      </c>
      <c r="AK18" s="318">
        <f t="shared" si="2"/>
        <v>9153</v>
      </c>
      <c r="AL18" s="318">
        <f t="shared" si="2"/>
        <v>7846</v>
      </c>
      <c r="AM18" s="318">
        <f t="shared" si="2"/>
        <v>6639</v>
      </c>
      <c r="AN18" s="318">
        <f t="shared" si="2"/>
        <v>5680</v>
      </c>
      <c r="AO18" s="318">
        <f t="shared" si="2"/>
        <v>4777</v>
      </c>
      <c r="AP18" s="318">
        <f t="shared" si="2"/>
        <v>4013</v>
      </c>
      <c r="AQ18" s="318">
        <f t="shared" si="2"/>
        <v>3276</v>
      </c>
      <c r="AR18" s="318">
        <f t="shared" si="2"/>
        <v>2599</v>
      </c>
      <c r="AS18" s="318">
        <f t="shared" si="2"/>
        <v>1755</v>
      </c>
      <c r="AT18" s="318">
        <f t="shared" si="2"/>
        <v>1017</v>
      </c>
      <c r="AU18" s="318">
        <f t="shared" si="2"/>
        <v>391</v>
      </c>
      <c r="AV18" s="318">
        <f t="shared" si="2"/>
        <v>0</v>
      </c>
    </row>
    <row r="19" spans="2:50" ht="12.75">
      <c r="B19" s="337"/>
      <c r="C19" t="s">
        <v>233</v>
      </c>
      <c r="D19" s="23">
        <v>621</v>
      </c>
      <c r="E19" s="23">
        <v>1208</v>
      </c>
      <c r="F19" s="23">
        <v>1552</v>
      </c>
      <c r="G19" s="23">
        <v>1364</v>
      </c>
      <c r="H19" s="23">
        <v>1133</v>
      </c>
      <c r="I19" s="23">
        <v>1963</v>
      </c>
      <c r="J19" s="23">
        <v>1149</v>
      </c>
      <c r="K19" s="23">
        <v>883</v>
      </c>
      <c r="L19" s="23">
        <v>1302</v>
      </c>
      <c r="M19" s="23">
        <v>1115</v>
      </c>
      <c r="N19" s="23">
        <v>1122</v>
      </c>
      <c r="O19" s="23">
        <v>1052</v>
      </c>
      <c r="P19" s="23">
        <v>996</v>
      </c>
      <c r="Q19" s="23">
        <v>1051</v>
      </c>
      <c r="R19" s="23">
        <v>1345</v>
      </c>
      <c r="S19" s="23">
        <v>1285</v>
      </c>
      <c r="T19" s="23">
        <v>1225</v>
      </c>
      <c r="U19" s="23">
        <v>1337</v>
      </c>
      <c r="V19" s="23">
        <v>1138</v>
      </c>
      <c r="W19" s="23">
        <v>1238</v>
      </c>
      <c r="X19" s="23">
        <v>1490</v>
      </c>
      <c r="Y19" s="23">
        <v>1266</v>
      </c>
      <c r="Z19" s="23">
        <v>1370</v>
      </c>
      <c r="AA19" s="23">
        <v>1308</v>
      </c>
      <c r="AB19" s="23">
        <v>1209</v>
      </c>
      <c r="AC19" s="23">
        <v>1257</v>
      </c>
      <c r="AD19" s="23">
        <v>1151</v>
      </c>
      <c r="AE19" s="23">
        <v>1155</v>
      </c>
      <c r="AF19" s="23">
        <v>1148</v>
      </c>
      <c r="AG19" s="23">
        <v>1552</v>
      </c>
      <c r="AH19" s="23">
        <v>1253</v>
      </c>
      <c r="AI19" s="23">
        <v>998</v>
      </c>
      <c r="AJ19" s="23">
        <v>1207</v>
      </c>
      <c r="AK19" s="23">
        <v>1029</v>
      </c>
      <c r="AL19" s="23">
        <v>1307</v>
      </c>
      <c r="AM19" s="23">
        <v>1207</v>
      </c>
      <c r="AN19" s="23">
        <v>959</v>
      </c>
      <c r="AO19" s="23">
        <v>903</v>
      </c>
      <c r="AP19" s="23">
        <v>764</v>
      </c>
      <c r="AQ19" s="23">
        <v>737</v>
      </c>
      <c r="AR19" s="23">
        <v>677</v>
      </c>
      <c r="AS19" s="23">
        <v>844</v>
      </c>
      <c r="AT19" s="23">
        <v>738</v>
      </c>
      <c r="AU19" s="23">
        <v>626</v>
      </c>
      <c r="AV19" s="23">
        <v>391</v>
      </c>
      <c r="AX19" s="318">
        <f>SUM(D19:AW19)</f>
        <v>50625</v>
      </c>
    </row>
    <row r="20" spans="1:59" s="305" customFormat="1" ht="12.75">
      <c r="A20" s="335"/>
      <c r="B20" s="335"/>
      <c r="C20" s="334" t="s">
        <v>607</v>
      </c>
      <c r="D20" s="305">
        <f>+D17*D18</f>
        <v>14151.131999999998</v>
      </c>
      <c r="E20" s="305">
        <f aca="true" t="shared" si="3" ref="E20:AV20">+E17*E18</f>
        <v>13809.267999999998</v>
      </c>
      <c r="F20" s="305">
        <f t="shared" si="3"/>
        <v>13370.051999999998</v>
      </c>
      <c r="G20" s="305">
        <f t="shared" si="3"/>
        <v>12984.039999999999</v>
      </c>
      <c r="H20" s="305">
        <f t="shared" si="3"/>
        <v>12663.400999999998</v>
      </c>
      <c r="I20" s="305">
        <f t="shared" si="3"/>
        <v>12107.872</v>
      </c>
      <c r="J20" s="305">
        <f t="shared" si="3"/>
        <v>11782.704999999998</v>
      </c>
      <c r="K20" s="305">
        <f t="shared" si="3"/>
        <v>11532.815999999999</v>
      </c>
      <c r="L20" s="305">
        <f t="shared" si="3"/>
        <v>11164.349999999999</v>
      </c>
      <c r="M20" s="305">
        <f t="shared" si="3"/>
        <v>10848.804999999998</v>
      </c>
      <c r="N20" s="305">
        <f t="shared" si="3"/>
        <v>10531.278999999999</v>
      </c>
      <c r="O20" s="305">
        <f t="shared" si="3"/>
        <v>10233.562999999998</v>
      </c>
      <c r="P20" s="305">
        <f t="shared" si="3"/>
        <v>9951.695</v>
      </c>
      <c r="Q20" s="305">
        <f t="shared" si="3"/>
        <v>9654.261999999999</v>
      </c>
      <c r="R20" s="305">
        <f t="shared" si="3"/>
        <v>9273.626999999999</v>
      </c>
      <c r="S20" s="305">
        <f t="shared" si="3"/>
        <v>8909.972</v>
      </c>
      <c r="T20" s="305">
        <f t="shared" si="3"/>
        <v>8563.296999999999</v>
      </c>
      <c r="U20" s="305">
        <f t="shared" si="3"/>
        <v>8184.9259999999995</v>
      </c>
      <c r="V20" s="305">
        <f t="shared" si="3"/>
        <v>7862.871999999999</v>
      </c>
      <c r="W20" s="305">
        <f t="shared" si="3"/>
        <v>7512.517999999999</v>
      </c>
      <c r="X20" s="305">
        <f t="shared" si="3"/>
        <v>7090.847999999999</v>
      </c>
      <c r="Y20" s="305">
        <f t="shared" si="3"/>
        <v>6732.57</v>
      </c>
      <c r="Z20" s="305">
        <f t="shared" si="3"/>
        <v>6344.86</v>
      </c>
      <c r="AA20" s="305">
        <f t="shared" si="3"/>
        <v>5974.695999999999</v>
      </c>
      <c r="AB20" s="305">
        <f t="shared" si="3"/>
        <v>5632.548999999999</v>
      </c>
      <c r="AC20" s="305">
        <f t="shared" si="3"/>
        <v>5276.817999999999</v>
      </c>
      <c r="AD20" s="305">
        <f t="shared" si="3"/>
        <v>4951.084999999999</v>
      </c>
      <c r="AE20" s="305">
        <f t="shared" si="3"/>
        <v>4624.219999999999</v>
      </c>
      <c r="AF20" s="305">
        <f t="shared" si="3"/>
        <v>4299.335999999999</v>
      </c>
      <c r="AG20" s="305">
        <f t="shared" si="3"/>
        <v>3860.1199999999994</v>
      </c>
      <c r="AH20" s="305">
        <f t="shared" si="3"/>
        <v>3505.5209999999997</v>
      </c>
      <c r="AI20" s="305">
        <f t="shared" si="3"/>
        <v>3223.0869999999995</v>
      </c>
      <c r="AJ20" s="305">
        <f t="shared" si="3"/>
        <v>2881.506</v>
      </c>
      <c r="AK20" s="305">
        <f t="shared" si="3"/>
        <v>2590.299</v>
      </c>
      <c r="AL20" s="305">
        <f t="shared" si="3"/>
        <v>2220.4179999999997</v>
      </c>
      <c r="AM20" s="305">
        <f t="shared" si="3"/>
        <v>1878.8369999999998</v>
      </c>
      <c r="AN20" s="305">
        <f t="shared" si="3"/>
        <v>1607.4399999999998</v>
      </c>
      <c r="AO20" s="305">
        <f t="shared" si="3"/>
        <v>1351.8909999999998</v>
      </c>
      <c r="AP20" s="305">
        <f t="shared" si="3"/>
        <v>1135.6789999999999</v>
      </c>
      <c r="AQ20" s="305">
        <f t="shared" si="3"/>
        <v>927.108</v>
      </c>
      <c r="AR20" s="305">
        <f t="shared" si="3"/>
        <v>735.5169999999999</v>
      </c>
      <c r="AS20" s="305">
        <f t="shared" si="3"/>
        <v>496.66499999999996</v>
      </c>
      <c r="AT20" s="305">
        <f t="shared" si="3"/>
        <v>287.811</v>
      </c>
      <c r="AU20" s="305">
        <f t="shared" si="3"/>
        <v>110.65299999999999</v>
      </c>
      <c r="AV20" s="305">
        <f t="shared" si="3"/>
        <v>0</v>
      </c>
      <c r="BG20" s="326"/>
    </row>
    <row r="21" ht="18">
      <c r="B21" s="324" t="s">
        <v>294</v>
      </c>
    </row>
    <row r="22" spans="3:10" ht="12.75">
      <c r="C22" t="s">
        <v>599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  <c r="J22">
        <v>11</v>
      </c>
    </row>
    <row r="23" spans="3:10" ht="12.75">
      <c r="C23" t="s">
        <v>604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3:10" ht="12.75">
      <c r="C24" t="s">
        <v>851</v>
      </c>
      <c r="D24" s="329">
        <v>0</v>
      </c>
      <c r="E24" s="329">
        <v>0</v>
      </c>
      <c r="F24" s="329">
        <v>0</v>
      </c>
      <c r="G24" s="331">
        <f>-23/21</f>
        <v>-1.0952380952380953</v>
      </c>
      <c r="H24" s="657">
        <f>-57/21</f>
        <v>-2.7142857142857144</v>
      </c>
      <c r="I24" s="329">
        <v>-1.857</v>
      </c>
      <c r="J24" s="329">
        <v>-2.5</v>
      </c>
    </row>
    <row r="25" spans="3:10" ht="15">
      <c r="C25" s="321" t="s">
        <v>610</v>
      </c>
      <c r="D25" s="330">
        <f aca="true" t="shared" si="4" ref="D25:J25">SUM(D22:D24)</f>
        <v>11</v>
      </c>
      <c r="E25" s="330">
        <f t="shared" si="4"/>
        <v>11</v>
      </c>
      <c r="F25" s="330">
        <f t="shared" si="4"/>
        <v>11</v>
      </c>
      <c r="G25" s="330">
        <f t="shared" si="4"/>
        <v>9.904761904761905</v>
      </c>
      <c r="H25" s="330">
        <f t="shared" si="4"/>
        <v>8.285714285714285</v>
      </c>
      <c r="I25" s="330">
        <f t="shared" si="4"/>
        <v>9.143</v>
      </c>
      <c r="J25" s="330">
        <f t="shared" si="4"/>
        <v>8.5</v>
      </c>
    </row>
    <row r="26" spans="3:59" ht="12.75">
      <c r="C26" t="s">
        <v>611</v>
      </c>
      <c r="D26" s="10">
        <f>11-(11/56)</f>
        <v>10.803571428571429</v>
      </c>
      <c r="E26" s="10">
        <f>+D26-(11/56)</f>
        <v>10.607142857142858</v>
      </c>
      <c r="F26" s="10">
        <f aca="true" t="shared" si="5" ref="F26:BF26">+E26-(11/56)</f>
        <v>10.410714285714286</v>
      </c>
      <c r="G26" s="10">
        <f>+F26-(11/56)</f>
        <v>10.214285714285715</v>
      </c>
      <c r="H26" s="10">
        <f t="shared" si="5"/>
        <v>10.017857142857144</v>
      </c>
      <c r="I26" s="10">
        <f t="shared" si="5"/>
        <v>9.821428571428573</v>
      </c>
      <c r="J26" s="10">
        <f t="shared" si="5"/>
        <v>9.625000000000002</v>
      </c>
      <c r="K26" s="10">
        <f t="shared" si="5"/>
        <v>9.42857142857143</v>
      </c>
      <c r="L26" s="10">
        <f t="shared" si="5"/>
        <v>9.23214285714286</v>
      </c>
      <c r="M26" s="10">
        <f t="shared" si="5"/>
        <v>9.035714285714288</v>
      </c>
      <c r="N26" s="10">
        <f t="shared" si="5"/>
        <v>8.839285714285717</v>
      </c>
      <c r="O26" s="10">
        <f t="shared" si="5"/>
        <v>8.642857142857146</v>
      </c>
      <c r="P26" s="10">
        <f t="shared" si="5"/>
        <v>8.446428571428575</v>
      </c>
      <c r="Q26" s="10">
        <f t="shared" si="5"/>
        <v>8.250000000000004</v>
      </c>
      <c r="R26" s="10">
        <f t="shared" si="5"/>
        <v>8.053571428571432</v>
      </c>
      <c r="S26" s="10">
        <f t="shared" si="5"/>
        <v>7.857142857142861</v>
      </c>
      <c r="T26" s="10">
        <f t="shared" si="5"/>
        <v>7.66071428571429</v>
      </c>
      <c r="U26" s="10">
        <f t="shared" si="5"/>
        <v>7.464285714285719</v>
      </c>
      <c r="V26" s="10">
        <f t="shared" si="5"/>
        <v>7.267857142857148</v>
      </c>
      <c r="W26" s="10">
        <f t="shared" si="5"/>
        <v>7.0714285714285765</v>
      </c>
      <c r="X26" s="10">
        <f t="shared" si="5"/>
        <v>6.875000000000005</v>
      </c>
      <c r="Y26" s="10">
        <f t="shared" si="5"/>
        <v>6.678571428571434</v>
      </c>
      <c r="Z26" s="10">
        <f t="shared" si="5"/>
        <v>6.482142857142863</v>
      </c>
      <c r="AA26" s="10">
        <f t="shared" si="5"/>
        <v>6.285714285714292</v>
      </c>
      <c r="AB26" s="10">
        <f t="shared" si="5"/>
        <v>6.089285714285721</v>
      </c>
      <c r="AC26" s="10">
        <f t="shared" si="5"/>
        <v>5.8928571428571495</v>
      </c>
      <c r="AD26" s="10">
        <f t="shared" si="5"/>
        <v>5.696428571428578</v>
      </c>
      <c r="AE26" s="10">
        <f t="shared" si="5"/>
        <v>5.500000000000007</v>
      </c>
      <c r="AF26" s="10">
        <f t="shared" si="5"/>
        <v>5.303571428571436</v>
      </c>
      <c r="AG26" s="10">
        <f t="shared" si="5"/>
        <v>5.107142857142865</v>
      </c>
      <c r="AH26" s="10">
        <f t="shared" si="5"/>
        <v>4.910714285714294</v>
      </c>
      <c r="AI26" s="10">
        <f t="shared" si="5"/>
        <v>4.714285714285722</v>
      </c>
      <c r="AJ26" s="10">
        <f t="shared" si="5"/>
        <v>4.517857142857151</v>
      </c>
      <c r="AK26" s="10">
        <f t="shared" si="5"/>
        <v>4.32142857142858</v>
      </c>
      <c r="AL26" s="10">
        <f t="shared" si="5"/>
        <v>4.125000000000009</v>
      </c>
      <c r="AM26" s="10">
        <f t="shared" si="5"/>
        <v>3.9285714285714373</v>
      </c>
      <c r="AN26" s="10">
        <f t="shared" si="5"/>
        <v>3.7321428571428656</v>
      </c>
      <c r="AO26" s="10">
        <f t="shared" si="5"/>
        <v>3.535714285714294</v>
      </c>
      <c r="AP26" s="10">
        <f t="shared" si="5"/>
        <v>3.3392857142857224</v>
      </c>
      <c r="AQ26" s="10">
        <f t="shared" si="5"/>
        <v>3.142857142857151</v>
      </c>
      <c r="AR26" s="10">
        <f t="shared" si="5"/>
        <v>2.946428571428579</v>
      </c>
      <c r="AS26" s="10">
        <f t="shared" si="5"/>
        <v>2.7500000000000075</v>
      </c>
      <c r="AT26" s="10">
        <f t="shared" si="5"/>
        <v>2.553571428571436</v>
      </c>
      <c r="AU26" s="10">
        <f t="shared" si="5"/>
        <v>2.3571428571428643</v>
      </c>
      <c r="AV26" s="10">
        <f t="shared" si="5"/>
        <v>2.1607142857142927</v>
      </c>
      <c r="AW26" s="10">
        <f t="shared" si="5"/>
        <v>1.9642857142857213</v>
      </c>
      <c r="AX26" s="10">
        <f t="shared" si="5"/>
        <v>1.76785714285715</v>
      </c>
      <c r="AY26" s="10">
        <f t="shared" si="5"/>
        <v>1.5714285714285785</v>
      </c>
      <c r="AZ26" s="10">
        <f t="shared" si="5"/>
        <v>1.375000000000007</v>
      </c>
      <c r="BA26" s="10">
        <f t="shared" si="5"/>
        <v>1.1785714285714357</v>
      </c>
      <c r="BB26" s="10">
        <f t="shared" si="5"/>
        <v>0.9821428571428643</v>
      </c>
      <c r="BC26" s="10">
        <f t="shared" si="5"/>
        <v>0.7857142857142929</v>
      </c>
      <c r="BD26" s="10">
        <f t="shared" si="5"/>
        <v>0.5892857142857215</v>
      </c>
      <c r="BE26" s="10">
        <f t="shared" si="5"/>
        <v>0.3928571428571501</v>
      </c>
      <c r="BF26" s="10">
        <f t="shared" si="5"/>
        <v>0.1964285714285787</v>
      </c>
      <c r="BG26" s="328">
        <f>+BF26-(11/56)</f>
        <v>7.271960811294775E-15</v>
      </c>
    </row>
  </sheetData>
  <printOptions gridLines="1"/>
  <pageMargins left="0.46" right="0.24" top="0.57" bottom="0.37" header="0.5" footer="0.19"/>
  <pageSetup fitToHeight="1" fitToWidth="1" horizontalDpi="600" verticalDpi="600" orientation="portrait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I34" sqref="I34"/>
    </sheetView>
  </sheetViews>
  <sheetFormatPr defaultColWidth="9.140625" defaultRowHeight="12.75"/>
  <cols>
    <col min="3" max="7" width="15.421875" style="0" customWidth="1"/>
    <col min="9" max="9" width="22.00390625" style="0" customWidth="1"/>
    <col min="10" max="10" width="13.8515625" style="6" customWidth="1"/>
  </cols>
  <sheetData>
    <row r="1" spans="2:17" ht="12.75">
      <c r="B1" s="658"/>
      <c r="C1" s="659"/>
      <c r="D1" s="659"/>
      <c r="E1" s="659"/>
      <c r="F1" s="659"/>
      <c r="G1" s="659"/>
      <c r="H1" s="658"/>
      <c r="I1" s="658"/>
      <c r="J1" s="659"/>
      <c r="K1" s="658"/>
      <c r="L1" s="658"/>
      <c r="M1" s="658"/>
      <c r="N1" s="658"/>
      <c r="O1" s="658"/>
      <c r="P1" s="658"/>
      <c r="Q1" s="658"/>
    </row>
    <row r="2" spans="2:17" ht="12.75">
      <c r="B2" s="658"/>
      <c r="C2" s="659"/>
      <c r="D2" s="659"/>
      <c r="E2" s="659"/>
      <c r="F2" s="659"/>
      <c r="G2" s="659"/>
      <c r="H2" s="658"/>
      <c r="I2" s="658"/>
      <c r="J2" s="659"/>
      <c r="K2" s="658"/>
      <c r="L2" s="658"/>
      <c r="M2" s="658"/>
      <c r="N2" s="658"/>
      <c r="O2" s="658"/>
      <c r="P2" s="658"/>
      <c r="Q2" s="658"/>
    </row>
    <row r="3" spans="2:17" ht="12.75">
      <c r="B3" s="658"/>
      <c r="C3" s="659"/>
      <c r="D3" s="659"/>
      <c r="E3" s="659"/>
      <c r="F3" s="659"/>
      <c r="G3" s="659"/>
      <c r="H3" s="658"/>
      <c r="I3" s="658"/>
      <c r="J3" s="659"/>
      <c r="K3" s="658"/>
      <c r="L3" s="658"/>
      <c r="M3" s="658"/>
      <c r="N3" s="658"/>
      <c r="O3" s="658"/>
      <c r="P3" s="658"/>
      <c r="Q3" s="658"/>
    </row>
    <row r="4" spans="2:17" ht="13.5" thickBot="1">
      <c r="B4" s="658"/>
      <c r="C4" s="659"/>
      <c r="D4" s="659"/>
      <c r="E4" s="659"/>
      <c r="F4" s="659"/>
      <c r="G4" s="659"/>
      <c r="H4" s="658"/>
      <c r="I4" s="658"/>
      <c r="J4" s="659"/>
      <c r="K4" s="658"/>
      <c r="L4" s="658"/>
      <c r="M4" s="658"/>
      <c r="N4" s="658"/>
      <c r="O4" s="658"/>
      <c r="P4" s="658"/>
      <c r="Q4" s="658"/>
    </row>
    <row r="5" spans="2:17" ht="51.75" thickBot="1">
      <c r="B5" s="658"/>
      <c r="C5" s="660" t="s">
        <v>673</v>
      </c>
      <c r="D5" s="660" t="s">
        <v>674</v>
      </c>
      <c r="E5" s="660" t="s">
        <v>675</v>
      </c>
      <c r="F5" s="660" t="s">
        <v>676</v>
      </c>
      <c r="G5" s="660" t="s">
        <v>677</v>
      </c>
      <c r="H5" s="661"/>
      <c r="I5" s="662" t="s">
        <v>678</v>
      </c>
      <c r="J5" s="663" t="s">
        <v>679</v>
      </c>
      <c r="K5" s="661"/>
      <c r="L5" s="661"/>
      <c r="M5" s="661"/>
      <c r="N5" s="661"/>
      <c r="O5" s="658"/>
      <c r="P5" s="658"/>
      <c r="Q5" s="658"/>
    </row>
    <row r="6" spans="2:17" ht="16.5" thickBot="1">
      <c r="B6" s="658"/>
      <c r="C6" s="664">
        <v>39203</v>
      </c>
      <c r="D6" s="665">
        <v>39355</v>
      </c>
      <c r="E6" s="664">
        <v>40554</v>
      </c>
      <c r="F6" s="666">
        <v>-57</v>
      </c>
      <c r="G6" s="667">
        <v>18</v>
      </c>
      <c r="H6" s="658"/>
      <c r="I6" s="668">
        <f>(((E6-C6)/((D6-C6+(F6*7/5))/(D6-C6))+(C6)))-(G6/2*30.4)</f>
        <v>41773.61052631579</v>
      </c>
      <c r="J6" s="669">
        <f>(+I6-E6)/30.4</f>
        <v>40.11876731301934</v>
      </c>
      <c r="K6" s="658"/>
      <c r="L6" s="658"/>
      <c r="M6" s="658"/>
      <c r="N6" s="658"/>
      <c r="O6" s="658"/>
      <c r="P6" s="658"/>
      <c r="Q6" s="658"/>
    </row>
    <row r="7" spans="2:17" ht="12.75">
      <c r="B7" s="658"/>
      <c r="C7" s="659"/>
      <c r="D7" s="659"/>
      <c r="E7" s="659"/>
      <c r="F7" s="659"/>
      <c r="G7" s="659"/>
      <c r="H7" s="658"/>
      <c r="I7" s="658"/>
      <c r="J7" s="670">
        <f>+J6*202</f>
        <v>8103.9909972299065</v>
      </c>
      <c r="K7" s="671" t="s">
        <v>680</v>
      </c>
      <c r="L7" s="658"/>
      <c r="M7" s="658"/>
      <c r="N7" s="658"/>
      <c r="O7" s="658"/>
      <c r="P7" s="658"/>
      <c r="Q7" s="658"/>
    </row>
    <row r="8" spans="2:17" ht="12.75">
      <c r="B8" s="658"/>
      <c r="C8" s="659"/>
      <c r="D8" s="659"/>
      <c r="E8" s="659"/>
      <c r="F8" s="659"/>
      <c r="G8" s="659"/>
      <c r="H8" s="658"/>
      <c r="I8" s="658"/>
      <c r="J8" s="659">
        <f>+G6/2*64</f>
        <v>576</v>
      </c>
      <c r="K8" s="671" t="s">
        <v>681</v>
      </c>
      <c r="L8" s="658"/>
      <c r="M8" s="658"/>
      <c r="N8" s="658"/>
      <c r="O8" s="658"/>
      <c r="P8" s="658"/>
      <c r="Q8" s="658"/>
    </row>
    <row r="9" spans="2:17" ht="12.75">
      <c r="B9" s="658"/>
      <c r="C9" s="659"/>
      <c r="D9" s="659"/>
      <c r="E9" s="659"/>
      <c r="F9" s="659" t="s">
        <v>682</v>
      </c>
      <c r="G9" s="672" t="s">
        <v>683</v>
      </c>
      <c r="H9" s="658"/>
      <c r="I9" s="658"/>
      <c r="J9" s="659"/>
      <c r="K9" s="658"/>
      <c r="L9" s="658"/>
      <c r="M9" s="658"/>
      <c r="N9" s="658"/>
      <c r="O9" s="658"/>
      <c r="P9" s="658"/>
      <c r="Q9" s="658"/>
    </row>
    <row r="10" spans="2:17" ht="12.75">
      <c r="B10" s="658"/>
      <c r="C10" s="659"/>
      <c r="D10" s="659"/>
      <c r="E10" s="673"/>
      <c r="F10" s="670">
        <v>50853</v>
      </c>
      <c r="G10" s="674" t="e">
        <f>SUM('COST PERFORMANCE BY RLM &amp; JOB'!#REF!)</f>
        <v>#REF!</v>
      </c>
      <c r="H10" s="658"/>
      <c r="I10" s="675" t="s">
        <v>684</v>
      </c>
      <c r="J10" s="670" t="e">
        <f>+G10-F10</f>
        <v>#REF!</v>
      </c>
      <c r="K10" s="658"/>
      <c r="L10" s="658"/>
      <c r="M10" s="658"/>
      <c r="N10" s="658"/>
      <c r="O10" s="658"/>
      <c r="P10" s="658"/>
      <c r="Q10" s="658"/>
    </row>
    <row r="11" spans="2:17" ht="12.75">
      <c r="B11" s="658"/>
      <c r="C11" s="659"/>
      <c r="D11" s="659"/>
      <c r="E11" s="659"/>
      <c r="F11" s="659"/>
      <c r="G11" s="659"/>
      <c r="H11" s="658"/>
      <c r="I11" s="675"/>
      <c r="J11" s="659"/>
      <c r="K11" s="658"/>
      <c r="L11" s="658"/>
      <c r="M11" s="658"/>
      <c r="N11" s="658"/>
      <c r="O11" s="658"/>
      <c r="P11" s="658"/>
      <c r="Q11" s="658"/>
    </row>
    <row r="12" spans="2:17" ht="12.75">
      <c r="B12" s="658"/>
      <c r="C12" s="659"/>
      <c r="D12" s="659"/>
      <c r="E12" s="659"/>
      <c r="F12" s="659"/>
      <c r="G12" s="659"/>
      <c r="H12" s="658"/>
      <c r="I12" s="675" t="s">
        <v>685</v>
      </c>
      <c r="J12" s="676" t="e">
        <f>SUM(J7:J10)</f>
        <v>#REF!</v>
      </c>
      <c r="K12" s="658"/>
      <c r="L12" s="658"/>
      <c r="M12" s="658"/>
      <c r="N12" s="658"/>
      <c r="O12" s="658"/>
      <c r="P12" s="658"/>
      <c r="Q12" s="658"/>
    </row>
    <row r="13" spans="2:17" ht="13.5" thickBot="1">
      <c r="B13" s="658"/>
      <c r="C13" s="659"/>
      <c r="D13" s="659"/>
      <c r="E13" s="659"/>
      <c r="F13" s="659"/>
      <c r="G13" s="659"/>
      <c r="H13" s="658"/>
      <c r="I13" s="675"/>
      <c r="J13" s="659"/>
      <c r="K13" s="658"/>
      <c r="L13" s="658"/>
      <c r="M13" s="658"/>
      <c r="N13" s="658"/>
      <c r="O13" s="658"/>
      <c r="P13" s="658"/>
      <c r="Q13" s="658"/>
    </row>
    <row r="14" spans="2:17" ht="15.75">
      <c r="B14" s="658"/>
      <c r="C14" s="659"/>
      <c r="D14" s="659"/>
      <c r="E14" s="659"/>
      <c r="F14" s="659"/>
      <c r="G14" s="659"/>
      <c r="H14" s="658"/>
      <c r="I14" s="677" t="s">
        <v>686</v>
      </c>
      <c r="J14" s="678" t="e">
        <f>+F10+J12+67178</f>
        <v>#REF!</v>
      </c>
      <c r="K14" s="658"/>
      <c r="L14" s="658"/>
      <c r="M14" s="658"/>
      <c r="N14" s="658"/>
      <c r="O14" s="658"/>
      <c r="P14" s="658"/>
      <c r="Q14" s="658"/>
    </row>
    <row r="15" spans="2:17" ht="15.75">
      <c r="B15" s="658"/>
      <c r="C15" s="658"/>
      <c r="D15" s="658"/>
      <c r="E15" s="658"/>
      <c r="F15" s="658"/>
      <c r="G15" s="658"/>
      <c r="H15" s="658"/>
      <c r="I15" s="679"/>
      <c r="J15" s="680"/>
      <c r="K15" s="658"/>
      <c r="L15" s="658"/>
      <c r="M15" s="658"/>
      <c r="N15" s="658"/>
      <c r="O15" s="658"/>
      <c r="P15" s="658"/>
      <c r="Q15" s="658"/>
    </row>
    <row r="16" spans="2:17" ht="15.75">
      <c r="B16" s="658"/>
      <c r="C16" s="658"/>
      <c r="D16" s="658"/>
      <c r="E16" s="658"/>
      <c r="F16" s="658"/>
      <c r="G16" s="658"/>
      <c r="H16" s="658"/>
      <c r="I16" s="679" t="s">
        <v>687</v>
      </c>
      <c r="J16" s="681">
        <v>132412</v>
      </c>
      <c r="K16" s="658"/>
      <c r="L16" s="658"/>
      <c r="M16" s="658"/>
      <c r="N16" s="658"/>
      <c r="O16" s="658"/>
      <c r="P16" s="658"/>
      <c r="Q16" s="658"/>
    </row>
    <row r="17" spans="2:17" ht="15.75">
      <c r="B17" s="658"/>
      <c r="C17" s="658"/>
      <c r="D17" s="658"/>
      <c r="E17" s="658"/>
      <c r="F17" s="658"/>
      <c r="G17" s="658"/>
      <c r="H17" s="658"/>
      <c r="I17" s="679"/>
      <c r="J17" s="680"/>
      <c r="K17" s="658"/>
      <c r="L17" s="658"/>
      <c r="M17" s="658"/>
      <c r="N17" s="658"/>
      <c r="O17" s="658"/>
      <c r="P17" s="658"/>
      <c r="Q17" s="658"/>
    </row>
    <row r="18" spans="2:17" ht="16.5" thickBot="1">
      <c r="B18" s="658"/>
      <c r="C18" s="658"/>
      <c r="D18" s="658"/>
      <c r="E18" s="658"/>
      <c r="F18" s="658"/>
      <c r="G18" s="658"/>
      <c r="H18" s="658"/>
      <c r="I18" s="682" t="s">
        <v>688</v>
      </c>
      <c r="J18" s="683" t="e">
        <f>+J14-J16</f>
        <v>#REF!</v>
      </c>
      <c r="K18" s="658"/>
      <c r="L18" s="658"/>
      <c r="M18" s="658"/>
      <c r="N18" s="658"/>
      <c r="O18" s="658"/>
      <c r="P18" s="658"/>
      <c r="Q18" s="658"/>
    </row>
    <row r="19" spans="2:17" ht="12.75">
      <c r="B19" s="658"/>
      <c r="C19" s="658"/>
      <c r="D19" s="658"/>
      <c r="E19" s="658"/>
      <c r="F19" s="658"/>
      <c r="G19" s="658"/>
      <c r="H19" s="658"/>
      <c r="I19" s="675"/>
      <c r="J19" s="659"/>
      <c r="K19" s="658"/>
      <c r="L19" s="658"/>
      <c r="M19" s="658"/>
      <c r="N19" s="658"/>
      <c r="O19" s="658"/>
      <c r="P19" s="658"/>
      <c r="Q19" s="658"/>
    </row>
    <row r="20" spans="2:17" ht="12.75">
      <c r="B20" s="658"/>
      <c r="C20" s="658"/>
      <c r="D20" s="658"/>
      <c r="E20" s="658"/>
      <c r="F20" s="658"/>
      <c r="G20" s="658"/>
      <c r="H20" s="658"/>
      <c r="I20" s="675"/>
      <c r="J20" s="659"/>
      <c r="K20" s="658"/>
      <c r="L20" s="658"/>
      <c r="M20" s="658"/>
      <c r="N20" s="658"/>
      <c r="O20" s="658"/>
      <c r="P20" s="658"/>
      <c r="Q20" s="658"/>
    </row>
    <row r="21" spans="2:17" ht="12.75">
      <c r="B21" s="658"/>
      <c r="C21" s="658"/>
      <c r="D21" s="658"/>
      <c r="E21" s="658"/>
      <c r="F21" s="658"/>
      <c r="G21" s="658"/>
      <c r="H21" s="658"/>
      <c r="I21" s="675"/>
      <c r="J21" s="659"/>
      <c r="K21" s="658"/>
      <c r="L21" s="658"/>
      <c r="M21" s="658"/>
      <c r="N21" s="658"/>
      <c r="O21" s="658"/>
      <c r="P21" s="658"/>
      <c r="Q21" s="658"/>
    </row>
    <row r="22" spans="2:17" ht="12.75">
      <c r="B22" s="658"/>
      <c r="C22" s="658"/>
      <c r="D22" s="658"/>
      <c r="E22" s="658"/>
      <c r="F22" s="658"/>
      <c r="G22" s="658"/>
      <c r="H22" s="658"/>
      <c r="I22" s="675"/>
      <c r="J22" s="659"/>
      <c r="K22" s="658"/>
      <c r="L22" s="658"/>
      <c r="M22" s="658"/>
      <c r="N22" s="658"/>
      <c r="O22" s="658"/>
      <c r="P22" s="658"/>
      <c r="Q22" s="658"/>
    </row>
    <row r="23" spans="2:17" ht="12.75">
      <c r="B23" s="658"/>
      <c r="C23" s="658"/>
      <c r="D23" s="658"/>
      <c r="E23" s="658"/>
      <c r="F23" s="658"/>
      <c r="G23" s="658"/>
      <c r="H23" s="658"/>
      <c r="I23" s="658"/>
      <c r="J23" s="659"/>
      <c r="K23" s="658"/>
      <c r="L23" s="658"/>
      <c r="M23" s="658"/>
      <c r="N23" s="658"/>
      <c r="O23" s="658"/>
      <c r="P23" s="658"/>
      <c r="Q23" s="658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103"/>
  <sheetViews>
    <sheetView workbookViewId="0" topLeftCell="A1">
      <selection activeCell="P15" sqref="P15"/>
    </sheetView>
  </sheetViews>
  <sheetFormatPr defaultColWidth="9.140625" defaultRowHeight="12.75"/>
  <cols>
    <col min="1" max="1" width="9.140625" style="337" customWidth="1"/>
    <col min="2" max="2" width="6.57421875" style="337" customWidth="1"/>
    <col min="3" max="3" width="8.421875" style="337" customWidth="1"/>
    <col min="4" max="5" width="9.57421875" style="337" bestFit="1" customWidth="1"/>
    <col min="6" max="6" width="11.00390625" style="337" customWidth="1"/>
    <col min="7" max="7" width="15.140625" style="337" customWidth="1"/>
    <col min="8" max="8" width="9.8515625" style="337" customWidth="1"/>
    <col min="9" max="9" width="13.00390625" style="337" customWidth="1"/>
    <col min="10" max="10" width="11.7109375" style="337" customWidth="1"/>
    <col min="11" max="11" width="11.8515625" style="337" customWidth="1"/>
    <col min="12" max="12" width="12.421875" style="337" customWidth="1"/>
    <col min="13" max="13" width="16.140625" style="337" customWidth="1"/>
    <col min="14" max="14" width="9.140625" style="337" customWidth="1"/>
    <col min="15" max="15" width="6.8515625" style="337" customWidth="1"/>
    <col min="16" max="18" width="9.140625" style="337" customWidth="1"/>
    <col min="19" max="19" width="44.7109375" style="337" bestFit="1" customWidth="1"/>
    <col min="20" max="21" width="9.140625" style="337" customWidth="1"/>
    <col min="22" max="23" width="11.57421875" style="337" customWidth="1"/>
    <col min="24" max="24" width="9.140625" style="337" customWidth="1"/>
    <col min="25" max="25" width="9.421875" style="337" bestFit="1" customWidth="1"/>
    <col min="26" max="26" width="9.140625" style="337" customWidth="1"/>
    <col min="27" max="27" width="11.57421875" style="337" bestFit="1" customWidth="1"/>
    <col min="28" max="28" width="11.00390625" style="337" bestFit="1" customWidth="1"/>
    <col min="29" max="32" width="9.421875" style="337" bestFit="1" customWidth="1"/>
    <col min="33" max="33" width="25.28125" style="337" customWidth="1"/>
    <col min="34" max="34" width="9.28125" style="993" bestFit="1" customWidth="1"/>
    <col min="35" max="16384" width="9.140625" style="337" customWidth="1"/>
  </cols>
  <sheetData>
    <row r="2" ht="13.5" thickBot="1"/>
    <row r="3" spans="2:13" ht="20.25">
      <c r="B3" s="1287"/>
      <c r="C3" s="1339" t="s">
        <v>1106</v>
      </c>
      <c r="D3" s="1288"/>
      <c r="E3" s="1289"/>
      <c r="F3" s="1289"/>
      <c r="G3" s="1289"/>
      <c r="H3" s="1289"/>
      <c r="I3" s="1289"/>
      <c r="J3" s="1289"/>
      <c r="K3" s="1289"/>
      <c r="L3" s="1289"/>
      <c r="M3" s="1290"/>
    </row>
    <row r="4" spans="2:13" ht="18">
      <c r="B4" s="1291"/>
      <c r="C4" s="1292" t="s">
        <v>46</v>
      </c>
      <c r="D4" s="1293"/>
      <c r="E4" s="1294"/>
      <c r="F4" s="1294"/>
      <c r="G4" s="1294"/>
      <c r="H4" s="1294"/>
      <c r="I4" s="1294"/>
      <c r="J4" s="1294"/>
      <c r="K4" s="1294"/>
      <c r="L4" s="1294"/>
      <c r="M4" s="1295"/>
    </row>
    <row r="5" spans="2:13" ht="5.25" customHeight="1" thickBot="1">
      <c r="B5" s="1291"/>
      <c r="C5" s="1296"/>
      <c r="D5" s="1293"/>
      <c r="E5" s="1294"/>
      <c r="F5" s="1294"/>
      <c r="G5" s="1294"/>
      <c r="H5" s="1294"/>
      <c r="I5" s="1294"/>
      <c r="J5" s="1294"/>
      <c r="K5" s="1294"/>
      <c r="L5" s="1294"/>
      <c r="M5" s="1295"/>
    </row>
    <row r="6" spans="2:13" ht="15.75">
      <c r="B6" s="1318" t="s">
        <v>876</v>
      </c>
      <c r="C6" s="1319"/>
      <c r="D6" s="1319"/>
      <c r="E6" s="1319"/>
      <c r="F6" s="1320" t="s">
        <v>233</v>
      </c>
      <c r="G6" s="1320" t="s">
        <v>234</v>
      </c>
      <c r="H6" s="1320" t="s">
        <v>235</v>
      </c>
      <c r="I6" s="1319"/>
      <c r="J6" s="1319"/>
      <c r="K6" s="1319"/>
      <c r="L6" s="1319"/>
      <c r="M6" s="1290"/>
    </row>
    <row r="7" spans="2:13" ht="12.75">
      <c r="B7" s="1291"/>
      <c r="C7" s="4" t="s">
        <v>858</v>
      </c>
      <c r="D7" s="4"/>
      <c r="E7" s="4"/>
      <c r="F7" s="1297">
        <f>SUM('COST PERFORMANCE BY RLM &amp; JOB'!C82)</f>
        <v>8924.88</v>
      </c>
      <c r="G7" s="1298">
        <f>SUM('COST PERFORMANCE BY RLM &amp; JOB'!D82)</f>
        <v>8088.97358731</v>
      </c>
      <c r="H7" s="1299">
        <f>SUM('COST PERFORMANCE BY RLM &amp; JOB'!E82)</f>
        <v>7235.213562535117</v>
      </c>
      <c r="I7" s="4"/>
      <c r="J7" s="4"/>
      <c r="K7" s="4"/>
      <c r="L7" s="4"/>
      <c r="M7" s="1295"/>
    </row>
    <row r="8" spans="2:13" ht="12.75">
      <c r="B8" s="1291"/>
      <c r="C8" s="4" t="s">
        <v>854</v>
      </c>
      <c r="D8" s="4"/>
      <c r="E8" s="4"/>
      <c r="F8" s="4"/>
      <c r="G8" s="4"/>
      <c r="H8" s="1300">
        <v>67178</v>
      </c>
      <c r="I8" s="4"/>
      <c r="J8" s="4"/>
      <c r="K8" s="4"/>
      <c r="L8" s="4"/>
      <c r="M8" s="1295"/>
    </row>
    <row r="9" spans="2:13" ht="12.75">
      <c r="B9" s="1291"/>
      <c r="C9" s="4" t="s">
        <v>857</v>
      </c>
      <c r="D9" s="4"/>
      <c r="E9" s="4"/>
      <c r="F9" s="4"/>
      <c r="G9" s="4"/>
      <c r="H9" s="1301">
        <f>SUM(H7:H8)</f>
        <v>74413.21356253512</v>
      </c>
      <c r="I9" s="4"/>
      <c r="J9" s="4"/>
      <c r="K9" s="4"/>
      <c r="L9" s="4"/>
      <c r="M9" s="1295"/>
    </row>
    <row r="10" spans="2:13" ht="12.75">
      <c r="B10" s="1291"/>
      <c r="C10" s="4" t="s">
        <v>859</v>
      </c>
      <c r="D10" s="4"/>
      <c r="E10" s="4"/>
      <c r="F10" s="4"/>
      <c r="G10" s="1302">
        <f>SUM('COST PERFORMANCE BY RLM &amp; JOB'!R82-'COST PERFORMANCE BY RLM &amp; JOB'!D82)</f>
        <v>42764.02641269</v>
      </c>
      <c r="H10" s="4"/>
      <c r="I10" s="4"/>
      <c r="J10" s="4"/>
      <c r="K10" s="4"/>
      <c r="L10" s="4"/>
      <c r="M10" s="1295"/>
    </row>
    <row r="11" spans="2:13" ht="12.75">
      <c r="B11" s="1291"/>
      <c r="C11" s="4" t="s">
        <v>855</v>
      </c>
      <c r="D11" s="4"/>
      <c r="E11" s="4"/>
      <c r="F11" s="4"/>
      <c r="G11" s="1302">
        <f>SUM('COST PERFORMANCE BY RLM &amp; JOB'!R83)</f>
        <v>14380</v>
      </c>
      <c r="H11" s="1303"/>
      <c r="I11" s="4"/>
      <c r="J11" s="4"/>
      <c r="K11" s="4"/>
      <c r="L11" s="4"/>
      <c r="M11" s="1295"/>
    </row>
    <row r="12" spans="2:13" ht="13.5" thickBot="1">
      <c r="B12" s="1315"/>
      <c r="C12" s="1316" t="s">
        <v>856</v>
      </c>
      <c r="D12" s="1316"/>
      <c r="E12" s="1316"/>
      <c r="F12" s="1316"/>
      <c r="G12" s="1321">
        <f>SUM(G7:G11,H8)</f>
        <v>132411</v>
      </c>
      <c r="H12" s="1316"/>
      <c r="I12" s="1316"/>
      <c r="J12" s="1316"/>
      <c r="K12" s="1316"/>
      <c r="L12" s="1316"/>
      <c r="M12" s="1317"/>
    </row>
    <row r="13" spans="2:13" ht="15.75">
      <c r="B13" s="1323" t="s">
        <v>59</v>
      </c>
      <c r="C13" s="1324">
        <f>SUM('COST PERFORMANCE BY RLM &amp; JOB'!G82)</f>
        <v>1.118000666793827</v>
      </c>
      <c r="D13" s="1322" t="s">
        <v>1089</v>
      </c>
      <c r="E13" s="1319"/>
      <c r="F13" s="1319" t="s">
        <v>860</v>
      </c>
      <c r="G13" s="1319"/>
      <c r="H13" s="1325">
        <f>SUM('COST PERFORMANCE BY RLM &amp; JOB'!I82)</f>
        <v>853.7600247748833</v>
      </c>
      <c r="I13" s="1326" t="s">
        <v>862</v>
      </c>
      <c r="J13" s="1319"/>
      <c r="K13" s="1319"/>
      <c r="L13" s="1319"/>
      <c r="M13" s="1290"/>
    </row>
    <row r="14" spans="2:13" ht="15.75">
      <c r="B14" s="1307" t="s">
        <v>60</v>
      </c>
      <c r="C14" s="1309">
        <f>SUM('COST PERFORMANCE BY RLM &amp; JOB'!F82)</f>
        <v>0.9063397588886349</v>
      </c>
      <c r="D14" s="1304" t="s">
        <v>1090</v>
      </c>
      <c r="E14" s="4"/>
      <c r="F14" s="4" t="s">
        <v>861</v>
      </c>
      <c r="G14" s="4"/>
      <c r="H14" s="1308">
        <f>SUM('COST PERFORMANCE BY RLM &amp; JOB'!H82)</f>
        <v>-835.9064126899993</v>
      </c>
      <c r="I14" s="1286" t="s">
        <v>863</v>
      </c>
      <c r="J14" s="4"/>
      <c r="K14" s="4" t="s">
        <v>866</v>
      </c>
      <c r="L14" s="4">
        <v>-87</v>
      </c>
      <c r="M14" s="1310" t="s">
        <v>1091</v>
      </c>
    </row>
    <row r="15" spans="2:13" ht="12.75">
      <c r="B15" s="1291"/>
      <c r="C15" s="4"/>
      <c r="D15" s="4"/>
      <c r="E15" s="4"/>
      <c r="F15" s="4"/>
      <c r="G15" s="4"/>
      <c r="H15" s="4"/>
      <c r="I15" s="1286" t="s">
        <v>864</v>
      </c>
      <c r="J15" s="4"/>
      <c r="K15" s="4" t="s">
        <v>1093</v>
      </c>
      <c r="L15" s="4">
        <v>-111</v>
      </c>
      <c r="M15" s="1310" t="s">
        <v>1092</v>
      </c>
    </row>
    <row r="16" spans="2:13" ht="12.75">
      <c r="B16" s="1291"/>
      <c r="C16" s="4"/>
      <c r="D16" s="4"/>
      <c r="E16" s="4"/>
      <c r="F16" s="4"/>
      <c r="G16" s="4"/>
      <c r="H16" s="4"/>
      <c r="I16" s="1286" t="s">
        <v>865</v>
      </c>
      <c r="J16" s="4"/>
      <c r="K16" s="4" t="s">
        <v>1095</v>
      </c>
      <c r="L16" s="4">
        <v>-88</v>
      </c>
      <c r="M16" s="1310" t="s">
        <v>1094</v>
      </c>
    </row>
    <row r="17" spans="2:13" ht="13.5" thickBot="1">
      <c r="B17" s="1291"/>
      <c r="C17" s="4"/>
      <c r="D17" s="4"/>
      <c r="E17" s="4"/>
      <c r="F17" s="4"/>
      <c r="G17" s="4"/>
      <c r="H17" s="4"/>
      <c r="I17" s="1286" t="s">
        <v>1096</v>
      </c>
      <c r="J17" s="4"/>
      <c r="K17" s="4" t="s">
        <v>1097</v>
      </c>
      <c r="L17" s="4">
        <v>-95</v>
      </c>
      <c r="M17" s="1295" t="s">
        <v>1098</v>
      </c>
    </row>
    <row r="18" spans="2:13" ht="15.75">
      <c r="B18" s="1318" t="s">
        <v>24</v>
      </c>
      <c r="C18" s="1371">
        <f>SUM(C19,C28)</f>
        <v>1782</v>
      </c>
      <c r="D18" s="1319"/>
      <c r="E18" s="1319"/>
      <c r="F18" s="1319"/>
      <c r="G18" s="1319"/>
      <c r="H18" s="1318" t="s">
        <v>33</v>
      </c>
      <c r="I18" s="1319"/>
      <c r="J18" s="1371">
        <v>5308.8</v>
      </c>
      <c r="K18" s="1319"/>
      <c r="L18" s="1319"/>
      <c r="M18" s="1373"/>
    </row>
    <row r="19" spans="2:13" ht="12.75">
      <c r="B19" s="1291"/>
      <c r="C19" s="1297">
        <f>SUM(D20:D27)</f>
        <v>1277</v>
      </c>
      <c r="D19" s="1305" t="s">
        <v>25</v>
      </c>
      <c r="E19" s="4"/>
      <c r="F19" s="4"/>
      <c r="G19" s="4"/>
      <c r="H19" s="1291"/>
      <c r="I19" s="1370"/>
      <c r="J19" s="1304"/>
      <c r="K19" s="4"/>
      <c r="L19" s="4"/>
      <c r="M19" s="1374"/>
    </row>
    <row r="20" spans="2:13" ht="12.75">
      <c r="B20" s="1291"/>
      <c r="C20" s="1340"/>
      <c r="D20" s="1305">
        <v>500</v>
      </c>
      <c r="E20" s="4" t="s">
        <v>1078</v>
      </c>
      <c r="F20" s="4"/>
      <c r="G20" s="4"/>
      <c r="H20" s="1291"/>
      <c r="I20" s="4"/>
      <c r="J20" s="4" t="s">
        <v>1012</v>
      </c>
      <c r="K20" s="4"/>
      <c r="L20" s="4"/>
      <c r="M20" s="1374"/>
    </row>
    <row r="21" spans="2:13" ht="12.75">
      <c r="B21" s="1291"/>
      <c r="C21" s="1340"/>
      <c r="D21" s="1305">
        <v>106</v>
      </c>
      <c r="E21" s="4" t="s">
        <v>1079</v>
      </c>
      <c r="F21" s="4"/>
      <c r="G21" s="4"/>
      <c r="H21" s="1291"/>
      <c r="I21" s="1306"/>
      <c r="J21" s="1305">
        <f>1354+67+280</f>
        <v>1701</v>
      </c>
      <c r="K21" s="4" t="s">
        <v>1</v>
      </c>
      <c r="L21" s="4"/>
      <c r="M21" s="1374"/>
    </row>
    <row r="22" spans="2:13" ht="12.75">
      <c r="B22" s="1291"/>
      <c r="C22" s="1340"/>
      <c r="D22" s="1305">
        <v>100</v>
      </c>
      <c r="E22" s="4" t="s">
        <v>1080</v>
      </c>
      <c r="F22" s="4"/>
      <c r="G22" s="4"/>
      <c r="H22" s="1291"/>
      <c r="I22" s="1306"/>
      <c r="J22" s="1305">
        <v>985</v>
      </c>
      <c r="K22" s="4" t="s">
        <v>1074</v>
      </c>
      <c r="L22" s="4"/>
      <c r="M22" s="1374"/>
    </row>
    <row r="23" spans="2:13" ht="12.75">
      <c r="B23" s="1291"/>
      <c r="C23" s="1340"/>
      <c r="D23" s="1305">
        <v>438</v>
      </c>
      <c r="E23" s="4" t="s">
        <v>1081</v>
      </c>
      <c r="F23" s="4"/>
      <c r="G23" s="4"/>
      <c r="H23" s="1291"/>
      <c r="I23" s="1306"/>
      <c r="J23" s="1305">
        <v>189</v>
      </c>
      <c r="K23" s="4" t="s">
        <v>1075</v>
      </c>
      <c r="L23" s="4"/>
      <c r="M23" s="1374"/>
    </row>
    <row r="24" spans="2:13" ht="12.75">
      <c r="B24" s="1291"/>
      <c r="C24" s="4"/>
      <c r="D24" s="1305">
        <v>398</v>
      </c>
      <c r="E24" s="4" t="s">
        <v>1082</v>
      </c>
      <c r="F24" s="4"/>
      <c r="G24" s="4"/>
      <c r="H24" s="1291"/>
      <c r="I24" s="1306"/>
      <c r="J24" s="1305">
        <v>35</v>
      </c>
      <c r="K24" s="4" t="s">
        <v>1076</v>
      </c>
      <c r="L24" s="4"/>
      <c r="M24" s="1374"/>
    </row>
    <row r="25" spans="2:13" ht="12.75">
      <c r="B25" s="1291"/>
      <c r="C25" s="1297"/>
      <c r="D25" s="1305">
        <v>-708</v>
      </c>
      <c r="E25" s="4" t="s">
        <v>1083</v>
      </c>
      <c r="F25" s="4"/>
      <c r="G25" s="4"/>
      <c r="H25" s="1291"/>
      <c r="I25" s="1306"/>
      <c r="J25" s="1305">
        <v>882</v>
      </c>
      <c r="K25" s="4" t="s">
        <v>1077</v>
      </c>
      <c r="L25" s="4"/>
      <c r="M25" s="1374"/>
    </row>
    <row r="26" spans="2:13" ht="12.75">
      <c r="B26" s="1291"/>
      <c r="C26" s="4"/>
      <c r="D26" s="1305">
        <f>170+75</f>
        <v>245</v>
      </c>
      <c r="E26" s="4" t="s">
        <v>1084</v>
      </c>
      <c r="F26" s="4"/>
      <c r="G26" s="4"/>
      <c r="H26" s="1291"/>
      <c r="I26" s="1306"/>
      <c r="J26" s="1305">
        <f>SUM(J21:J25)*0.4</f>
        <v>1516.8000000000002</v>
      </c>
      <c r="K26" s="4" t="s">
        <v>26</v>
      </c>
      <c r="L26" s="4"/>
      <c r="M26" s="1374"/>
    </row>
    <row r="27" spans="2:13" ht="12.75">
      <c r="B27" s="1291"/>
      <c r="C27" s="4"/>
      <c r="D27" s="1305">
        <f>267-69</f>
        <v>198</v>
      </c>
      <c r="E27" s="4" t="s">
        <v>1085</v>
      </c>
      <c r="F27" s="4"/>
      <c r="G27" s="1302"/>
      <c r="H27" s="1291"/>
      <c r="I27" s="4"/>
      <c r="J27" s="1305"/>
      <c r="K27" s="4"/>
      <c r="L27" s="4"/>
      <c r="M27" s="1295"/>
    </row>
    <row r="28" spans="2:13" ht="13.5" thickBot="1">
      <c r="B28" s="1291"/>
      <c r="C28" s="1297">
        <v>505</v>
      </c>
      <c r="D28" s="1305" t="s">
        <v>1157</v>
      </c>
      <c r="E28" s="4"/>
      <c r="F28" s="4"/>
      <c r="G28" s="1302"/>
      <c r="H28" s="1315"/>
      <c r="I28" s="1316"/>
      <c r="J28" s="1316"/>
      <c r="K28" s="1316"/>
      <c r="L28" s="1316"/>
      <c r="M28" s="1317"/>
    </row>
    <row r="29" spans="2:13" ht="15.75">
      <c r="B29" s="1318" t="s">
        <v>1155</v>
      </c>
      <c r="C29" s="1319"/>
      <c r="D29" s="1319"/>
      <c r="E29" s="1319"/>
      <c r="F29" s="1319"/>
      <c r="G29" s="1319"/>
      <c r="H29" s="1319"/>
      <c r="I29" s="1319"/>
      <c r="J29" s="1319"/>
      <c r="K29" s="1319"/>
      <c r="L29" s="1319"/>
      <c r="M29" s="1290"/>
    </row>
    <row r="30" spans="2:13" ht="12.75">
      <c r="B30" s="1291"/>
      <c r="C30" s="1311" t="s">
        <v>1156</v>
      </c>
      <c r="D30" s="1312"/>
      <c r="E30" s="1312"/>
      <c r="F30" s="1312"/>
      <c r="G30" s="1298"/>
      <c r="H30" s="1312"/>
      <c r="I30" s="1311" t="s">
        <v>2</v>
      </c>
      <c r="J30" s="4"/>
      <c r="K30" s="4"/>
      <c r="L30" s="4"/>
      <c r="M30" s="1295"/>
    </row>
    <row r="31" spans="2:13" ht="12.75">
      <c r="B31" s="1291"/>
      <c r="C31" s="4"/>
      <c r="D31" s="4" t="s">
        <v>1086</v>
      </c>
      <c r="E31" s="4"/>
      <c r="F31" s="4"/>
      <c r="G31" s="1302"/>
      <c r="H31" s="4"/>
      <c r="I31" s="4"/>
      <c r="J31" s="4" t="s">
        <v>1088</v>
      </c>
      <c r="K31" s="4"/>
      <c r="L31" s="4"/>
      <c r="M31" s="1295"/>
    </row>
    <row r="32" spans="2:13" ht="12.75">
      <c r="B32" s="1291"/>
      <c r="C32" s="4"/>
      <c r="D32" s="4" t="s">
        <v>1087</v>
      </c>
      <c r="E32" s="4"/>
      <c r="F32" s="4"/>
      <c r="G32" s="1302"/>
      <c r="H32" s="4"/>
      <c r="I32" s="4"/>
      <c r="J32" s="4"/>
      <c r="K32" s="4"/>
      <c r="L32" s="4"/>
      <c r="M32" s="1295"/>
    </row>
    <row r="33" spans="2:13" ht="12.75">
      <c r="B33" s="1291"/>
      <c r="C33" s="4"/>
      <c r="D33" s="4" t="s">
        <v>0</v>
      </c>
      <c r="E33" s="4"/>
      <c r="F33" s="4"/>
      <c r="G33" s="1302"/>
      <c r="H33" s="4"/>
      <c r="I33" s="4"/>
      <c r="J33" s="4"/>
      <c r="K33" s="4"/>
      <c r="L33" s="4"/>
      <c r="M33" s="1295"/>
    </row>
    <row r="34" spans="2:13" ht="13.5" thickBot="1">
      <c r="B34" s="1315"/>
      <c r="C34" s="1316"/>
      <c r="D34" s="1316"/>
      <c r="E34" s="1316"/>
      <c r="F34" s="1316"/>
      <c r="G34" s="1321"/>
      <c r="H34" s="1316"/>
      <c r="I34" s="1316"/>
      <c r="J34" s="1316"/>
      <c r="K34" s="1316"/>
      <c r="L34" s="1316"/>
      <c r="M34" s="1317"/>
    </row>
    <row r="35" spans="2:13" ht="15.75">
      <c r="B35" s="1372" t="s">
        <v>877</v>
      </c>
      <c r="C35" s="4"/>
      <c r="D35" s="1311"/>
      <c r="E35" s="4"/>
      <c r="F35" s="4"/>
      <c r="G35" s="4"/>
      <c r="H35" s="4"/>
      <c r="I35" s="4"/>
      <c r="J35" s="4"/>
      <c r="K35" s="4"/>
      <c r="L35" s="4"/>
      <c r="M35" s="1295"/>
    </row>
    <row r="36" spans="2:13" ht="12.75">
      <c r="B36" s="1291"/>
      <c r="C36" s="997" t="s">
        <v>1099</v>
      </c>
      <c r="D36" s="4" t="s">
        <v>1100</v>
      </c>
      <c r="E36" s="4"/>
      <c r="F36" s="4"/>
      <c r="G36" s="4"/>
      <c r="H36" s="4"/>
      <c r="I36" s="4"/>
      <c r="J36" s="4"/>
      <c r="K36" s="4"/>
      <c r="L36" s="4"/>
      <c r="M36" s="1295"/>
    </row>
    <row r="37" spans="2:13" ht="12.75">
      <c r="B37" s="1291"/>
      <c r="C37" s="997"/>
      <c r="D37" s="4" t="s">
        <v>3</v>
      </c>
      <c r="E37" s="4"/>
      <c r="F37" s="4"/>
      <c r="G37" s="4"/>
      <c r="H37" s="4"/>
      <c r="I37" s="4"/>
      <c r="J37" s="4"/>
      <c r="K37" s="4"/>
      <c r="L37" s="4"/>
      <c r="M37" s="1295"/>
    </row>
    <row r="38" spans="2:13" ht="12.75">
      <c r="B38" s="1291"/>
      <c r="C38" s="997"/>
      <c r="D38" s="4" t="s">
        <v>47</v>
      </c>
      <c r="F38" s="4"/>
      <c r="G38" s="4"/>
      <c r="H38" s="4"/>
      <c r="I38" s="4"/>
      <c r="J38" s="4"/>
      <c r="K38" s="4"/>
      <c r="L38" s="4"/>
      <c r="M38" s="1295"/>
    </row>
    <row r="39" spans="2:13" ht="12.75">
      <c r="B39" s="1291"/>
      <c r="C39" s="997" t="s">
        <v>1101</v>
      </c>
      <c r="D39" s="4" t="s">
        <v>1102</v>
      </c>
      <c r="E39" s="4"/>
      <c r="F39" s="4"/>
      <c r="G39" s="4"/>
      <c r="H39" s="4"/>
      <c r="I39" s="4"/>
      <c r="J39" s="4"/>
      <c r="K39" s="4"/>
      <c r="L39" s="4"/>
      <c r="M39" s="1295"/>
    </row>
    <row r="40" spans="2:13" ht="12.75">
      <c r="B40" s="1291"/>
      <c r="C40" s="4"/>
      <c r="D40" s="4" t="s">
        <v>1103</v>
      </c>
      <c r="E40" s="4"/>
      <c r="F40" s="4"/>
      <c r="G40" s="4"/>
      <c r="H40" s="4"/>
      <c r="I40" s="4"/>
      <c r="J40" s="4"/>
      <c r="K40" s="4"/>
      <c r="L40" s="4"/>
      <c r="M40" s="1295"/>
    </row>
    <row r="41" spans="2:13" ht="13.5" thickBot="1">
      <c r="B41" s="1315"/>
      <c r="C41" s="1316"/>
      <c r="D41" s="1316" t="s">
        <v>1104</v>
      </c>
      <c r="E41" s="1316"/>
      <c r="F41" s="1316"/>
      <c r="G41" s="1316"/>
      <c r="H41" s="1316"/>
      <c r="I41" s="1316"/>
      <c r="J41" s="1316"/>
      <c r="K41" s="1316"/>
      <c r="L41" s="1316"/>
      <c r="M41" s="1317"/>
    </row>
    <row r="42" spans="2:31" ht="15.75">
      <c r="B42" s="1318" t="s">
        <v>871</v>
      </c>
      <c r="C42" s="1319"/>
      <c r="D42" s="1327"/>
      <c r="E42" s="1319"/>
      <c r="F42" s="1319"/>
      <c r="G42" s="1319"/>
      <c r="H42" s="1319"/>
      <c r="I42" s="1319"/>
      <c r="J42" s="1319"/>
      <c r="K42" s="1319"/>
      <c r="L42" s="1319"/>
      <c r="M42" s="1290"/>
      <c r="W42" s="337" t="s">
        <v>99</v>
      </c>
      <c r="X42" s="337" t="s">
        <v>100</v>
      </c>
      <c r="Y42" s="337" t="s">
        <v>102</v>
      </c>
      <c r="Z42" s="337" t="s">
        <v>103</v>
      </c>
      <c r="AA42" s="337" t="s">
        <v>599</v>
      </c>
      <c r="AB42" s="337" t="s">
        <v>870</v>
      </c>
      <c r="AC42" s="337" t="s">
        <v>758</v>
      </c>
      <c r="AD42" s="337" t="s">
        <v>101</v>
      </c>
      <c r="AE42" s="337" t="s">
        <v>760</v>
      </c>
    </row>
    <row r="43" spans="2:28" ht="12.75">
      <c r="B43" s="1291"/>
      <c r="C43" s="1311" t="s">
        <v>34</v>
      </c>
      <c r="D43" s="4"/>
      <c r="E43" s="4"/>
      <c r="F43" s="1312"/>
      <c r="G43" s="1312"/>
      <c r="H43" s="1312"/>
      <c r="I43" s="19" t="s">
        <v>599</v>
      </c>
      <c r="J43" s="19" t="s">
        <v>870</v>
      </c>
      <c r="K43" s="19" t="s">
        <v>545</v>
      </c>
      <c r="L43" s="4" t="s">
        <v>36</v>
      </c>
      <c r="M43" s="1295"/>
      <c r="AA43" s="1277"/>
      <c r="AB43" s="1277"/>
    </row>
    <row r="44" spans="2:31" ht="12.75">
      <c r="B44" s="1291"/>
      <c r="C44" s="4"/>
      <c r="D44" s="4" t="s">
        <v>1026</v>
      </c>
      <c r="E44" s="4"/>
      <c r="F44" s="1312"/>
      <c r="G44" s="1312"/>
      <c r="H44" s="1312"/>
      <c r="I44" s="270">
        <v>39427</v>
      </c>
      <c r="J44" s="270">
        <v>39430</v>
      </c>
      <c r="K44" s="4"/>
      <c r="L44" s="1313">
        <v>2.0952380952380953</v>
      </c>
      <c r="M44" s="1295"/>
      <c r="W44" s="996" t="s">
        <v>34</v>
      </c>
      <c r="AA44" s="1277"/>
      <c r="AB44" s="1277"/>
      <c r="AE44" s="337" t="s">
        <v>36</v>
      </c>
    </row>
    <row r="45" spans="2:33" ht="12.75">
      <c r="B45" s="1291"/>
      <c r="C45" s="4"/>
      <c r="D45" s="4" t="s">
        <v>590</v>
      </c>
      <c r="E45" s="4"/>
      <c r="F45" s="1312"/>
      <c r="G45" s="1312"/>
      <c r="H45" s="1312"/>
      <c r="I45" s="270">
        <v>39346</v>
      </c>
      <c r="J45" s="270">
        <v>39430</v>
      </c>
      <c r="K45" s="937"/>
      <c r="L45" s="1313">
        <v>4.571428571428571</v>
      </c>
      <c r="M45" s="1295"/>
      <c r="W45" s="337" t="s">
        <v>1025</v>
      </c>
      <c r="X45" s="337" t="s">
        <v>1026</v>
      </c>
      <c r="Y45" s="337">
        <v>1302</v>
      </c>
      <c r="Z45" s="337" t="s">
        <v>116</v>
      </c>
      <c r="AA45" s="1277">
        <v>39427</v>
      </c>
      <c r="AB45" s="1277">
        <v>39430</v>
      </c>
      <c r="AD45" s="337">
        <v>3</v>
      </c>
      <c r="AE45" s="1279">
        <v>2.0952380952380953</v>
      </c>
      <c r="AG45" s="1279"/>
    </row>
    <row r="46" spans="2:33" ht="12.75">
      <c r="B46" s="1291"/>
      <c r="C46" s="4"/>
      <c r="D46" s="4" t="s">
        <v>119</v>
      </c>
      <c r="E46" s="4"/>
      <c r="F46" s="1312"/>
      <c r="G46" s="1312"/>
      <c r="H46" s="1312"/>
      <c r="I46" s="270">
        <v>39461</v>
      </c>
      <c r="J46" s="270">
        <v>39477</v>
      </c>
      <c r="K46" s="937"/>
      <c r="L46" s="1313">
        <v>1.2380952380952381</v>
      </c>
      <c r="M46" s="1295"/>
      <c r="W46" s="337" t="s">
        <v>589</v>
      </c>
      <c r="X46" s="337" t="s">
        <v>590</v>
      </c>
      <c r="Y46" s="337">
        <v>1501</v>
      </c>
      <c r="Z46" s="337" t="s">
        <v>112</v>
      </c>
      <c r="AA46" s="1277">
        <v>39346</v>
      </c>
      <c r="AB46" s="1277">
        <v>39430</v>
      </c>
      <c r="AD46" s="337">
        <v>3</v>
      </c>
      <c r="AE46" s="1279">
        <v>4.571428571428571</v>
      </c>
      <c r="AG46" s="1279"/>
    </row>
    <row r="47" spans="2:33" ht="12.75">
      <c r="B47" s="1291"/>
      <c r="C47" s="4"/>
      <c r="D47" s="4" t="s">
        <v>585</v>
      </c>
      <c r="E47" s="4"/>
      <c r="F47" s="1312"/>
      <c r="G47" s="1312"/>
      <c r="H47" s="1312"/>
      <c r="I47" s="270">
        <v>39531</v>
      </c>
      <c r="J47" s="270">
        <v>39483</v>
      </c>
      <c r="K47" s="937"/>
      <c r="L47" s="1313">
        <v>1.7142857142857142</v>
      </c>
      <c r="M47" s="1295"/>
      <c r="W47" s="337" t="s">
        <v>573</v>
      </c>
      <c r="X47" s="337" t="s">
        <v>119</v>
      </c>
      <c r="Y47" s="337">
        <v>1416</v>
      </c>
      <c r="Z47" s="337" t="s">
        <v>110</v>
      </c>
      <c r="AA47" s="1277">
        <v>39461</v>
      </c>
      <c r="AB47" s="1277">
        <v>39477</v>
      </c>
      <c r="AD47" s="337">
        <v>3</v>
      </c>
      <c r="AE47" s="1279">
        <v>1.2380952380952381</v>
      </c>
      <c r="AG47" s="1279"/>
    </row>
    <row r="48" spans="2:33" ht="12.75">
      <c r="B48" s="1291"/>
      <c r="C48" s="4"/>
      <c r="D48" s="4" t="s">
        <v>588</v>
      </c>
      <c r="E48" s="4"/>
      <c r="F48" s="1312"/>
      <c r="G48" s="1312"/>
      <c r="H48" s="1312"/>
      <c r="I48" s="270">
        <v>39412</v>
      </c>
      <c r="J48" s="270">
        <v>39485</v>
      </c>
      <c r="K48" s="937"/>
      <c r="L48" s="1313">
        <v>1.5238095238095237</v>
      </c>
      <c r="M48" s="1295"/>
      <c r="W48" s="337" t="s">
        <v>572</v>
      </c>
      <c r="X48" s="337" t="s">
        <v>585</v>
      </c>
      <c r="Y48" s="337">
        <v>1302</v>
      </c>
      <c r="Z48" s="337" t="s">
        <v>116</v>
      </c>
      <c r="AA48" s="1277">
        <v>39531</v>
      </c>
      <c r="AB48" s="1277">
        <v>39483</v>
      </c>
      <c r="AD48" s="337">
        <v>3</v>
      </c>
      <c r="AE48" s="1279">
        <v>1.7142857142857142</v>
      </c>
      <c r="AG48" s="1279"/>
    </row>
    <row r="49" spans="2:33" ht="12.75">
      <c r="B49" s="1291"/>
      <c r="C49" s="4"/>
      <c r="D49" s="4" t="s">
        <v>200</v>
      </c>
      <c r="E49" s="4"/>
      <c r="F49" s="1312"/>
      <c r="G49" s="1312"/>
      <c r="H49" s="1312"/>
      <c r="I49" s="270">
        <v>39407</v>
      </c>
      <c r="J49" s="270">
        <v>39497</v>
      </c>
      <c r="K49" s="937"/>
      <c r="L49" s="1313">
        <v>3</v>
      </c>
      <c r="M49" s="1295"/>
      <c r="W49" s="337" t="s">
        <v>586</v>
      </c>
      <c r="X49" s="337" t="s">
        <v>588</v>
      </c>
      <c r="Y49" s="337">
        <v>1702</v>
      </c>
      <c r="Z49" s="337" t="s">
        <v>112</v>
      </c>
      <c r="AA49" s="1277">
        <v>39412</v>
      </c>
      <c r="AB49" s="1277">
        <v>39485</v>
      </c>
      <c r="AD49" s="337">
        <v>3</v>
      </c>
      <c r="AE49" s="1279">
        <v>1.5238095238095237</v>
      </c>
      <c r="AG49" s="1279"/>
    </row>
    <row r="50" spans="2:33" ht="12.75">
      <c r="B50" s="1291"/>
      <c r="C50" s="4"/>
      <c r="D50" s="4" t="s">
        <v>594</v>
      </c>
      <c r="E50" s="4"/>
      <c r="F50" s="1312"/>
      <c r="G50" s="1312"/>
      <c r="H50" s="1312"/>
      <c r="I50" s="270">
        <v>39482</v>
      </c>
      <c r="J50" s="270">
        <v>39520</v>
      </c>
      <c r="K50" s="1314">
        <v>39569</v>
      </c>
      <c r="L50" s="1313">
        <v>1.5238095238095237</v>
      </c>
      <c r="M50" s="1295"/>
      <c r="W50" s="337" t="s">
        <v>199</v>
      </c>
      <c r="X50" s="337" t="s">
        <v>200</v>
      </c>
      <c r="Y50" s="337">
        <v>1803</v>
      </c>
      <c r="Z50" s="337" t="s">
        <v>194</v>
      </c>
      <c r="AA50" s="1277">
        <v>39407</v>
      </c>
      <c r="AB50" s="1277">
        <v>39497</v>
      </c>
      <c r="AD50" s="337">
        <v>3</v>
      </c>
      <c r="AE50" s="1279">
        <v>3</v>
      </c>
      <c r="AG50" s="1279"/>
    </row>
    <row r="51" spans="2:33" ht="12.75">
      <c r="B51" s="1291"/>
      <c r="C51" s="4"/>
      <c r="D51" s="4" t="s">
        <v>1019</v>
      </c>
      <c r="E51" s="4"/>
      <c r="F51" s="1312"/>
      <c r="G51" s="1312"/>
      <c r="H51" s="1312"/>
      <c r="I51" s="270">
        <v>39540</v>
      </c>
      <c r="J51" s="270">
        <v>39540</v>
      </c>
      <c r="K51" s="937"/>
      <c r="L51" s="1313">
        <v>4.285714285714286</v>
      </c>
      <c r="M51" s="1295"/>
      <c r="W51" s="337" t="s">
        <v>593</v>
      </c>
      <c r="X51" s="337" t="s">
        <v>594</v>
      </c>
      <c r="Y51" s="337">
        <v>1702</v>
      </c>
      <c r="Z51" s="337" t="s">
        <v>112</v>
      </c>
      <c r="AA51" s="1277">
        <v>39482</v>
      </c>
      <c r="AB51" s="1277">
        <v>39520</v>
      </c>
      <c r="AC51" s="1278">
        <v>39569</v>
      </c>
      <c r="AD51" s="337">
        <v>2</v>
      </c>
      <c r="AE51" s="1279">
        <v>1.5238095238095237</v>
      </c>
      <c r="AG51" s="1279"/>
    </row>
    <row r="52" spans="2:33" ht="12.75">
      <c r="B52" s="1291"/>
      <c r="C52" s="4"/>
      <c r="D52" s="4" t="s">
        <v>1022</v>
      </c>
      <c r="E52" s="4"/>
      <c r="F52" s="1312"/>
      <c r="G52" s="1312"/>
      <c r="H52" s="1312"/>
      <c r="I52" s="4"/>
      <c r="J52" s="270">
        <v>39554</v>
      </c>
      <c r="K52" s="937"/>
      <c r="L52" s="1313">
        <v>-0.14285714285714285</v>
      </c>
      <c r="M52" s="1295"/>
      <c r="W52" s="337" t="s">
        <v>1018</v>
      </c>
      <c r="X52" s="337" t="s">
        <v>1019</v>
      </c>
      <c r="Y52" s="337">
        <v>1601</v>
      </c>
      <c r="Z52" s="337" t="s">
        <v>1020</v>
      </c>
      <c r="AA52" s="1277">
        <v>39540</v>
      </c>
      <c r="AB52" s="1277">
        <v>39540</v>
      </c>
      <c r="AD52" s="337">
        <v>3</v>
      </c>
      <c r="AE52" s="1279">
        <v>4.285714285714286</v>
      </c>
      <c r="AG52" s="1279"/>
    </row>
    <row r="53" spans="2:33" ht="12.75">
      <c r="B53" s="1291"/>
      <c r="C53" s="4"/>
      <c r="D53" s="4" t="s">
        <v>1029</v>
      </c>
      <c r="E53" s="4"/>
      <c r="F53" s="4"/>
      <c r="G53" s="4"/>
      <c r="H53" s="4"/>
      <c r="I53" s="4"/>
      <c r="J53" s="270">
        <v>39602</v>
      </c>
      <c r="K53" s="937"/>
      <c r="L53" s="1313">
        <v>-0.14285714285714285</v>
      </c>
      <c r="M53" s="1295"/>
      <c r="W53" s="337" t="s">
        <v>1021</v>
      </c>
      <c r="X53" s="337" t="s">
        <v>1022</v>
      </c>
      <c r="Y53" s="337">
        <v>1354</v>
      </c>
      <c r="Z53" s="337" t="s">
        <v>116</v>
      </c>
      <c r="AB53" s="1277">
        <v>39554</v>
      </c>
      <c r="AD53" s="337">
        <v>3</v>
      </c>
      <c r="AE53" s="1279">
        <v>-0.14285714285714285</v>
      </c>
      <c r="AG53" s="1279"/>
    </row>
    <row r="54" spans="2:33" ht="12.75">
      <c r="B54" s="1291"/>
      <c r="C54" s="1311" t="s">
        <v>35</v>
      </c>
      <c r="D54" s="4"/>
      <c r="E54" s="4"/>
      <c r="F54" s="4"/>
      <c r="G54" s="4"/>
      <c r="H54" s="4"/>
      <c r="I54" s="4"/>
      <c r="J54" s="4"/>
      <c r="K54" s="937"/>
      <c r="L54" s="1313"/>
      <c r="M54" s="1295"/>
      <c r="W54" s="337" t="s">
        <v>1028</v>
      </c>
      <c r="X54" s="337" t="s">
        <v>1029</v>
      </c>
      <c r="Y54" s="337">
        <v>1354</v>
      </c>
      <c r="Z54" s="337" t="s">
        <v>116</v>
      </c>
      <c r="AB54" s="1277">
        <v>39602</v>
      </c>
      <c r="AD54" s="337">
        <v>3</v>
      </c>
      <c r="AE54" s="1279">
        <v>-0.14285714285714285</v>
      </c>
      <c r="AG54" s="1279"/>
    </row>
    <row r="55" spans="2:33" ht="12.75">
      <c r="B55" s="1291"/>
      <c r="C55" s="4"/>
      <c r="D55" s="4" t="s">
        <v>92</v>
      </c>
      <c r="E55" s="4"/>
      <c r="F55" s="4"/>
      <c r="G55" s="4"/>
      <c r="H55" s="4"/>
      <c r="I55" s="270">
        <v>39345</v>
      </c>
      <c r="J55" s="270">
        <v>39458</v>
      </c>
      <c r="K55" s="1314">
        <v>39417</v>
      </c>
      <c r="L55" s="1313">
        <v>-2.0476190476190474</v>
      </c>
      <c r="M55" s="1295"/>
      <c r="W55" s="996" t="s">
        <v>35</v>
      </c>
      <c r="AE55" s="1279"/>
      <c r="AG55" s="1279"/>
    </row>
    <row r="56" spans="2:33" ht="12.75">
      <c r="B56" s="1291"/>
      <c r="C56" s="4"/>
      <c r="D56" s="4" t="s">
        <v>592</v>
      </c>
      <c r="E56" s="4"/>
      <c r="F56" s="4"/>
      <c r="G56" s="4"/>
      <c r="H56" s="4"/>
      <c r="I56" s="270">
        <v>39595</v>
      </c>
      <c r="J56" s="270">
        <v>39563</v>
      </c>
      <c r="K56" s="1314">
        <v>39692</v>
      </c>
      <c r="L56" s="1313">
        <v>1.7142857142857142</v>
      </c>
      <c r="M56" s="1295"/>
      <c r="W56" s="337" t="s">
        <v>197</v>
      </c>
      <c r="X56" s="337" t="s">
        <v>92</v>
      </c>
      <c r="Y56" s="337">
        <v>1431</v>
      </c>
      <c r="Z56" s="337" t="s">
        <v>198</v>
      </c>
      <c r="AA56" s="1277">
        <v>39345</v>
      </c>
      <c r="AB56" s="1277">
        <v>39458</v>
      </c>
      <c r="AC56" s="1278">
        <v>39417</v>
      </c>
      <c r="AD56" s="337">
        <v>2</v>
      </c>
      <c r="AE56" s="1279">
        <v>-2.0476190476190474</v>
      </c>
      <c r="AG56" s="1279"/>
    </row>
    <row r="57" spans="2:33" ht="12.75">
      <c r="B57" s="1291"/>
      <c r="C57" s="4"/>
      <c r="D57" s="4" t="s">
        <v>1031</v>
      </c>
      <c r="E57" s="4"/>
      <c r="F57" s="4"/>
      <c r="G57" s="4"/>
      <c r="H57" s="4"/>
      <c r="I57" s="270">
        <v>39577</v>
      </c>
      <c r="J57" s="270">
        <v>39602</v>
      </c>
      <c r="K57" s="1314">
        <v>39692</v>
      </c>
      <c r="L57" s="1313">
        <v>-2.0476190476190474</v>
      </c>
      <c r="M57" s="1295"/>
      <c r="W57" s="337" t="s">
        <v>591</v>
      </c>
      <c r="X57" s="337" t="s">
        <v>592</v>
      </c>
      <c r="Y57" s="337">
        <v>1352</v>
      </c>
      <c r="Z57" s="337" t="s">
        <v>116</v>
      </c>
      <c r="AA57" s="1277">
        <v>39595</v>
      </c>
      <c r="AB57" s="1277">
        <v>39563</v>
      </c>
      <c r="AC57" s="1278">
        <v>39692</v>
      </c>
      <c r="AD57" s="337">
        <v>2</v>
      </c>
      <c r="AE57" s="1279">
        <v>1.7142857142857142</v>
      </c>
      <c r="AG57" s="1279"/>
    </row>
    <row r="58" spans="2:33" ht="12.75">
      <c r="B58" s="1291"/>
      <c r="C58" s="4"/>
      <c r="D58" s="4" t="s">
        <v>98</v>
      </c>
      <c r="E58" s="4"/>
      <c r="F58" s="4"/>
      <c r="G58" s="4"/>
      <c r="H58" s="4"/>
      <c r="I58" s="270">
        <v>39618</v>
      </c>
      <c r="J58" s="270">
        <v>39630</v>
      </c>
      <c r="K58" s="937"/>
      <c r="L58" s="1313">
        <v>-2.5238095238095237</v>
      </c>
      <c r="M58" s="1295"/>
      <c r="W58" s="337" t="s">
        <v>1030</v>
      </c>
      <c r="X58" s="337" t="s">
        <v>1031</v>
      </c>
      <c r="Y58" s="337">
        <v>1810</v>
      </c>
      <c r="Z58" s="337" t="s">
        <v>202</v>
      </c>
      <c r="AA58" s="1277">
        <v>39577</v>
      </c>
      <c r="AB58" s="1277">
        <v>39602</v>
      </c>
      <c r="AC58" s="1278">
        <v>39692</v>
      </c>
      <c r="AD58" s="337">
        <v>2</v>
      </c>
      <c r="AE58" s="1279">
        <v>-2.0476190476190474</v>
      </c>
      <c r="AG58" s="1279"/>
    </row>
    <row r="59" spans="2:33" ht="13.5" thickBot="1">
      <c r="B59" s="1315"/>
      <c r="C59" s="1316"/>
      <c r="D59" s="1316" t="s">
        <v>848</v>
      </c>
      <c r="E59" s="1316"/>
      <c r="F59" s="1316"/>
      <c r="G59" s="1316"/>
      <c r="H59" s="1316"/>
      <c r="I59" s="1328">
        <v>39644</v>
      </c>
      <c r="J59" s="1328">
        <v>39629</v>
      </c>
      <c r="K59" s="1329">
        <v>39753</v>
      </c>
      <c r="L59" s="1330">
        <v>1.619047619047619</v>
      </c>
      <c r="M59" s="1317"/>
      <c r="W59" s="337" t="s">
        <v>1073</v>
      </c>
      <c r="X59" s="337" t="s">
        <v>98</v>
      </c>
      <c r="Y59" s="337">
        <v>1810</v>
      </c>
      <c r="Z59" s="337" t="s">
        <v>202</v>
      </c>
      <c r="AA59" s="1277">
        <v>39618</v>
      </c>
      <c r="AB59" s="1277">
        <v>39630</v>
      </c>
      <c r="AD59" s="337">
        <v>3</v>
      </c>
      <c r="AE59" s="1279">
        <v>-2.5238095238095237</v>
      </c>
      <c r="AG59" s="1279"/>
    </row>
    <row r="60" spans="2:13" ht="15.75">
      <c r="B60" s="1318" t="s">
        <v>872</v>
      </c>
      <c r="C60" s="1327"/>
      <c r="D60" s="1327"/>
      <c r="E60" s="1319"/>
      <c r="F60" s="1319"/>
      <c r="G60" s="1319"/>
      <c r="H60" s="1319"/>
      <c r="I60" s="1333" t="s">
        <v>601</v>
      </c>
      <c r="J60" s="1331"/>
      <c r="K60" s="1331"/>
      <c r="L60" s="1319"/>
      <c r="M60" s="1290"/>
    </row>
    <row r="61" spans="2:24" ht="12.75">
      <c r="B61" s="1291"/>
      <c r="C61" s="1311"/>
      <c r="D61" s="4" t="s">
        <v>873</v>
      </c>
      <c r="E61" s="4"/>
      <c r="F61" s="4"/>
      <c r="G61" s="1281">
        <v>14380</v>
      </c>
      <c r="H61" s="1282"/>
      <c r="I61" s="1334">
        <v>50853</v>
      </c>
      <c r="J61" s="1283">
        <f>+G61/I61</f>
        <v>0.2827758440996598</v>
      </c>
      <c r="K61" s="4"/>
      <c r="L61" s="4"/>
      <c r="M61" s="1295"/>
      <c r="X61" s="1278"/>
    </row>
    <row r="62" spans="2:24" ht="12.75">
      <c r="B62" s="1291"/>
      <c r="C62" s="1311"/>
      <c r="D62" s="4" t="s">
        <v>874</v>
      </c>
      <c r="E62" s="4"/>
      <c r="F62" s="4"/>
      <c r="G62" s="4">
        <v>0</v>
      </c>
      <c r="H62" s="4"/>
      <c r="I62" s="997"/>
      <c r="J62" s="4"/>
      <c r="K62" s="4"/>
      <c r="L62" s="4"/>
      <c r="M62" s="1295"/>
      <c r="X62" s="1278"/>
    </row>
    <row r="63" spans="2:24" ht="12.75">
      <c r="B63" s="1291"/>
      <c r="C63" s="1311"/>
      <c r="D63" s="4" t="s">
        <v>37</v>
      </c>
      <c r="E63" s="4"/>
      <c r="F63" s="4"/>
      <c r="G63" s="4">
        <v>-1277</v>
      </c>
      <c r="H63" s="4"/>
      <c r="I63" s="997"/>
      <c r="J63" s="4"/>
      <c r="K63" s="4"/>
      <c r="L63" s="4"/>
      <c r="M63" s="1295"/>
      <c r="X63" s="1278"/>
    </row>
    <row r="64" spans="2:24" ht="12.75">
      <c r="B64" s="1291"/>
      <c r="C64" s="1311"/>
      <c r="D64" s="4" t="s">
        <v>39</v>
      </c>
      <c r="E64" s="4"/>
      <c r="F64" s="4"/>
      <c r="G64" s="4">
        <v>854</v>
      </c>
      <c r="H64" s="4"/>
      <c r="I64" s="997"/>
      <c r="J64" s="4"/>
      <c r="K64" s="4"/>
      <c r="L64" s="4"/>
      <c r="M64" s="1295"/>
      <c r="X64" s="1278"/>
    </row>
    <row r="65" spans="2:24" ht="12.75">
      <c r="B65" s="1291"/>
      <c r="C65" s="1311"/>
      <c r="D65" s="4" t="s">
        <v>38</v>
      </c>
      <c r="E65" s="4"/>
      <c r="F65" s="4"/>
      <c r="G65" s="4">
        <v>-505</v>
      </c>
      <c r="H65" s="4"/>
      <c r="I65" s="997"/>
      <c r="J65" s="4"/>
      <c r="K65" s="4"/>
      <c r="L65" s="4"/>
      <c r="M65" s="1295"/>
      <c r="X65" s="1278"/>
    </row>
    <row r="66" spans="2:13" ht="12.75">
      <c r="B66" s="1291"/>
      <c r="C66" s="1311"/>
      <c r="D66" s="4"/>
      <c r="E66" s="4"/>
      <c r="F66" s="4"/>
      <c r="G66" s="1284">
        <f>SUM(G61:G65)</f>
        <v>13452</v>
      </c>
      <c r="H66" s="1285"/>
      <c r="I66" s="1335">
        <f>+I61-8089</f>
        <v>42764</v>
      </c>
      <c r="J66" s="1283">
        <f>+G66/I66</f>
        <v>0.3145636516696287</v>
      </c>
      <c r="K66" s="4"/>
      <c r="L66" s="4"/>
      <c r="M66" s="1295"/>
    </row>
    <row r="67" spans="2:13" ht="13.5" thickBot="1">
      <c r="B67" s="1315"/>
      <c r="C67" s="1332"/>
      <c r="D67" s="1336" t="s">
        <v>875</v>
      </c>
      <c r="E67" s="1316"/>
      <c r="F67" s="1316"/>
      <c r="G67" s="1316"/>
      <c r="H67" s="1316"/>
      <c r="I67" s="1337">
        <v>0.31</v>
      </c>
      <c r="J67" s="1316"/>
      <c r="K67" s="1316"/>
      <c r="L67" s="1316"/>
      <c r="M67" s="1317"/>
    </row>
    <row r="68" spans="2:23" ht="15.75">
      <c r="B68" s="1318" t="s">
        <v>878</v>
      </c>
      <c r="C68" s="1319"/>
      <c r="D68" s="1319"/>
      <c r="E68" s="1319"/>
      <c r="F68" s="1319"/>
      <c r="G68" s="1319"/>
      <c r="H68" s="1319"/>
      <c r="I68" s="1319"/>
      <c r="J68" s="1319"/>
      <c r="K68" s="1319"/>
      <c r="L68" s="1319"/>
      <c r="M68" s="1290"/>
      <c r="V68" s="1277"/>
      <c r="W68" s="1277"/>
    </row>
    <row r="69" spans="2:13" ht="13.5" thickBot="1">
      <c r="B69" s="1315"/>
      <c r="C69" s="1316"/>
      <c r="D69" s="1336" t="s">
        <v>1154</v>
      </c>
      <c r="E69" s="1316"/>
      <c r="F69" s="1316"/>
      <c r="G69" s="1316"/>
      <c r="H69" s="1316"/>
      <c r="I69" s="1316"/>
      <c r="J69" s="1316"/>
      <c r="K69" s="1316"/>
      <c r="L69" s="1316"/>
      <c r="M69" s="1317"/>
    </row>
    <row r="70" spans="2:16" ht="15.75">
      <c r="B70" s="1318" t="s">
        <v>40</v>
      </c>
      <c r="C70" s="1319"/>
      <c r="D70" s="1319"/>
      <c r="E70" s="1319"/>
      <c r="F70" s="1319"/>
      <c r="G70" s="1319"/>
      <c r="H70" s="1319"/>
      <c r="I70" s="1319"/>
      <c r="J70" s="1319"/>
      <c r="K70" s="1319"/>
      <c r="L70" s="1319"/>
      <c r="M70" s="1290"/>
      <c r="N70" s="4"/>
      <c r="O70" s="4"/>
      <c r="P70" s="4"/>
    </row>
    <row r="71" spans="2:16" ht="12.75">
      <c r="B71" s="1291"/>
      <c r="C71" s="1312" t="s">
        <v>41</v>
      </c>
      <c r="D71" s="1312"/>
      <c r="E71" s="4"/>
      <c r="F71" s="4"/>
      <c r="G71" s="4"/>
      <c r="H71" s="4"/>
      <c r="I71" s="4"/>
      <c r="J71" s="4"/>
      <c r="K71" s="4"/>
      <c r="L71" s="4"/>
      <c r="M71" s="1295"/>
      <c r="N71" s="4"/>
      <c r="O71" s="4"/>
      <c r="P71" s="4"/>
    </row>
    <row r="72" spans="2:16" ht="12.75">
      <c r="B72" s="1291"/>
      <c r="C72" s="1312"/>
      <c r="D72" s="1312" t="s">
        <v>42</v>
      </c>
      <c r="E72" s="4"/>
      <c r="F72" s="4"/>
      <c r="G72" s="4"/>
      <c r="H72" s="4"/>
      <c r="I72" s="4"/>
      <c r="J72" s="4"/>
      <c r="K72" s="4"/>
      <c r="L72" s="4"/>
      <c r="M72" s="1295"/>
      <c r="N72" s="4"/>
      <c r="O72" s="4"/>
      <c r="P72" s="4"/>
    </row>
    <row r="73" spans="2:13" ht="12.75">
      <c r="B73" s="1291"/>
      <c r="C73" s="1312" t="s">
        <v>43</v>
      </c>
      <c r="D73" s="1312"/>
      <c r="E73" s="4"/>
      <c r="F73" s="4"/>
      <c r="G73" s="4"/>
      <c r="H73" s="4"/>
      <c r="I73" s="4"/>
      <c r="J73" s="4"/>
      <c r="K73" s="4"/>
      <c r="L73" s="4"/>
      <c r="M73" s="1295"/>
    </row>
    <row r="74" spans="2:13" ht="12.75">
      <c r="B74" s="1291"/>
      <c r="C74" s="1312"/>
      <c r="D74" s="1312" t="s">
        <v>44</v>
      </c>
      <c r="E74" s="4"/>
      <c r="F74" s="4"/>
      <c r="G74" s="4"/>
      <c r="H74" s="4"/>
      <c r="I74" s="4"/>
      <c r="J74" s="4"/>
      <c r="K74" s="4"/>
      <c r="L74" s="4"/>
      <c r="M74" s="1295"/>
    </row>
    <row r="75" spans="2:13" ht="13.5" thickBot="1">
      <c r="B75" s="1315"/>
      <c r="C75" s="1336"/>
      <c r="D75" s="1336" t="s">
        <v>45</v>
      </c>
      <c r="E75" s="1316"/>
      <c r="F75" s="1316"/>
      <c r="G75" s="1316"/>
      <c r="H75" s="1316"/>
      <c r="I75" s="1316"/>
      <c r="J75" s="1316"/>
      <c r="K75" s="1316"/>
      <c r="L75" s="1316"/>
      <c r="M75" s="1317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spans="29:35" ht="12.75">
      <c r="AC85" s="994"/>
      <c r="AD85" s="1342" t="s">
        <v>879</v>
      </c>
      <c r="AE85" s="1343"/>
      <c r="AF85" s="1344"/>
      <c r="AG85" s="1343"/>
      <c r="AH85" s="1343"/>
      <c r="AI85" s="994"/>
    </row>
    <row r="86" spans="29:35" ht="12.75">
      <c r="AC86" s="994"/>
      <c r="AD86" s="606"/>
      <c r="AE86" s="606"/>
      <c r="AF86" s="606"/>
      <c r="AG86" s="606"/>
      <c r="AH86" s="606"/>
      <c r="AI86" s="994"/>
    </row>
    <row r="87" spans="29:35" ht="12.75">
      <c r="AC87" s="994"/>
      <c r="AD87" s="994"/>
      <c r="AE87" s="994"/>
      <c r="AF87" s="994"/>
      <c r="AG87" s="994"/>
      <c r="AH87" s="995" t="s">
        <v>880</v>
      </c>
      <c r="AI87" s="994"/>
    </row>
    <row r="88" spans="29:35" ht="12.75">
      <c r="AC88" s="994"/>
      <c r="AD88" s="994"/>
      <c r="AE88" s="994"/>
      <c r="AF88" s="994"/>
      <c r="AG88" s="994"/>
      <c r="AH88" s="1345"/>
      <c r="AI88" s="994"/>
    </row>
    <row r="89" spans="29:35" ht="17.25" customHeight="1">
      <c r="AC89" s="994"/>
      <c r="AD89" s="994" t="s">
        <v>882</v>
      </c>
      <c r="AE89" s="994"/>
      <c r="AF89" s="994"/>
      <c r="AG89" s="994"/>
      <c r="AH89" s="995">
        <v>3</v>
      </c>
      <c r="AI89" s="994"/>
    </row>
    <row r="90" spans="29:35" ht="17.25" customHeight="1">
      <c r="AC90" s="994"/>
      <c r="AD90" s="994"/>
      <c r="AE90" s="994"/>
      <c r="AF90" s="994"/>
      <c r="AG90" s="994"/>
      <c r="AH90" s="995"/>
      <c r="AI90" s="994"/>
    </row>
    <row r="91" spans="29:35" ht="17.25" customHeight="1">
      <c r="AC91" s="994"/>
      <c r="AD91" s="994" t="s">
        <v>881</v>
      </c>
      <c r="AE91" s="994"/>
      <c r="AF91" s="994"/>
      <c r="AG91" s="994"/>
      <c r="AH91" s="998" t="s">
        <v>883</v>
      </c>
      <c r="AI91" s="994"/>
    </row>
    <row r="92" spans="29:35" ht="17.25" customHeight="1">
      <c r="AC92" s="994"/>
      <c r="AD92" s="994"/>
      <c r="AE92" s="994"/>
      <c r="AF92" s="994"/>
      <c r="AG92" s="994"/>
      <c r="AH92" s="995"/>
      <c r="AI92" s="994"/>
    </row>
    <row r="93" spans="29:35" ht="17.25" customHeight="1">
      <c r="AC93" s="994"/>
      <c r="AD93" s="994" t="s">
        <v>885</v>
      </c>
      <c r="AE93" s="994"/>
      <c r="AF93" s="994"/>
      <c r="AG93" s="994"/>
      <c r="AH93" s="999" t="s">
        <v>884</v>
      </c>
      <c r="AI93" s="994"/>
    </row>
    <row r="94" spans="29:35" ht="17.25" customHeight="1">
      <c r="AC94" s="994"/>
      <c r="AD94" s="994"/>
      <c r="AE94" s="994"/>
      <c r="AF94" s="994"/>
      <c r="AG94" s="994"/>
      <c r="AH94" s="995"/>
      <c r="AI94" s="994"/>
    </row>
    <row r="95" spans="29:35" ht="17.25" customHeight="1">
      <c r="AC95" s="994"/>
      <c r="AD95" s="994" t="s">
        <v>886</v>
      </c>
      <c r="AE95" s="994"/>
      <c r="AF95" s="994"/>
      <c r="AG95" s="994"/>
      <c r="AH95" s="999" t="s">
        <v>889</v>
      </c>
      <c r="AI95" s="994"/>
    </row>
    <row r="96" spans="29:35" ht="17.25" customHeight="1">
      <c r="AC96" s="994"/>
      <c r="AD96" s="994"/>
      <c r="AE96" s="994"/>
      <c r="AF96" s="994"/>
      <c r="AG96" s="994"/>
      <c r="AH96" s="995"/>
      <c r="AI96" s="994"/>
    </row>
    <row r="97" spans="29:35" ht="17.25" customHeight="1">
      <c r="AC97" s="994"/>
      <c r="AD97" s="994" t="s">
        <v>887</v>
      </c>
      <c r="AE97" s="994"/>
      <c r="AF97" s="994"/>
      <c r="AG97" s="994"/>
      <c r="AH97" s="999" t="s">
        <v>890</v>
      </c>
      <c r="AI97" s="994"/>
    </row>
    <row r="98" spans="29:35" ht="17.25" customHeight="1">
      <c r="AC98" s="994"/>
      <c r="AD98" s="994"/>
      <c r="AE98" s="994"/>
      <c r="AF98" s="994"/>
      <c r="AG98" s="994"/>
      <c r="AH98" s="995"/>
      <c r="AI98" s="994"/>
    </row>
    <row r="99" spans="29:35" ht="17.25" customHeight="1">
      <c r="AC99" s="994"/>
      <c r="AD99" s="994" t="s">
        <v>888</v>
      </c>
      <c r="AE99" s="994"/>
      <c r="AF99" s="994"/>
      <c r="AG99" s="994"/>
      <c r="AH99" s="999" t="s">
        <v>891</v>
      </c>
      <c r="AI99" s="994"/>
    </row>
    <row r="100" spans="29:35" ht="17.25" customHeight="1">
      <c r="AC100" s="994"/>
      <c r="AD100" s="994"/>
      <c r="AE100" s="994"/>
      <c r="AF100" s="994"/>
      <c r="AG100" s="994"/>
      <c r="AH100" s="995"/>
      <c r="AI100" s="994"/>
    </row>
    <row r="101" spans="29:35" ht="17.25" customHeight="1">
      <c r="AC101" s="994"/>
      <c r="AD101" s="994" t="s">
        <v>1107</v>
      </c>
      <c r="AE101" s="994"/>
      <c r="AF101" s="994"/>
      <c r="AG101" s="994"/>
      <c r="AH101" s="1341" t="s">
        <v>1109</v>
      </c>
      <c r="AI101" s="994"/>
    </row>
    <row r="102" spans="30:35" ht="17.25" customHeight="1">
      <c r="AD102" s="606"/>
      <c r="AE102" s="606"/>
      <c r="AF102" s="606"/>
      <c r="AG102" s="606"/>
      <c r="AH102" s="1346"/>
      <c r="AI102" s="606"/>
    </row>
    <row r="103" spans="30:35" ht="17.25" customHeight="1">
      <c r="AD103" s="994" t="s">
        <v>1108</v>
      </c>
      <c r="AE103" s="606"/>
      <c r="AF103" s="606"/>
      <c r="AG103" s="606"/>
      <c r="AH103" s="1341" t="s">
        <v>1109</v>
      </c>
      <c r="AI103" s="606"/>
    </row>
  </sheetData>
  <printOptions horizontalCentered="1" verticalCentered="1"/>
  <pageMargins left="0.18" right="0.17" top="0.17" bottom="0.19" header="0.17" footer="0.17"/>
  <pageSetup fitToHeight="1" fitToWidth="1" horizontalDpi="300" verticalDpi="300" orientation="portrait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="85" zoomScaleNormal="85" workbookViewId="0" topLeftCell="A1">
      <pane ySplit="4" topLeftCell="BM119" activePane="bottomLeft" state="frozen"/>
      <selection pane="topLeft" activeCell="A1" sqref="A1"/>
      <selection pane="bottomLeft" activeCell="N133" sqref="N133"/>
    </sheetView>
  </sheetViews>
  <sheetFormatPr defaultColWidth="9.140625" defaultRowHeight="12.75"/>
  <cols>
    <col min="1" max="1" width="10.8515625" style="87" customWidth="1"/>
    <col min="2" max="2" width="21.8515625" style="87" customWidth="1"/>
    <col min="3" max="3" width="28.8515625" style="87" customWidth="1"/>
    <col min="4" max="4" width="10.8515625" style="87" customWidth="1"/>
    <col min="5" max="5" width="45.421875" style="87" customWidth="1"/>
    <col min="6" max="6" width="14.00390625" style="170" customWidth="1"/>
    <col min="7" max="7" width="10.8515625" style="171" customWidth="1"/>
    <col min="8" max="9" width="11.8515625" style="16" customWidth="1"/>
    <col min="10" max="12" width="12.00390625" style="16" customWidth="1"/>
    <col min="13" max="13" width="12.421875" style="16" customWidth="1"/>
    <col min="14" max="14" width="15.8515625" style="182" customWidth="1"/>
    <col min="15" max="15" width="14.140625" style="92" customWidth="1"/>
    <col min="16" max="16" width="14.140625" style="87" customWidth="1"/>
    <col min="17" max="99" width="12.00390625" style="87" customWidth="1"/>
    <col min="100" max="16384" width="13.00390625" style="87" customWidth="1"/>
  </cols>
  <sheetData>
    <row r="1" spans="3:14" ht="24" thickBot="1">
      <c r="C1" s="88" t="s">
        <v>143</v>
      </c>
      <c r="D1" s="89"/>
      <c r="E1" s="90"/>
      <c r="F1" s="91"/>
      <c r="G1" s="91"/>
      <c r="H1" s="90"/>
      <c r="I1" s="90"/>
      <c r="J1" s="90"/>
      <c r="K1" s="90"/>
      <c r="L1" s="90"/>
      <c r="M1" s="90"/>
      <c r="N1" s="172"/>
    </row>
    <row r="2" spans="3:16" ht="51.75" customHeight="1" thickBot="1">
      <c r="C2" s="93" t="s">
        <v>239</v>
      </c>
      <c r="D2" s="93"/>
      <c r="E2" s="93" t="s">
        <v>298</v>
      </c>
      <c r="F2" s="94" t="s">
        <v>144</v>
      </c>
      <c r="G2" s="95"/>
      <c r="H2" s="96" t="s">
        <v>145</v>
      </c>
      <c r="I2" s="97"/>
      <c r="J2" s="97"/>
      <c r="K2" s="97"/>
      <c r="L2" s="98"/>
      <c r="M2" s="99" t="s">
        <v>241</v>
      </c>
      <c r="N2" s="173"/>
      <c r="O2" s="100" t="s">
        <v>146</v>
      </c>
      <c r="P2" s="87" t="s">
        <v>147</v>
      </c>
    </row>
    <row r="3" spans="3:14" ht="27.75" customHeight="1" thickBot="1">
      <c r="C3" s="101"/>
      <c r="D3" s="101"/>
      <c r="E3" s="101"/>
      <c r="F3" s="102"/>
      <c r="G3" s="103"/>
      <c r="H3" s="104" t="s">
        <v>148</v>
      </c>
      <c r="I3" s="104" t="s">
        <v>149</v>
      </c>
      <c r="J3" s="104" t="s">
        <v>150</v>
      </c>
      <c r="K3" s="104" t="s">
        <v>151</v>
      </c>
      <c r="L3" s="104" t="s">
        <v>152</v>
      </c>
      <c r="M3" s="105" t="s">
        <v>242</v>
      </c>
      <c r="N3" s="174" t="s">
        <v>153</v>
      </c>
    </row>
    <row r="4" spans="1:18" ht="15" customHeight="1">
      <c r="A4" s="135" t="s">
        <v>618</v>
      </c>
      <c r="B4" s="135" t="s">
        <v>619</v>
      </c>
      <c r="C4" s="135" t="s">
        <v>620</v>
      </c>
      <c r="D4" s="135" t="s">
        <v>621</v>
      </c>
      <c r="E4" s="134" t="s">
        <v>622</v>
      </c>
      <c r="F4" s="119" t="s">
        <v>623</v>
      </c>
      <c r="G4" s="117" t="s">
        <v>624</v>
      </c>
      <c r="H4" s="136" t="s">
        <v>625</v>
      </c>
      <c r="I4" s="136" t="s">
        <v>626</v>
      </c>
      <c r="J4" s="136" t="s">
        <v>627</v>
      </c>
      <c r="K4" s="136" t="s">
        <v>628</v>
      </c>
      <c r="L4" s="136" t="s">
        <v>629</v>
      </c>
      <c r="M4" s="136" t="s">
        <v>630</v>
      </c>
      <c r="N4" s="178" t="s">
        <v>631</v>
      </c>
      <c r="O4" s="341" t="s">
        <v>632</v>
      </c>
      <c r="P4" s="342" t="s">
        <v>633</v>
      </c>
      <c r="Q4" s="343" t="s">
        <v>634</v>
      </c>
      <c r="R4" s="135" t="s">
        <v>635</v>
      </c>
    </row>
    <row r="5" spans="3:18" ht="15" customHeight="1">
      <c r="C5" s="87" t="s">
        <v>154</v>
      </c>
      <c r="D5" s="87" t="s">
        <v>155</v>
      </c>
      <c r="E5" s="106" t="s">
        <v>282</v>
      </c>
      <c r="F5" s="107">
        <v>424</v>
      </c>
      <c r="G5" s="108"/>
      <c r="H5" s="109"/>
      <c r="I5" s="109"/>
      <c r="J5" s="109"/>
      <c r="K5" s="109"/>
      <c r="L5" s="109"/>
      <c r="M5" s="109">
        <f aca="true" t="shared" si="0" ref="M5:M10">SUM(H5:L5)</f>
        <v>0</v>
      </c>
      <c r="N5" s="175">
        <f aca="true" t="shared" si="1" ref="N5:N10">SUM(F5:L5)</f>
        <v>424</v>
      </c>
      <c r="O5" s="110">
        <v>424</v>
      </c>
      <c r="P5" s="5">
        <f aca="true" t="shared" si="2" ref="P5:P10">+N5-O5</f>
        <v>0</v>
      </c>
      <c r="Q5" s="111">
        <f aca="true" t="shared" si="3" ref="Q5:Q68">+P5/O5</f>
        <v>0</v>
      </c>
      <c r="R5">
        <v>1201</v>
      </c>
    </row>
    <row r="6" spans="4:18" ht="15" customHeight="1">
      <c r="D6" s="87" t="s">
        <v>155</v>
      </c>
      <c r="E6" s="106" t="s">
        <v>254</v>
      </c>
      <c r="F6" s="107">
        <v>1770.9</v>
      </c>
      <c r="G6" s="108"/>
      <c r="H6" s="109"/>
      <c r="I6" s="109"/>
      <c r="J6" s="109"/>
      <c r="K6" s="109"/>
      <c r="L6" s="109"/>
      <c r="M6" s="109">
        <f t="shared" si="0"/>
        <v>0</v>
      </c>
      <c r="N6" s="175">
        <f t="shared" si="1"/>
        <v>1770.9</v>
      </c>
      <c r="O6" s="110">
        <v>1791</v>
      </c>
      <c r="P6" s="5">
        <f t="shared" si="2"/>
        <v>-20.09999999999991</v>
      </c>
      <c r="Q6" s="111">
        <f t="shared" si="3"/>
        <v>-0.011222780569514187</v>
      </c>
      <c r="R6">
        <v>1202</v>
      </c>
    </row>
    <row r="7" spans="4:18" ht="15" customHeight="1">
      <c r="D7" s="87" t="s">
        <v>155</v>
      </c>
      <c r="E7" s="106" t="s">
        <v>283</v>
      </c>
      <c r="F7" s="107">
        <v>1217</v>
      </c>
      <c r="G7" s="108"/>
      <c r="H7" s="109"/>
      <c r="I7" s="109"/>
      <c r="J7" s="109"/>
      <c r="K7" s="109"/>
      <c r="L7" s="109"/>
      <c r="M7" s="109">
        <f t="shared" si="0"/>
        <v>0</v>
      </c>
      <c r="N7" s="175">
        <f t="shared" si="1"/>
        <v>1217</v>
      </c>
      <c r="O7" s="110">
        <v>944</v>
      </c>
      <c r="P7" s="5">
        <f t="shared" si="2"/>
        <v>273</v>
      </c>
      <c r="Q7" s="111">
        <f t="shared" si="3"/>
        <v>0.2891949152542373</v>
      </c>
      <c r="R7">
        <v>1203</v>
      </c>
    </row>
    <row r="8" spans="1:18" ht="15" customHeight="1">
      <c r="A8" s="106" t="s">
        <v>284</v>
      </c>
      <c r="D8" s="87" t="s">
        <v>156</v>
      </c>
      <c r="E8" s="87" t="s">
        <v>460</v>
      </c>
      <c r="F8" s="107">
        <v>535.9</v>
      </c>
      <c r="G8" s="108"/>
      <c r="H8" s="109">
        <v>47</v>
      </c>
      <c r="I8" s="109">
        <v>162</v>
      </c>
      <c r="J8" s="109">
        <v>1</v>
      </c>
      <c r="K8" s="109">
        <v>198</v>
      </c>
      <c r="L8" s="109">
        <v>0</v>
      </c>
      <c r="M8" s="109">
        <f t="shared" si="0"/>
        <v>408</v>
      </c>
      <c r="N8" s="175">
        <f t="shared" si="1"/>
        <v>943.9</v>
      </c>
      <c r="O8" s="110">
        <v>557</v>
      </c>
      <c r="P8" s="5">
        <f t="shared" si="2"/>
        <v>386.9</v>
      </c>
      <c r="Q8" s="111">
        <f t="shared" si="3"/>
        <v>0.6946140035906643</v>
      </c>
      <c r="R8">
        <v>1204</v>
      </c>
    </row>
    <row r="9" spans="4:18" ht="15" customHeight="1">
      <c r="D9" s="87" t="s">
        <v>155</v>
      </c>
      <c r="E9" s="106" t="s">
        <v>285</v>
      </c>
      <c r="F9" s="107">
        <v>15.954</v>
      </c>
      <c r="G9" s="108"/>
      <c r="H9" s="109"/>
      <c r="I9" s="109"/>
      <c r="J9" s="109"/>
      <c r="K9" s="109"/>
      <c r="L9" s="109"/>
      <c r="M9" s="109">
        <f t="shared" si="0"/>
        <v>0</v>
      </c>
      <c r="N9" s="175">
        <f t="shared" si="1"/>
        <v>15.954</v>
      </c>
      <c r="O9" s="110">
        <v>74</v>
      </c>
      <c r="P9" s="5">
        <f t="shared" si="2"/>
        <v>-58.046</v>
      </c>
      <c r="Q9" s="111">
        <f t="shared" si="3"/>
        <v>-0.7844054054054054</v>
      </c>
      <c r="R9">
        <v>1206</v>
      </c>
    </row>
    <row r="10" spans="4:18" ht="15" customHeight="1">
      <c r="D10" s="87" t="s">
        <v>156</v>
      </c>
      <c r="E10" s="106" t="s">
        <v>286</v>
      </c>
      <c r="F10" s="112">
        <v>5788.9</v>
      </c>
      <c r="G10" s="113"/>
      <c r="H10" s="114">
        <v>-252</v>
      </c>
      <c r="I10" s="114">
        <v>0</v>
      </c>
      <c r="J10" s="114">
        <v>0</v>
      </c>
      <c r="K10" s="114">
        <v>0</v>
      </c>
      <c r="L10" s="114">
        <v>0</v>
      </c>
      <c r="M10" s="114">
        <f t="shared" si="0"/>
        <v>-252</v>
      </c>
      <c r="N10" s="176">
        <f t="shared" si="1"/>
        <v>5536.9</v>
      </c>
      <c r="O10" s="110">
        <v>5741</v>
      </c>
      <c r="P10" s="5">
        <f t="shared" si="2"/>
        <v>-204.10000000000036</v>
      </c>
      <c r="Q10" s="111">
        <f t="shared" si="3"/>
        <v>-0.03555129768333049</v>
      </c>
      <c r="R10">
        <v>1250</v>
      </c>
    </row>
    <row r="11" spans="5:18" ht="15" customHeight="1">
      <c r="E11" s="115" t="s">
        <v>261</v>
      </c>
      <c r="F11" s="116">
        <f>SUM(F5:F10)</f>
        <v>9752.654</v>
      </c>
      <c r="G11" s="117"/>
      <c r="H11" s="118">
        <f aca="true" t="shared" si="4" ref="H11:P11">SUM(H5:H10)</f>
        <v>-205</v>
      </c>
      <c r="I11" s="118">
        <f t="shared" si="4"/>
        <v>162</v>
      </c>
      <c r="J11" s="118">
        <f t="shared" si="4"/>
        <v>1</v>
      </c>
      <c r="K11" s="118">
        <f t="shared" si="4"/>
        <v>198</v>
      </c>
      <c r="L11" s="118">
        <f t="shared" si="4"/>
        <v>0</v>
      </c>
      <c r="M11" s="119">
        <f t="shared" si="4"/>
        <v>156</v>
      </c>
      <c r="N11" s="177">
        <f t="shared" si="4"/>
        <v>9908.653999999999</v>
      </c>
      <c r="O11" s="120">
        <f t="shared" si="4"/>
        <v>9531</v>
      </c>
      <c r="P11" s="119">
        <f t="shared" si="4"/>
        <v>377.65399999999966</v>
      </c>
      <c r="Q11" s="111">
        <f t="shared" si="3"/>
        <v>0.039623754065680375</v>
      </c>
      <c r="R11"/>
    </row>
    <row r="12" spans="5:18" ht="15" customHeight="1">
      <c r="E12" s="106"/>
      <c r="F12" s="107"/>
      <c r="G12" s="108"/>
      <c r="H12" s="109"/>
      <c r="I12" s="109"/>
      <c r="J12" s="109"/>
      <c r="K12" s="109"/>
      <c r="L12" s="109"/>
      <c r="M12" s="109"/>
      <c r="N12" s="175"/>
      <c r="O12" s="120"/>
      <c r="P12" s="5">
        <f aca="true" t="shared" si="5" ref="P12:P75">+N12-O12</f>
        <v>0</v>
      </c>
      <c r="Q12" s="111" t="e">
        <f t="shared" si="3"/>
        <v>#DIV/0!</v>
      </c>
      <c r="R12"/>
    </row>
    <row r="13" spans="3:18" ht="15" customHeight="1">
      <c r="C13" s="87" t="s">
        <v>157</v>
      </c>
      <c r="D13" s="87" t="s">
        <v>155</v>
      </c>
      <c r="E13" s="106" t="s">
        <v>287</v>
      </c>
      <c r="F13" s="107">
        <v>970.1</v>
      </c>
      <c r="G13" s="108"/>
      <c r="H13" s="109"/>
      <c r="I13" s="109"/>
      <c r="J13" s="109"/>
      <c r="K13" s="109"/>
      <c r="L13" s="109"/>
      <c r="M13" s="109">
        <f aca="true" t="shared" si="6" ref="M13:M22">SUM(H13:L13)</f>
        <v>0</v>
      </c>
      <c r="N13" s="175">
        <f aca="true" t="shared" si="7" ref="N13:N22">SUM(F13:L13)</f>
        <v>970.1</v>
      </c>
      <c r="O13" s="110">
        <v>837</v>
      </c>
      <c r="P13" s="5">
        <f t="shared" si="5"/>
        <v>133.10000000000002</v>
      </c>
      <c r="Q13" s="111">
        <f t="shared" si="3"/>
        <v>0.1590203106332139</v>
      </c>
      <c r="R13">
        <v>1301</v>
      </c>
    </row>
    <row r="14" spans="1:18" ht="15" customHeight="1">
      <c r="A14" s="106" t="s">
        <v>306</v>
      </c>
      <c r="D14" s="87" t="s">
        <v>155</v>
      </c>
      <c r="E14" s="87" t="s">
        <v>461</v>
      </c>
      <c r="F14" s="107">
        <v>19.338</v>
      </c>
      <c r="G14" s="108"/>
      <c r="H14" s="109">
        <v>44</v>
      </c>
      <c r="I14" s="109">
        <v>213</v>
      </c>
      <c r="J14" s="109">
        <v>0</v>
      </c>
      <c r="K14" s="109">
        <v>0</v>
      </c>
      <c r="L14" s="109">
        <v>0</v>
      </c>
      <c r="M14" s="109">
        <f t="shared" si="6"/>
        <v>257</v>
      </c>
      <c r="N14" s="175">
        <f t="shared" si="7"/>
        <v>276.338</v>
      </c>
      <c r="O14" s="110">
        <v>253</v>
      </c>
      <c r="P14" s="5">
        <f t="shared" si="5"/>
        <v>23.338000000000022</v>
      </c>
      <c r="Q14" s="111">
        <f t="shared" si="3"/>
        <v>0.09224505928853764</v>
      </c>
      <c r="R14">
        <v>1302</v>
      </c>
    </row>
    <row r="15" spans="4:17" ht="15" customHeight="1">
      <c r="D15" s="87" t="s">
        <v>155</v>
      </c>
      <c r="E15" s="106" t="s">
        <v>307</v>
      </c>
      <c r="F15" s="107">
        <v>154.9</v>
      </c>
      <c r="G15" s="108"/>
      <c r="H15" s="109"/>
      <c r="I15" s="109"/>
      <c r="J15" s="109"/>
      <c r="K15" s="109"/>
      <c r="L15" s="109"/>
      <c r="M15" s="109">
        <f t="shared" si="6"/>
        <v>0</v>
      </c>
      <c r="N15" s="175">
        <f t="shared" si="7"/>
        <v>154.9</v>
      </c>
      <c r="P15" s="5">
        <f t="shared" si="5"/>
        <v>154.9</v>
      </c>
      <c r="Q15" s="111" t="e">
        <f t="shared" si="3"/>
        <v>#DIV/0!</v>
      </c>
    </row>
    <row r="16" spans="4:18" ht="15" customHeight="1">
      <c r="D16" s="87" t="s">
        <v>155</v>
      </c>
      <c r="E16" s="106" t="s">
        <v>296</v>
      </c>
      <c r="F16" s="107">
        <v>535.99</v>
      </c>
      <c r="G16" s="108"/>
      <c r="H16" s="109"/>
      <c r="I16" s="109"/>
      <c r="J16" s="109"/>
      <c r="K16" s="109"/>
      <c r="L16" s="109"/>
      <c r="M16" s="109">
        <f t="shared" si="6"/>
        <v>0</v>
      </c>
      <c r="N16" s="175">
        <f t="shared" si="7"/>
        <v>535.99</v>
      </c>
      <c r="O16" s="110">
        <v>400</v>
      </c>
      <c r="P16" s="5">
        <f t="shared" si="5"/>
        <v>135.99</v>
      </c>
      <c r="Q16" s="111">
        <f t="shared" si="3"/>
        <v>0.339975</v>
      </c>
      <c r="R16">
        <v>1350</v>
      </c>
    </row>
    <row r="17" spans="4:18" ht="15" customHeight="1">
      <c r="D17" s="87" t="s">
        <v>155</v>
      </c>
      <c r="E17" s="106" t="s">
        <v>304</v>
      </c>
      <c r="F17" s="107">
        <v>482.959</v>
      </c>
      <c r="G17" s="108"/>
      <c r="H17" s="109"/>
      <c r="I17" s="109"/>
      <c r="J17" s="109"/>
      <c r="K17" s="109"/>
      <c r="L17" s="109"/>
      <c r="M17" s="109">
        <f t="shared" si="6"/>
        <v>0</v>
      </c>
      <c r="N17" s="175">
        <f t="shared" si="7"/>
        <v>482.959</v>
      </c>
      <c r="O17" s="110">
        <v>1318</v>
      </c>
      <c r="P17" s="5">
        <f t="shared" si="5"/>
        <v>-835.0409999999999</v>
      </c>
      <c r="Q17" s="111">
        <f t="shared" si="3"/>
        <v>-0.6335667678300455</v>
      </c>
      <c r="R17">
        <v>1351</v>
      </c>
    </row>
    <row r="18" spans="1:18" ht="15" customHeight="1">
      <c r="A18" s="106"/>
      <c r="D18" s="87" t="s">
        <v>155</v>
      </c>
      <c r="E18" s="87" t="s">
        <v>462</v>
      </c>
      <c r="F18" s="107"/>
      <c r="G18" s="108"/>
      <c r="H18" s="121">
        <v>0</v>
      </c>
      <c r="I18" s="121">
        <v>968</v>
      </c>
      <c r="J18" s="121">
        <v>634</v>
      </c>
      <c r="K18" s="121">
        <v>28</v>
      </c>
      <c r="L18" s="121">
        <v>0</v>
      </c>
      <c r="M18" s="109">
        <f t="shared" si="6"/>
        <v>1630</v>
      </c>
      <c r="N18" s="175">
        <f t="shared" si="7"/>
        <v>1630</v>
      </c>
      <c r="O18" s="110">
        <v>1362</v>
      </c>
      <c r="P18" s="5">
        <f t="shared" si="5"/>
        <v>268</v>
      </c>
      <c r="Q18" s="111">
        <f t="shared" si="3"/>
        <v>0.19676945668135096</v>
      </c>
      <c r="R18">
        <v>1352</v>
      </c>
    </row>
    <row r="19" spans="1:18" ht="15" customHeight="1">
      <c r="A19" s="106"/>
      <c r="D19" s="87" t="s">
        <v>155</v>
      </c>
      <c r="E19" s="87" t="s">
        <v>463</v>
      </c>
      <c r="F19" s="107"/>
      <c r="G19" s="108"/>
      <c r="H19" s="121">
        <v>0</v>
      </c>
      <c r="I19" s="121">
        <v>0</v>
      </c>
      <c r="J19" s="121">
        <v>78</v>
      </c>
      <c r="K19" s="121">
        <v>259</v>
      </c>
      <c r="L19" s="121">
        <v>0</v>
      </c>
      <c r="M19" s="109">
        <f t="shared" si="6"/>
        <v>337</v>
      </c>
      <c r="N19" s="175">
        <f t="shared" si="7"/>
        <v>337</v>
      </c>
      <c r="O19" s="110">
        <v>270</v>
      </c>
      <c r="P19" s="5">
        <f t="shared" si="5"/>
        <v>67</v>
      </c>
      <c r="Q19" s="111">
        <f t="shared" si="3"/>
        <v>0.24814814814814815</v>
      </c>
      <c r="R19">
        <v>1353</v>
      </c>
    </row>
    <row r="20" spans="1:18" ht="15" customHeight="1">
      <c r="A20" s="106"/>
      <c r="D20" s="87" t="s">
        <v>155</v>
      </c>
      <c r="E20" s="87" t="s">
        <v>464</v>
      </c>
      <c r="F20" s="107"/>
      <c r="G20" s="108"/>
      <c r="H20" s="121">
        <v>0</v>
      </c>
      <c r="I20" s="121">
        <v>0</v>
      </c>
      <c r="J20" s="121">
        <v>162</v>
      </c>
      <c r="K20" s="121">
        <v>0</v>
      </c>
      <c r="L20" s="121">
        <v>0</v>
      </c>
      <c r="M20" s="109">
        <f t="shared" si="6"/>
        <v>162</v>
      </c>
      <c r="N20" s="175">
        <f t="shared" si="7"/>
        <v>162</v>
      </c>
      <c r="O20" s="110">
        <v>258</v>
      </c>
      <c r="P20" s="5">
        <f t="shared" si="5"/>
        <v>-96</v>
      </c>
      <c r="Q20" s="111">
        <f t="shared" si="3"/>
        <v>-0.37209302325581395</v>
      </c>
      <c r="R20">
        <v>1354</v>
      </c>
    </row>
    <row r="21" spans="1:18" ht="15" customHeight="1">
      <c r="A21" s="106"/>
      <c r="D21" s="87" t="s">
        <v>155</v>
      </c>
      <c r="E21" s="87" t="s">
        <v>465</v>
      </c>
      <c r="F21" s="107"/>
      <c r="G21" s="108"/>
      <c r="H21" s="121">
        <v>0</v>
      </c>
      <c r="I21" s="121">
        <v>32</v>
      </c>
      <c r="J21" s="121">
        <v>39</v>
      </c>
      <c r="K21" s="121">
        <v>2</v>
      </c>
      <c r="L21" s="121">
        <v>0</v>
      </c>
      <c r="M21" s="109">
        <f t="shared" si="6"/>
        <v>73</v>
      </c>
      <c r="N21" s="175">
        <f t="shared" si="7"/>
        <v>73</v>
      </c>
      <c r="O21" s="110">
        <v>92</v>
      </c>
      <c r="P21" s="5">
        <f t="shared" si="5"/>
        <v>-19</v>
      </c>
      <c r="Q21" s="111">
        <f t="shared" si="3"/>
        <v>-0.20652173913043478</v>
      </c>
      <c r="R21">
        <v>1355</v>
      </c>
    </row>
    <row r="22" spans="1:18" ht="15" customHeight="1">
      <c r="A22" s="106"/>
      <c r="D22" s="87" t="s">
        <v>155</v>
      </c>
      <c r="E22" s="122" t="s">
        <v>466</v>
      </c>
      <c r="F22" s="123">
        <f>1073.999-11</f>
        <v>1062.999</v>
      </c>
      <c r="G22" s="124" t="s">
        <v>352</v>
      </c>
      <c r="H22" s="114">
        <v>228</v>
      </c>
      <c r="I22" s="114">
        <v>775</v>
      </c>
      <c r="J22" s="114">
        <v>0</v>
      </c>
      <c r="K22" s="114">
        <v>0</v>
      </c>
      <c r="L22" s="114">
        <v>0</v>
      </c>
      <c r="M22" s="114">
        <f t="shared" si="6"/>
        <v>1003</v>
      </c>
      <c r="N22" s="176">
        <f t="shared" si="7"/>
        <v>2065.999</v>
      </c>
      <c r="O22" s="110"/>
      <c r="P22" s="5">
        <f t="shared" si="5"/>
        <v>2065.999</v>
      </c>
      <c r="Q22" s="111" t="e">
        <f t="shared" si="3"/>
        <v>#DIV/0!</v>
      </c>
      <c r="R22"/>
    </row>
    <row r="23" spans="1:18" ht="15" customHeight="1">
      <c r="A23" s="106"/>
      <c r="E23" s="115" t="s">
        <v>261</v>
      </c>
      <c r="F23" s="116">
        <f>SUM(F13:F22)</f>
        <v>3226.286</v>
      </c>
      <c r="G23" s="117"/>
      <c r="H23" s="118">
        <f aca="true" t="shared" si="8" ref="H23:O23">SUM(H13:H22)</f>
        <v>272</v>
      </c>
      <c r="I23" s="118">
        <f t="shared" si="8"/>
        <v>1988</v>
      </c>
      <c r="J23" s="118">
        <f t="shared" si="8"/>
        <v>913</v>
      </c>
      <c r="K23" s="118">
        <f t="shared" si="8"/>
        <v>289</v>
      </c>
      <c r="L23" s="118">
        <f t="shared" si="8"/>
        <v>0</v>
      </c>
      <c r="M23" s="119">
        <f t="shared" si="8"/>
        <v>3462</v>
      </c>
      <c r="N23" s="177">
        <f t="shared" si="8"/>
        <v>6688.286</v>
      </c>
      <c r="O23" s="120">
        <f t="shared" si="8"/>
        <v>4790</v>
      </c>
      <c r="P23" s="125">
        <f t="shared" si="5"/>
        <v>1898.286</v>
      </c>
      <c r="Q23" s="111">
        <f t="shared" si="3"/>
        <v>0.39630187891440505</v>
      </c>
      <c r="R23"/>
    </row>
    <row r="24" spans="1:18" ht="15" customHeight="1">
      <c r="A24" s="106"/>
      <c r="F24" s="107"/>
      <c r="G24" s="108"/>
      <c r="H24" s="109"/>
      <c r="I24" s="109"/>
      <c r="J24" s="109"/>
      <c r="K24" s="109"/>
      <c r="L24" s="109"/>
      <c r="M24" s="109"/>
      <c r="N24" s="175"/>
      <c r="O24" s="110"/>
      <c r="P24" s="5">
        <f t="shared" si="5"/>
        <v>0</v>
      </c>
      <c r="Q24" s="111" t="e">
        <f t="shared" si="3"/>
        <v>#DIV/0!</v>
      </c>
      <c r="R24"/>
    </row>
    <row r="25" spans="3:18" ht="15" customHeight="1">
      <c r="C25" s="87" t="s">
        <v>158</v>
      </c>
      <c r="D25" s="87" t="s">
        <v>155</v>
      </c>
      <c r="E25" s="106" t="s">
        <v>273</v>
      </c>
      <c r="F25" s="107">
        <v>304.5</v>
      </c>
      <c r="G25" s="108"/>
      <c r="H25" s="109"/>
      <c r="I25" s="109"/>
      <c r="J25" s="109"/>
      <c r="K25" s="109"/>
      <c r="L25" s="109"/>
      <c r="M25" s="109">
        <f aca="true" t="shared" si="9" ref="M25:M46">SUM(H25:L25)</f>
        <v>0</v>
      </c>
      <c r="N25" s="175">
        <f aca="true" t="shared" si="10" ref="N25:N46">SUM(F25:L25)</f>
        <v>304.5</v>
      </c>
      <c r="O25" s="110">
        <v>303</v>
      </c>
      <c r="P25" s="5">
        <f t="shared" si="5"/>
        <v>1.5</v>
      </c>
      <c r="Q25" s="111">
        <f t="shared" si="3"/>
        <v>0.0049504950495049506</v>
      </c>
      <c r="R25">
        <v>1401</v>
      </c>
    </row>
    <row r="26" spans="4:18" ht="15" customHeight="1">
      <c r="D26" s="87" t="s">
        <v>155</v>
      </c>
      <c r="E26" s="106" t="s">
        <v>274</v>
      </c>
      <c r="F26" s="107">
        <v>239.14</v>
      </c>
      <c r="G26" s="108"/>
      <c r="H26" s="109"/>
      <c r="I26" s="109"/>
      <c r="J26" s="109"/>
      <c r="K26" s="109"/>
      <c r="L26" s="109"/>
      <c r="M26" s="109">
        <f t="shared" si="9"/>
        <v>0</v>
      </c>
      <c r="N26" s="175">
        <f t="shared" si="10"/>
        <v>239.14</v>
      </c>
      <c r="O26" s="110">
        <v>239</v>
      </c>
      <c r="P26" s="5">
        <f t="shared" si="5"/>
        <v>0.13999999999998636</v>
      </c>
      <c r="Q26" s="111">
        <f t="shared" si="3"/>
        <v>0.0005857740585773488</v>
      </c>
      <c r="R26">
        <v>1402</v>
      </c>
    </row>
    <row r="27" spans="4:18" ht="15" customHeight="1">
      <c r="D27" s="87" t="s">
        <v>155</v>
      </c>
      <c r="E27" s="106" t="s">
        <v>467</v>
      </c>
      <c r="F27" s="126">
        <v>3310.9</v>
      </c>
      <c r="G27" s="127"/>
      <c r="H27" s="109"/>
      <c r="I27" s="109"/>
      <c r="J27" s="109"/>
      <c r="K27" s="109"/>
      <c r="L27" s="109"/>
      <c r="M27" s="109">
        <f t="shared" si="9"/>
        <v>0</v>
      </c>
      <c r="N27" s="175">
        <f t="shared" si="10"/>
        <v>3310.9</v>
      </c>
      <c r="O27" s="110">
        <v>3149</v>
      </c>
      <c r="P27" s="5">
        <f t="shared" si="5"/>
        <v>161.9000000000001</v>
      </c>
      <c r="Q27" s="111">
        <f t="shared" si="3"/>
        <v>0.051413147030803456</v>
      </c>
      <c r="R27">
        <v>1403</v>
      </c>
    </row>
    <row r="28" spans="4:18" ht="15" customHeight="1">
      <c r="D28" s="87" t="s">
        <v>155</v>
      </c>
      <c r="E28" s="106" t="s">
        <v>275</v>
      </c>
      <c r="F28" s="107">
        <v>2554.9</v>
      </c>
      <c r="G28" s="108"/>
      <c r="H28" s="109">
        <v>-36</v>
      </c>
      <c r="I28" s="109">
        <v>0</v>
      </c>
      <c r="J28" s="109">
        <v>0</v>
      </c>
      <c r="K28" s="109">
        <v>0</v>
      </c>
      <c r="L28" s="109">
        <v>0</v>
      </c>
      <c r="M28" s="109">
        <f t="shared" si="9"/>
        <v>-36</v>
      </c>
      <c r="N28" s="175">
        <f t="shared" si="10"/>
        <v>2518.9</v>
      </c>
      <c r="O28" s="110">
        <v>2534</v>
      </c>
      <c r="P28" s="5">
        <f t="shared" si="5"/>
        <v>-15.099999999999909</v>
      </c>
      <c r="Q28" s="111">
        <f t="shared" si="3"/>
        <v>-0.005958958168902884</v>
      </c>
      <c r="R28">
        <v>1404</v>
      </c>
    </row>
    <row r="29" spans="4:18" ht="15" customHeight="1">
      <c r="D29" s="87" t="s">
        <v>155</v>
      </c>
      <c r="E29" s="106" t="s">
        <v>305</v>
      </c>
      <c r="F29" s="107">
        <v>168</v>
      </c>
      <c r="G29" s="108"/>
      <c r="H29" s="109"/>
      <c r="I29" s="109"/>
      <c r="J29" s="109"/>
      <c r="K29" s="109"/>
      <c r="L29" s="109"/>
      <c r="M29" s="109">
        <f t="shared" si="9"/>
        <v>0</v>
      </c>
      <c r="N29" s="175">
        <f t="shared" si="10"/>
        <v>168</v>
      </c>
      <c r="O29" s="110">
        <v>168</v>
      </c>
      <c r="P29" s="5">
        <f t="shared" si="5"/>
        <v>0</v>
      </c>
      <c r="Q29" s="111">
        <f t="shared" si="3"/>
        <v>0</v>
      </c>
      <c r="R29">
        <v>1405</v>
      </c>
    </row>
    <row r="30" spans="4:18" ht="15" customHeight="1">
      <c r="D30" s="87" t="s">
        <v>155</v>
      </c>
      <c r="E30" s="106" t="s">
        <v>302</v>
      </c>
      <c r="F30" s="107">
        <v>2263</v>
      </c>
      <c r="G30" s="108"/>
      <c r="H30" s="109"/>
      <c r="I30" s="109"/>
      <c r="J30" s="109"/>
      <c r="K30" s="109"/>
      <c r="L30" s="109"/>
      <c r="M30" s="109">
        <f t="shared" si="9"/>
        <v>0</v>
      </c>
      <c r="N30" s="175">
        <f t="shared" si="10"/>
        <v>2263</v>
      </c>
      <c r="O30" s="110">
        <v>2214</v>
      </c>
      <c r="P30" s="5">
        <f t="shared" si="5"/>
        <v>49</v>
      </c>
      <c r="Q30" s="111">
        <f t="shared" si="3"/>
        <v>0.022131887985546522</v>
      </c>
      <c r="R30">
        <v>1406</v>
      </c>
    </row>
    <row r="31" spans="4:18" ht="15" customHeight="1">
      <c r="D31" s="87" t="s">
        <v>155</v>
      </c>
      <c r="E31" s="106" t="s">
        <v>277</v>
      </c>
      <c r="F31" s="107">
        <v>2569</v>
      </c>
      <c r="G31" s="108"/>
      <c r="H31" s="109"/>
      <c r="I31" s="109"/>
      <c r="J31" s="109"/>
      <c r="K31" s="109"/>
      <c r="L31" s="109"/>
      <c r="M31" s="109">
        <f t="shared" si="9"/>
        <v>0</v>
      </c>
      <c r="N31" s="175">
        <f t="shared" si="10"/>
        <v>2569</v>
      </c>
      <c r="O31" s="110">
        <v>2523</v>
      </c>
      <c r="P31" s="5">
        <f t="shared" si="5"/>
        <v>46</v>
      </c>
      <c r="Q31" s="111">
        <f t="shared" si="3"/>
        <v>0.01823226317875545</v>
      </c>
      <c r="R31">
        <v>1407</v>
      </c>
    </row>
    <row r="32" spans="1:18" ht="15" customHeight="1">
      <c r="A32" s="106" t="s">
        <v>279</v>
      </c>
      <c r="D32" s="87" t="s">
        <v>156</v>
      </c>
      <c r="E32" s="87" t="s">
        <v>468</v>
      </c>
      <c r="F32" s="107">
        <v>2353</v>
      </c>
      <c r="G32" s="108"/>
      <c r="H32" s="109">
        <v>178</v>
      </c>
      <c r="I32" s="109">
        <v>172</v>
      </c>
      <c r="J32" s="109">
        <v>0</v>
      </c>
      <c r="K32" s="109">
        <v>0</v>
      </c>
      <c r="L32" s="109">
        <v>0</v>
      </c>
      <c r="M32" s="109">
        <f t="shared" si="9"/>
        <v>350</v>
      </c>
      <c r="N32" s="175">
        <f t="shared" si="10"/>
        <v>2703</v>
      </c>
      <c r="O32" s="110">
        <v>1836</v>
      </c>
      <c r="P32" s="5">
        <f t="shared" si="5"/>
        <v>867</v>
      </c>
      <c r="Q32" s="111">
        <f t="shared" si="3"/>
        <v>0.4722222222222222</v>
      </c>
      <c r="R32">
        <v>1408</v>
      </c>
    </row>
    <row r="33" spans="4:18" ht="15" customHeight="1">
      <c r="D33" s="87" t="s">
        <v>155</v>
      </c>
      <c r="E33" s="106" t="s">
        <v>280</v>
      </c>
      <c r="F33" s="107">
        <v>832.9</v>
      </c>
      <c r="G33" s="108"/>
      <c r="H33" s="109"/>
      <c r="I33" s="109"/>
      <c r="J33" s="109"/>
      <c r="K33" s="109"/>
      <c r="L33" s="109"/>
      <c r="M33" s="109">
        <f t="shared" si="9"/>
        <v>0</v>
      </c>
      <c r="N33" s="175">
        <f t="shared" si="10"/>
        <v>832.9</v>
      </c>
      <c r="O33" s="110">
        <v>488</v>
      </c>
      <c r="P33" s="5">
        <f t="shared" si="5"/>
        <v>344.9</v>
      </c>
      <c r="Q33" s="111">
        <f t="shared" si="3"/>
        <v>0.7067622950819672</v>
      </c>
      <c r="R33">
        <v>1409</v>
      </c>
    </row>
    <row r="34" spans="4:18" ht="15" customHeight="1">
      <c r="D34" s="87" t="s">
        <v>155</v>
      </c>
      <c r="E34" s="106" t="s">
        <v>276</v>
      </c>
      <c r="F34" s="107">
        <v>1049.908</v>
      </c>
      <c r="G34" s="108"/>
      <c r="H34" s="109"/>
      <c r="I34" s="109"/>
      <c r="J34" s="109"/>
      <c r="K34" s="109"/>
      <c r="L34" s="109"/>
      <c r="M34" s="109">
        <f t="shared" si="9"/>
        <v>0</v>
      </c>
      <c r="N34" s="175">
        <f t="shared" si="10"/>
        <v>1049.908</v>
      </c>
      <c r="O34" s="110">
        <v>799</v>
      </c>
      <c r="P34" s="5">
        <f t="shared" si="5"/>
        <v>250.9079999999999</v>
      </c>
      <c r="Q34" s="111">
        <f t="shared" si="3"/>
        <v>0.3140275344180224</v>
      </c>
      <c r="R34">
        <v>1410</v>
      </c>
    </row>
    <row r="35" spans="1:18" ht="15" customHeight="1">
      <c r="A35" s="106" t="s">
        <v>281</v>
      </c>
      <c r="D35" s="87" t="s">
        <v>155</v>
      </c>
      <c r="E35" s="122" t="s">
        <v>469</v>
      </c>
      <c r="F35" s="107">
        <v>9965</v>
      </c>
      <c r="G35" s="108"/>
      <c r="H35" s="109">
        <v>-80</v>
      </c>
      <c r="I35" s="109">
        <v>0</v>
      </c>
      <c r="J35" s="109">
        <v>0</v>
      </c>
      <c r="K35" s="109">
        <v>0</v>
      </c>
      <c r="L35" s="109">
        <v>0</v>
      </c>
      <c r="M35" s="109">
        <f t="shared" si="9"/>
        <v>-80</v>
      </c>
      <c r="N35" s="175">
        <f t="shared" si="10"/>
        <v>9885</v>
      </c>
      <c r="O35" s="110">
        <v>8329</v>
      </c>
      <c r="P35" s="125">
        <f t="shared" si="5"/>
        <v>1556</v>
      </c>
      <c r="Q35" s="111">
        <f t="shared" si="3"/>
        <v>0.18681714491535598</v>
      </c>
      <c r="R35">
        <v>1411</v>
      </c>
    </row>
    <row r="36" spans="4:18" ht="15" customHeight="1">
      <c r="D36" s="87" t="s">
        <v>155</v>
      </c>
      <c r="E36" s="106" t="s">
        <v>278</v>
      </c>
      <c r="F36" s="107">
        <v>540.732</v>
      </c>
      <c r="G36" s="108"/>
      <c r="H36" s="109"/>
      <c r="I36" s="109"/>
      <c r="J36" s="109"/>
      <c r="K36" s="109"/>
      <c r="L36" s="109"/>
      <c r="M36" s="109">
        <f t="shared" si="9"/>
        <v>0</v>
      </c>
      <c r="N36" s="175">
        <f t="shared" si="10"/>
        <v>540.732</v>
      </c>
      <c r="O36" s="110">
        <v>310</v>
      </c>
      <c r="P36" s="5">
        <f t="shared" si="5"/>
        <v>230.73199999999997</v>
      </c>
      <c r="Q36" s="111">
        <f t="shared" si="3"/>
        <v>0.7442967741935483</v>
      </c>
      <c r="R36">
        <v>1412</v>
      </c>
    </row>
    <row r="37" spans="4:18" ht="15" customHeight="1">
      <c r="D37" s="87" t="s">
        <v>155</v>
      </c>
      <c r="E37" s="106" t="s">
        <v>297</v>
      </c>
      <c r="F37" s="107">
        <v>27.819</v>
      </c>
      <c r="G37" s="108"/>
      <c r="H37" s="109"/>
      <c r="I37" s="109"/>
      <c r="J37" s="109"/>
      <c r="K37" s="109"/>
      <c r="L37" s="109"/>
      <c r="M37" s="109">
        <f t="shared" si="9"/>
        <v>0</v>
      </c>
      <c r="N37" s="175">
        <f t="shared" si="10"/>
        <v>27.819</v>
      </c>
      <c r="O37" s="110">
        <v>23</v>
      </c>
      <c r="P37" s="5">
        <f t="shared" si="5"/>
        <v>4.818999999999999</v>
      </c>
      <c r="Q37" s="111">
        <f t="shared" si="3"/>
        <v>0.20952173913043473</v>
      </c>
      <c r="R37">
        <v>1413</v>
      </c>
    </row>
    <row r="38" spans="4:18" ht="15" customHeight="1">
      <c r="D38" s="87" t="s">
        <v>155</v>
      </c>
      <c r="E38" s="128" t="s">
        <v>300</v>
      </c>
      <c r="F38" s="129">
        <v>638.674</v>
      </c>
      <c r="G38" s="130"/>
      <c r="H38" s="109"/>
      <c r="I38" s="109"/>
      <c r="J38" s="109"/>
      <c r="K38" s="109"/>
      <c r="L38" s="109"/>
      <c r="M38" s="109">
        <f t="shared" si="9"/>
        <v>0</v>
      </c>
      <c r="N38" s="175">
        <f t="shared" si="10"/>
        <v>638.674</v>
      </c>
      <c r="O38" s="110"/>
      <c r="P38" s="5">
        <f t="shared" si="5"/>
        <v>638.674</v>
      </c>
      <c r="Q38" s="111" t="e">
        <f t="shared" si="3"/>
        <v>#DIV/0!</v>
      </c>
      <c r="R38"/>
    </row>
    <row r="39" spans="4:18" ht="15" customHeight="1">
      <c r="D39" s="87" t="s">
        <v>155</v>
      </c>
      <c r="E39" s="106" t="s">
        <v>299</v>
      </c>
      <c r="F39" s="107">
        <v>24.038</v>
      </c>
      <c r="G39" s="108"/>
      <c r="H39" s="109"/>
      <c r="I39" s="109"/>
      <c r="J39" s="109"/>
      <c r="K39" s="109"/>
      <c r="L39" s="109"/>
      <c r="M39" s="109">
        <f t="shared" si="9"/>
        <v>0</v>
      </c>
      <c r="N39" s="175">
        <f t="shared" si="10"/>
        <v>24.038</v>
      </c>
      <c r="O39" s="110"/>
      <c r="P39" s="5">
        <f t="shared" si="5"/>
        <v>24.038</v>
      </c>
      <c r="Q39" s="111" t="e">
        <f t="shared" si="3"/>
        <v>#DIV/0!</v>
      </c>
      <c r="R39"/>
    </row>
    <row r="40" spans="1:18" ht="15" customHeight="1">
      <c r="A40" s="131" t="s">
        <v>159</v>
      </c>
      <c r="D40" s="87" t="s">
        <v>155</v>
      </c>
      <c r="E40" s="122" t="s">
        <v>470</v>
      </c>
      <c r="F40" s="126">
        <f>4418.959-3310.469</f>
        <v>1108.4899999999998</v>
      </c>
      <c r="G40" s="127"/>
      <c r="H40" s="109">
        <v>1066</v>
      </c>
      <c r="I40" s="109">
        <v>422</v>
      </c>
      <c r="J40" s="109">
        <v>0</v>
      </c>
      <c r="K40" s="109">
        <v>0</v>
      </c>
      <c r="L40" s="109">
        <v>0</v>
      </c>
      <c r="M40" s="109">
        <f t="shared" si="9"/>
        <v>1488</v>
      </c>
      <c r="N40" s="175">
        <f t="shared" si="10"/>
        <v>2596.49</v>
      </c>
      <c r="O40" s="110"/>
      <c r="P40" s="125">
        <f t="shared" si="5"/>
        <v>2596.49</v>
      </c>
      <c r="Q40" s="111" t="e">
        <f t="shared" si="3"/>
        <v>#DIV/0!</v>
      </c>
      <c r="R40"/>
    </row>
    <row r="41" spans="1:18" ht="15" customHeight="1">
      <c r="A41" s="131" t="s">
        <v>349</v>
      </c>
      <c r="D41" s="87" t="s">
        <v>155</v>
      </c>
      <c r="E41" s="87" t="s">
        <v>471</v>
      </c>
      <c r="F41" s="126">
        <v>157.99</v>
      </c>
      <c r="G41" s="127"/>
      <c r="H41" s="109">
        <v>118</v>
      </c>
      <c r="I41" s="109">
        <v>0</v>
      </c>
      <c r="J41" s="109">
        <v>0</v>
      </c>
      <c r="K41" s="109">
        <v>0</v>
      </c>
      <c r="L41" s="109">
        <v>0</v>
      </c>
      <c r="M41" s="109">
        <f t="shared" si="9"/>
        <v>118</v>
      </c>
      <c r="N41" s="175">
        <f t="shared" si="10"/>
        <v>275.99</v>
      </c>
      <c r="O41" s="110"/>
      <c r="P41" s="5">
        <f t="shared" si="5"/>
        <v>275.99</v>
      </c>
      <c r="Q41" s="111" t="e">
        <f t="shared" si="3"/>
        <v>#DIV/0!</v>
      </c>
      <c r="R41"/>
    </row>
    <row r="42" spans="4:18" ht="15" customHeight="1">
      <c r="D42" s="87" t="s">
        <v>155</v>
      </c>
      <c r="E42" s="106" t="s">
        <v>301</v>
      </c>
      <c r="F42" s="107">
        <v>48.434</v>
      </c>
      <c r="G42" s="108"/>
      <c r="H42" s="109"/>
      <c r="I42" s="109"/>
      <c r="J42" s="109"/>
      <c r="K42" s="109"/>
      <c r="L42" s="109"/>
      <c r="M42" s="109">
        <f t="shared" si="9"/>
        <v>0</v>
      </c>
      <c r="N42" s="175">
        <f t="shared" si="10"/>
        <v>48.434</v>
      </c>
      <c r="O42" s="110"/>
      <c r="P42" s="5">
        <f t="shared" si="5"/>
        <v>48.434</v>
      </c>
      <c r="Q42" s="111" t="e">
        <f t="shared" si="3"/>
        <v>#DIV/0!</v>
      </c>
      <c r="R42"/>
    </row>
    <row r="43" spans="1:18" ht="15" customHeight="1">
      <c r="A43" s="106"/>
      <c r="D43" s="87" t="s">
        <v>155</v>
      </c>
      <c r="E43" s="87" t="s">
        <v>472</v>
      </c>
      <c r="F43" s="107"/>
      <c r="G43" s="108"/>
      <c r="H43" s="109">
        <v>362</v>
      </c>
      <c r="I43" s="109">
        <v>660</v>
      </c>
      <c r="J43" s="109">
        <v>0</v>
      </c>
      <c r="K43" s="109">
        <v>17</v>
      </c>
      <c r="L43" s="109">
        <v>0</v>
      </c>
      <c r="M43" s="109">
        <f t="shared" si="9"/>
        <v>1039</v>
      </c>
      <c r="N43" s="175">
        <f t="shared" si="10"/>
        <v>1039</v>
      </c>
      <c r="O43" s="110">
        <v>86</v>
      </c>
      <c r="P43" s="5">
        <f t="shared" si="5"/>
        <v>953</v>
      </c>
      <c r="Q43" s="111">
        <f t="shared" si="3"/>
        <v>11.081395348837209</v>
      </c>
      <c r="R43">
        <v>1431</v>
      </c>
    </row>
    <row r="44" spans="1:18" ht="15" customHeight="1">
      <c r="A44" s="131" t="s">
        <v>345</v>
      </c>
      <c r="D44" s="87" t="s">
        <v>156</v>
      </c>
      <c r="E44" s="92" t="s">
        <v>473</v>
      </c>
      <c r="F44" s="132">
        <f>6042.2-60</f>
        <v>5982.2</v>
      </c>
      <c r="G44" s="124" t="s">
        <v>352</v>
      </c>
      <c r="H44" s="109">
        <v>1054</v>
      </c>
      <c r="I44" s="109">
        <v>1813</v>
      </c>
      <c r="J44" s="109">
        <v>0</v>
      </c>
      <c r="K44" s="109">
        <v>0</v>
      </c>
      <c r="L44" s="109">
        <v>0</v>
      </c>
      <c r="M44" s="109">
        <f t="shared" si="9"/>
        <v>2867</v>
      </c>
      <c r="N44" s="175">
        <f t="shared" si="10"/>
        <v>8849.2</v>
      </c>
      <c r="O44" s="110">
        <v>5091</v>
      </c>
      <c r="P44" s="133">
        <f t="shared" si="5"/>
        <v>3758.2000000000007</v>
      </c>
      <c r="Q44" s="111">
        <f t="shared" si="3"/>
        <v>0.7382046749165195</v>
      </c>
      <c r="R44">
        <v>1451</v>
      </c>
    </row>
    <row r="45" spans="1:18" ht="15" customHeight="1">
      <c r="A45" s="131"/>
      <c r="D45" s="87" t="s">
        <v>156</v>
      </c>
      <c r="E45" s="87" t="s">
        <v>474</v>
      </c>
      <c r="F45" s="107"/>
      <c r="G45" s="108"/>
      <c r="H45" s="109">
        <v>90</v>
      </c>
      <c r="I45" s="109">
        <v>411</v>
      </c>
      <c r="J45" s="109">
        <v>0</v>
      </c>
      <c r="K45" s="109">
        <v>0</v>
      </c>
      <c r="L45" s="109">
        <v>0</v>
      </c>
      <c r="M45" s="109">
        <f t="shared" si="9"/>
        <v>501</v>
      </c>
      <c r="N45" s="175">
        <f t="shared" si="10"/>
        <v>501</v>
      </c>
      <c r="O45" s="110"/>
      <c r="P45" s="5">
        <f t="shared" si="5"/>
        <v>501</v>
      </c>
      <c r="Q45" s="111" t="e">
        <f t="shared" si="3"/>
        <v>#DIV/0!</v>
      </c>
      <c r="R45"/>
    </row>
    <row r="46" spans="4:18" ht="15" customHeight="1">
      <c r="D46" s="87" t="s">
        <v>155</v>
      </c>
      <c r="E46" s="106" t="s">
        <v>341</v>
      </c>
      <c r="F46" s="112">
        <v>57.337</v>
      </c>
      <c r="G46" s="113"/>
      <c r="H46" s="114"/>
      <c r="I46" s="114"/>
      <c r="J46" s="114"/>
      <c r="K46" s="114"/>
      <c r="L46" s="114"/>
      <c r="M46" s="114">
        <f t="shared" si="9"/>
        <v>0</v>
      </c>
      <c r="N46" s="176">
        <f t="shared" si="10"/>
        <v>57.337</v>
      </c>
      <c r="O46" s="110"/>
      <c r="P46" s="5">
        <f t="shared" si="5"/>
        <v>57.337</v>
      </c>
      <c r="Q46" s="111" t="e">
        <f t="shared" si="3"/>
        <v>#DIV/0!</v>
      </c>
      <c r="R46"/>
    </row>
    <row r="47" spans="5:18" ht="15" customHeight="1">
      <c r="E47" s="115" t="s">
        <v>261</v>
      </c>
      <c r="F47" s="116">
        <f>SUM(F25:F46)</f>
        <v>34195.962</v>
      </c>
      <c r="G47" s="117"/>
      <c r="H47" s="118">
        <f aca="true" t="shared" si="11" ref="H47:O47">SUM(H25:H46)</f>
        <v>2752</v>
      </c>
      <c r="I47" s="118">
        <f t="shared" si="11"/>
        <v>3478</v>
      </c>
      <c r="J47" s="118">
        <f t="shared" si="11"/>
        <v>0</v>
      </c>
      <c r="K47" s="118">
        <f t="shared" si="11"/>
        <v>17</v>
      </c>
      <c r="L47" s="118">
        <f t="shared" si="11"/>
        <v>0</v>
      </c>
      <c r="M47" s="119">
        <f t="shared" si="11"/>
        <v>6247</v>
      </c>
      <c r="N47" s="177">
        <f t="shared" si="11"/>
        <v>40442.962</v>
      </c>
      <c r="O47" s="120">
        <f t="shared" si="11"/>
        <v>28092</v>
      </c>
      <c r="P47" s="5">
        <f t="shared" si="5"/>
        <v>12350.962</v>
      </c>
      <c r="Q47" s="111">
        <f t="shared" si="3"/>
        <v>0.43966118467891213</v>
      </c>
      <c r="R47"/>
    </row>
    <row r="48" spans="5:18" ht="15" customHeight="1">
      <c r="E48" s="106"/>
      <c r="F48" s="107"/>
      <c r="G48" s="108"/>
      <c r="H48" s="109"/>
      <c r="I48" s="109"/>
      <c r="J48" s="109"/>
      <c r="K48" s="109"/>
      <c r="L48" s="109"/>
      <c r="M48" s="109"/>
      <c r="N48" s="175"/>
      <c r="O48" s="110"/>
      <c r="P48" s="5">
        <f t="shared" si="5"/>
        <v>0</v>
      </c>
      <c r="Q48" s="111" t="e">
        <f t="shared" si="3"/>
        <v>#DIV/0!</v>
      </c>
      <c r="R48"/>
    </row>
    <row r="49" spans="1:18" ht="15" customHeight="1">
      <c r="A49" s="106" t="s">
        <v>271</v>
      </c>
      <c r="C49" s="87" t="s">
        <v>160</v>
      </c>
      <c r="D49" s="87" t="s">
        <v>155</v>
      </c>
      <c r="E49" s="122" t="s">
        <v>475</v>
      </c>
      <c r="F49" s="132">
        <f>335.94-5</f>
        <v>330.94</v>
      </c>
      <c r="G49" s="124" t="s">
        <v>352</v>
      </c>
      <c r="H49" s="109">
        <v>164</v>
      </c>
      <c r="I49" s="109">
        <v>22</v>
      </c>
      <c r="J49" s="109">
        <v>0</v>
      </c>
      <c r="K49" s="109">
        <v>0</v>
      </c>
      <c r="L49" s="109">
        <v>0</v>
      </c>
      <c r="M49" s="109">
        <f>SUM(H49:L49)</f>
        <v>186</v>
      </c>
      <c r="N49" s="175">
        <f>SUM(F49:L49)</f>
        <v>516.94</v>
      </c>
      <c r="O49" s="110">
        <v>221</v>
      </c>
      <c r="P49" s="5">
        <f t="shared" si="5"/>
        <v>295.94000000000005</v>
      </c>
      <c r="Q49" s="111">
        <f t="shared" si="3"/>
        <v>1.3390950226244347</v>
      </c>
      <c r="R49">
        <v>1501</v>
      </c>
    </row>
    <row r="50" spans="1:18" ht="15" customHeight="1">
      <c r="A50" s="106" t="s">
        <v>272</v>
      </c>
      <c r="D50" s="87" t="s">
        <v>155</v>
      </c>
      <c r="E50" s="122" t="s">
        <v>476</v>
      </c>
      <c r="F50" s="112">
        <v>4.061</v>
      </c>
      <c r="G50" s="113"/>
      <c r="H50" s="114">
        <v>0</v>
      </c>
      <c r="I50" s="114">
        <v>403</v>
      </c>
      <c r="J50" s="114">
        <v>673</v>
      </c>
      <c r="K50" s="114">
        <v>0</v>
      </c>
      <c r="L50" s="114">
        <v>0</v>
      </c>
      <c r="M50" s="114">
        <f>SUM(H50:L50)</f>
        <v>1076</v>
      </c>
      <c r="N50" s="176">
        <f>SUM(F50:L50)</f>
        <v>1080.061</v>
      </c>
      <c r="O50" s="110">
        <v>1191</v>
      </c>
      <c r="P50" s="5">
        <f t="shared" si="5"/>
        <v>-110.93900000000008</v>
      </c>
      <c r="Q50" s="111">
        <f t="shared" si="3"/>
        <v>-0.0931477749790093</v>
      </c>
      <c r="R50">
        <v>1550</v>
      </c>
    </row>
    <row r="51" spans="1:18" ht="15" customHeight="1">
      <c r="A51" s="106"/>
      <c r="E51" s="115" t="s">
        <v>261</v>
      </c>
      <c r="F51" s="116">
        <f>SUM(F49:F50)</f>
        <v>335.001</v>
      </c>
      <c r="G51" s="117"/>
      <c r="H51" s="118">
        <f aca="true" t="shared" si="12" ref="H51:O51">SUM(H49:H50)</f>
        <v>164</v>
      </c>
      <c r="I51" s="118">
        <f t="shared" si="12"/>
        <v>425</v>
      </c>
      <c r="J51" s="118">
        <f t="shared" si="12"/>
        <v>673</v>
      </c>
      <c r="K51" s="118">
        <f t="shared" si="12"/>
        <v>0</v>
      </c>
      <c r="L51" s="118">
        <f t="shared" si="12"/>
        <v>0</v>
      </c>
      <c r="M51" s="119">
        <f t="shared" si="12"/>
        <v>1262</v>
      </c>
      <c r="N51" s="177">
        <f t="shared" si="12"/>
        <v>1597.001</v>
      </c>
      <c r="O51" s="120">
        <f t="shared" si="12"/>
        <v>1412</v>
      </c>
      <c r="P51" s="125">
        <f t="shared" si="5"/>
        <v>185.00099999999998</v>
      </c>
      <c r="Q51" s="111">
        <f t="shared" si="3"/>
        <v>0.13102053824362606</v>
      </c>
      <c r="R51"/>
    </row>
    <row r="52" spans="1:18" ht="15" customHeight="1">
      <c r="A52" s="106"/>
      <c r="F52" s="107"/>
      <c r="G52" s="108"/>
      <c r="H52" s="109"/>
      <c r="I52" s="109"/>
      <c r="J52" s="109"/>
      <c r="K52" s="109"/>
      <c r="L52" s="109"/>
      <c r="M52" s="109"/>
      <c r="N52" s="175"/>
      <c r="O52" s="110"/>
      <c r="P52" s="5">
        <f t="shared" si="5"/>
        <v>0</v>
      </c>
      <c r="Q52" s="111" t="e">
        <f t="shared" si="3"/>
        <v>#DIV/0!</v>
      </c>
      <c r="R52"/>
    </row>
    <row r="53" spans="1:18" ht="15" customHeight="1">
      <c r="A53" s="134" t="s">
        <v>342</v>
      </c>
      <c r="C53" s="87" t="s">
        <v>161</v>
      </c>
      <c r="D53" s="87" t="s">
        <v>155</v>
      </c>
      <c r="E53" s="135" t="s">
        <v>477</v>
      </c>
      <c r="F53" s="116">
        <v>2.614</v>
      </c>
      <c r="G53" s="117"/>
      <c r="H53" s="136">
        <v>6</v>
      </c>
      <c r="I53" s="136">
        <v>323</v>
      </c>
      <c r="J53" s="136">
        <v>372</v>
      </c>
      <c r="K53" s="136">
        <v>160</v>
      </c>
      <c r="L53" s="136">
        <v>0</v>
      </c>
      <c r="M53" s="136">
        <f>SUM(H53:L53)</f>
        <v>861</v>
      </c>
      <c r="N53" s="178">
        <f>SUM(F53:L53)</f>
        <v>863.614</v>
      </c>
      <c r="O53" s="110">
        <v>1140</v>
      </c>
      <c r="P53" s="5">
        <f t="shared" si="5"/>
        <v>-276.38599999999997</v>
      </c>
      <c r="Q53" s="111">
        <f t="shared" si="3"/>
        <v>-0.24244385964912277</v>
      </c>
      <c r="R53">
        <v>1601</v>
      </c>
    </row>
    <row r="54" spans="1:18" ht="15" customHeight="1">
      <c r="A54" s="134"/>
      <c r="F54" s="107"/>
      <c r="G54" s="108"/>
      <c r="H54" s="109"/>
      <c r="I54" s="109"/>
      <c r="J54" s="109"/>
      <c r="K54" s="109"/>
      <c r="L54" s="109"/>
      <c r="M54" s="109"/>
      <c r="N54" s="175"/>
      <c r="O54" s="110"/>
      <c r="P54" s="5">
        <f t="shared" si="5"/>
        <v>0</v>
      </c>
      <c r="Q54" s="111" t="e">
        <f t="shared" si="3"/>
        <v>#DIV/0!</v>
      </c>
      <c r="R54"/>
    </row>
    <row r="55" spans="1:18" ht="15" customHeight="1">
      <c r="A55" s="106" t="s">
        <v>350</v>
      </c>
      <c r="C55" s="87" t="s">
        <v>162</v>
      </c>
      <c r="D55" s="87" t="s">
        <v>155</v>
      </c>
      <c r="E55" s="87" t="s">
        <v>478</v>
      </c>
      <c r="F55" s="107">
        <v>431.07300000000004</v>
      </c>
      <c r="G55" s="108"/>
      <c r="H55" s="121">
        <v>0</v>
      </c>
      <c r="I55" s="121">
        <v>0</v>
      </c>
      <c r="J55" s="121">
        <v>207</v>
      </c>
      <c r="K55" s="121">
        <v>0</v>
      </c>
      <c r="L55" s="121">
        <v>0</v>
      </c>
      <c r="M55" s="109">
        <f>SUM(H55:L55)</f>
        <v>207</v>
      </c>
      <c r="N55" s="175">
        <f>SUM(F55:L55)</f>
        <v>638.0730000000001</v>
      </c>
      <c r="O55" s="110">
        <v>504</v>
      </c>
      <c r="P55" s="5">
        <f t="shared" si="5"/>
        <v>134.0730000000001</v>
      </c>
      <c r="Q55" s="111">
        <f t="shared" si="3"/>
        <v>0.2660178571428573</v>
      </c>
      <c r="R55">
        <v>1701</v>
      </c>
    </row>
    <row r="56" spans="1:18" ht="15" customHeight="1">
      <c r="A56" s="106"/>
      <c r="D56" s="87" t="s">
        <v>155</v>
      </c>
      <c r="E56" s="87" t="s">
        <v>479</v>
      </c>
      <c r="F56" s="107"/>
      <c r="G56" s="108"/>
      <c r="H56" s="121">
        <v>0</v>
      </c>
      <c r="I56" s="121">
        <v>163</v>
      </c>
      <c r="J56" s="121">
        <v>0</v>
      </c>
      <c r="K56" s="121">
        <v>0</v>
      </c>
      <c r="L56" s="121">
        <v>0</v>
      </c>
      <c r="M56" s="109">
        <f>SUM(H56:L56)</f>
        <v>163</v>
      </c>
      <c r="N56" s="175">
        <f>SUM(F56:L56)</f>
        <v>163</v>
      </c>
      <c r="O56" s="110">
        <v>541</v>
      </c>
      <c r="P56" s="5">
        <f t="shared" si="5"/>
        <v>-378</v>
      </c>
      <c r="Q56" s="111">
        <f t="shared" si="3"/>
        <v>-0.6987060998151571</v>
      </c>
      <c r="R56">
        <v>1751</v>
      </c>
    </row>
    <row r="57" spans="1:18" ht="15" customHeight="1">
      <c r="A57" s="106"/>
      <c r="D57" s="87" t="s">
        <v>155</v>
      </c>
      <c r="E57" s="87" t="s">
        <v>480</v>
      </c>
      <c r="F57" s="107"/>
      <c r="G57" s="108"/>
      <c r="H57" s="121">
        <v>0</v>
      </c>
      <c r="I57" s="121">
        <v>0</v>
      </c>
      <c r="J57" s="121">
        <v>0</v>
      </c>
      <c r="K57" s="121">
        <v>325</v>
      </c>
      <c r="L57" s="121">
        <v>0</v>
      </c>
      <c r="M57" s="109">
        <f>SUM(H57:L57)</f>
        <v>325</v>
      </c>
      <c r="N57" s="175">
        <f>SUM(F57:L57)</f>
        <v>325</v>
      </c>
      <c r="O57" s="110">
        <v>315</v>
      </c>
      <c r="P57" s="5">
        <f t="shared" si="5"/>
        <v>10</v>
      </c>
      <c r="Q57" s="111">
        <f t="shared" si="3"/>
        <v>0.031746031746031744</v>
      </c>
      <c r="R57">
        <v>1752</v>
      </c>
    </row>
    <row r="58" spans="1:18" ht="15" customHeight="1">
      <c r="A58" s="106"/>
      <c r="D58" s="87" t="s">
        <v>155</v>
      </c>
      <c r="E58" s="87" t="s">
        <v>481</v>
      </c>
      <c r="F58" s="112"/>
      <c r="G58" s="113"/>
      <c r="H58" s="114">
        <v>0</v>
      </c>
      <c r="I58" s="114">
        <v>61</v>
      </c>
      <c r="J58" s="114">
        <v>28</v>
      </c>
      <c r="K58" s="114">
        <v>0</v>
      </c>
      <c r="L58" s="114">
        <v>0</v>
      </c>
      <c r="M58" s="114">
        <f>SUM(H58:L58)</f>
        <v>89</v>
      </c>
      <c r="N58" s="176">
        <f>SUM(F58:L58)</f>
        <v>89</v>
      </c>
      <c r="O58" s="110"/>
      <c r="P58" s="5">
        <f t="shared" si="5"/>
        <v>89</v>
      </c>
      <c r="Q58" s="111" t="e">
        <f t="shared" si="3"/>
        <v>#DIV/0!</v>
      </c>
      <c r="R58"/>
    </row>
    <row r="59" spans="1:18" ht="15" customHeight="1">
      <c r="A59" s="106"/>
      <c r="E59" s="115" t="s">
        <v>261</v>
      </c>
      <c r="F59" s="116">
        <f>SUM(F55:F58)</f>
        <v>431.07300000000004</v>
      </c>
      <c r="G59" s="117"/>
      <c r="H59" s="118">
        <f aca="true" t="shared" si="13" ref="H59:O59">SUM(H55:H58)</f>
        <v>0</v>
      </c>
      <c r="I59" s="118">
        <f t="shared" si="13"/>
        <v>224</v>
      </c>
      <c r="J59" s="118">
        <f t="shared" si="13"/>
        <v>235</v>
      </c>
      <c r="K59" s="118">
        <f t="shared" si="13"/>
        <v>325</v>
      </c>
      <c r="L59" s="118">
        <f t="shared" si="13"/>
        <v>0</v>
      </c>
      <c r="M59" s="119">
        <f t="shared" si="13"/>
        <v>784</v>
      </c>
      <c r="N59" s="177">
        <f t="shared" si="13"/>
        <v>1215.073</v>
      </c>
      <c r="O59" s="120">
        <f t="shared" si="13"/>
        <v>1360</v>
      </c>
      <c r="P59" s="5">
        <f t="shared" si="5"/>
        <v>-144.9269999999999</v>
      </c>
      <c r="Q59" s="111">
        <f t="shared" si="3"/>
        <v>-0.10656397058823523</v>
      </c>
      <c r="R59"/>
    </row>
    <row r="60" spans="1:18" ht="15" customHeight="1">
      <c r="A60" s="106"/>
      <c r="F60" s="107"/>
      <c r="G60" s="108"/>
      <c r="H60" s="109"/>
      <c r="I60" s="109"/>
      <c r="J60" s="109"/>
      <c r="K60" s="109"/>
      <c r="L60" s="109"/>
      <c r="M60" s="109"/>
      <c r="N60" s="175"/>
      <c r="O60" s="110"/>
      <c r="P60" s="5">
        <f t="shared" si="5"/>
        <v>0</v>
      </c>
      <c r="Q60" s="111" t="e">
        <f t="shared" si="3"/>
        <v>#DIV/0!</v>
      </c>
      <c r="R60"/>
    </row>
    <row r="61" spans="3:18" ht="15" customHeight="1">
      <c r="C61" s="87" t="s">
        <v>163</v>
      </c>
      <c r="D61" s="87" t="s">
        <v>156</v>
      </c>
      <c r="E61" s="106" t="s">
        <v>346</v>
      </c>
      <c r="F61" s="107">
        <v>64.38</v>
      </c>
      <c r="G61" s="108"/>
      <c r="H61" s="109"/>
      <c r="I61" s="109"/>
      <c r="J61" s="109"/>
      <c r="K61" s="109"/>
      <c r="L61" s="109"/>
      <c r="M61" s="109">
        <f aca="true" t="shared" si="14" ref="M61:M68">SUM(H61:L61)</f>
        <v>0</v>
      </c>
      <c r="N61" s="175">
        <f aca="true" t="shared" si="15" ref="N61:N68">SUM(F61:L61)</f>
        <v>64.38</v>
      </c>
      <c r="O61" s="110">
        <v>61</v>
      </c>
      <c r="P61" s="5">
        <f t="shared" si="5"/>
        <v>3.3799999999999955</v>
      </c>
      <c r="Q61" s="111">
        <f t="shared" si="3"/>
        <v>0.055409836065573696</v>
      </c>
      <c r="R61">
        <v>1801</v>
      </c>
    </row>
    <row r="62" spans="1:18" ht="15" customHeight="1">
      <c r="A62" s="106" t="s">
        <v>347</v>
      </c>
      <c r="D62" s="87" t="s">
        <v>156</v>
      </c>
      <c r="E62" s="92" t="s">
        <v>482</v>
      </c>
      <c r="F62" s="132">
        <f>997.703-11</f>
        <v>986.703</v>
      </c>
      <c r="G62" s="124" t="s">
        <v>352</v>
      </c>
      <c r="H62" s="109">
        <v>253</v>
      </c>
      <c r="I62" s="109">
        <v>790</v>
      </c>
      <c r="J62" s="109">
        <v>858</v>
      </c>
      <c r="K62" s="109">
        <v>88</v>
      </c>
      <c r="L62" s="109">
        <v>0</v>
      </c>
      <c r="M62" s="109">
        <f t="shared" si="14"/>
        <v>1989</v>
      </c>
      <c r="N62" s="175">
        <f t="shared" si="15"/>
        <v>2975.703</v>
      </c>
      <c r="O62" s="110">
        <v>1444</v>
      </c>
      <c r="P62" s="133">
        <f t="shared" si="5"/>
        <v>1531.703</v>
      </c>
      <c r="Q62" s="111">
        <f t="shared" si="3"/>
        <v>1.0607361495844876</v>
      </c>
      <c r="R62">
        <v>1802</v>
      </c>
    </row>
    <row r="63" spans="1:18" ht="15" customHeight="1">
      <c r="A63" s="106" t="s">
        <v>308</v>
      </c>
      <c r="D63" s="87" t="s">
        <v>156</v>
      </c>
      <c r="E63" s="87" t="s">
        <v>483</v>
      </c>
      <c r="F63" s="107">
        <v>1142.2</v>
      </c>
      <c r="G63" s="108"/>
      <c r="H63" s="109">
        <v>131</v>
      </c>
      <c r="I63" s="109">
        <v>316</v>
      </c>
      <c r="J63" s="109">
        <v>75</v>
      </c>
      <c r="K63" s="109">
        <v>0</v>
      </c>
      <c r="L63" s="109">
        <v>0</v>
      </c>
      <c r="M63" s="109">
        <f t="shared" si="14"/>
        <v>522</v>
      </c>
      <c r="N63" s="175">
        <f t="shared" si="15"/>
        <v>1664.2</v>
      </c>
      <c r="O63" s="110">
        <v>1220</v>
      </c>
      <c r="P63" s="5">
        <f t="shared" si="5"/>
        <v>444.20000000000005</v>
      </c>
      <c r="Q63" s="111">
        <f t="shared" si="3"/>
        <v>0.36409836065573775</v>
      </c>
      <c r="R63">
        <v>1803</v>
      </c>
    </row>
    <row r="64" spans="4:18" ht="15" customHeight="1">
      <c r="D64" s="87" t="s">
        <v>156</v>
      </c>
      <c r="E64" s="106" t="s">
        <v>255</v>
      </c>
      <c r="F64" s="107">
        <v>558.9370000000001</v>
      </c>
      <c r="G64" s="108"/>
      <c r="H64" s="109"/>
      <c r="I64" s="109"/>
      <c r="J64" s="109"/>
      <c r="K64" s="109"/>
      <c r="L64" s="109"/>
      <c r="M64" s="109">
        <f t="shared" si="14"/>
        <v>0</v>
      </c>
      <c r="N64" s="175">
        <f t="shared" si="15"/>
        <v>558.9370000000001</v>
      </c>
      <c r="O64" s="110">
        <v>502</v>
      </c>
      <c r="P64" s="5">
        <f t="shared" si="5"/>
        <v>56.937000000000126</v>
      </c>
      <c r="Q64" s="111">
        <f t="shared" si="3"/>
        <v>0.11342031872509985</v>
      </c>
      <c r="R64">
        <v>1804</v>
      </c>
    </row>
    <row r="65" spans="4:18" ht="15" customHeight="1">
      <c r="D65" s="87" t="s">
        <v>156</v>
      </c>
      <c r="E65" s="106" t="s">
        <v>343</v>
      </c>
      <c r="F65" s="107">
        <v>6.876</v>
      </c>
      <c r="G65" s="108"/>
      <c r="H65" s="109"/>
      <c r="I65" s="109"/>
      <c r="J65" s="109"/>
      <c r="K65" s="109"/>
      <c r="L65" s="109"/>
      <c r="M65" s="109">
        <f t="shared" si="14"/>
        <v>0</v>
      </c>
      <c r="N65" s="175">
        <f t="shared" si="15"/>
        <v>6.876</v>
      </c>
      <c r="O65" s="110"/>
      <c r="P65" s="5">
        <f t="shared" si="5"/>
        <v>6.876</v>
      </c>
      <c r="Q65" s="111" t="e">
        <f t="shared" si="3"/>
        <v>#DIV/0!</v>
      </c>
      <c r="R65"/>
    </row>
    <row r="66" spans="1:18" ht="15" customHeight="1">
      <c r="A66" s="106" t="s">
        <v>344</v>
      </c>
      <c r="D66" s="87" t="s">
        <v>156</v>
      </c>
      <c r="E66" s="13" t="s">
        <v>484</v>
      </c>
      <c r="F66" s="107">
        <v>26.517</v>
      </c>
      <c r="G66" s="108"/>
      <c r="H66" s="109">
        <v>92</v>
      </c>
      <c r="I66" s="109">
        <v>382</v>
      </c>
      <c r="J66" s="109">
        <v>40</v>
      </c>
      <c r="K66" s="109">
        <v>0</v>
      </c>
      <c r="L66" s="109">
        <v>0</v>
      </c>
      <c r="M66" s="109">
        <f t="shared" si="14"/>
        <v>514</v>
      </c>
      <c r="N66" s="175">
        <f t="shared" si="15"/>
        <v>540.517</v>
      </c>
      <c r="O66" s="110"/>
      <c r="P66" s="7">
        <f t="shared" si="5"/>
        <v>540.517</v>
      </c>
      <c r="Q66" s="111" t="e">
        <f t="shared" si="3"/>
        <v>#DIV/0!</v>
      </c>
      <c r="R66"/>
    </row>
    <row r="67" spans="1:18" ht="15" customHeight="1">
      <c r="A67" s="131" t="s">
        <v>348</v>
      </c>
      <c r="D67" s="87" t="s">
        <v>156</v>
      </c>
      <c r="E67" s="87" t="s">
        <v>485</v>
      </c>
      <c r="F67" s="132">
        <f>704.632-11</f>
        <v>693.632</v>
      </c>
      <c r="G67" s="124" t="s">
        <v>352</v>
      </c>
      <c r="H67" s="109">
        <v>1266</v>
      </c>
      <c r="I67" s="109">
        <v>2353</v>
      </c>
      <c r="J67" s="109">
        <v>1961</v>
      </c>
      <c r="K67" s="109">
        <v>165</v>
      </c>
      <c r="L67" s="109">
        <v>0</v>
      </c>
      <c r="M67" s="109">
        <f t="shared" si="14"/>
        <v>5745</v>
      </c>
      <c r="N67" s="175">
        <f t="shared" si="15"/>
        <v>6438.632</v>
      </c>
      <c r="O67" s="110">
        <v>2203</v>
      </c>
      <c r="P67" s="133">
        <f t="shared" si="5"/>
        <v>4235.632</v>
      </c>
      <c r="Q67" s="111">
        <f t="shared" si="3"/>
        <v>1.922665456196096</v>
      </c>
      <c r="R67">
        <v>1810</v>
      </c>
    </row>
    <row r="68" spans="1:18" ht="15" customHeight="1">
      <c r="A68" s="131"/>
      <c r="D68" s="87" t="s">
        <v>156</v>
      </c>
      <c r="E68" s="92" t="s">
        <v>486</v>
      </c>
      <c r="F68" s="112"/>
      <c r="G68" s="113"/>
      <c r="H68" s="114">
        <v>0</v>
      </c>
      <c r="I68" s="114">
        <v>223</v>
      </c>
      <c r="J68" s="114">
        <v>1017</v>
      </c>
      <c r="K68" s="114">
        <v>94</v>
      </c>
      <c r="L68" s="114">
        <v>0</v>
      </c>
      <c r="M68" s="114">
        <f t="shared" si="14"/>
        <v>1334</v>
      </c>
      <c r="N68" s="176">
        <f t="shared" si="15"/>
        <v>1334</v>
      </c>
      <c r="O68" s="110"/>
      <c r="P68" s="133">
        <f t="shared" si="5"/>
        <v>1334</v>
      </c>
      <c r="Q68" s="111" t="e">
        <f t="shared" si="3"/>
        <v>#DIV/0!</v>
      </c>
      <c r="R68"/>
    </row>
    <row r="69" spans="1:18" ht="15" customHeight="1">
      <c r="A69" s="131"/>
      <c r="E69" s="115" t="s">
        <v>261</v>
      </c>
      <c r="F69" s="116">
        <f>SUM(F61:F68)</f>
        <v>3479.2450000000003</v>
      </c>
      <c r="G69" s="117"/>
      <c r="H69" s="118">
        <f aca="true" t="shared" si="16" ref="H69:O69">SUM(H61:H68)</f>
        <v>1742</v>
      </c>
      <c r="I69" s="118">
        <f t="shared" si="16"/>
        <v>4064</v>
      </c>
      <c r="J69" s="118">
        <f t="shared" si="16"/>
        <v>3951</v>
      </c>
      <c r="K69" s="118">
        <f t="shared" si="16"/>
        <v>347</v>
      </c>
      <c r="L69" s="118">
        <f t="shared" si="16"/>
        <v>0</v>
      </c>
      <c r="M69" s="119">
        <f t="shared" si="16"/>
        <v>10104</v>
      </c>
      <c r="N69" s="177">
        <f t="shared" si="16"/>
        <v>13583.244999999999</v>
      </c>
      <c r="O69" s="120">
        <f t="shared" si="16"/>
        <v>5430</v>
      </c>
      <c r="P69" s="5">
        <f t="shared" si="5"/>
        <v>8153.244999999999</v>
      </c>
      <c r="Q69" s="111">
        <f aca="true" t="shared" si="17" ref="Q69:Q130">+P69/O69</f>
        <v>1.5015184162062614</v>
      </c>
      <c r="R69"/>
    </row>
    <row r="70" spans="1:18" ht="15" customHeight="1">
      <c r="A70" s="131"/>
      <c r="F70" s="107"/>
      <c r="G70" s="108"/>
      <c r="H70" s="109"/>
      <c r="I70" s="109"/>
      <c r="J70" s="109"/>
      <c r="K70" s="109"/>
      <c r="L70" s="109"/>
      <c r="M70" s="109"/>
      <c r="N70" s="175"/>
      <c r="O70" s="110"/>
      <c r="P70" s="5">
        <f t="shared" si="5"/>
        <v>0</v>
      </c>
      <c r="Q70" s="111" t="e">
        <f t="shared" si="17"/>
        <v>#DIV/0!</v>
      </c>
      <c r="R70"/>
    </row>
    <row r="71" spans="1:18" ht="15" customHeight="1" thickBot="1">
      <c r="A71" s="134" t="s">
        <v>340</v>
      </c>
      <c r="C71" s="87" t="s">
        <v>164</v>
      </c>
      <c r="D71" s="87" t="s">
        <v>155</v>
      </c>
      <c r="E71" s="135" t="s">
        <v>487</v>
      </c>
      <c r="F71" s="137">
        <v>2128.2</v>
      </c>
      <c r="G71" s="138"/>
      <c r="H71" s="139">
        <v>162</v>
      </c>
      <c r="I71" s="139">
        <v>408</v>
      </c>
      <c r="J71" s="139">
        <v>432</v>
      </c>
      <c r="K71" s="139">
        <v>448</v>
      </c>
      <c r="L71" s="139">
        <v>170</v>
      </c>
      <c r="M71" s="139">
        <f>SUM(H71:L71)</f>
        <v>1620</v>
      </c>
      <c r="N71" s="179">
        <f>SUM(F71:L71)</f>
        <v>3748.2</v>
      </c>
      <c r="O71" s="110">
        <v>2752</v>
      </c>
      <c r="P71" s="5">
        <f t="shared" si="5"/>
        <v>996.1999999999998</v>
      </c>
      <c r="Q71" s="111">
        <f t="shared" si="17"/>
        <v>0.36199127906976736</v>
      </c>
      <c r="R71">
        <v>1901</v>
      </c>
    </row>
    <row r="72" spans="1:18" ht="15" customHeight="1">
      <c r="A72" s="134"/>
      <c r="E72" s="140" t="s">
        <v>488</v>
      </c>
      <c r="F72" s="141">
        <f>SUM(F71,F69,F59,F53,F51,F47,F23,F11)</f>
        <v>53551.035</v>
      </c>
      <c r="G72" s="142"/>
      <c r="H72" s="143">
        <f aca="true" t="shared" si="18" ref="H72:O72">SUM(H71,H69,H59,H53,H51,H47,H23,H11)</f>
        <v>4893</v>
      </c>
      <c r="I72" s="143">
        <f t="shared" si="18"/>
        <v>11072</v>
      </c>
      <c r="J72" s="143">
        <f t="shared" si="18"/>
        <v>6577</v>
      </c>
      <c r="K72" s="143">
        <f t="shared" si="18"/>
        <v>1784</v>
      </c>
      <c r="L72" s="143">
        <f t="shared" si="18"/>
        <v>170</v>
      </c>
      <c r="M72" s="144">
        <f t="shared" si="18"/>
        <v>24496</v>
      </c>
      <c r="N72" s="177">
        <f t="shared" si="18"/>
        <v>78047.03499999999</v>
      </c>
      <c r="O72" s="145">
        <f t="shared" si="18"/>
        <v>54507</v>
      </c>
      <c r="P72" s="5">
        <f t="shared" si="5"/>
        <v>23540.03499999999</v>
      </c>
      <c r="Q72" s="111">
        <f t="shared" si="17"/>
        <v>0.43187177793677856</v>
      </c>
      <c r="R72"/>
    </row>
    <row r="73" spans="1:18" ht="15" customHeight="1">
      <c r="A73" s="134"/>
      <c r="F73" s="107"/>
      <c r="G73" s="108"/>
      <c r="H73" s="109"/>
      <c r="I73" s="109"/>
      <c r="J73" s="109"/>
      <c r="K73" s="109"/>
      <c r="L73" s="109"/>
      <c r="M73" s="109"/>
      <c r="N73" s="175"/>
      <c r="O73" s="110"/>
      <c r="P73" s="5">
        <f t="shared" si="5"/>
        <v>0</v>
      </c>
      <c r="Q73" s="111" t="e">
        <f t="shared" si="17"/>
        <v>#DIV/0!</v>
      </c>
      <c r="R73"/>
    </row>
    <row r="74" spans="1:18" ht="15" customHeight="1">
      <c r="A74" s="134"/>
      <c r="F74" s="107"/>
      <c r="G74" s="108"/>
      <c r="H74" s="109"/>
      <c r="I74" s="109"/>
      <c r="J74" s="109"/>
      <c r="K74" s="109"/>
      <c r="L74" s="109"/>
      <c r="M74" s="109"/>
      <c r="N74" s="175"/>
      <c r="O74" s="110"/>
      <c r="P74" s="5">
        <f t="shared" si="5"/>
        <v>0</v>
      </c>
      <c r="Q74" s="111" t="e">
        <f t="shared" si="17"/>
        <v>#DIV/0!</v>
      </c>
      <c r="R74"/>
    </row>
    <row r="75" spans="1:18" ht="15" customHeight="1">
      <c r="A75" s="106" t="s">
        <v>263</v>
      </c>
      <c r="C75" s="87" t="s">
        <v>243</v>
      </c>
      <c r="D75" s="87" t="s">
        <v>156</v>
      </c>
      <c r="E75" s="87" t="s">
        <v>489</v>
      </c>
      <c r="F75" s="107">
        <v>62.89300000000001</v>
      </c>
      <c r="G75" s="108"/>
      <c r="H75" s="109">
        <v>0</v>
      </c>
      <c r="I75" s="109">
        <v>0</v>
      </c>
      <c r="J75" s="109">
        <v>13</v>
      </c>
      <c r="K75" s="109">
        <v>56</v>
      </c>
      <c r="L75" s="109">
        <v>0</v>
      </c>
      <c r="M75" s="109">
        <f>SUM(H75:L75)</f>
        <v>69</v>
      </c>
      <c r="N75" s="175">
        <f>SUM(F75:L75)</f>
        <v>131.893</v>
      </c>
      <c r="O75" s="110">
        <v>151</v>
      </c>
      <c r="P75" s="5">
        <f t="shared" si="5"/>
        <v>-19.107</v>
      </c>
      <c r="Q75" s="111">
        <f t="shared" si="17"/>
        <v>-0.1265364238410596</v>
      </c>
      <c r="R75">
        <v>2101</v>
      </c>
    </row>
    <row r="76" spans="1:18" ht="15" customHeight="1">
      <c r="A76" s="106"/>
      <c r="C76" s="87" t="s">
        <v>244</v>
      </c>
      <c r="D76" s="87" t="s">
        <v>156</v>
      </c>
      <c r="E76" s="87" t="s">
        <v>490</v>
      </c>
      <c r="F76" s="107"/>
      <c r="G76" s="108"/>
      <c r="H76" s="109">
        <v>0</v>
      </c>
      <c r="I76" s="109">
        <v>0</v>
      </c>
      <c r="J76" s="109">
        <v>70</v>
      </c>
      <c r="K76" s="109">
        <v>102</v>
      </c>
      <c r="L76" s="109">
        <v>0</v>
      </c>
      <c r="M76" s="109">
        <f>SUM(H76:L76)</f>
        <v>172</v>
      </c>
      <c r="N76" s="175">
        <f>SUM(F76:L76)</f>
        <v>172</v>
      </c>
      <c r="O76" s="110">
        <v>349</v>
      </c>
      <c r="P76" s="5">
        <f aca="true" t="shared" si="19" ref="P76:P130">+N76-O76</f>
        <v>-177</v>
      </c>
      <c r="Q76" s="111">
        <f t="shared" si="17"/>
        <v>-0.5071633237822349</v>
      </c>
      <c r="R76">
        <v>2201</v>
      </c>
    </row>
    <row r="77" spans="3:18" ht="15" customHeight="1" thickBot="1">
      <c r="C77" s="87" t="s">
        <v>165</v>
      </c>
      <c r="D77" s="87" t="s">
        <v>156</v>
      </c>
      <c r="E77" s="106" t="s">
        <v>264</v>
      </c>
      <c r="F77" s="146">
        <v>284.946</v>
      </c>
      <c r="G77" s="147"/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f>SUM(H77:L77)</f>
        <v>0</v>
      </c>
      <c r="N77" s="180">
        <f>SUM(F77:L77)</f>
        <v>284.946</v>
      </c>
      <c r="O77" s="110">
        <v>284</v>
      </c>
      <c r="P77" s="5">
        <f t="shared" si="19"/>
        <v>0.9460000000000264</v>
      </c>
      <c r="Q77" s="111">
        <f t="shared" si="17"/>
        <v>0.0033309859154930506</v>
      </c>
      <c r="R77">
        <v>2501</v>
      </c>
    </row>
    <row r="78" spans="5:18" ht="15" customHeight="1">
      <c r="E78" s="140" t="s">
        <v>491</v>
      </c>
      <c r="F78" s="141">
        <f>SUM(F75:F77)</f>
        <v>347.83900000000006</v>
      </c>
      <c r="G78" s="142"/>
      <c r="H78" s="143">
        <f aca="true" t="shared" si="20" ref="H78:O78">SUM(H75:H77)</f>
        <v>0</v>
      </c>
      <c r="I78" s="143">
        <f t="shared" si="20"/>
        <v>0</v>
      </c>
      <c r="J78" s="143">
        <f t="shared" si="20"/>
        <v>83</v>
      </c>
      <c r="K78" s="143">
        <f t="shared" si="20"/>
        <v>158</v>
      </c>
      <c r="L78" s="143">
        <f t="shared" si="20"/>
        <v>0</v>
      </c>
      <c r="M78" s="144">
        <f t="shared" si="20"/>
        <v>241</v>
      </c>
      <c r="N78" s="177">
        <f t="shared" si="20"/>
        <v>588.839</v>
      </c>
      <c r="O78" s="145">
        <f t="shared" si="20"/>
        <v>784</v>
      </c>
      <c r="P78" s="5">
        <f t="shared" si="19"/>
        <v>-195.16099999999994</v>
      </c>
      <c r="Q78" s="111">
        <f t="shared" si="17"/>
        <v>-0.24892984693877543</v>
      </c>
      <c r="R78"/>
    </row>
    <row r="79" spans="5:18" ht="15" customHeight="1">
      <c r="E79" s="106"/>
      <c r="F79" s="107"/>
      <c r="G79" s="108"/>
      <c r="H79" s="109"/>
      <c r="I79" s="109"/>
      <c r="J79" s="109"/>
      <c r="K79" s="109"/>
      <c r="L79" s="109"/>
      <c r="M79" s="109"/>
      <c r="N79" s="175"/>
      <c r="O79" s="110"/>
      <c r="P79" s="5">
        <f t="shared" si="19"/>
        <v>0</v>
      </c>
      <c r="Q79" s="111" t="e">
        <f t="shared" si="17"/>
        <v>#DIV/0!</v>
      </c>
      <c r="R79"/>
    </row>
    <row r="80" spans="1:18" ht="15" customHeight="1">
      <c r="A80" s="134" t="s">
        <v>256</v>
      </c>
      <c r="C80" s="87" t="s">
        <v>166</v>
      </c>
      <c r="D80" s="87" t="s">
        <v>156</v>
      </c>
      <c r="E80" s="87" t="s">
        <v>492</v>
      </c>
      <c r="F80" s="132">
        <f>614.4-3</f>
        <v>611.4</v>
      </c>
      <c r="G80" s="124" t="s">
        <v>352</v>
      </c>
      <c r="H80" s="121">
        <v>184</v>
      </c>
      <c r="I80" s="121">
        <v>107</v>
      </c>
      <c r="J80" s="121">
        <v>0</v>
      </c>
      <c r="K80" s="121">
        <v>0</v>
      </c>
      <c r="L80" s="121">
        <v>0</v>
      </c>
      <c r="M80" s="109">
        <f>SUM(H80:L80)</f>
        <v>291</v>
      </c>
      <c r="N80" s="175">
        <f>SUM(F80:L80)</f>
        <v>902.4</v>
      </c>
      <c r="O80" s="110">
        <v>426</v>
      </c>
      <c r="P80" s="5">
        <f t="shared" si="19"/>
        <v>476.4</v>
      </c>
      <c r="Q80" s="111">
        <f t="shared" si="17"/>
        <v>1.1183098591549294</v>
      </c>
      <c r="R80">
        <v>3101</v>
      </c>
    </row>
    <row r="81" spans="1:18" ht="15" customHeight="1">
      <c r="A81" s="134"/>
      <c r="C81" s="87" t="s">
        <v>245</v>
      </c>
      <c r="D81" s="87" t="s">
        <v>156</v>
      </c>
      <c r="E81" s="87" t="s">
        <v>493</v>
      </c>
      <c r="F81" s="107"/>
      <c r="G81" s="108"/>
      <c r="H81" s="121">
        <v>0</v>
      </c>
      <c r="I81" s="121">
        <v>0</v>
      </c>
      <c r="J81" s="121">
        <v>0</v>
      </c>
      <c r="K81" s="121">
        <v>31</v>
      </c>
      <c r="L81" s="121">
        <v>0</v>
      </c>
      <c r="M81" s="109">
        <f>SUM(H81:L81)</f>
        <v>31</v>
      </c>
      <c r="N81" s="175">
        <f>SUM(F81:L81)</f>
        <v>31</v>
      </c>
      <c r="O81" s="110">
        <v>46</v>
      </c>
      <c r="P81" s="5">
        <f t="shared" si="19"/>
        <v>-15</v>
      </c>
      <c r="Q81" s="111">
        <f t="shared" si="17"/>
        <v>-0.32608695652173914</v>
      </c>
      <c r="R81">
        <v>3601</v>
      </c>
    </row>
    <row r="82" spans="1:18" ht="15" customHeight="1">
      <c r="A82" s="134"/>
      <c r="C82" s="87" t="s">
        <v>246</v>
      </c>
      <c r="D82" s="87" t="s">
        <v>156</v>
      </c>
      <c r="E82" s="87" t="s">
        <v>494</v>
      </c>
      <c r="F82" s="107"/>
      <c r="G82" s="108"/>
      <c r="H82" s="121">
        <v>0</v>
      </c>
      <c r="I82" s="121">
        <v>0</v>
      </c>
      <c r="J82" s="121">
        <v>101</v>
      </c>
      <c r="K82" s="121">
        <v>162</v>
      </c>
      <c r="L82" s="121">
        <v>0</v>
      </c>
      <c r="M82" s="109">
        <f>SUM(H82:L82)</f>
        <v>263</v>
      </c>
      <c r="N82" s="175">
        <f>SUM(F82:L82)</f>
        <v>263</v>
      </c>
      <c r="O82" s="110">
        <v>310</v>
      </c>
      <c r="P82" s="5">
        <f t="shared" si="19"/>
        <v>-47</v>
      </c>
      <c r="Q82" s="111">
        <f t="shared" si="17"/>
        <v>-0.15161290322580645</v>
      </c>
      <c r="R82">
        <v>3801</v>
      </c>
    </row>
    <row r="83" spans="1:18" ht="15" customHeight="1" thickBot="1">
      <c r="A83" s="134" t="s">
        <v>265</v>
      </c>
      <c r="C83" s="87" t="s">
        <v>167</v>
      </c>
      <c r="D83" s="87" t="s">
        <v>156</v>
      </c>
      <c r="E83" s="87" t="s">
        <v>495</v>
      </c>
      <c r="F83" s="146">
        <v>342.50600000000003</v>
      </c>
      <c r="G83" s="147"/>
      <c r="H83" s="114">
        <v>11</v>
      </c>
      <c r="I83" s="114">
        <v>29</v>
      </c>
      <c r="J83" s="114">
        <v>30</v>
      </c>
      <c r="K83" s="114">
        <v>62</v>
      </c>
      <c r="L83" s="114">
        <v>0</v>
      </c>
      <c r="M83" s="148">
        <f>SUM(H83:L83)</f>
        <v>132</v>
      </c>
      <c r="N83" s="180">
        <f>SUM(F83:L83)</f>
        <v>474.50600000000003</v>
      </c>
      <c r="O83" s="110">
        <v>361</v>
      </c>
      <c r="P83" s="5">
        <f t="shared" si="19"/>
        <v>113.50600000000003</v>
      </c>
      <c r="Q83" s="111">
        <f t="shared" si="17"/>
        <v>0.31442105263157905</v>
      </c>
      <c r="R83">
        <v>3901</v>
      </c>
    </row>
    <row r="84" spans="1:18" ht="15" customHeight="1">
      <c r="A84" s="134"/>
      <c r="E84" s="140" t="s">
        <v>496</v>
      </c>
      <c r="F84" s="141">
        <f>SUM(F80:F83)</f>
        <v>953.906</v>
      </c>
      <c r="G84" s="142"/>
      <c r="H84" s="143">
        <f aca="true" t="shared" si="21" ref="H84:O84">SUM(H80:H83)</f>
        <v>195</v>
      </c>
      <c r="I84" s="143">
        <f t="shared" si="21"/>
        <v>136</v>
      </c>
      <c r="J84" s="143">
        <f t="shared" si="21"/>
        <v>131</v>
      </c>
      <c r="K84" s="143">
        <f t="shared" si="21"/>
        <v>255</v>
      </c>
      <c r="L84" s="143">
        <f t="shared" si="21"/>
        <v>0</v>
      </c>
      <c r="M84" s="144">
        <f t="shared" si="21"/>
        <v>717</v>
      </c>
      <c r="N84" s="177">
        <f t="shared" si="21"/>
        <v>1670.9060000000002</v>
      </c>
      <c r="O84" s="145">
        <f t="shared" si="21"/>
        <v>1143</v>
      </c>
      <c r="P84" s="5">
        <f t="shared" si="19"/>
        <v>527.9060000000002</v>
      </c>
      <c r="Q84" s="111">
        <f t="shared" si="17"/>
        <v>0.4618600174978129</v>
      </c>
      <c r="R84"/>
    </row>
    <row r="85" spans="1:18" ht="15" customHeight="1">
      <c r="A85" s="134"/>
      <c r="F85" s="107"/>
      <c r="G85" s="108"/>
      <c r="H85" s="109"/>
      <c r="I85" s="109"/>
      <c r="J85" s="109"/>
      <c r="K85" s="109"/>
      <c r="L85" s="109"/>
      <c r="M85" s="109"/>
      <c r="N85" s="175"/>
      <c r="O85" s="110"/>
      <c r="P85" s="5">
        <f t="shared" si="19"/>
        <v>0</v>
      </c>
      <c r="Q85" s="111" t="e">
        <f t="shared" si="17"/>
        <v>#DIV/0!</v>
      </c>
      <c r="R85"/>
    </row>
    <row r="86" spans="1:18" ht="15" customHeight="1">
      <c r="A86" s="134" t="s">
        <v>266</v>
      </c>
      <c r="C86" s="87" t="s">
        <v>168</v>
      </c>
      <c r="D86" s="87" t="s">
        <v>189</v>
      </c>
      <c r="E86" s="87" t="s">
        <v>497</v>
      </c>
      <c r="F86" s="107">
        <v>107.351</v>
      </c>
      <c r="G86" s="108"/>
      <c r="H86" s="121">
        <v>-104</v>
      </c>
      <c r="I86" s="121">
        <v>0</v>
      </c>
      <c r="J86" s="121">
        <v>57</v>
      </c>
      <c r="K86" s="121">
        <v>102</v>
      </c>
      <c r="L86" s="121">
        <v>0</v>
      </c>
      <c r="M86" s="109">
        <f>SUM(H86:L86)</f>
        <v>55</v>
      </c>
      <c r="N86" s="175">
        <f>SUM(F86:L86)</f>
        <v>162.351</v>
      </c>
      <c r="O86" s="110">
        <v>430</v>
      </c>
      <c r="P86" s="5">
        <f t="shared" si="19"/>
        <v>-267.649</v>
      </c>
      <c r="Q86" s="111">
        <f t="shared" si="17"/>
        <v>-0.622439534883721</v>
      </c>
      <c r="R86">
        <v>4101</v>
      </c>
    </row>
    <row r="87" spans="1:18" ht="15" customHeight="1">
      <c r="A87" s="134" t="s">
        <v>267</v>
      </c>
      <c r="C87" s="87" t="s">
        <v>169</v>
      </c>
      <c r="D87" s="87" t="s">
        <v>189</v>
      </c>
      <c r="E87" s="87" t="s">
        <v>498</v>
      </c>
      <c r="F87" s="107">
        <v>369.4</v>
      </c>
      <c r="G87" s="108"/>
      <c r="H87" s="121">
        <v>0</v>
      </c>
      <c r="I87" s="121">
        <v>11</v>
      </c>
      <c r="J87" s="121">
        <v>274</v>
      </c>
      <c r="K87" s="121">
        <v>318</v>
      </c>
      <c r="L87" s="121">
        <v>0</v>
      </c>
      <c r="M87" s="109">
        <f>SUM(H87:L87)</f>
        <v>603</v>
      </c>
      <c r="N87" s="175">
        <f>SUM(F87:L87)</f>
        <v>972.4</v>
      </c>
      <c r="O87" s="110">
        <v>454</v>
      </c>
      <c r="P87" s="5">
        <f t="shared" si="19"/>
        <v>518.4</v>
      </c>
      <c r="Q87" s="111">
        <f t="shared" si="17"/>
        <v>1.141850220264317</v>
      </c>
      <c r="R87">
        <v>4301</v>
      </c>
    </row>
    <row r="88" spans="1:18" ht="15" customHeight="1">
      <c r="A88" s="134" t="s">
        <v>268</v>
      </c>
      <c r="C88" s="87" t="s">
        <v>170</v>
      </c>
      <c r="D88" s="87" t="s">
        <v>189</v>
      </c>
      <c r="E88" s="87" t="s">
        <v>499</v>
      </c>
      <c r="F88" s="107">
        <v>80.521</v>
      </c>
      <c r="G88" s="108"/>
      <c r="H88" s="121">
        <v>0</v>
      </c>
      <c r="I88" s="121">
        <v>0</v>
      </c>
      <c r="J88" s="121">
        <v>314</v>
      </c>
      <c r="K88" s="121">
        <v>770</v>
      </c>
      <c r="L88" s="121">
        <v>0</v>
      </c>
      <c r="M88" s="109">
        <f>SUM(H88:L88)</f>
        <v>1084</v>
      </c>
      <c r="N88" s="175">
        <f>SUM(F88:L88)</f>
        <v>1164.521</v>
      </c>
      <c r="O88" s="110">
        <v>1309</v>
      </c>
      <c r="P88" s="5">
        <f t="shared" si="19"/>
        <v>-144.47900000000004</v>
      </c>
      <c r="Q88" s="111">
        <f t="shared" si="17"/>
        <v>-0.11037356760886176</v>
      </c>
      <c r="R88">
        <v>4401</v>
      </c>
    </row>
    <row r="89" spans="1:18" ht="15" customHeight="1">
      <c r="A89" s="134" t="s">
        <v>269</v>
      </c>
      <c r="C89" s="87" t="s">
        <v>171</v>
      </c>
      <c r="D89" s="87" t="s">
        <v>189</v>
      </c>
      <c r="E89" s="87" t="s">
        <v>500</v>
      </c>
      <c r="F89" s="107">
        <v>161.05599999999998</v>
      </c>
      <c r="G89" s="108"/>
      <c r="H89" s="121">
        <v>0</v>
      </c>
      <c r="I89" s="121">
        <v>0</v>
      </c>
      <c r="J89" s="121">
        <v>356</v>
      </c>
      <c r="K89" s="121">
        <v>274</v>
      </c>
      <c r="L89" s="121">
        <v>53</v>
      </c>
      <c r="M89" s="109">
        <f>SUM(H89:L89)</f>
        <v>683</v>
      </c>
      <c r="N89" s="175">
        <f>SUM(F89:L89)</f>
        <v>844.056</v>
      </c>
      <c r="O89" s="110">
        <v>1107</v>
      </c>
      <c r="P89" s="5">
        <f t="shared" si="19"/>
        <v>-262.94399999999996</v>
      </c>
      <c r="Q89" s="111">
        <f t="shared" si="17"/>
        <v>-0.2375284552845528</v>
      </c>
      <c r="R89">
        <v>4501</v>
      </c>
    </row>
    <row r="90" spans="3:18" ht="15" customHeight="1" thickBot="1">
      <c r="C90" s="87" t="s">
        <v>172</v>
      </c>
      <c r="D90" s="87" t="s">
        <v>189</v>
      </c>
      <c r="E90" s="106" t="s">
        <v>270</v>
      </c>
      <c r="F90" s="146">
        <v>1.3</v>
      </c>
      <c r="G90" s="147"/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48">
        <f>SUM(H90:L90)</f>
        <v>0</v>
      </c>
      <c r="N90" s="180">
        <f>SUM(F90:L90)</f>
        <v>1.3</v>
      </c>
      <c r="O90" s="110">
        <v>1</v>
      </c>
      <c r="P90" s="5">
        <f t="shared" si="19"/>
        <v>0.30000000000000004</v>
      </c>
      <c r="Q90" s="111">
        <f t="shared" si="17"/>
        <v>0.30000000000000004</v>
      </c>
      <c r="R90">
        <v>4601</v>
      </c>
    </row>
    <row r="91" spans="5:18" ht="15" customHeight="1">
      <c r="E91" s="140" t="s">
        <v>501</v>
      </c>
      <c r="F91" s="141">
        <f>SUM(F86:F90)</f>
        <v>719.6279999999999</v>
      </c>
      <c r="G91" s="142"/>
      <c r="H91" s="143">
        <f aca="true" t="shared" si="22" ref="H91:O91">SUM(H86:H90)</f>
        <v>-104</v>
      </c>
      <c r="I91" s="143">
        <f t="shared" si="22"/>
        <v>11</v>
      </c>
      <c r="J91" s="143">
        <f t="shared" si="22"/>
        <v>1001</v>
      </c>
      <c r="K91" s="143">
        <f t="shared" si="22"/>
        <v>1464</v>
      </c>
      <c r="L91" s="143">
        <f t="shared" si="22"/>
        <v>53</v>
      </c>
      <c r="M91" s="144">
        <f t="shared" si="22"/>
        <v>2425</v>
      </c>
      <c r="N91" s="177">
        <f t="shared" si="22"/>
        <v>3144.628</v>
      </c>
      <c r="O91" s="145">
        <f t="shared" si="22"/>
        <v>3301</v>
      </c>
      <c r="P91" s="5">
        <f t="shared" si="19"/>
        <v>-156.37199999999984</v>
      </c>
      <c r="Q91" s="111">
        <f t="shared" si="17"/>
        <v>-0.0473710996667676</v>
      </c>
      <c r="R91"/>
    </row>
    <row r="92" spans="5:18" ht="15" customHeight="1">
      <c r="E92" s="106"/>
      <c r="F92" s="107"/>
      <c r="G92" s="108"/>
      <c r="H92" s="109"/>
      <c r="I92" s="109"/>
      <c r="J92" s="109"/>
      <c r="K92" s="109"/>
      <c r="L92" s="109"/>
      <c r="M92" s="109"/>
      <c r="N92" s="175"/>
      <c r="O92" s="110"/>
      <c r="P92" s="5">
        <f t="shared" si="19"/>
        <v>0</v>
      </c>
      <c r="Q92" s="111" t="e">
        <f t="shared" si="17"/>
        <v>#DIV/0!</v>
      </c>
      <c r="R92"/>
    </row>
    <row r="93" spans="1:18" ht="15" customHeight="1">
      <c r="A93" s="134"/>
      <c r="C93" s="87" t="s">
        <v>173</v>
      </c>
      <c r="D93" s="87" t="s">
        <v>189</v>
      </c>
      <c r="E93" s="87" t="s">
        <v>502</v>
      </c>
      <c r="F93" s="107"/>
      <c r="G93" s="108"/>
      <c r="H93" s="121">
        <v>0</v>
      </c>
      <c r="I93" s="121">
        <v>0</v>
      </c>
      <c r="J93" s="121">
        <v>7</v>
      </c>
      <c r="K93" s="121">
        <v>143</v>
      </c>
      <c r="L93" s="121">
        <v>0</v>
      </c>
      <c r="M93" s="109">
        <f aca="true" t="shared" si="23" ref="M93:M99">SUM(H93:L93)</f>
        <v>150</v>
      </c>
      <c r="N93" s="175">
        <f aca="true" t="shared" si="24" ref="N93:N99">SUM(F93:L93)</f>
        <v>150</v>
      </c>
      <c r="O93" s="110"/>
      <c r="P93" s="5">
        <f t="shared" si="19"/>
        <v>150</v>
      </c>
      <c r="Q93" s="111" t="e">
        <f t="shared" si="17"/>
        <v>#DIV/0!</v>
      </c>
      <c r="R93"/>
    </row>
    <row r="94" spans="1:18" ht="15" customHeight="1">
      <c r="A94" s="134"/>
      <c r="C94" s="87" t="s">
        <v>247</v>
      </c>
      <c r="D94" s="87" t="s">
        <v>189</v>
      </c>
      <c r="E94" s="87" t="s">
        <v>503</v>
      </c>
      <c r="F94" s="107"/>
      <c r="G94" s="108"/>
      <c r="H94" s="121">
        <v>0</v>
      </c>
      <c r="I94" s="121">
        <v>0</v>
      </c>
      <c r="J94" s="121">
        <v>81</v>
      </c>
      <c r="K94" s="121">
        <v>115</v>
      </c>
      <c r="L94" s="121">
        <v>0</v>
      </c>
      <c r="M94" s="109">
        <f t="shared" si="23"/>
        <v>196</v>
      </c>
      <c r="N94" s="175">
        <f t="shared" si="24"/>
        <v>196</v>
      </c>
      <c r="O94" s="110">
        <v>611</v>
      </c>
      <c r="P94" s="5">
        <f t="shared" si="19"/>
        <v>-415</v>
      </c>
      <c r="Q94" s="111">
        <f t="shared" si="17"/>
        <v>-0.679214402618658</v>
      </c>
      <c r="R94">
        <v>5201</v>
      </c>
    </row>
    <row r="95" spans="1:18" ht="15" customHeight="1">
      <c r="A95" s="134"/>
      <c r="C95" s="87" t="s">
        <v>174</v>
      </c>
      <c r="D95" s="87" t="s">
        <v>189</v>
      </c>
      <c r="E95" s="87" t="s">
        <v>504</v>
      </c>
      <c r="F95" s="107"/>
      <c r="G95" s="108"/>
      <c r="H95" s="121">
        <v>0</v>
      </c>
      <c r="I95" s="121">
        <v>0</v>
      </c>
      <c r="J95" s="121">
        <v>51</v>
      </c>
      <c r="K95" s="121">
        <v>114</v>
      </c>
      <c r="L95" s="121">
        <v>0</v>
      </c>
      <c r="M95" s="109">
        <f t="shared" si="23"/>
        <v>165</v>
      </c>
      <c r="N95" s="175">
        <f t="shared" si="24"/>
        <v>165</v>
      </c>
      <c r="O95" s="110">
        <v>351</v>
      </c>
      <c r="P95" s="5">
        <f t="shared" si="19"/>
        <v>-186</v>
      </c>
      <c r="Q95" s="111">
        <f t="shared" si="17"/>
        <v>-0.5299145299145299</v>
      </c>
      <c r="R95">
        <v>5301</v>
      </c>
    </row>
    <row r="96" spans="1:18" ht="15" customHeight="1">
      <c r="A96" s="134"/>
      <c r="C96" s="87" t="s">
        <v>248</v>
      </c>
      <c r="D96" s="87" t="s">
        <v>189</v>
      </c>
      <c r="E96" s="87" t="s">
        <v>505</v>
      </c>
      <c r="F96" s="107"/>
      <c r="G96" s="108"/>
      <c r="H96" s="121">
        <v>0</v>
      </c>
      <c r="I96" s="121">
        <v>0</v>
      </c>
      <c r="J96" s="121">
        <v>12</v>
      </c>
      <c r="K96" s="121">
        <v>193</v>
      </c>
      <c r="L96" s="121">
        <v>0</v>
      </c>
      <c r="M96" s="109">
        <f t="shared" si="23"/>
        <v>205</v>
      </c>
      <c r="N96" s="175">
        <f t="shared" si="24"/>
        <v>205</v>
      </c>
      <c r="O96" s="110">
        <v>221</v>
      </c>
      <c r="P96" s="5">
        <f t="shared" si="19"/>
        <v>-16</v>
      </c>
      <c r="Q96" s="111">
        <f t="shared" si="17"/>
        <v>-0.07239819004524888</v>
      </c>
      <c r="R96">
        <v>5401</v>
      </c>
    </row>
    <row r="97" spans="1:18" ht="15" customHeight="1">
      <c r="A97" s="134"/>
      <c r="C97" s="87" t="s">
        <v>175</v>
      </c>
      <c r="D97" s="87" t="s">
        <v>189</v>
      </c>
      <c r="E97" s="87" t="s">
        <v>506</v>
      </c>
      <c r="F97" s="107"/>
      <c r="G97" s="108"/>
      <c r="H97" s="121">
        <v>0</v>
      </c>
      <c r="I97" s="121">
        <v>0</v>
      </c>
      <c r="J97" s="121">
        <v>17</v>
      </c>
      <c r="K97" s="121">
        <v>112</v>
      </c>
      <c r="L97" s="121">
        <v>0</v>
      </c>
      <c r="M97" s="109">
        <f t="shared" si="23"/>
        <v>129</v>
      </c>
      <c r="N97" s="175">
        <f t="shared" si="24"/>
        <v>129</v>
      </c>
      <c r="O97" s="110">
        <v>162</v>
      </c>
      <c r="P97" s="5">
        <f t="shared" si="19"/>
        <v>-33</v>
      </c>
      <c r="Q97" s="111">
        <f t="shared" si="17"/>
        <v>-0.2037037037037037</v>
      </c>
      <c r="R97">
        <v>5501</v>
      </c>
    </row>
    <row r="98" spans="1:18" ht="15" customHeight="1">
      <c r="A98" s="134"/>
      <c r="C98" s="87" t="s">
        <v>176</v>
      </c>
      <c r="D98" s="87" t="s">
        <v>189</v>
      </c>
      <c r="E98" s="87" t="s">
        <v>507</v>
      </c>
      <c r="F98" s="107"/>
      <c r="G98" s="108"/>
      <c r="H98" s="121">
        <v>0</v>
      </c>
      <c r="I98" s="121">
        <v>0</v>
      </c>
      <c r="J98" s="121">
        <v>12</v>
      </c>
      <c r="K98" s="121">
        <v>210</v>
      </c>
      <c r="L98" s="121">
        <v>0</v>
      </c>
      <c r="M98" s="109">
        <f t="shared" si="23"/>
        <v>222</v>
      </c>
      <c r="N98" s="175">
        <f t="shared" si="24"/>
        <v>222</v>
      </c>
      <c r="O98" s="110">
        <v>382</v>
      </c>
      <c r="P98" s="5">
        <f t="shared" si="19"/>
        <v>-160</v>
      </c>
      <c r="Q98" s="111">
        <f t="shared" si="17"/>
        <v>-0.418848167539267</v>
      </c>
      <c r="R98">
        <v>5601</v>
      </c>
    </row>
    <row r="99" spans="1:18" ht="15" customHeight="1" thickBot="1">
      <c r="A99" s="134" t="s">
        <v>257</v>
      </c>
      <c r="C99" s="87" t="s">
        <v>177</v>
      </c>
      <c r="D99" s="87" t="s">
        <v>189</v>
      </c>
      <c r="E99" s="87" t="s">
        <v>508</v>
      </c>
      <c r="F99" s="146">
        <v>33.022</v>
      </c>
      <c r="G99" s="147"/>
      <c r="H99" s="114">
        <v>7</v>
      </c>
      <c r="I99" s="114">
        <v>24</v>
      </c>
      <c r="J99" s="114">
        <v>19</v>
      </c>
      <c r="K99" s="114">
        <v>19</v>
      </c>
      <c r="L99" s="114">
        <v>0</v>
      </c>
      <c r="M99" s="148">
        <f t="shared" si="23"/>
        <v>69</v>
      </c>
      <c r="N99" s="180">
        <f t="shared" si="24"/>
        <v>102.02199999999999</v>
      </c>
      <c r="O99" s="110">
        <v>323</v>
      </c>
      <c r="P99" s="5">
        <f t="shared" si="19"/>
        <v>-220.978</v>
      </c>
      <c r="Q99" s="111">
        <f t="shared" si="17"/>
        <v>-0.6841424148606812</v>
      </c>
      <c r="R99">
        <v>5801</v>
      </c>
    </row>
    <row r="100" spans="1:19" ht="15" customHeight="1">
      <c r="A100" s="134"/>
      <c r="E100" s="140" t="s">
        <v>509</v>
      </c>
      <c r="F100" s="141">
        <f>SUM(F93:F99)</f>
        <v>33.022</v>
      </c>
      <c r="G100" s="142"/>
      <c r="H100" s="143">
        <f aca="true" t="shared" si="25" ref="H100:O100">SUM(H93:H99)</f>
        <v>7</v>
      </c>
      <c r="I100" s="143">
        <f t="shared" si="25"/>
        <v>24</v>
      </c>
      <c r="J100" s="143">
        <f t="shared" si="25"/>
        <v>199</v>
      </c>
      <c r="K100" s="143">
        <f t="shared" si="25"/>
        <v>906</v>
      </c>
      <c r="L100" s="143">
        <f t="shared" si="25"/>
        <v>0</v>
      </c>
      <c r="M100" s="144">
        <f t="shared" si="25"/>
        <v>1136</v>
      </c>
      <c r="N100" s="177">
        <f t="shared" si="25"/>
        <v>1169.022</v>
      </c>
      <c r="O100" s="145">
        <f t="shared" si="25"/>
        <v>2050</v>
      </c>
      <c r="P100" s="5">
        <f t="shared" si="19"/>
        <v>-880.9780000000001</v>
      </c>
      <c r="Q100" s="111">
        <f t="shared" si="17"/>
        <v>-0.4297453658536586</v>
      </c>
      <c r="R100"/>
      <c r="S100" s="87">
        <f>SUM(O99:O100)</f>
        <v>2373</v>
      </c>
    </row>
    <row r="101" spans="1:17" ht="15" customHeight="1">
      <c r="A101" s="134"/>
      <c r="F101" s="107"/>
      <c r="G101" s="108"/>
      <c r="H101" s="109"/>
      <c r="I101" s="109"/>
      <c r="J101" s="109"/>
      <c r="K101" s="109"/>
      <c r="L101" s="109"/>
      <c r="M101" s="109"/>
      <c r="N101" s="175"/>
      <c r="P101" s="5">
        <f t="shared" si="19"/>
        <v>0</v>
      </c>
      <c r="Q101" s="111" t="e">
        <f t="shared" si="17"/>
        <v>#DIV/0!</v>
      </c>
    </row>
    <row r="102" spans="3:18" ht="15" customHeight="1">
      <c r="C102" s="87" t="s">
        <v>249</v>
      </c>
      <c r="D102" s="87" t="s">
        <v>156</v>
      </c>
      <c r="E102" s="106" t="s">
        <v>258</v>
      </c>
      <c r="F102" s="107">
        <v>24</v>
      </c>
      <c r="G102" s="108"/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f>SUM(H102:L102)</f>
        <v>0</v>
      </c>
      <c r="N102" s="175">
        <f>SUM(F102:L102)</f>
        <v>24</v>
      </c>
      <c r="O102" s="110">
        <v>24</v>
      </c>
      <c r="P102" s="5">
        <f t="shared" si="19"/>
        <v>0</v>
      </c>
      <c r="Q102" s="111">
        <f t="shared" si="17"/>
        <v>0</v>
      </c>
      <c r="R102">
        <v>6163</v>
      </c>
    </row>
    <row r="103" spans="1:18" ht="15" customHeight="1">
      <c r="A103" s="134"/>
      <c r="D103" s="87" t="s">
        <v>156</v>
      </c>
      <c r="E103" s="87" t="s">
        <v>510</v>
      </c>
      <c r="F103" s="107"/>
      <c r="G103" s="108"/>
      <c r="H103" s="121">
        <v>0</v>
      </c>
      <c r="I103" s="121">
        <v>0</v>
      </c>
      <c r="J103" s="121">
        <v>46</v>
      </c>
      <c r="K103" s="121">
        <v>0</v>
      </c>
      <c r="L103" s="121">
        <v>0</v>
      </c>
      <c r="M103" s="109">
        <f>SUM(H103:L103)</f>
        <v>46</v>
      </c>
      <c r="N103" s="175">
        <f>SUM(F103:L103)</f>
        <v>46</v>
      </c>
      <c r="O103" s="110">
        <v>95</v>
      </c>
      <c r="P103" s="5">
        <f t="shared" si="19"/>
        <v>-49</v>
      </c>
      <c r="Q103" s="111">
        <f t="shared" si="17"/>
        <v>-0.5157894736842106</v>
      </c>
      <c r="R103">
        <v>6101</v>
      </c>
    </row>
    <row r="104" spans="1:18" ht="15" customHeight="1">
      <c r="A104" s="134"/>
      <c r="C104" s="87" t="s">
        <v>250</v>
      </c>
      <c r="D104" s="87" t="s">
        <v>156</v>
      </c>
      <c r="E104" s="87" t="s">
        <v>511</v>
      </c>
      <c r="F104" s="107"/>
      <c r="G104" s="108"/>
      <c r="H104" s="121">
        <v>0</v>
      </c>
      <c r="I104" s="121">
        <v>0</v>
      </c>
      <c r="J104" s="121">
        <v>271</v>
      </c>
      <c r="K104" s="121">
        <v>384</v>
      </c>
      <c r="L104" s="121">
        <v>0</v>
      </c>
      <c r="M104" s="109">
        <f>SUM(H104:L104)</f>
        <v>655</v>
      </c>
      <c r="N104" s="175">
        <f>SUM(F104:L104)</f>
        <v>655</v>
      </c>
      <c r="O104" s="110">
        <v>463</v>
      </c>
      <c r="P104" s="5">
        <f t="shared" si="19"/>
        <v>192</v>
      </c>
      <c r="Q104" s="111">
        <f t="shared" si="17"/>
        <v>0.4146868250539957</v>
      </c>
      <c r="R104">
        <v>6201</v>
      </c>
    </row>
    <row r="105" spans="1:18" ht="15" customHeight="1">
      <c r="A105" s="134"/>
      <c r="C105" s="87" t="s">
        <v>251</v>
      </c>
      <c r="D105" s="87" t="s">
        <v>156</v>
      </c>
      <c r="E105" s="87" t="s">
        <v>512</v>
      </c>
      <c r="F105" s="107"/>
      <c r="G105" s="108"/>
      <c r="H105" s="121">
        <v>0</v>
      </c>
      <c r="I105" s="121">
        <v>0</v>
      </c>
      <c r="J105" s="121">
        <v>105</v>
      </c>
      <c r="K105" s="121">
        <v>0</v>
      </c>
      <c r="L105" s="121">
        <v>0</v>
      </c>
      <c r="M105" s="109">
        <f>SUM(H105:L105)</f>
        <v>105</v>
      </c>
      <c r="N105" s="175">
        <f>SUM(F105:L105)</f>
        <v>105</v>
      </c>
      <c r="O105" s="110">
        <v>109</v>
      </c>
      <c r="P105" s="5">
        <f t="shared" si="19"/>
        <v>-4</v>
      </c>
      <c r="Q105" s="111">
        <f t="shared" si="17"/>
        <v>-0.03669724770642202</v>
      </c>
      <c r="R105">
        <v>6301</v>
      </c>
    </row>
    <row r="106" spans="1:18" ht="15" customHeight="1" thickBot="1">
      <c r="A106" s="134"/>
      <c r="C106" s="87" t="s">
        <v>178</v>
      </c>
      <c r="D106" s="87" t="s">
        <v>156</v>
      </c>
      <c r="E106" s="13" t="s">
        <v>513</v>
      </c>
      <c r="F106" s="146"/>
      <c r="G106" s="147"/>
      <c r="H106" s="114">
        <v>0</v>
      </c>
      <c r="I106" s="114">
        <v>0</v>
      </c>
      <c r="J106" s="114">
        <v>107</v>
      </c>
      <c r="K106" s="114">
        <v>466</v>
      </c>
      <c r="L106" s="114">
        <v>0</v>
      </c>
      <c r="M106" s="148">
        <f>SUM(H106:L106)</f>
        <v>573</v>
      </c>
      <c r="N106" s="180">
        <f>SUM(F106:L106)</f>
        <v>573</v>
      </c>
      <c r="O106" s="110"/>
      <c r="P106" s="7">
        <f t="shared" si="19"/>
        <v>573</v>
      </c>
      <c r="Q106" s="111" t="e">
        <f t="shared" si="17"/>
        <v>#DIV/0!</v>
      </c>
      <c r="R106"/>
    </row>
    <row r="107" spans="1:18" ht="15" customHeight="1">
      <c r="A107" s="134"/>
      <c r="E107" s="140" t="s">
        <v>514</v>
      </c>
      <c r="F107" s="141">
        <f>SUM(F102:F106)</f>
        <v>24</v>
      </c>
      <c r="G107" s="142"/>
      <c r="H107" s="143">
        <f aca="true" t="shared" si="26" ref="H107:O107">SUM(H102:H106)</f>
        <v>0</v>
      </c>
      <c r="I107" s="143">
        <f t="shared" si="26"/>
        <v>0</v>
      </c>
      <c r="J107" s="143">
        <f t="shared" si="26"/>
        <v>529</v>
      </c>
      <c r="K107" s="143">
        <f t="shared" si="26"/>
        <v>850</v>
      </c>
      <c r="L107" s="143">
        <f t="shared" si="26"/>
        <v>0</v>
      </c>
      <c r="M107" s="144">
        <f t="shared" si="26"/>
        <v>1379</v>
      </c>
      <c r="N107" s="177">
        <f t="shared" si="26"/>
        <v>1403</v>
      </c>
      <c r="O107" s="145">
        <f t="shared" si="26"/>
        <v>691</v>
      </c>
      <c r="P107" s="5">
        <f t="shared" si="19"/>
        <v>712</v>
      </c>
      <c r="Q107" s="111">
        <f t="shared" si="17"/>
        <v>1.0303907380607815</v>
      </c>
      <c r="R107"/>
    </row>
    <row r="108" spans="1:18" ht="15" customHeight="1">
      <c r="A108" s="134"/>
      <c r="F108" s="107"/>
      <c r="G108" s="108"/>
      <c r="H108" s="109"/>
      <c r="I108" s="109"/>
      <c r="J108" s="109"/>
      <c r="K108" s="109"/>
      <c r="L108" s="109"/>
      <c r="M108" s="109"/>
      <c r="N108" s="175"/>
      <c r="O108" s="110"/>
      <c r="P108" s="5">
        <f t="shared" si="19"/>
        <v>0</v>
      </c>
      <c r="Q108" s="111" t="e">
        <f t="shared" si="17"/>
        <v>#DIV/0!</v>
      </c>
      <c r="R108"/>
    </row>
    <row r="109" spans="3:18" ht="15" customHeight="1">
      <c r="C109" s="87" t="s">
        <v>179</v>
      </c>
      <c r="D109" s="87" t="s">
        <v>156</v>
      </c>
      <c r="E109" s="106" t="s">
        <v>259</v>
      </c>
      <c r="F109" s="107">
        <v>32.605</v>
      </c>
      <c r="G109" s="108"/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 aca="true" t="shared" si="27" ref="M109:M114">SUM(H109:L109)</f>
        <v>0</v>
      </c>
      <c r="N109" s="175">
        <f aca="true" t="shared" si="28" ref="N109:N114">SUM(F109:L109)</f>
        <v>32.605</v>
      </c>
      <c r="O109" s="110">
        <v>80</v>
      </c>
      <c r="P109" s="5">
        <f t="shared" si="19"/>
        <v>-47.395</v>
      </c>
      <c r="Q109" s="111">
        <f t="shared" si="17"/>
        <v>-0.5924375000000001</v>
      </c>
      <c r="R109">
        <v>7101</v>
      </c>
    </row>
    <row r="110" spans="1:18" ht="15" customHeight="1">
      <c r="A110" s="134" t="s">
        <v>260</v>
      </c>
      <c r="C110" s="87" t="s">
        <v>180</v>
      </c>
      <c r="D110" s="87" t="s">
        <v>156</v>
      </c>
      <c r="E110" s="87" t="s">
        <v>260</v>
      </c>
      <c r="F110" s="107">
        <v>75.836</v>
      </c>
      <c r="G110" s="108"/>
      <c r="H110" s="121">
        <v>2</v>
      </c>
      <c r="I110" s="121">
        <v>5</v>
      </c>
      <c r="J110" s="121">
        <v>197</v>
      </c>
      <c r="K110" s="121">
        <v>0</v>
      </c>
      <c r="L110" s="121">
        <v>0</v>
      </c>
      <c r="M110" s="109">
        <f t="shared" si="27"/>
        <v>204</v>
      </c>
      <c r="N110" s="175">
        <f t="shared" si="28"/>
        <v>279.836</v>
      </c>
      <c r="O110" s="110">
        <v>164</v>
      </c>
      <c r="P110" s="5">
        <f t="shared" si="19"/>
        <v>115.83600000000001</v>
      </c>
      <c r="Q110" s="111">
        <f t="shared" si="17"/>
        <v>0.7063170731707318</v>
      </c>
      <c r="R110">
        <v>7301</v>
      </c>
    </row>
    <row r="111" spans="1:18" ht="15" customHeight="1">
      <c r="A111" s="134" t="s">
        <v>262</v>
      </c>
      <c r="C111" s="87" t="s">
        <v>181</v>
      </c>
      <c r="D111" s="87" t="s">
        <v>156</v>
      </c>
      <c r="E111" s="87" t="s">
        <v>515</v>
      </c>
      <c r="F111" s="107">
        <v>854.9</v>
      </c>
      <c r="G111" s="108"/>
      <c r="H111" s="121">
        <v>-308</v>
      </c>
      <c r="I111" s="121">
        <v>23</v>
      </c>
      <c r="J111" s="121">
        <v>615</v>
      </c>
      <c r="K111" s="121">
        <v>857</v>
      </c>
      <c r="L111" s="121">
        <v>230</v>
      </c>
      <c r="M111" s="109">
        <f t="shared" si="27"/>
        <v>1417</v>
      </c>
      <c r="N111" s="175">
        <f t="shared" si="28"/>
        <v>2271.9</v>
      </c>
      <c r="O111" s="110">
        <v>1565</v>
      </c>
      <c r="P111" s="5">
        <f t="shared" si="19"/>
        <v>706.9000000000001</v>
      </c>
      <c r="Q111" s="111">
        <f t="shared" si="17"/>
        <v>0.45169329073482434</v>
      </c>
      <c r="R111">
        <v>7401</v>
      </c>
    </row>
    <row r="112" spans="1:18" ht="15" customHeight="1">
      <c r="A112" s="134"/>
      <c r="C112" s="87" t="s">
        <v>182</v>
      </c>
      <c r="D112" s="87" t="s">
        <v>156</v>
      </c>
      <c r="E112" s="122" t="s">
        <v>516</v>
      </c>
      <c r="F112" s="107"/>
      <c r="G112" s="108"/>
      <c r="H112" s="121">
        <v>0</v>
      </c>
      <c r="I112" s="121">
        <v>0</v>
      </c>
      <c r="J112" s="121">
        <v>336</v>
      </c>
      <c r="K112" s="121">
        <v>806</v>
      </c>
      <c r="L112" s="121">
        <v>265</v>
      </c>
      <c r="M112" s="109">
        <f t="shared" si="27"/>
        <v>1407</v>
      </c>
      <c r="N112" s="175">
        <f t="shared" si="28"/>
        <v>1407</v>
      </c>
      <c r="O112" s="110">
        <v>1111</v>
      </c>
      <c r="P112" s="125">
        <f t="shared" si="19"/>
        <v>296</v>
      </c>
      <c r="Q112" s="111">
        <f t="shared" si="17"/>
        <v>0.2664266426642664</v>
      </c>
      <c r="R112">
        <v>7501</v>
      </c>
    </row>
    <row r="113" spans="1:18" ht="15" customHeight="1">
      <c r="A113" s="134"/>
      <c r="C113" s="87" t="s">
        <v>182</v>
      </c>
      <c r="D113" s="87" t="s">
        <v>156</v>
      </c>
      <c r="E113" s="122" t="s">
        <v>517</v>
      </c>
      <c r="F113" s="107"/>
      <c r="G113" s="108"/>
      <c r="H113" s="121">
        <v>0</v>
      </c>
      <c r="I113" s="121">
        <v>0</v>
      </c>
      <c r="J113" s="121">
        <v>1668</v>
      </c>
      <c r="K113" s="121">
        <v>2205</v>
      </c>
      <c r="L113" s="121">
        <v>638</v>
      </c>
      <c r="M113" s="109">
        <f t="shared" si="27"/>
        <v>4511</v>
      </c>
      <c r="N113" s="175">
        <f t="shared" si="28"/>
        <v>4511</v>
      </c>
      <c r="O113" s="110">
        <v>1254</v>
      </c>
      <c r="P113" s="125">
        <f t="shared" si="19"/>
        <v>3257</v>
      </c>
      <c r="Q113" s="111">
        <f t="shared" si="17"/>
        <v>2.5972886762360448</v>
      </c>
      <c r="R113">
        <v>7503</v>
      </c>
    </row>
    <row r="114" spans="1:18" ht="15" customHeight="1" thickBot="1">
      <c r="A114" s="134"/>
      <c r="C114" s="87" t="s">
        <v>183</v>
      </c>
      <c r="D114" s="87" t="s">
        <v>156</v>
      </c>
      <c r="E114" s="87" t="s">
        <v>518</v>
      </c>
      <c r="F114" s="146"/>
      <c r="G114" s="147"/>
      <c r="H114" s="114">
        <v>0</v>
      </c>
      <c r="I114" s="114">
        <v>0</v>
      </c>
      <c r="J114" s="114">
        <v>207</v>
      </c>
      <c r="K114" s="114">
        <v>205</v>
      </c>
      <c r="L114" s="114">
        <v>0</v>
      </c>
      <c r="M114" s="148">
        <f t="shared" si="27"/>
        <v>412</v>
      </c>
      <c r="N114" s="180">
        <f t="shared" si="28"/>
        <v>412</v>
      </c>
      <c r="O114" s="110">
        <v>238</v>
      </c>
      <c r="P114" s="5">
        <f t="shared" si="19"/>
        <v>174</v>
      </c>
      <c r="Q114" s="111">
        <f t="shared" si="17"/>
        <v>0.7310924369747899</v>
      </c>
      <c r="R114">
        <v>7601</v>
      </c>
    </row>
    <row r="115" spans="1:18" ht="15" customHeight="1">
      <c r="A115" s="134"/>
      <c r="E115" s="140" t="s">
        <v>519</v>
      </c>
      <c r="F115" s="141">
        <f>SUM(F109:F114)</f>
        <v>963.341</v>
      </c>
      <c r="G115" s="142"/>
      <c r="H115" s="143">
        <f aca="true" t="shared" si="29" ref="H115:O115">SUM(H109:H114)</f>
        <v>-306</v>
      </c>
      <c r="I115" s="143">
        <f t="shared" si="29"/>
        <v>28</v>
      </c>
      <c r="J115" s="143">
        <f t="shared" si="29"/>
        <v>3023</v>
      </c>
      <c r="K115" s="143">
        <f t="shared" si="29"/>
        <v>4073</v>
      </c>
      <c r="L115" s="143">
        <f t="shared" si="29"/>
        <v>1133</v>
      </c>
      <c r="M115" s="144">
        <f t="shared" si="29"/>
        <v>7951</v>
      </c>
      <c r="N115" s="177">
        <f t="shared" si="29"/>
        <v>8914.341</v>
      </c>
      <c r="O115" s="145">
        <f t="shared" si="29"/>
        <v>4412</v>
      </c>
      <c r="P115" s="5">
        <f t="shared" si="19"/>
        <v>4502.341</v>
      </c>
      <c r="Q115" s="111">
        <f t="shared" si="17"/>
        <v>1.0204762012692656</v>
      </c>
      <c r="R115"/>
    </row>
    <row r="116" spans="1:18" ht="15" customHeight="1">
      <c r="A116" s="134"/>
      <c r="F116" s="107"/>
      <c r="G116" s="108"/>
      <c r="H116" s="109"/>
      <c r="I116" s="109"/>
      <c r="J116" s="109"/>
      <c r="K116" s="109"/>
      <c r="L116" s="109"/>
      <c r="M116" s="109"/>
      <c r="N116" s="175"/>
      <c r="O116" s="110"/>
      <c r="P116" s="5">
        <f t="shared" si="19"/>
        <v>0</v>
      </c>
      <c r="Q116" s="111" t="e">
        <f t="shared" si="17"/>
        <v>#DIV/0!</v>
      </c>
      <c r="R116"/>
    </row>
    <row r="117" spans="1:18" ht="15" customHeight="1">
      <c r="A117" s="106" t="s">
        <v>288</v>
      </c>
      <c r="C117" s="87" t="s">
        <v>184</v>
      </c>
      <c r="D117" s="87" t="s">
        <v>190</v>
      </c>
      <c r="E117" s="122" t="s">
        <v>520</v>
      </c>
      <c r="F117" s="132">
        <f>2829.4-7</f>
        <v>2822.4</v>
      </c>
      <c r="G117" s="124" t="s">
        <v>352</v>
      </c>
      <c r="H117" s="109">
        <v>278</v>
      </c>
      <c r="I117" s="109">
        <v>1034</v>
      </c>
      <c r="J117" s="109">
        <v>1158</v>
      </c>
      <c r="K117" s="109">
        <v>1074</v>
      </c>
      <c r="L117" s="109">
        <v>299</v>
      </c>
      <c r="M117" s="109">
        <f aca="true" t="shared" si="30" ref="M117:M128">SUM(H117:L117)</f>
        <v>3843</v>
      </c>
      <c r="N117" s="175">
        <f aca="true" t="shared" si="31" ref="N117:N128">SUM(F117:L117)</f>
        <v>6665.4</v>
      </c>
      <c r="O117" s="110">
        <v>4197</v>
      </c>
      <c r="P117" s="125">
        <f t="shared" si="19"/>
        <v>2468.3999999999996</v>
      </c>
      <c r="Q117" s="111">
        <f t="shared" si="17"/>
        <v>0.588134381701215</v>
      </c>
      <c r="R117">
        <v>8101</v>
      </c>
    </row>
    <row r="118" spans="1:18" ht="15" customHeight="1">
      <c r="A118" s="106" t="s">
        <v>289</v>
      </c>
      <c r="D118" s="87" t="s">
        <v>190</v>
      </c>
      <c r="E118" s="122" t="s">
        <v>521</v>
      </c>
      <c r="F118" s="107">
        <v>553.747</v>
      </c>
      <c r="G118" s="108"/>
      <c r="H118" s="109">
        <v>60</v>
      </c>
      <c r="I118" s="109">
        <v>159</v>
      </c>
      <c r="J118" s="109">
        <v>159</v>
      </c>
      <c r="K118" s="109">
        <v>102</v>
      </c>
      <c r="L118" s="109">
        <v>19</v>
      </c>
      <c r="M118" s="109">
        <f t="shared" si="30"/>
        <v>499</v>
      </c>
      <c r="N118" s="175">
        <f t="shared" si="31"/>
        <v>1052.7469999999998</v>
      </c>
      <c r="O118" s="110">
        <v>387</v>
      </c>
      <c r="P118" s="125">
        <f t="shared" si="19"/>
        <v>665.7469999999998</v>
      </c>
      <c r="Q118" s="111">
        <f t="shared" si="17"/>
        <v>1.7202764857881132</v>
      </c>
      <c r="R118">
        <v>8102</v>
      </c>
    </row>
    <row r="119" spans="1:18" ht="15" customHeight="1">
      <c r="A119" s="106" t="s">
        <v>290</v>
      </c>
      <c r="C119" s="87" t="s">
        <v>185</v>
      </c>
      <c r="D119" s="87" t="s">
        <v>155</v>
      </c>
      <c r="E119" s="122" t="s">
        <v>522</v>
      </c>
      <c r="F119" s="132">
        <f>2653.4-7</f>
        <v>2646.4</v>
      </c>
      <c r="G119" s="124" t="s">
        <v>352</v>
      </c>
      <c r="H119" s="109">
        <v>476</v>
      </c>
      <c r="I119" s="109">
        <v>665</v>
      </c>
      <c r="J119" s="109">
        <v>663</v>
      </c>
      <c r="K119" s="109">
        <v>660</v>
      </c>
      <c r="L119" s="109">
        <v>185</v>
      </c>
      <c r="M119" s="109">
        <f t="shared" si="30"/>
        <v>2649</v>
      </c>
      <c r="N119" s="175">
        <f t="shared" si="31"/>
        <v>5295.4</v>
      </c>
      <c r="O119" s="110">
        <v>2835</v>
      </c>
      <c r="P119" s="125">
        <f t="shared" si="19"/>
        <v>2460.3999999999996</v>
      </c>
      <c r="Q119" s="111">
        <f t="shared" si="17"/>
        <v>0.8678659611992944</v>
      </c>
      <c r="R119">
        <v>8202</v>
      </c>
    </row>
    <row r="120" spans="1:18" ht="15" customHeight="1">
      <c r="A120" s="106" t="s">
        <v>291</v>
      </c>
      <c r="D120" s="87" t="s">
        <v>155</v>
      </c>
      <c r="E120" s="92" t="s">
        <v>523</v>
      </c>
      <c r="F120" s="132">
        <f>988.511-3</f>
        <v>985.511</v>
      </c>
      <c r="G120" s="124" t="s">
        <v>352</v>
      </c>
      <c r="H120" s="109">
        <v>160</v>
      </c>
      <c r="I120" s="109">
        <v>377</v>
      </c>
      <c r="J120" s="109">
        <v>376</v>
      </c>
      <c r="K120" s="109">
        <v>374</v>
      </c>
      <c r="L120" s="109">
        <v>121</v>
      </c>
      <c r="M120" s="109">
        <f t="shared" si="30"/>
        <v>1408</v>
      </c>
      <c r="N120" s="175">
        <f t="shared" si="31"/>
        <v>2393.511</v>
      </c>
      <c r="O120" s="110">
        <v>1116</v>
      </c>
      <c r="P120" s="133">
        <f t="shared" si="19"/>
        <v>1277.511</v>
      </c>
      <c r="Q120" s="111">
        <f t="shared" si="17"/>
        <v>1.1447231182795699</v>
      </c>
      <c r="R120">
        <v>8203</v>
      </c>
    </row>
    <row r="121" spans="1:18" ht="15" customHeight="1">
      <c r="A121" s="106" t="s">
        <v>292</v>
      </c>
      <c r="D121" s="87" t="s">
        <v>155</v>
      </c>
      <c r="E121" s="92" t="s">
        <v>524</v>
      </c>
      <c r="F121" s="132">
        <f>1283.406-7</f>
        <v>1276.406</v>
      </c>
      <c r="G121" s="124" t="s">
        <v>352</v>
      </c>
      <c r="H121" s="109">
        <v>181</v>
      </c>
      <c r="I121" s="109">
        <v>295</v>
      </c>
      <c r="J121" s="109">
        <v>293</v>
      </c>
      <c r="K121" s="109">
        <v>292</v>
      </c>
      <c r="L121" s="109">
        <v>93</v>
      </c>
      <c r="M121" s="109">
        <f t="shared" si="30"/>
        <v>1154</v>
      </c>
      <c r="N121" s="175">
        <f t="shared" si="31"/>
        <v>2430.406</v>
      </c>
      <c r="O121" s="110">
        <v>601</v>
      </c>
      <c r="P121" s="133">
        <f t="shared" si="19"/>
        <v>1829.406</v>
      </c>
      <c r="Q121" s="111">
        <f t="shared" si="17"/>
        <v>3.043936772046589</v>
      </c>
      <c r="R121">
        <v>8204</v>
      </c>
    </row>
    <row r="122" spans="1:18" ht="15" customHeight="1">
      <c r="A122" s="106" t="s">
        <v>295</v>
      </c>
      <c r="D122" s="87" t="s">
        <v>155</v>
      </c>
      <c r="E122" s="87" t="s">
        <v>525</v>
      </c>
      <c r="F122" s="107">
        <v>301.9</v>
      </c>
      <c r="G122" s="108"/>
      <c r="H122" s="109">
        <v>102</v>
      </c>
      <c r="I122" s="109">
        <v>266</v>
      </c>
      <c r="J122" s="109">
        <v>162</v>
      </c>
      <c r="K122" s="109">
        <v>56</v>
      </c>
      <c r="L122" s="109">
        <v>12</v>
      </c>
      <c r="M122" s="109">
        <f t="shared" si="30"/>
        <v>598</v>
      </c>
      <c r="N122" s="175">
        <f t="shared" si="31"/>
        <v>899.9</v>
      </c>
      <c r="O122" s="110">
        <v>332</v>
      </c>
      <c r="P122" s="5">
        <f t="shared" si="19"/>
        <v>567.9</v>
      </c>
      <c r="Q122" s="111">
        <f t="shared" si="17"/>
        <v>1.7105421686746987</v>
      </c>
      <c r="R122">
        <v>8205</v>
      </c>
    </row>
    <row r="123" spans="1:17" ht="15" customHeight="1">
      <c r="A123" s="106" t="s">
        <v>351</v>
      </c>
      <c r="D123" s="87" t="s">
        <v>155</v>
      </c>
      <c r="E123" s="87" t="s">
        <v>526</v>
      </c>
      <c r="F123" s="107">
        <v>37.646</v>
      </c>
      <c r="G123" s="108"/>
      <c r="H123" s="109">
        <v>19</v>
      </c>
      <c r="I123" s="109">
        <v>0</v>
      </c>
      <c r="J123" s="109">
        <v>0</v>
      </c>
      <c r="K123" s="109">
        <v>0</v>
      </c>
      <c r="L123" s="109">
        <v>0</v>
      </c>
      <c r="M123" s="109">
        <f t="shared" si="30"/>
        <v>19</v>
      </c>
      <c r="N123" s="175">
        <f t="shared" si="31"/>
        <v>56.646</v>
      </c>
      <c r="P123" s="5">
        <f t="shared" si="19"/>
        <v>56.646</v>
      </c>
      <c r="Q123" s="111" t="e">
        <f t="shared" si="17"/>
        <v>#DIV/0!</v>
      </c>
    </row>
    <row r="124" spans="1:17" ht="15" customHeight="1">
      <c r="A124" s="106"/>
      <c r="D124" s="87" t="s">
        <v>155</v>
      </c>
      <c r="E124" s="87" t="s">
        <v>527</v>
      </c>
      <c r="F124" s="107"/>
      <c r="G124" s="108"/>
      <c r="H124" s="109">
        <v>15</v>
      </c>
      <c r="I124" s="109">
        <v>32</v>
      </c>
      <c r="J124" s="109">
        <v>32</v>
      </c>
      <c r="K124" s="109">
        <v>32</v>
      </c>
      <c r="L124" s="109">
        <v>10</v>
      </c>
      <c r="M124" s="109">
        <f t="shared" si="30"/>
        <v>121</v>
      </c>
      <c r="N124" s="175">
        <f t="shared" si="31"/>
        <v>121</v>
      </c>
      <c r="P124" s="5">
        <f t="shared" si="19"/>
        <v>121</v>
      </c>
      <c r="Q124" s="111" t="e">
        <f t="shared" si="17"/>
        <v>#DIV/0!</v>
      </c>
    </row>
    <row r="125" spans="1:18" ht="15" customHeight="1">
      <c r="A125" s="106"/>
      <c r="D125" s="87" t="s">
        <v>190</v>
      </c>
      <c r="E125" s="87" t="s">
        <v>528</v>
      </c>
      <c r="F125" s="132">
        <f>1419.99-4</f>
        <v>1415.99</v>
      </c>
      <c r="G125" s="124" t="s">
        <v>352</v>
      </c>
      <c r="H125" s="109">
        <v>144</v>
      </c>
      <c r="I125" s="109">
        <v>384</v>
      </c>
      <c r="J125" s="109">
        <v>406</v>
      </c>
      <c r="K125" s="109">
        <v>431</v>
      </c>
      <c r="L125" s="109">
        <v>88</v>
      </c>
      <c r="M125" s="109">
        <f t="shared" si="30"/>
        <v>1453</v>
      </c>
      <c r="N125" s="175">
        <f t="shared" si="31"/>
        <v>2868.99</v>
      </c>
      <c r="O125" s="110">
        <v>1577</v>
      </c>
      <c r="P125" s="5">
        <f t="shared" si="19"/>
        <v>1291.9899999999998</v>
      </c>
      <c r="Q125" s="111">
        <f t="shared" si="17"/>
        <v>0.8192707672796448</v>
      </c>
      <c r="R125">
        <v>8998</v>
      </c>
    </row>
    <row r="126" spans="3:18" ht="15" customHeight="1">
      <c r="C126" s="87" t="s">
        <v>186</v>
      </c>
      <c r="D126" s="87" t="s">
        <v>190</v>
      </c>
      <c r="E126" s="106" t="s">
        <v>309</v>
      </c>
      <c r="F126" s="107">
        <v>323.9</v>
      </c>
      <c r="G126" s="108"/>
      <c r="H126" s="109"/>
      <c r="I126" s="109"/>
      <c r="J126" s="109"/>
      <c r="K126" s="109"/>
      <c r="L126" s="109"/>
      <c r="M126" s="109">
        <f t="shared" si="30"/>
        <v>0</v>
      </c>
      <c r="N126" s="175">
        <f t="shared" si="31"/>
        <v>323.9</v>
      </c>
      <c r="O126" s="110">
        <v>324</v>
      </c>
      <c r="P126" s="5">
        <f t="shared" si="19"/>
        <v>-0.10000000000002274</v>
      </c>
      <c r="Q126" s="111">
        <f t="shared" si="17"/>
        <v>-0.00030864197530871217</v>
      </c>
      <c r="R126">
        <v>8401</v>
      </c>
    </row>
    <row r="127" spans="4:18" ht="15" customHeight="1">
      <c r="D127" s="87" t="s">
        <v>190</v>
      </c>
      <c r="E127" s="106" t="s">
        <v>293</v>
      </c>
      <c r="F127" s="107">
        <v>146.46699999999998</v>
      </c>
      <c r="G127" s="108"/>
      <c r="H127" s="109"/>
      <c r="I127" s="109"/>
      <c r="J127" s="109"/>
      <c r="K127" s="109"/>
      <c r="L127" s="109"/>
      <c r="M127" s="109">
        <f t="shared" si="30"/>
        <v>0</v>
      </c>
      <c r="N127" s="175">
        <f t="shared" si="31"/>
        <v>146.46699999999998</v>
      </c>
      <c r="O127" s="110">
        <v>146</v>
      </c>
      <c r="P127" s="5">
        <f t="shared" si="19"/>
        <v>0.46699999999998454</v>
      </c>
      <c r="Q127" s="111">
        <f t="shared" si="17"/>
        <v>0.0031986301369861954</v>
      </c>
      <c r="R127">
        <v>8402</v>
      </c>
    </row>
    <row r="128" spans="3:18" ht="15" customHeight="1" thickBot="1">
      <c r="C128" s="87" t="s">
        <v>252</v>
      </c>
      <c r="D128" s="87" t="s">
        <v>189</v>
      </c>
      <c r="E128" s="87" t="s">
        <v>529</v>
      </c>
      <c r="F128" s="146"/>
      <c r="G128" s="147"/>
      <c r="H128" s="148">
        <v>0</v>
      </c>
      <c r="I128" s="148">
        <v>0</v>
      </c>
      <c r="J128" s="148">
        <v>276</v>
      </c>
      <c r="K128" s="148">
        <v>70</v>
      </c>
      <c r="L128" s="148">
        <v>419</v>
      </c>
      <c r="M128" s="148">
        <f t="shared" si="30"/>
        <v>765</v>
      </c>
      <c r="N128" s="180">
        <f t="shared" si="31"/>
        <v>765</v>
      </c>
      <c r="O128" s="110">
        <v>1189</v>
      </c>
      <c r="P128" s="5">
        <f t="shared" si="19"/>
        <v>-424</v>
      </c>
      <c r="Q128" s="111">
        <f t="shared" si="17"/>
        <v>-0.3566021867115223</v>
      </c>
      <c r="R128">
        <v>8501</v>
      </c>
    </row>
    <row r="129" spans="1:17" ht="18.75" thickBot="1">
      <c r="A129" s="106" t="s">
        <v>253</v>
      </c>
      <c r="E129" s="140" t="s">
        <v>530</v>
      </c>
      <c r="F129" s="149">
        <f>SUM(F117:F128)</f>
        <v>10510.367</v>
      </c>
      <c r="G129" s="150"/>
      <c r="H129" s="151">
        <f aca="true" t="shared" si="32" ref="H129:O129">SUM(H117:H128)</f>
        <v>1435</v>
      </c>
      <c r="I129" s="151">
        <f t="shared" si="32"/>
        <v>3212</v>
      </c>
      <c r="J129" s="151">
        <f t="shared" si="32"/>
        <v>3525</v>
      </c>
      <c r="K129" s="151">
        <f t="shared" si="32"/>
        <v>3091</v>
      </c>
      <c r="L129" s="151">
        <f t="shared" si="32"/>
        <v>1246</v>
      </c>
      <c r="M129" s="152">
        <f t="shared" si="32"/>
        <v>12509</v>
      </c>
      <c r="N129" s="181">
        <f t="shared" si="32"/>
        <v>23019.367000000002</v>
      </c>
      <c r="O129" s="153">
        <f t="shared" si="32"/>
        <v>12704</v>
      </c>
      <c r="P129" s="5">
        <f t="shared" si="19"/>
        <v>10315.367000000002</v>
      </c>
      <c r="Q129" s="111">
        <f t="shared" si="17"/>
        <v>0.8119778809823679</v>
      </c>
    </row>
    <row r="130" spans="5:18" ht="18.75" thickTop="1">
      <c r="E130" s="154" t="s">
        <v>241</v>
      </c>
      <c r="F130" s="155">
        <f>SUM(F129,F115,F107,F100,F91,F84,F78,F72)</f>
        <v>67103.138</v>
      </c>
      <c r="G130" s="156"/>
      <c r="H130" s="155">
        <f aca="true" t="shared" si="33" ref="H130:O130">SUM(H129,H115,H107,H100,H91,H84,H78,H72)</f>
        <v>6120</v>
      </c>
      <c r="I130" s="155">
        <f t="shared" si="33"/>
        <v>14483</v>
      </c>
      <c r="J130" s="155">
        <f t="shared" si="33"/>
        <v>15068</v>
      </c>
      <c r="K130" s="155">
        <f t="shared" si="33"/>
        <v>12581</v>
      </c>
      <c r="L130" s="155">
        <f t="shared" si="33"/>
        <v>2602</v>
      </c>
      <c r="M130" s="155">
        <f t="shared" si="33"/>
        <v>50854</v>
      </c>
      <c r="N130" s="178">
        <f t="shared" si="33"/>
        <v>117957.13799999998</v>
      </c>
      <c r="O130" s="157">
        <f t="shared" si="33"/>
        <v>79592</v>
      </c>
      <c r="P130" s="5">
        <f t="shared" si="19"/>
        <v>38365.13799999998</v>
      </c>
      <c r="Q130" s="111">
        <f t="shared" si="17"/>
        <v>0.48202253995376393</v>
      </c>
      <c r="R130" s="155"/>
    </row>
    <row r="131" spans="5:18" ht="18">
      <c r="E131" s="158" t="s">
        <v>303</v>
      </c>
      <c r="F131" s="159">
        <v>75</v>
      </c>
      <c r="G131" s="160"/>
      <c r="H131" s="109"/>
      <c r="I131" s="109"/>
      <c r="J131" s="109"/>
      <c r="K131" s="109"/>
      <c r="L131" s="109"/>
      <c r="M131" s="109"/>
      <c r="N131" s="178">
        <f>SUM(F131)</f>
        <v>75</v>
      </c>
      <c r="R131" s="161"/>
    </row>
    <row r="132" spans="3:18" ht="18">
      <c r="C132" s="87" t="s">
        <v>187</v>
      </c>
      <c r="E132" s="154" t="s">
        <v>459</v>
      </c>
      <c r="F132" s="155"/>
      <c r="G132" s="156"/>
      <c r="H132" s="162">
        <v>144</v>
      </c>
      <c r="I132" s="162">
        <v>2205</v>
      </c>
      <c r="J132" s="162">
        <v>3492</v>
      </c>
      <c r="K132" s="162">
        <v>4450</v>
      </c>
      <c r="L132" s="162">
        <v>4089</v>
      </c>
      <c r="M132" s="162">
        <f>SUM(H132:L132)</f>
        <v>14380</v>
      </c>
      <c r="N132" s="178">
        <f>+M132</f>
        <v>14380</v>
      </c>
      <c r="O132" s="157">
        <v>12804</v>
      </c>
      <c r="R132" s="161"/>
    </row>
    <row r="133" spans="6:18" ht="18">
      <c r="F133" s="163"/>
      <c r="G133" s="160"/>
      <c r="H133" s="109"/>
      <c r="I133" s="109"/>
      <c r="J133" s="109"/>
      <c r="K133" s="109"/>
      <c r="L133" s="109"/>
      <c r="M133" s="109"/>
      <c r="N133" s="175"/>
      <c r="R133" s="161"/>
    </row>
    <row r="134" spans="5:18" ht="18">
      <c r="E134" s="154" t="s">
        <v>241</v>
      </c>
      <c r="F134" s="155">
        <f>SUM(F130:F132)</f>
        <v>67178.138</v>
      </c>
      <c r="G134" s="156"/>
      <c r="H134" s="164">
        <f aca="true" t="shared" si="34" ref="H134:N134">SUM(H130:H132)</f>
        <v>6264</v>
      </c>
      <c r="I134" s="162">
        <f t="shared" si="34"/>
        <v>16688</v>
      </c>
      <c r="J134" s="162">
        <f t="shared" si="34"/>
        <v>18560</v>
      </c>
      <c r="K134" s="162">
        <f t="shared" si="34"/>
        <v>17031</v>
      </c>
      <c r="L134" s="162">
        <f t="shared" si="34"/>
        <v>6691</v>
      </c>
      <c r="M134" s="162">
        <f t="shared" si="34"/>
        <v>65234</v>
      </c>
      <c r="N134" s="178">
        <f t="shared" si="34"/>
        <v>132412.13799999998</v>
      </c>
      <c r="O134" s="157">
        <f>SUM(O130:O132)+5</f>
        <v>92401</v>
      </c>
      <c r="R134" s="161"/>
    </row>
    <row r="135" spans="6:18" ht="18">
      <c r="F135" s="163"/>
      <c r="G135" s="160"/>
      <c r="H135" s="109"/>
      <c r="I135" s="109"/>
      <c r="J135" s="109"/>
      <c r="K135" s="109"/>
      <c r="L135" s="109"/>
      <c r="M135" s="109"/>
      <c r="N135" s="175"/>
      <c r="R135" s="161"/>
    </row>
    <row r="136" spans="5:18" ht="18">
      <c r="E136" s="165" t="s">
        <v>188</v>
      </c>
      <c r="F136" s="166"/>
      <c r="G136" s="166"/>
      <c r="H136" s="166"/>
      <c r="I136" s="109"/>
      <c r="J136" s="109"/>
      <c r="K136" s="109"/>
      <c r="L136" s="109"/>
      <c r="M136" s="109"/>
      <c r="N136" s="175"/>
      <c r="P136" s="161">
        <f>SUM(P117:P121,P112:P113,P106,P66:P68,P62,P51,P44,P40,P35,P23)</f>
        <v>30463.292999999998</v>
      </c>
      <c r="Q136" s="161"/>
      <c r="R136" s="167">
        <f>+P136/P130</f>
        <v>0.7940357988546793</v>
      </c>
    </row>
    <row r="137" spans="6:18" ht="18">
      <c r="F137" s="163"/>
      <c r="G137" s="160"/>
      <c r="H137" s="109"/>
      <c r="I137" s="109"/>
      <c r="J137" s="109"/>
      <c r="K137" s="109"/>
      <c r="L137" s="109"/>
      <c r="M137" s="109"/>
      <c r="N137" s="175"/>
      <c r="R137" s="161"/>
    </row>
    <row r="138" spans="6:18" ht="18">
      <c r="F138" s="163"/>
      <c r="G138" s="160"/>
      <c r="H138" s="109"/>
      <c r="I138" s="109"/>
      <c r="J138" s="109"/>
      <c r="K138" s="109"/>
      <c r="L138" s="109"/>
      <c r="M138" s="109"/>
      <c r="N138" s="175"/>
      <c r="R138" s="161"/>
    </row>
    <row r="139" spans="6:18" ht="18">
      <c r="F139" s="163"/>
      <c r="G139" s="160"/>
      <c r="H139" s="109"/>
      <c r="I139" s="109"/>
      <c r="J139" s="109"/>
      <c r="K139" s="109"/>
      <c r="L139" s="109"/>
      <c r="M139" s="109"/>
      <c r="N139" s="175"/>
      <c r="R139" s="161"/>
    </row>
    <row r="140" spans="4:18" ht="18">
      <c r="D140" s="87" t="s">
        <v>190</v>
      </c>
      <c r="F140" s="163">
        <f>SUMIF($D$5:$D$128,"Jim",F$5:F$128)</f>
        <v>5262.503999999999</v>
      </c>
      <c r="G140" s="160"/>
      <c r="H140" s="109">
        <f aca="true" t="shared" si="35" ref="H140:P140">SUMIF($D$5:$D$128,"Jim",H$5:H$128)</f>
        <v>482</v>
      </c>
      <c r="I140" s="109">
        <f t="shared" si="35"/>
        <v>1577</v>
      </c>
      <c r="J140" s="109">
        <f t="shared" si="35"/>
        <v>1723</v>
      </c>
      <c r="K140" s="109">
        <f t="shared" si="35"/>
        <v>1607</v>
      </c>
      <c r="L140" s="109">
        <f t="shared" si="35"/>
        <v>406</v>
      </c>
      <c r="M140" s="109">
        <f t="shared" si="35"/>
        <v>5795</v>
      </c>
      <c r="N140" s="175">
        <f t="shared" si="35"/>
        <v>11057.503999999999</v>
      </c>
      <c r="O140" s="92">
        <f t="shared" si="35"/>
        <v>6631</v>
      </c>
      <c r="P140" s="87">
        <f t="shared" si="35"/>
        <v>4426.503999999998</v>
      </c>
      <c r="R140" s="161"/>
    </row>
    <row r="141" spans="4:16" ht="18">
      <c r="D141" s="87" t="s">
        <v>156</v>
      </c>
      <c r="F141" s="163">
        <f>SUMIF($D$5:$D$128,"Larry",F$5:F$128)</f>
        <v>20428.331000000006</v>
      </c>
      <c r="G141" s="160"/>
      <c r="H141" s="109">
        <f aca="true" t="shared" si="36" ref="H141:P141">SUMIF($D$5:$D$128,"Larry",H$5:H$128)</f>
        <v>2748</v>
      </c>
      <c r="I141" s="109">
        <f t="shared" si="36"/>
        <v>6786</v>
      </c>
      <c r="J141" s="109">
        <f t="shared" si="36"/>
        <v>7718</v>
      </c>
      <c r="K141" s="109">
        <f t="shared" si="36"/>
        <v>5881</v>
      </c>
      <c r="L141" s="109">
        <f t="shared" si="36"/>
        <v>1133</v>
      </c>
      <c r="M141" s="109">
        <f t="shared" si="36"/>
        <v>24266</v>
      </c>
      <c r="N141" s="175">
        <f t="shared" si="36"/>
        <v>44694.33100000001</v>
      </c>
      <c r="O141" s="92">
        <f t="shared" si="36"/>
        <v>25685</v>
      </c>
      <c r="P141" s="87">
        <f t="shared" si="36"/>
        <v>19009.331</v>
      </c>
    </row>
    <row r="142" spans="4:16" ht="18">
      <c r="D142" s="87" t="s">
        <v>155</v>
      </c>
      <c r="F142" s="163">
        <f>SUMIF($D$5:$D$128,"Phil",F$5:F$128)</f>
        <v>40659.653000000006</v>
      </c>
      <c r="G142" s="160"/>
      <c r="H142" s="109">
        <f aca="true" t="shared" si="37" ref="H142:P142">SUMIF($D$5:$D$128,"Phil",H$5:H$128)</f>
        <v>2987</v>
      </c>
      <c r="I142" s="109">
        <f t="shared" si="37"/>
        <v>6085</v>
      </c>
      <c r="J142" s="109">
        <f t="shared" si="37"/>
        <v>4151</v>
      </c>
      <c r="K142" s="109">
        <f t="shared" si="37"/>
        <v>2653</v>
      </c>
      <c r="L142" s="109">
        <f t="shared" si="37"/>
        <v>591</v>
      </c>
      <c r="M142" s="109">
        <f t="shared" si="37"/>
        <v>16467</v>
      </c>
      <c r="N142" s="175">
        <f t="shared" si="37"/>
        <v>57126.653</v>
      </c>
      <c r="O142" s="92">
        <f t="shared" si="37"/>
        <v>40736</v>
      </c>
      <c r="P142" s="87">
        <f t="shared" si="37"/>
        <v>16390.653</v>
      </c>
    </row>
    <row r="143" spans="4:16" ht="18">
      <c r="D143" s="87" t="s">
        <v>191</v>
      </c>
      <c r="F143" s="163">
        <f>SUMIF($D$5:$D$128,"Al",F$5:F$128)</f>
        <v>752.65</v>
      </c>
      <c r="G143" s="160"/>
      <c r="H143" s="109">
        <f aca="true" t="shared" si="38" ref="H143:P143">SUMIF($D$5:$D$128,"Al",H$5:H$128)</f>
        <v>-97</v>
      </c>
      <c r="I143" s="109">
        <f t="shared" si="38"/>
        <v>35</v>
      </c>
      <c r="J143" s="109">
        <f t="shared" si="38"/>
        <v>1476</v>
      </c>
      <c r="K143" s="109">
        <f t="shared" si="38"/>
        <v>2440</v>
      </c>
      <c r="L143" s="109">
        <f t="shared" si="38"/>
        <v>472</v>
      </c>
      <c r="M143" s="109">
        <f t="shared" si="38"/>
        <v>4326</v>
      </c>
      <c r="N143" s="175">
        <f t="shared" si="38"/>
        <v>5078.650000000001</v>
      </c>
      <c r="O143" s="92">
        <f t="shared" si="38"/>
        <v>6540</v>
      </c>
      <c r="P143" s="87">
        <f t="shared" si="38"/>
        <v>-1461.3500000000001</v>
      </c>
    </row>
    <row r="144" spans="6:14" ht="18">
      <c r="F144" s="163"/>
      <c r="G144" s="160"/>
      <c r="H144" s="109"/>
      <c r="I144" s="109"/>
      <c r="J144" s="109"/>
      <c r="K144" s="109"/>
      <c r="L144" s="109"/>
      <c r="M144" s="109"/>
      <c r="N144" s="175"/>
    </row>
    <row r="145" spans="6:18" ht="18">
      <c r="F145" s="163">
        <f>SUM(F140:F144)</f>
        <v>67103.138</v>
      </c>
      <c r="G145" s="160"/>
      <c r="H145" s="109">
        <f aca="true" t="shared" si="39" ref="H145:P145">SUM(H140:H144)</f>
        <v>6120</v>
      </c>
      <c r="I145" s="109">
        <f t="shared" si="39"/>
        <v>14483</v>
      </c>
      <c r="J145" s="109">
        <f t="shared" si="39"/>
        <v>15068</v>
      </c>
      <c r="K145" s="109">
        <f t="shared" si="39"/>
        <v>12581</v>
      </c>
      <c r="L145" s="109">
        <f t="shared" si="39"/>
        <v>2602</v>
      </c>
      <c r="M145" s="109">
        <f t="shared" si="39"/>
        <v>50854</v>
      </c>
      <c r="N145" s="175">
        <f t="shared" si="39"/>
        <v>117957.138</v>
      </c>
      <c r="O145" s="92">
        <f t="shared" si="39"/>
        <v>79592</v>
      </c>
      <c r="P145" s="87">
        <f t="shared" si="39"/>
        <v>38365.138</v>
      </c>
      <c r="R145" s="16"/>
    </row>
    <row r="146" spans="6:18" ht="18">
      <c r="F146" s="163"/>
      <c r="G146" s="160"/>
      <c r="H146" s="109"/>
      <c r="I146" s="109"/>
      <c r="J146" s="109"/>
      <c r="K146" s="109"/>
      <c r="L146" s="109"/>
      <c r="M146" s="109"/>
      <c r="N146" s="175"/>
      <c r="R146" s="16"/>
    </row>
    <row r="147" spans="6:18" ht="18">
      <c r="F147" s="107"/>
      <c r="G147" s="108"/>
      <c r="H147" s="109"/>
      <c r="I147" s="109"/>
      <c r="J147" s="109"/>
      <c r="K147" s="109"/>
      <c r="L147" s="109"/>
      <c r="M147" s="109"/>
      <c r="N147" s="175"/>
      <c r="R147" s="161"/>
    </row>
    <row r="148" spans="6:18" ht="18">
      <c r="F148" s="163"/>
      <c r="G148" s="160"/>
      <c r="H148" s="109"/>
      <c r="I148" s="109"/>
      <c r="J148" s="109"/>
      <c r="K148" s="109"/>
      <c r="L148" s="109"/>
      <c r="M148" s="109"/>
      <c r="N148" s="175"/>
      <c r="R148" s="161"/>
    </row>
    <row r="149" spans="6:18" ht="18">
      <c r="F149" s="163"/>
      <c r="G149" s="160"/>
      <c r="H149" s="109"/>
      <c r="I149" s="109"/>
      <c r="J149" s="109"/>
      <c r="K149" s="109"/>
      <c r="L149" s="109"/>
      <c r="M149" s="109"/>
      <c r="N149" s="175"/>
      <c r="R149" s="161"/>
    </row>
    <row r="150" spans="6:18" ht="18">
      <c r="F150" s="163"/>
      <c r="G150" s="160"/>
      <c r="H150" s="109"/>
      <c r="I150" s="109"/>
      <c r="J150" s="109"/>
      <c r="K150" s="109"/>
      <c r="L150" s="109"/>
      <c r="M150" s="109"/>
      <c r="N150" s="175"/>
      <c r="R150" s="161"/>
    </row>
    <row r="151" spans="6:18" ht="18">
      <c r="F151" s="163"/>
      <c r="G151" s="160"/>
      <c r="H151" s="109"/>
      <c r="I151" s="109"/>
      <c r="J151" s="109"/>
      <c r="K151" s="109"/>
      <c r="L151" s="109"/>
      <c r="M151" s="109"/>
      <c r="N151" s="175"/>
      <c r="R151" s="161"/>
    </row>
    <row r="152" spans="6:18" ht="18">
      <c r="F152" s="163"/>
      <c r="G152" s="160"/>
      <c r="H152" s="109"/>
      <c r="I152" s="109"/>
      <c r="J152" s="109"/>
      <c r="K152" s="109"/>
      <c r="L152" s="109"/>
      <c r="M152" s="109"/>
      <c r="N152" s="175"/>
      <c r="R152" s="161"/>
    </row>
    <row r="153" spans="6:18" ht="18">
      <c r="F153" s="168"/>
      <c r="G153" s="169"/>
      <c r="R153" s="161"/>
    </row>
    <row r="154" spans="6:18" ht="18">
      <c r="F154" s="168"/>
      <c r="G154" s="169"/>
      <c r="R154" s="161"/>
    </row>
    <row r="155" spans="6:18" ht="18">
      <c r="F155" s="168"/>
      <c r="G155" s="169"/>
      <c r="R155" s="161"/>
    </row>
    <row r="156" spans="6:18" ht="18">
      <c r="F156" s="168"/>
      <c r="G156" s="169"/>
      <c r="R156" s="161"/>
    </row>
    <row r="157" spans="6:18" ht="18">
      <c r="F157" s="168"/>
      <c r="G157" s="169"/>
      <c r="R157" s="161"/>
    </row>
    <row r="158" spans="6:18" ht="18">
      <c r="F158" s="168"/>
      <c r="G158" s="169"/>
      <c r="R158" s="161"/>
    </row>
    <row r="159" spans="6:18" ht="18">
      <c r="F159" s="168"/>
      <c r="G159" s="169"/>
      <c r="R159" s="161"/>
    </row>
    <row r="160" spans="6:18" ht="18">
      <c r="F160" s="168"/>
      <c r="G160" s="169"/>
      <c r="R160" s="161"/>
    </row>
    <row r="161" spans="6:18" ht="18">
      <c r="F161" s="168"/>
      <c r="G161" s="169"/>
      <c r="R161" s="161"/>
    </row>
    <row r="162" spans="6:18" ht="18">
      <c r="F162" s="168"/>
      <c r="G162" s="169"/>
      <c r="R162" s="161"/>
    </row>
    <row r="163" spans="6:18" ht="18">
      <c r="F163" s="168"/>
      <c r="G163" s="169"/>
      <c r="R163" s="161"/>
    </row>
    <row r="164" spans="6:18" ht="18">
      <c r="F164" s="168"/>
      <c r="G164" s="169"/>
      <c r="R164" s="161"/>
    </row>
    <row r="165" spans="6:18" ht="18">
      <c r="F165" s="168"/>
      <c r="G165" s="169"/>
      <c r="R165" s="161"/>
    </row>
    <row r="166" spans="6:18" ht="18">
      <c r="F166" s="168"/>
      <c r="G166" s="169"/>
      <c r="R166" s="161"/>
    </row>
    <row r="167" spans="6:18" ht="18">
      <c r="F167" s="168"/>
      <c r="G167" s="169"/>
      <c r="R167" s="161"/>
    </row>
    <row r="168" spans="6:18" ht="18">
      <c r="F168" s="168"/>
      <c r="G168" s="169"/>
      <c r="R168" s="161"/>
    </row>
    <row r="169" spans="6:18" ht="18">
      <c r="F169" s="168"/>
      <c r="G169" s="169"/>
      <c r="R169" s="161"/>
    </row>
    <row r="170" spans="6:18" ht="18">
      <c r="F170" s="168"/>
      <c r="G170" s="169"/>
      <c r="R170" s="161"/>
    </row>
    <row r="171" spans="6:18" ht="18">
      <c r="F171" s="168"/>
      <c r="G171" s="169"/>
      <c r="R171" s="161"/>
    </row>
    <row r="172" spans="6:18" ht="18">
      <c r="F172" s="168"/>
      <c r="G172" s="169"/>
      <c r="R172" s="161"/>
    </row>
    <row r="173" spans="6:18" ht="18">
      <c r="F173" s="168"/>
      <c r="G173" s="169"/>
      <c r="R173" s="161"/>
    </row>
    <row r="174" spans="6:18" ht="18">
      <c r="F174" s="168"/>
      <c r="G174" s="169"/>
      <c r="R174" s="161"/>
    </row>
    <row r="175" spans="6:18" ht="18">
      <c r="F175" s="168"/>
      <c r="G175" s="169"/>
      <c r="R175" s="161"/>
    </row>
    <row r="176" spans="6:18" ht="18">
      <c r="F176" s="168"/>
      <c r="G176" s="169"/>
      <c r="R176" s="161"/>
    </row>
    <row r="177" spans="6:18" ht="18">
      <c r="F177" s="168"/>
      <c r="G177" s="169"/>
      <c r="R177" s="161"/>
    </row>
    <row r="178" spans="6:18" ht="18">
      <c r="F178" s="168"/>
      <c r="G178" s="169"/>
      <c r="R178" s="161"/>
    </row>
    <row r="179" spans="6:18" ht="18">
      <c r="F179" s="168"/>
      <c r="G179" s="169"/>
      <c r="R179" s="161"/>
    </row>
    <row r="180" spans="6:18" ht="18">
      <c r="F180" s="168"/>
      <c r="G180" s="169"/>
      <c r="R180" s="161"/>
    </row>
    <row r="181" spans="6:18" ht="18">
      <c r="F181" s="168"/>
      <c r="G181" s="169"/>
      <c r="R181" s="161"/>
    </row>
    <row r="182" spans="6:18" ht="18">
      <c r="F182" s="168"/>
      <c r="G182" s="169"/>
      <c r="R182" s="161"/>
    </row>
    <row r="183" spans="6:18" ht="18">
      <c r="F183" s="168"/>
      <c r="G183" s="169"/>
      <c r="R183" s="161"/>
    </row>
    <row r="184" spans="6:18" ht="18">
      <c r="F184" s="168"/>
      <c r="G184" s="169"/>
      <c r="R184" s="161"/>
    </row>
    <row r="185" spans="6:18" ht="18">
      <c r="F185" s="168"/>
      <c r="G185" s="169"/>
      <c r="R185" s="161"/>
    </row>
    <row r="186" spans="6:18" ht="18">
      <c r="F186" s="168"/>
      <c r="G186" s="169"/>
      <c r="R186" s="161"/>
    </row>
    <row r="187" ht="18">
      <c r="R187" s="161"/>
    </row>
    <row r="188" ht="18">
      <c r="R188" s="161"/>
    </row>
    <row r="189" ht="18">
      <c r="R189" s="161"/>
    </row>
    <row r="190" ht="18">
      <c r="R190" s="161"/>
    </row>
    <row r="191" ht="18">
      <c r="R191" s="161"/>
    </row>
  </sheetData>
  <printOptions/>
  <pageMargins left="0.36" right="0.22" top="0.53" bottom="0.48" header="0.5" footer="0.5"/>
  <pageSetup fitToHeight="1" fitToWidth="1" horizontalDpi="600" verticalDpi="600" orientation="portrait" paperSize="218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4"/>
  <sheetViews>
    <sheetView workbookViewId="0" topLeftCell="B1">
      <selection activeCell="L10" sqref="L10"/>
    </sheetView>
  </sheetViews>
  <sheetFormatPr defaultColWidth="9.140625" defaultRowHeight="12.75"/>
  <cols>
    <col min="2" max="2" width="15.00390625" style="0" customWidth="1"/>
    <col min="3" max="3" width="13.140625" style="0" customWidth="1"/>
    <col min="5" max="5" width="11.00390625" style="0" customWidth="1"/>
  </cols>
  <sheetData>
    <row r="1" spans="6:52" ht="13.5" thickBot="1">
      <c r="F1" s="1412" t="s">
        <v>706</v>
      </c>
      <c r="G1" s="1410"/>
      <c r="H1" s="1410"/>
      <c r="I1" s="1410"/>
      <c r="J1" s="1411"/>
      <c r="K1" s="1413"/>
      <c r="L1" s="1414"/>
      <c r="M1" s="1414"/>
      <c r="N1" s="1414"/>
      <c r="O1" s="1414"/>
      <c r="P1" s="1414"/>
      <c r="Q1" s="1414"/>
      <c r="R1" s="1414"/>
      <c r="S1" s="1414"/>
      <c r="T1" s="1414"/>
      <c r="U1" s="1414"/>
      <c r="V1" s="1415"/>
      <c r="W1" s="1413"/>
      <c r="X1" s="1414"/>
      <c r="Y1" s="1414"/>
      <c r="Z1" s="1414"/>
      <c r="AA1" s="1414"/>
      <c r="AB1" s="1414"/>
      <c r="AC1" s="1414"/>
      <c r="AD1" s="1414"/>
      <c r="AE1" s="1414"/>
      <c r="AF1" s="1414"/>
      <c r="AG1" s="1414"/>
      <c r="AH1" s="1415"/>
      <c r="AI1" s="1413"/>
      <c r="AJ1" s="1414"/>
      <c r="AK1" s="1414"/>
      <c r="AL1" s="1414"/>
      <c r="AM1" s="1414"/>
      <c r="AN1" s="1414"/>
      <c r="AO1" s="1414"/>
      <c r="AP1" s="1414"/>
      <c r="AQ1" s="1414"/>
      <c r="AR1" s="1414"/>
      <c r="AS1" s="1414"/>
      <c r="AT1" s="1415"/>
      <c r="AU1" s="1413"/>
      <c r="AV1" s="1414"/>
      <c r="AW1" s="1414"/>
      <c r="AX1" s="1414"/>
      <c r="AY1" s="1414"/>
      <c r="AZ1" s="1415"/>
    </row>
    <row r="2" spans="2:66" s="340" customFormat="1" ht="39" customHeight="1" thickBot="1">
      <c r="B2" s="477"/>
      <c r="C2" s="538" t="s">
        <v>235</v>
      </c>
      <c r="D2" s="539" t="s">
        <v>531</v>
      </c>
      <c r="E2" s="540" t="s">
        <v>696</v>
      </c>
      <c r="F2" s="505" t="s">
        <v>700</v>
      </c>
      <c r="G2" s="499" t="s">
        <v>704</v>
      </c>
      <c r="H2" s="499" t="s">
        <v>705</v>
      </c>
      <c r="I2" s="499" t="s">
        <v>707</v>
      </c>
      <c r="J2" s="514" t="s">
        <v>708</v>
      </c>
      <c r="K2" s="480" t="s">
        <v>709</v>
      </c>
      <c r="L2" s="481" t="s">
        <v>710</v>
      </c>
      <c r="M2" s="481" t="s">
        <v>711</v>
      </c>
      <c r="N2" s="481" t="s">
        <v>712</v>
      </c>
      <c r="O2" s="481" t="s">
        <v>713</v>
      </c>
      <c r="P2" s="481" t="s">
        <v>714</v>
      </c>
      <c r="Q2" s="481" t="s">
        <v>715</v>
      </c>
      <c r="R2" s="481" t="s">
        <v>701</v>
      </c>
      <c r="S2" s="481" t="s">
        <v>716</v>
      </c>
      <c r="T2" s="481" t="s">
        <v>717</v>
      </c>
      <c r="U2" s="481" t="s">
        <v>718</v>
      </c>
      <c r="V2" s="482" t="s">
        <v>719</v>
      </c>
      <c r="W2" s="480" t="s">
        <v>720</v>
      </c>
      <c r="X2" s="481" t="s">
        <v>721</v>
      </c>
      <c r="Y2" s="481" t="s">
        <v>722</v>
      </c>
      <c r="Z2" s="481" t="s">
        <v>723</v>
      </c>
      <c r="AA2" s="481" t="s">
        <v>724</v>
      </c>
      <c r="AB2" s="481" t="s">
        <v>725</v>
      </c>
      <c r="AC2" s="481" t="s">
        <v>726</v>
      </c>
      <c r="AD2" s="481" t="s">
        <v>702</v>
      </c>
      <c r="AE2" s="481" t="s">
        <v>727</v>
      </c>
      <c r="AF2" s="481" t="s">
        <v>728</v>
      </c>
      <c r="AG2" s="481" t="s">
        <v>729</v>
      </c>
      <c r="AH2" s="482" t="s">
        <v>730</v>
      </c>
      <c r="AI2" s="480" t="s">
        <v>731</v>
      </c>
      <c r="AJ2" s="481" t="s">
        <v>732</v>
      </c>
      <c r="AK2" s="481" t="s">
        <v>733</v>
      </c>
      <c r="AL2" s="481" t="s">
        <v>734</v>
      </c>
      <c r="AM2" s="481" t="s">
        <v>735</v>
      </c>
      <c r="AN2" s="481" t="s">
        <v>736</v>
      </c>
      <c r="AO2" s="481" t="s">
        <v>737</v>
      </c>
      <c r="AP2" s="481" t="s">
        <v>703</v>
      </c>
      <c r="AQ2" s="481" t="s">
        <v>738</v>
      </c>
      <c r="AR2" s="481" t="s">
        <v>739</v>
      </c>
      <c r="AS2" s="481" t="s">
        <v>740</v>
      </c>
      <c r="AT2" s="482" t="s">
        <v>741</v>
      </c>
      <c r="AU2" s="480" t="s">
        <v>742</v>
      </c>
      <c r="AV2" s="481" t="s">
        <v>743</v>
      </c>
      <c r="AW2" s="481" t="s">
        <v>744</v>
      </c>
      <c r="AX2" s="481" t="s">
        <v>745</v>
      </c>
      <c r="AY2" s="481" t="s">
        <v>746</v>
      </c>
      <c r="AZ2" s="482" t="s">
        <v>747</v>
      </c>
      <c r="BA2" s="339" t="s">
        <v>375</v>
      </c>
      <c r="BB2" s="339" t="s">
        <v>376</v>
      </c>
      <c r="BC2" s="339" t="s">
        <v>377</v>
      </c>
      <c r="BD2" s="339" t="s">
        <v>378</v>
      </c>
      <c r="BE2" s="339" t="s">
        <v>355</v>
      </c>
      <c r="BF2" s="339" t="s">
        <v>356</v>
      </c>
      <c r="BG2" s="339" t="s">
        <v>379</v>
      </c>
      <c r="BH2" s="339" t="s">
        <v>380</v>
      </c>
      <c r="BI2" s="339" t="s">
        <v>381</v>
      </c>
      <c r="BJ2" s="339" t="s">
        <v>382</v>
      </c>
      <c r="BK2" s="339" t="s">
        <v>383</v>
      </c>
      <c r="BL2" s="339" t="s">
        <v>384</v>
      </c>
      <c r="BM2" s="339" t="s">
        <v>385</v>
      </c>
      <c r="BN2" s="339" t="s">
        <v>386</v>
      </c>
    </row>
    <row r="3" spans="1:64" s="1" customFormat="1" ht="11.25">
      <c r="A3" s="467">
        <f>SUM(C3:D3)</f>
        <v>11056.503999999999</v>
      </c>
      <c r="B3" s="541" t="s">
        <v>533</v>
      </c>
      <c r="C3" s="512">
        <f>SUM('Baseline Reconciliation'!F140)</f>
        <v>5262.503999999999</v>
      </c>
      <c r="D3" s="535">
        <f>SUM('BCWS by JOB'!D6)</f>
        <v>5794</v>
      </c>
      <c r="E3" s="469">
        <f>SUM('BCWS by JOB'!E6)</f>
        <v>755</v>
      </c>
      <c r="F3" s="512">
        <f>SUM('BCWS by JOB'!F6)</f>
        <v>104</v>
      </c>
      <c r="G3" s="513">
        <f>SUM('BCWS by JOB'!G6)</f>
        <v>95</v>
      </c>
      <c r="H3" s="513">
        <f>SUM('BCWS by JOB'!H6)</f>
        <v>95</v>
      </c>
      <c r="I3" s="513">
        <f>SUM('BCWS by JOB'!I6)</f>
        <v>103</v>
      </c>
      <c r="J3" s="469">
        <f>SUM('BCWS by JOB'!J6)</f>
        <v>86</v>
      </c>
      <c r="K3" s="512">
        <f>SUM('BCWS by JOB'!K6)</f>
        <v>145</v>
      </c>
      <c r="L3" s="513">
        <f>SUM('BCWS by JOB'!L6)</f>
        <v>127</v>
      </c>
      <c r="M3" s="513">
        <f>SUM('BCWS by JOB'!M6)</f>
        <v>95</v>
      </c>
      <c r="N3" s="513">
        <f>SUM('BCWS by JOB'!N6)</f>
        <v>139</v>
      </c>
      <c r="O3" s="513">
        <f>SUM('BCWS by JOB'!O6)</f>
        <v>132</v>
      </c>
      <c r="P3" s="513">
        <f>SUM('BCWS by JOB'!P6)</f>
        <v>132</v>
      </c>
      <c r="Q3" s="513">
        <f>SUM('BCWS by JOB'!Q6)</f>
        <v>139</v>
      </c>
      <c r="R3" s="513">
        <f>SUM('BCWS by JOB'!R6)</f>
        <v>132</v>
      </c>
      <c r="S3" s="513">
        <f>SUM('BCWS by JOB'!S6)</f>
        <v>132</v>
      </c>
      <c r="T3" s="513">
        <f>SUM('BCWS by JOB'!T6)</f>
        <v>139</v>
      </c>
      <c r="U3" s="513">
        <f>SUM('BCWS by JOB'!U6)</f>
        <v>132</v>
      </c>
      <c r="V3" s="513">
        <f>SUM('BCWS by JOB'!V6)</f>
        <v>131</v>
      </c>
      <c r="W3" s="2">
        <f>SUM('BCWS by JOB'!W6)</f>
        <v>159</v>
      </c>
      <c r="X3" s="2">
        <f>SUM('BCWS by JOB'!X6)</f>
        <v>126</v>
      </c>
      <c r="Y3" s="2">
        <f>SUM('BCWS by JOB'!Y6)</f>
        <v>118</v>
      </c>
      <c r="Z3" s="2">
        <f>SUM('BCWS by JOB'!Z6)</f>
        <v>146</v>
      </c>
      <c r="AA3" s="2">
        <f>SUM('BCWS by JOB'!AA6)</f>
        <v>139</v>
      </c>
      <c r="AB3" s="2">
        <f>SUM('BCWS by JOB'!AB6)</f>
        <v>152</v>
      </c>
      <c r="AC3" s="2">
        <f>SUM('BCWS by JOB'!AC6)</f>
        <v>152</v>
      </c>
      <c r="AD3" s="2">
        <f>SUM('BCWS by JOB'!AD6)</f>
        <v>139</v>
      </c>
      <c r="AE3" s="2">
        <f>SUM('BCWS by JOB'!AE6)</f>
        <v>152</v>
      </c>
      <c r="AF3" s="2">
        <f>SUM('BCWS by JOB'!AF6)</f>
        <v>152</v>
      </c>
      <c r="AG3" s="2">
        <f>SUM('BCWS by JOB'!AG6)</f>
        <v>146</v>
      </c>
      <c r="AH3" s="2">
        <f>SUM('BCWS by JOB'!AH6)</f>
        <v>142</v>
      </c>
      <c r="AI3" s="2">
        <f>SUM('BCWS by JOB'!AI6)</f>
        <v>142</v>
      </c>
      <c r="AJ3" s="2">
        <f>SUM('BCWS by JOB'!AJ6)</f>
        <v>123</v>
      </c>
      <c r="AK3" s="2">
        <f>SUM('BCWS by JOB'!AK6)</f>
        <v>104</v>
      </c>
      <c r="AL3" s="2">
        <f>SUM('BCWS by JOB'!AL6)</f>
        <v>130</v>
      </c>
      <c r="AM3" s="2">
        <f>SUM('BCWS by JOB'!AM6)</f>
        <v>130</v>
      </c>
      <c r="AN3" s="2">
        <f>SUM('BCWS by JOB'!AN6)</f>
        <v>149</v>
      </c>
      <c r="AO3" s="2">
        <f>SUM('BCWS by JOB'!AO6)</f>
        <v>142</v>
      </c>
      <c r="AP3" s="2">
        <f>SUM('BCWS by JOB'!AP6)</f>
        <v>130</v>
      </c>
      <c r="AQ3" s="2">
        <f>SUM('BCWS by JOB'!AQ6)</f>
        <v>142</v>
      </c>
      <c r="AR3" s="2">
        <f>SUM('BCWS by JOB'!AR6)</f>
        <v>136</v>
      </c>
      <c r="AS3" s="2">
        <f>SUM('BCWS by JOB'!AS6)</f>
        <v>142</v>
      </c>
      <c r="AT3" s="2">
        <f>SUM('BCWS by JOB'!AT6)</f>
        <v>136</v>
      </c>
      <c r="AU3" s="2">
        <f>SUM('BCWS by JOB'!AU6)</f>
        <v>108</v>
      </c>
      <c r="AV3" s="2">
        <f>SUM('BCWS by JOB'!AV6)</f>
        <v>103</v>
      </c>
      <c r="AW3" s="2">
        <f>SUM('BCWS by JOB'!AW6)</f>
        <v>87</v>
      </c>
      <c r="AX3" s="2">
        <f>SUM('BCWS by JOB'!AX6)</f>
        <v>108</v>
      </c>
      <c r="AY3" s="2">
        <f>SUM('BCWS by JOB'!AY6)</f>
        <v>1</v>
      </c>
      <c r="AZ3" s="2">
        <f>SUM('BCWS by JOB'!AZ6)</f>
        <v>0</v>
      </c>
      <c r="BA3" s="2">
        <f>SUM('BCWS by JOB'!BA6)</f>
        <v>0</v>
      </c>
      <c r="BB3" s="2">
        <f>SUM('BCWS by JOB'!BB6)</f>
        <v>0</v>
      </c>
      <c r="BC3" s="2">
        <f>SUM('BCWS by JOB'!BC6)</f>
        <v>0</v>
      </c>
      <c r="BD3" s="2">
        <f>SUM('BCWS by JOB'!BD6)</f>
        <v>0</v>
      </c>
      <c r="BE3" s="2">
        <f>SUM('BCWS by JOB'!BE6)</f>
        <v>0</v>
      </c>
      <c r="BF3" s="2">
        <f>SUM('BCWS by JOB'!BF6)</f>
        <v>0</v>
      </c>
      <c r="BG3" s="2">
        <f>SUM('BCWS by JOB'!BG6)</f>
        <v>0</v>
      </c>
      <c r="BH3" s="2">
        <f>SUM('BCWS by JOB'!BH6)</f>
        <v>0</v>
      </c>
      <c r="BI3" s="2">
        <f>SUM('BCWS by JOB'!BI6)</f>
        <v>0</v>
      </c>
      <c r="BJ3" s="2">
        <f>SUM('BCWS by JOB'!BJ6)</f>
        <v>0</v>
      </c>
      <c r="BK3" s="2">
        <f>SUM('BCWS by JOB'!BK6)</f>
        <v>0</v>
      </c>
      <c r="BL3" s="2">
        <f>SUM('BCWS by JOB'!BL6)</f>
        <v>0</v>
      </c>
    </row>
    <row r="4" spans="1:64" s="1" customFormat="1" ht="11.25">
      <c r="A4" s="470">
        <f>SUM(C4:D4)</f>
        <v>45121.891</v>
      </c>
      <c r="B4" s="542" t="s">
        <v>534</v>
      </c>
      <c r="C4" s="508">
        <f>SUM('Baseline Reconciliation'!F141)</f>
        <v>20428.331000000006</v>
      </c>
      <c r="D4" s="534">
        <f>SUM('BCWS by JOB'!D33)</f>
        <v>24693.559999999998</v>
      </c>
      <c r="E4" s="471">
        <f>SUM('BCWS by JOB'!E33)</f>
        <v>4659.28</v>
      </c>
      <c r="F4" s="508">
        <f>SUM('BCWS by JOB'!F33)</f>
        <v>196.57</v>
      </c>
      <c r="G4" s="509">
        <f>SUM('BCWS by JOB'!G33)</f>
        <v>494.19000000000005</v>
      </c>
      <c r="H4" s="509">
        <f>SUM('BCWS by JOB'!H33)</f>
        <v>847.97</v>
      </c>
      <c r="I4" s="509">
        <f>SUM('BCWS by JOB'!I33)</f>
        <v>726.4000000000001</v>
      </c>
      <c r="J4" s="471">
        <f>SUM('BCWS by JOB'!J33)</f>
        <v>547.77</v>
      </c>
      <c r="K4" s="508">
        <f>SUM('BCWS by JOB'!K33)</f>
        <v>1204.6100000000001</v>
      </c>
      <c r="L4" s="509">
        <f>SUM('BCWS by JOB'!L33)</f>
        <v>641.77</v>
      </c>
      <c r="M4" s="509">
        <f>SUM('BCWS by JOB'!M33)</f>
        <v>490.99</v>
      </c>
      <c r="N4" s="509">
        <f>SUM('BCWS by JOB'!N33)</f>
        <v>733.1800000000001</v>
      </c>
      <c r="O4" s="509">
        <f>SUM('BCWS by JOB'!O33)</f>
        <v>615.01</v>
      </c>
      <c r="P4" s="509">
        <f>SUM('BCWS by JOB'!P33)</f>
        <v>599.26</v>
      </c>
      <c r="Q4" s="509">
        <f>SUM('BCWS by JOB'!Q33)</f>
        <v>565.74</v>
      </c>
      <c r="R4" s="509">
        <f>SUM('BCWS by JOB'!R33)</f>
        <v>520.27</v>
      </c>
      <c r="S4" s="509">
        <f>SUM('BCWS by JOB'!S33)</f>
        <v>441.47</v>
      </c>
      <c r="T4" s="509">
        <f>SUM('BCWS by JOB'!T33)</f>
        <v>567.25</v>
      </c>
      <c r="U4" s="509">
        <f>SUM('BCWS by JOB'!U33)</f>
        <v>382.9</v>
      </c>
      <c r="V4" s="509">
        <f>SUM('BCWS by JOB'!V33)</f>
        <v>368.82</v>
      </c>
      <c r="W4" s="2">
        <f>SUM('BCWS by JOB'!W33)</f>
        <v>467.28</v>
      </c>
      <c r="X4" s="2">
        <f>SUM('BCWS by JOB'!X33)</f>
        <v>499.05</v>
      </c>
      <c r="Y4" s="2">
        <f>SUM('BCWS by JOB'!Y33)</f>
        <v>700.13</v>
      </c>
      <c r="Z4" s="2">
        <f>SUM('BCWS by JOB'!Z33)</f>
        <v>870.14</v>
      </c>
      <c r="AA4" s="2">
        <f>SUM('BCWS by JOB'!AA33)</f>
        <v>709.69</v>
      </c>
      <c r="AB4" s="2">
        <f>SUM('BCWS by JOB'!AB33)</f>
        <v>742.23</v>
      </c>
      <c r="AC4" s="2">
        <f>SUM('BCWS by JOB'!AC33)</f>
        <v>653.24</v>
      </c>
      <c r="AD4" s="2">
        <f>SUM('BCWS by JOB'!AD33)</f>
        <v>657.74</v>
      </c>
      <c r="AE4" s="2">
        <f>SUM('BCWS by JOB'!AE33)</f>
        <v>669.4</v>
      </c>
      <c r="AF4" s="2">
        <f>SUM('BCWS by JOB'!AF33)</f>
        <v>589.3199999999999</v>
      </c>
      <c r="AG4" s="2">
        <f>SUM('BCWS by JOB'!AG33)</f>
        <v>545.1700000000001</v>
      </c>
      <c r="AH4" s="2">
        <f>SUM('BCWS by JOB'!AH33)</f>
        <v>610.1700000000001</v>
      </c>
      <c r="AI4" s="2">
        <f>SUM('BCWS by JOB'!AI33)</f>
        <v>830.3199999999999</v>
      </c>
      <c r="AJ4" s="2">
        <f>SUM('BCWS by JOB'!AJ33)</f>
        <v>573.51</v>
      </c>
      <c r="AK4" s="2">
        <f>SUM('BCWS by JOB'!AK33)</f>
        <v>417</v>
      </c>
      <c r="AL4" s="2">
        <f>SUM('BCWS by JOB'!AL33)</f>
        <v>544</v>
      </c>
      <c r="AM4" s="2">
        <f>SUM('BCWS by JOB'!AM33)</f>
        <v>389</v>
      </c>
      <c r="AN4" s="2">
        <f>SUM('BCWS by JOB'!AN33)</f>
        <v>562</v>
      </c>
      <c r="AO4" s="2">
        <f>SUM('BCWS by JOB'!AO33)</f>
        <v>619</v>
      </c>
      <c r="AP4" s="2">
        <f>SUM('BCWS by JOB'!AP33)</f>
        <v>482</v>
      </c>
      <c r="AQ4" s="2">
        <f>SUM('BCWS by JOB'!AQ33)</f>
        <v>428</v>
      </c>
      <c r="AR4" s="2">
        <f>SUM('BCWS by JOB'!AR33)</f>
        <v>358</v>
      </c>
      <c r="AS4" s="2">
        <f>SUM('BCWS by JOB'!AS33)</f>
        <v>375</v>
      </c>
      <c r="AT4" s="2">
        <f>SUM('BCWS by JOB'!AT33)</f>
        <v>324</v>
      </c>
      <c r="AU4" s="2">
        <f>SUM('BCWS by JOB'!AU33)</f>
        <v>410</v>
      </c>
      <c r="AV4" s="2">
        <f>SUM('BCWS by JOB'!AV33)</f>
        <v>375</v>
      </c>
      <c r="AW4" s="2">
        <f>SUM('BCWS by JOB'!AW33)</f>
        <v>318</v>
      </c>
      <c r="AX4" s="2">
        <f>SUM('BCWS by JOB'!AX33)</f>
        <v>31</v>
      </c>
      <c r="AY4" s="2">
        <f>SUM('BCWS by JOB'!AY33)</f>
        <v>0</v>
      </c>
      <c r="AZ4" s="2">
        <f>SUM('BCWS by JOB'!AZ33)</f>
        <v>0</v>
      </c>
      <c r="BA4" s="2">
        <f>SUM('BCWS by JOB'!BA33)</f>
        <v>0</v>
      </c>
      <c r="BB4" s="2">
        <f>SUM('BCWS by JOB'!BB33)</f>
        <v>0</v>
      </c>
      <c r="BC4" s="2">
        <f>SUM('BCWS by JOB'!BC33)</f>
        <v>0</v>
      </c>
      <c r="BD4" s="2">
        <f>SUM('BCWS by JOB'!BD33)</f>
        <v>0</v>
      </c>
      <c r="BE4" s="2">
        <f>SUM('BCWS by JOB'!BE33)</f>
        <v>0</v>
      </c>
      <c r="BF4" s="2">
        <f>SUM('BCWS by JOB'!BF33)</f>
        <v>0</v>
      </c>
      <c r="BG4" s="2">
        <f>SUM('BCWS by JOB'!BG33)</f>
        <v>0</v>
      </c>
      <c r="BH4" s="2">
        <f>SUM('BCWS by JOB'!BH33)</f>
        <v>0</v>
      </c>
      <c r="BI4" s="2">
        <f>SUM('BCWS by JOB'!BI33)</f>
        <v>0</v>
      </c>
      <c r="BJ4" s="2">
        <f>SUM('BCWS by JOB'!BJ33)</f>
        <v>0</v>
      </c>
      <c r="BK4" s="2">
        <f>SUM('BCWS by JOB'!BK33)</f>
        <v>0</v>
      </c>
      <c r="BL4" s="2">
        <f>SUM('BCWS by JOB'!BL33)</f>
        <v>0</v>
      </c>
    </row>
    <row r="5" spans="1:64" s="1" customFormat="1" ht="11.25">
      <c r="A5" s="470">
        <f>SUM(C5:D5)</f>
        <v>58190.153000000006</v>
      </c>
      <c r="B5" s="542" t="s">
        <v>535</v>
      </c>
      <c r="C5" s="508">
        <f>SUM('Baseline Reconciliation'!F142)</f>
        <v>40659.653000000006</v>
      </c>
      <c r="D5" s="534">
        <f>SUM('BCWS by JOB'!D61)</f>
        <v>17530.5</v>
      </c>
      <c r="E5" s="471">
        <f>SUM('BCWS by JOB'!E61)</f>
        <v>3601.4</v>
      </c>
      <c r="F5" s="515">
        <f>SUM('BCWS by JOB'!F61)</f>
        <v>423.8</v>
      </c>
      <c r="G5" s="516">
        <f>SUM('BCWS by JOB'!G61)</f>
        <v>618</v>
      </c>
      <c r="H5" s="516">
        <f>SUM('BCWS by JOB'!H61)</f>
        <v>608</v>
      </c>
      <c r="I5" s="516">
        <f>SUM('BCWS by JOB'!I61)</f>
        <v>497</v>
      </c>
      <c r="J5" s="479">
        <f>SUM('BCWS by JOB'!J61)</f>
        <v>433</v>
      </c>
      <c r="K5" s="515">
        <f>SUM('BCWS by JOB'!K61)</f>
        <v>608</v>
      </c>
      <c r="L5" s="516">
        <f>SUM('BCWS by JOB'!L61)</f>
        <v>413.6</v>
      </c>
      <c r="M5" s="516">
        <f>SUM('BCWS by JOB'!M61)</f>
        <v>344.9</v>
      </c>
      <c r="N5" s="516">
        <f>SUM('BCWS by JOB'!N61)</f>
        <v>505.2</v>
      </c>
      <c r="O5" s="516">
        <f>SUM('BCWS by JOB'!O61)</f>
        <v>417.8</v>
      </c>
      <c r="P5" s="516">
        <f>SUM('BCWS by JOB'!P61)</f>
        <v>461.8</v>
      </c>
      <c r="Q5" s="516">
        <f>SUM('BCWS by JOB'!Q61)</f>
        <v>418.7</v>
      </c>
      <c r="R5" s="516">
        <f>SUM('BCWS by JOB'!R61)</f>
        <v>375.5</v>
      </c>
      <c r="S5" s="516">
        <f>SUM('BCWS by JOB'!S61)</f>
        <v>644.8</v>
      </c>
      <c r="T5" s="516">
        <f>SUM('BCWS by JOB'!T61)</f>
        <v>856.7</v>
      </c>
      <c r="U5" s="516">
        <f>SUM('BCWS by JOB'!U61)</f>
        <v>999.1</v>
      </c>
      <c r="V5" s="516">
        <f>SUM('BCWS by JOB'!V61)</f>
        <v>943.7</v>
      </c>
      <c r="W5" s="2">
        <f>SUM('BCWS by JOB'!W61)</f>
        <v>810.4</v>
      </c>
      <c r="X5" s="2">
        <f>SUM('BCWS by JOB'!X61)</f>
        <v>517</v>
      </c>
      <c r="Y5" s="2">
        <f>SUM('BCWS by JOB'!Y61)</f>
        <v>369.6</v>
      </c>
      <c r="Z5" s="2">
        <f>SUM('BCWS by JOB'!Z61)</f>
        <v>442.4</v>
      </c>
      <c r="AA5" s="2">
        <f>SUM('BCWS by JOB'!AA61)</f>
        <v>422.3</v>
      </c>
      <c r="AB5" s="2">
        <f>SUM('BCWS by JOB'!AB61)</f>
        <v>412.7</v>
      </c>
      <c r="AC5" s="2">
        <f>SUM('BCWS by JOB'!AC61)</f>
        <v>404.6</v>
      </c>
      <c r="AD5" s="2">
        <f>SUM('BCWS by JOB'!AD61)</f>
        <v>301.5</v>
      </c>
      <c r="AE5" s="2">
        <f>SUM('BCWS by JOB'!AE61)</f>
        <v>362.7</v>
      </c>
      <c r="AF5" s="2">
        <f>SUM('BCWS by JOB'!AF61)</f>
        <v>283.7</v>
      </c>
      <c r="AG5" s="2">
        <f>SUM('BCWS by JOB'!AG61)</f>
        <v>192</v>
      </c>
      <c r="AH5" s="2">
        <f>SUM('BCWS by JOB'!AH61)</f>
        <v>209</v>
      </c>
      <c r="AI5" s="2">
        <f>SUM('BCWS by JOB'!AI61)</f>
        <v>338</v>
      </c>
      <c r="AJ5" s="2">
        <f>SUM('BCWS by JOB'!AJ61)</f>
        <v>295</v>
      </c>
      <c r="AK5" s="2">
        <f>SUM('BCWS by JOB'!AK61)</f>
        <v>251</v>
      </c>
      <c r="AL5" s="2">
        <f>SUM('BCWS by JOB'!AL61)</f>
        <v>283</v>
      </c>
      <c r="AM5" s="2">
        <f>SUM('BCWS by JOB'!AM61)</f>
        <v>238</v>
      </c>
      <c r="AN5" s="2">
        <f>SUM('BCWS by JOB'!AN61)</f>
        <v>248</v>
      </c>
      <c r="AO5" s="2">
        <f>SUM('BCWS by JOB'!AO61)</f>
        <v>193</v>
      </c>
      <c r="AP5" s="2">
        <f>SUM('BCWS by JOB'!AP61)</f>
        <v>150</v>
      </c>
      <c r="AQ5" s="2">
        <f>SUM('BCWS by JOB'!AQ61)</f>
        <v>165</v>
      </c>
      <c r="AR5" s="2">
        <f>SUM('BCWS by JOB'!AR61)</f>
        <v>158</v>
      </c>
      <c r="AS5" s="2">
        <f>SUM('BCWS by JOB'!AS61)</f>
        <v>165</v>
      </c>
      <c r="AT5" s="2">
        <f>SUM('BCWS by JOB'!AT61)</f>
        <v>158</v>
      </c>
      <c r="AU5" s="2">
        <f>SUM('BCWS by JOB'!AU61)</f>
        <v>157</v>
      </c>
      <c r="AV5" s="2">
        <f>SUM('BCWS by JOB'!AV61)</f>
        <v>150</v>
      </c>
      <c r="AW5" s="2">
        <f>SUM('BCWS by JOB'!AW61)</f>
        <v>127</v>
      </c>
      <c r="AX5" s="2">
        <f>SUM('BCWS by JOB'!AX61)</f>
        <v>153</v>
      </c>
      <c r="AY5" s="2">
        <f>SUM('BCWS by JOB'!AY61)</f>
        <v>4</v>
      </c>
      <c r="AZ5" s="2">
        <f>SUM('BCWS by JOB'!AZ61)</f>
        <v>0</v>
      </c>
      <c r="BA5" s="2">
        <f>SUM('BCWS by JOB'!BA61)</f>
        <v>0</v>
      </c>
      <c r="BB5" s="2">
        <f>SUM('BCWS by JOB'!BB61)</f>
        <v>0</v>
      </c>
      <c r="BC5" s="2">
        <f>SUM('BCWS by JOB'!BC61)</f>
        <v>0</v>
      </c>
      <c r="BD5" s="2">
        <f>SUM('BCWS by JOB'!BD61)</f>
        <v>0</v>
      </c>
      <c r="BE5" s="2">
        <f>SUM('BCWS by JOB'!BE61)</f>
        <v>0</v>
      </c>
      <c r="BF5" s="2">
        <f>SUM('BCWS by JOB'!BF61)</f>
        <v>0</v>
      </c>
      <c r="BG5" s="2">
        <f>SUM('BCWS by JOB'!BG61)</f>
        <v>0</v>
      </c>
      <c r="BH5" s="2">
        <f>SUM('BCWS by JOB'!BH61)</f>
        <v>0</v>
      </c>
      <c r="BI5" s="2">
        <f>SUM('BCWS by JOB'!BI61)</f>
        <v>0</v>
      </c>
      <c r="BJ5" s="2">
        <f>SUM('BCWS by JOB'!BJ61)</f>
        <v>0</v>
      </c>
      <c r="BK5" s="2">
        <f>SUM('BCWS by JOB'!BK61)</f>
        <v>0</v>
      </c>
      <c r="BL5" s="2">
        <f>SUM('BCWS by JOB'!BL61)</f>
        <v>0</v>
      </c>
    </row>
    <row r="6" spans="1:64" s="1" customFormat="1" ht="12" thickBot="1">
      <c r="A6" s="472">
        <f>SUM(C6:D6)</f>
        <v>5082.849999999999</v>
      </c>
      <c r="B6" s="543" t="s">
        <v>536</v>
      </c>
      <c r="C6" s="510">
        <f>SUM('Baseline Reconciliation'!F143)</f>
        <v>752.65</v>
      </c>
      <c r="D6" s="536">
        <f>SUM('BCWS by JOB'!D75)</f>
        <v>4330.2</v>
      </c>
      <c r="E6" s="473">
        <f>SUM('BCWS by JOB'!E75)</f>
        <v>-90.8</v>
      </c>
      <c r="F6" s="510">
        <f>SUM('BCWS by JOB'!F75)</f>
        <v>-102.8</v>
      </c>
      <c r="G6" s="511">
        <f>SUM('BCWS by JOB'!G75)</f>
        <v>1.2</v>
      </c>
      <c r="H6" s="511">
        <f>SUM('BCWS by JOB'!H75)</f>
        <v>1.3</v>
      </c>
      <c r="I6" s="511">
        <f>SUM('BCWS by JOB'!I75)</f>
        <v>2</v>
      </c>
      <c r="J6" s="473">
        <f>SUM('BCWS by JOB'!J75)</f>
        <v>1.3</v>
      </c>
      <c r="K6" s="510">
        <f>SUM('BCWS by JOB'!K75)</f>
        <v>3.1</v>
      </c>
      <c r="L6" s="511">
        <f>SUM('BCWS by JOB'!L75)</f>
        <v>3.1</v>
      </c>
      <c r="M6" s="511">
        <f>SUM('BCWS by JOB'!M75)</f>
        <v>2</v>
      </c>
      <c r="N6" s="511">
        <f>SUM('BCWS by JOB'!N75)</f>
        <v>3</v>
      </c>
      <c r="O6" s="511">
        <f>SUM('BCWS by JOB'!O75)</f>
        <v>3</v>
      </c>
      <c r="P6" s="511">
        <f>SUM('BCWS by JOB'!P75)</f>
        <v>3</v>
      </c>
      <c r="Q6" s="511">
        <f>SUM('BCWS by JOB'!Q75)</f>
        <v>3</v>
      </c>
      <c r="R6" s="511">
        <f>SUM('BCWS by JOB'!R75)</f>
        <v>3</v>
      </c>
      <c r="S6" s="511">
        <f>SUM('BCWS by JOB'!S75)</f>
        <v>3</v>
      </c>
      <c r="T6" s="511">
        <f>SUM('BCWS by JOB'!T75)</f>
        <v>3</v>
      </c>
      <c r="U6" s="511">
        <f>SUM('BCWS by JOB'!U75)</f>
        <v>3</v>
      </c>
      <c r="V6" s="473">
        <f>SUM('BCWS by JOB'!V75)</f>
        <v>3</v>
      </c>
      <c r="W6" s="537">
        <f>SUM('BCWS by JOB'!W75)</f>
        <v>61</v>
      </c>
      <c r="X6" s="537">
        <f>SUM('BCWS by JOB'!X75)</f>
        <v>77</v>
      </c>
      <c r="Y6" s="537">
        <f>SUM('BCWS by JOB'!Y75)</f>
        <v>94</v>
      </c>
      <c r="Z6" s="537">
        <f>SUM('BCWS by JOB'!Z75)</f>
        <v>114</v>
      </c>
      <c r="AA6" s="537">
        <f>SUM('BCWS by JOB'!AA75)</f>
        <v>82</v>
      </c>
      <c r="AB6" s="537">
        <f>SUM('BCWS by JOB'!AB75)</f>
        <v>106</v>
      </c>
      <c r="AC6" s="537">
        <f>SUM('BCWS by JOB'!AC75)</f>
        <v>104</v>
      </c>
      <c r="AD6" s="537">
        <f>SUM('BCWS by JOB'!AD75)</f>
        <v>96</v>
      </c>
      <c r="AE6" s="537">
        <f>SUM('BCWS by JOB'!AE75)</f>
        <v>120</v>
      </c>
      <c r="AF6" s="537">
        <f>SUM('BCWS by JOB'!AF75)</f>
        <v>173</v>
      </c>
      <c r="AG6" s="537">
        <f>SUM('BCWS by JOB'!AG75)</f>
        <v>263</v>
      </c>
      <c r="AH6" s="537">
        <f>SUM('BCWS by JOB'!AH75)</f>
        <v>187</v>
      </c>
      <c r="AI6" s="537">
        <f>SUM('BCWS by JOB'!AI75)</f>
        <v>242</v>
      </c>
      <c r="AJ6" s="537">
        <f>SUM('BCWS by JOB'!AJ75)</f>
        <v>261</v>
      </c>
      <c r="AK6" s="537">
        <f>SUM('BCWS by JOB'!AK75)</f>
        <v>226</v>
      </c>
      <c r="AL6" s="537">
        <f>SUM('BCWS by JOB'!AL75)</f>
        <v>250</v>
      </c>
      <c r="AM6" s="537">
        <f>SUM('BCWS by JOB'!AM75)</f>
        <v>272</v>
      </c>
      <c r="AN6" s="537">
        <f>SUM('BCWS by JOB'!AN75)</f>
        <v>348</v>
      </c>
      <c r="AO6" s="537">
        <f>SUM('BCWS by JOB'!AO75)</f>
        <v>253</v>
      </c>
      <c r="AP6" s="537">
        <f>SUM('BCWS by JOB'!AP75)</f>
        <v>197</v>
      </c>
      <c r="AQ6" s="537">
        <f>SUM('BCWS by JOB'!AQ75)</f>
        <v>168</v>
      </c>
      <c r="AR6" s="537">
        <f>SUM('BCWS by JOB'!AR75)</f>
        <v>112</v>
      </c>
      <c r="AS6" s="537">
        <f>SUM('BCWS by JOB'!AS75)</f>
        <v>55</v>
      </c>
      <c r="AT6" s="537">
        <f>SUM('BCWS by JOB'!AT75)</f>
        <v>59</v>
      </c>
      <c r="AU6" s="537">
        <f>SUM('BCWS by JOB'!AU75)</f>
        <v>169</v>
      </c>
      <c r="AV6" s="537">
        <f>SUM('BCWS by JOB'!AV75)</f>
        <v>110</v>
      </c>
      <c r="AW6" s="537">
        <f>SUM('BCWS by JOB'!AW75)</f>
        <v>94</v>
      </c>
      <c r="AX6" s="537">
        <f>SUM('BCWS by JOB'!AX75)</f>
        <v>99</v>
      </c>
      <c r="AY6" s="537">
        <f>SUM('BCWS by JOB'!AY75)</f>
        <v>0</v>
      </c>
      <c r="AZ6" s="537">
        <f>SUM('BCWS by JOB'!AZ75)</f>
        <v>0</v>
      </c>
      <c r="BA6" s="2">
        <f>SUM('BCWS by JOB'!BA75)</f>
        <v>0</v>
      </c>
      <c r="BB6" s="2">
        <f>SUM('BCWS by JOB'!BB75)</f>
        <v>0</v>
      </c>
      <c r="BC6" s="2">
        <f>SUM('BCWS by JOB'!BC75)</f>
        <v>0</v>
      </c>
      <c r="BD6" s="2">
        <f>SUM('BCWS by JOB'!BD75)</f>
        <v>0</v>
      </c>
      <c r="BE6" s="2">
        <f>SUM('BCWS by JOB'!BE75)</f>
        <v>0</v>
      </c>
      <c r="BF6" s="2">
        <f>SUM('BCWS by JOB'!BF75)</f>
        <v>0</v>
      </c>
      <c r="BG6" s="2">
        <f>SUM('BCWS by JOB'!BG75)</f>
        <v>0</v>
      </c>
      <c r="BH6" s="2">
        <f>SUM('BCWS by JOB'!BH75)</f>
        <v>0</v>
      </c>
      <c r="BI6" s="2">
        <f>SUM('BCWS by JOB'!BI75)</f>
        <v>0</v>
      </c>
      <c r="BJ6" s="2">
        <f>SUM('BCWS by JOB'!BJ75)</f>
        <v>0</v>
      </c>
      <c r="BK6" s="2">
        <f>SUM('BCWS by JOB'!BK75)</f>
        <v>0</v>
      </c>
      <c r="BL6" s="2">
        <f>SUM('BCWS by JOB'!BL75)</f>
        <v>0</v>
      </c>
    </row>
    <row r="7" spans="2:56" s="1" customFormat="1" ht="13.5" thickBot="1">
      <c r="B7" s="422" t="s">
        <v>699</v>
      </c>
      <c r="C7" s="544">
        <f aca="true" t="shared" si="0" ref="C7:K7">SUM(C3:C6)</f>
        <v>67103.138</v>
      </c>
      <c r="D7" s="546">
        <f t="shared" si="0"/>
        <v>52348.259999999995</v>
      </c>
      <c r="E7" s="547">
        <f t="shared" si="0"/>
        <v>8924.880000000001</v>
      </c>
      <c r="F7" s="544">
        <f t="shared" si="0"/>
        <v>621.57</v>
      </c>
      <c r="G7" s="545">
        <f t="shared" si="0"/>
        <v>1208.39</v>
      </c>
      <c r="H7" s="545">
        <f t="shared" si="0"/>
        <v>1552.27</v>
      </c>
      <c r="I7" s="545">
        <f t="shared" si="0"/>
        <v>1328.4</v>
      </c>
      <c r="J7" s="548">
        <f t="shared" si="0"/>
        <v>1068.07</v>
      </c>
      <c r="K7" s="759">
        <f t="shared" si="0"/>
        <v>1960.71</v>
      </c>
      <c r="L7" s="24"/>
      <c r="M7" s="2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s="1" customFormat="1" ht="12.75">
      <c r="B8" s="477"/>
      <c r="D8" s="345">
        <f>SUM(C7:D7)</f>
        <v>119451.398</v>
      </c>
      <c r="E8" s="14">
        <f>SUM(F7:Q7)</f>
        <v>7739.41</v>
      </c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s="1" customFormat="1" ht="6" customHeight="1" thickBot="1">
      <c r="B9" s="477"/>
      <c r="D9" s="345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s="1" customFormat="1" ht="13.5" thickBot="1">
      <c r="B10" s="477"/>
      <c r="C10" s="1409" t="s">
        <v>533</v>
      </c>
      <c r="D10" s="1411"/>
      <c r="E10" s="529" t="s">
        <v>233</v>
      </c>
      <c r="F10" s="474">
        <f>SUM('BCWS by JOB'!F6)</f>
        <v>104</v>
      </c>
      <c r="G10" s="468">
        <f>SUM('BCWS by JOB'!G6)+F10</f>
        <v>199</v>
      </c>
      <c r="H10" s="468">
        <f>SUM('BCWS by JOB'!H6)+G10</f>
        <v>294</v>
      </c>
      <c r="I10" s="468">
        <f>SUM('BCWS by JOB'!I6)+H10</f>
        <v>397</v>
      </c>
      <c r="J10" s="517">
        <f>SUM('BCWS by JOB'!J6)+I10</f>
        <v>483</v>
      </c>
      <c r="K10" s="900">
        <f>SUM('BCWS by JOB'!K6)+J10</f>
        <v>628</v>
      </c>
      <c r="L10" s="14">
        <f>SUM('BCWS by JOB'!L6)+K10</f>
        <v>755</v>
      </c>
      <c r="M10" s="14">
        <f>SUM('BCWS by JOB'!M6)+L10</f>
        <v>850</v>
      </c>
      <c r="N10" s="14">
        <f>SUM('BCWS by JOB'!N6)+M10</f>
        <v>989</v>
      </c>
      <c r="O10" s="14">
        <f>SUM('BCWS by JOB'!O6)+N10</f>
        <v>1121</v>
      </c>
      <c r="P10" s="14">
        <f>SUM('BCWS by JOB'!P6)+O10</f>
        <v>1253</v>
      </c>
      <c r="Q10" s="14">
        <f>SUM('BCWS by JOB'!Q6)+P10</f>
        <v>1392</v>
      </c>
      <c r="R10" s="14">
        <f>SUM('BCWS by JOB'!R6)+Q10</f>
        <v>1524</v>
      </c>
      <c r="S10" s="14">
        <f>SUM('BCWS by JOB'!S6)+R10</f>
        <v>1656</v>
      </c>
      <c r="T10" s="14">
        <f>SUM('BCWS by JOB'!T6)+S10</f>
        <v>1795</v>
      </c>
      <c r="U10" s="14">
        <f>SUM('BCWS by JOB'!U6)+T10</f>
        <v>1927</v>
      </c>
      <c r="V10" s="14">
        <f>SUM('BCWS by JOB'!V6)+U10</f>
        <v>2058</v>
      </c>
      <c r="W10" s="14">
        <f>SUM('BCWS by JOB'!W6)+V10</f>
        <v>2217</v>
      </c>
      <c r="X10" s="14">
        <f>SUM('BCWS by JOB'!X6)+W10</f>
        <v>2343</v>
      </c>
      <c r="Y10" s="14">
        <f>SUM('BCWS by JOB'!Y6)+X10</f>
        <v>2461</v>
      </c>
      <c r="Z10" s="14">
        <f>SUM('BCWS by JOB'!Z6)+Y10</f>
        <v>2607</v>
      </c>
      <c r="AA10" s="14">
        <f>SUM('BCWS by JOB'!AA6)+Z10</f>
        <v>2746</v>
      </c>
      <c r="AB10" s="14">
        <f>SUM('BCWS by JOB'!AB6)+AA10</f>
        <v>2898</v>
      </c>
      <c r="AC10" s="14">
        <f>SUM('BCWS by JOB'!AC6)+AB10</f>
        <v>3050</v>
      </c>
      <c r="AD10" s="14">
        <f>SUM('BCWS by JOB'!AD6)+AC10</f>
        <v>3189</v>
      </c>
      <c r="AE10" s="14">
        <f>SUM('BCWS by JOB'!AE6)+AD10</f>
        <v>3341</v>
      </c>
      <c r="AF10" s="14">
        <f>SUM('BCWS by JOB'!AF6)+AE10</f>
        <v>3493</v>
      </c>
      <c r="AG10" s="14">
        <f>SUM('BCWS by JOB'!AG6)+AF10</f>
        <v>3639</v>
      </c>
      <c r="AH10" s="14">
        <f>SUM('BCWS by JOB'!AH6)+AG10</f>
        <v>3781</v>
      </c>
      <c r="AI10" s="14">
        <f>SUM('BCWS by JOB'!AI6)+AH10</f>
        <v>3923</v>
      </c>
      <c r="AJ10" s="14">
        <f>SUM('BCWS by JOB'!AJ6)+AI10</f>
        <v>4046</v>
      </c>
      <c r="AK10" s="14">
        <f>SUM('BCWS by JOB'!AK6)+AJ10</f>
        <v>4150</v>
      </c>
      <c r="AL10" s="14">
        <f>SUM('BCWS by JOB'!AL6)+AK10</f>
        <v>4280</v>
      </c>
      <c r="AM10" s="14">
        <f>SUM('BCWS by JOB'!AM6)+AL10</f>
        <v>4410</v>
      </c>
      <c r="AN10" s="14">
        <f>SUM('BCWS by JOB'!AN6)+AM10</f>
        <v>4559</v>
      </c>
      <c r="AO10" s="14">
        <f>SUM('BCWS by JOB'!AO6)+AN10</f>
        <v>4701</v>
      </c>
      <c r="AP10" s="14">
        <f>SUM('BCWS by JOB'!AP6)+AO10</f>
        <v>4831</v>
      </c>
      <c r="AQ10" s="14">
        <f>SUM('BCWS by JOB'!AQ6)+AP10</f>
        <v>4973</v>
      </c>
      <c r="AR10" s="14">
        <f>SUM('BCWS by JOB'!AR6)+AQ10</f>
        <v>5109</v>
      </c>
      <c r="AS10" s="14">
        <f>SUM('BCWS by JOB'!AS6)+AR10</f>
        <v>5251</v>
      </c>
      <c r="AT10" s="14">
        <f>SUM('BCWS by JOB'!AT6)+AS10</f>
        <v>5387</v>
      </c>
      <c r="AU10" s="14">
        <f>SUM('BCWS by JOB'!AU6)+AT10</f>
        <v>5495</v>
      </c>
      <c r="AV10" s="14">
        <f>SUM('BCWS by JOB'!AV6)+AU10</f>
        <v>5598</v>
      </c>
      <c r="AW10" s="14">
        <f>SUM('BCWS by JOB'!AW6)+AV10</f>
        <v>5685</v>
      </c>
      <c r="AX10" s="14">
        <f>SUM('BCWS by JOB'!AX6)+AW10</f>
        <v>5793</v>
      </c>
      <c r="AY10" s="14">
        <f>SUM('BCWS by JOB'!AY6)+AX10</f>
        <v>5794</v>
      </c>
      <c r="AZ10" s="14"/>
      <c r="BA10" s="2" t="s">
        <v>232</v>
      </c>
      <c r="BB10" s="2"/>
      <c r="BC10" s="2"/>
      <c r="BD10" s="2"/>
    </row>
    <row r="11" spans="2:56" s="1" customFormat="1" ht="12.75">
      <c r="B11" s="477"/>
      <c r="D11" s="11"/>
      <c r="E11" s="530" t="s">
        <v>234</v>
      </c>
      <c r="F11" s="525">
        <f>SUM('BCWP by JOB'!D6)</f>
        <v>102</v>
      </c>
      <c r="G11" s="518">
        <f>SUM('BCWP by JOB'!E6)+F11</f>
        <v>199</v>
      </c>
      <c r="H11" s="518">
        <f>SUM('BCWP by JOB'!F6)+G11</f>
        <v>294</v>
      </c>
      <c r="I11" s="518">
        <f>SUM('BCWP by JOB'!G6)+H11</f>
        <v>396.97890671</v>
      </c>
      <c r="J11" s="425">
        <f>SUM('BCWP by JOB'!H6)+I11</f>
        <v>482.56000000000006</v>
      </c>
      <c r="K11" s="897">
        <f>SUM('BCWP by JOB'!I6)+J11</f>
        <v>627.6980000000001</v>
      </c>
      <c r="L11" s="897">
        <f>SUM('BCWP by JOB'!J6)+K11</f>
        <v>754.9270000000001</v>
      </c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s="1" customFormat="1" ht="12.75">
      <c r="B12" s="477"/>
      <c r="D12" s="11"/>
      <c r="E12" s="530" t="s">
        <v>235</v>
      </c>
      <c r="F12" s="526">
        <f>SUM('ACWP by JOB'!E6)</f>
        <v>111.7184</v>
      </c>
      <c r="G12" s="519">
        <f>SUM('ACWP by JOB'!F6)+F12</f>
        <v>218.64453</v>
      </c>
      <c r="H12" s="519">
        <f>SUM('ACWP by JOB'!G6)+G12</f>
        <v>309.59758886854763</v>
      </c>
      <c r="I12" s="519">
        <f>SUM('ACWP by JOB'!H6)+H12</f>
        <v>416.8915888685476</v>
      </c>
      <c r="J12" s="520">
        <f>SUM('ACWP by JOB'!I6)+I12</f>
        <v>597.4835888685476</v>
      </c>
      <c r="K12" s="897">
        <f>SUM('ACWP by JOB'!J6)+J12</f>
        <v>693.7455888685477</v>
      </c>
      <c r="L12" s="897">
        <f>SUM('ACWP by JOB'!K6)+K12</f>
        <v>836.8385888685476</v>
      </c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s="1" customFormat="1" ht="12.75">
      <c r="B13" s="477"/>
      <c r="D13" s="11"/>
      <c r="E13" s="530" t="s">
        <v>237</v>
      </c>
      <c r="F13" s="527">
        <f aca="true" t="shared" si="1" ref="F13:L13">+F11/F12</f>
        <v>0.9130098533455545</v>
      </c>
      <c r="G13" s="521">
        <f t="shared" si="1"/>
        <v>0.910153114738338</v>
      </c>
      <c r="H13" s="521">
        <f t="shared" si="1"/>
        <v>0.9496197986374816</v>
      </c>
      <c r="I13" s="521">
        <f t="shared" si="1"/>
        <v>0.9522353468138058</v>
      </c>
      <c r="J13" s="522">
        <f t="shared" si="1"/>
        <v>0.8076539824530111</v>
      </c>
      <c r="K13" s="898">
        <f t="shared" si="1"/>
        <v>0.9047956629515054</v>
      </c>
      <c r="L13" s="898">
        <f t="shared" si="1"/>
        <v>0.9021178158391375</v>
      </c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s="1" customFormat="1" ht="13.5" thickBot="1">
      <c r="B14" s="477"/>
      <c r="D14" s="11"/>
      <c r="E14" s="531" t="s">
        <v>236</v>
      </c>
      <c r="F14" s="528">
        <f aca="true" t="shared" si="2" ref="F14:K14">+F11/F10</f>
        <v>0.9807692307692307</v>
      </c>
      <c r="G14" s="523">
        <f t="shared" si="2"/>
        <v>1</v>
      </c>
      <c r="H14" s="523">
        <f t="shared" si="2"/>
        <v>1</v>
      </c>
      <c r="I14" s="523">
        <f t="shared" si="2"/>
        <v>0.9999468682871536</v>
      </c>
      <c r="J14" s="524">
        <f t="shared" si="2"/>
        <v>0.999089026915114</v>
      </c>
      <c r="K14" s="899">
        <f t="shared" si="2"/>
        <v>0.9995191082802549</v>
      </c>
      <c r="L14" s="899">
        <f>+L11/L10</f>
        <v>0.9999033112582784</v>
      </c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s="1" customFormat="1" ht="4.5" customHeight="1" thickBot="1">
      <c r="B15" s="477"/>
      <c r="D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"/>
      <c r="BB15" s="2"/>
      <c r="BC15" s="2"/>
      <c r="BD15" s="2"/>
    </row>
    <row r="16" spans="2:56" s="1" customFormat="1" ht="13.5" thickBot="1">
      <c r="B16" s="477"/>
      <c r="C16" s="1409" t="s">
        <v>534</v>
      </c>
      <c r="D16" s="1410"/>
      <c r="E16" s="529" t="s">
        <v>233</v>
      </c>
      <c r="F16" s="474">
        <f>SUM('BCWS by JOB'!F33)</f>
        <v>196.57</v>
      </c>
      <c r="G16" s="468">
        <f>SUM('BCWS by JOB'!G33)+F16</f>
        <v>690.76</v>
      </c>
      <c r="H16" s="468">
        <f>SUM('BCWS by JOB'!H33)+G16</f>
        <v>1538.73</v>
      </c>
      <c r="I16" s="468">
        <f>SUM('BCWS by JOB'!I33)+H16</f>
        <v>2265.13</v>
      </c>
      <c r="J16" s="517">
        <f>SUM('BCWS by JOB'!J33)+I16</f>
        <v>2812.9</v>
      </c>
      <c r="K16" s="900">
        <f>SUM('BCWS by JOB'!K33)+J16</f>
        <v>4017.51</v>
      </c>
      <c r="L16" s="14">
        <f>SUM('BCWS by JOB'!L33)+K16</f>
        <v>4659.280000000001</v>
      </c>
      <c r="M16" s="14">
        <f>SUM('BCWS by JOB'!M33)+L16</f>
        <v>5150.27</v>
      </c>
      <c r="N16" s="14">
        <f>SUM('BCWS by JOB'!N33)+M16</f>
        <v>5883.450000000001</v>
      </c>
      <c r="O16" s="14">
        <f>SUM('BCWS by JOB'!O33)+N16</f>
        <v>6498.460000000001</v>
      </c>
      <c r="P16" s="14">
        <f>SUM('BCWS by JOB'!P33)+O16</f>
        <v>7097.720000000001</v>
      </c>
      <c r="Q16" s="14">
        <f>SUM('BCWS by JOB'!Q33)+P16</f>
        <v>7663.460000000001</v>
      </c>
      <c r="R16" s="14">
        <f>SUM('BCWS by JOB'!R33)+Q16</f>
        <v>8183.730000000001</v>
      </c>
      <c r="S16" s="14">
        <f>SUM('BCWS by JOB'!S33)+R16</f>
        <v>8625.2</v>
      </c>
      <c r="T16" s="14">
        <f>SUM('BCWS by JOB'!T33)+S16</f>
        <v>9192.45</v>
      </c>
      <c r="U16" s="14">
        <f>SUM('BCWS by JOB'!U33)+T16</f>
        <v>9575.35</v>
      </c>
      <c r="V16" s="14">
        <f>SUM('BCWS by JOB'!V33)+U16</f>
        <v>9944.17</v>
      </c>
      <c r="W16" s="14">
        <f>SUM('BCWS by JOB'!W33)+V16</f>
        <v>10411.45</v>
      </c>
      <c r="X16" s="14">
        <f>SUM('BCWS by JOB'!X33)+W16</f>
        <v>10910.5</v>
      </c>
      <c r="Y16" s="14">
        <f>SUM('BCWS by JOB'!Y33)+X16</f>
        <v>11610.63</v>
      </c>
      <c r="Z16" s="14">
        <f>SUM('BCWS by JOB'!Z33)+Y16</f>
        <v>12480.769999999999</v>
      </c>
      <c r="AA16" s="14">
        <f>SUM('BCWS by JOB'!AA33)+Z16</f>
        <v>13190.46</v>
      </c>
      <c r="AB16" s="14">
        <f>SUM('BCWS by JOB'!AB33)+AA16</f>
        <v>13932.689999999999</v>
      </c>
      <c r="AC16" s="14">
        <f>SUM('BCWS by JOB'!AC33)+AB16</f>
        <v>14585.929999999998</v>
      </c>
      <c r="AD16" s="14">
        <f>SUM('BCWS by JOB'!AD33)+AC16</f>
        <v>15243.669999999998</v>
      </c>
      <c r="AE16" s="14">
        <f>SUM('BCWS by JOB'!AE33)+AD16</f>
        <v>15913.069999999998</v>
      </c>
      <c r="AF16" s="14">
        <f>SUM('BCWS by JOB'!AF33)+AE16</f>
        <v>16502.39</v>
      </c>
      <c r="AG16" s="14">
        <f>SUM('BCWS by JOB'!AG33)+AF16</f>
        <v>17047.559999999998</v>
      </c>
      <c r="AH16" s="14">
        <f>SUM('BCWS by JOB'!AH33)+AG16</f>
        <v>17657.729999999996</v>
      </c>
      <c r="AI16" s="14">
        <f>SUM('BCWS by JOB'!AI33)+AH16</f>
        <v>18488.049999999996</v>
      </c>
      <c r="AJ16" s="14">
        <f>SUM('BCWS by JOB'!AJ33)+AI16</f>
        <v>19061.559999999994</v>
      </c>
      <c r="AK16" s="14">
        <f>SUM('BCWS by JOB'!AK33)+AJ16</f>
        <v>19478.559999999994</v>
      </c>
      <c r="AL16" s="14">
        <f>SUM('BCWS by JOB'!AL33)+AK16</f>
        <v>20022.559999999994</v>
      </c>
      <c r="AM16" s="14">
        <f>SUM('BCWS by JOB'!AM33)+AL16</f>
        <v>20411.559999999994</v>
      </c>
      <c r="AN16" s="14">
        <f>SUM('BCWS by JOB'!AN33)+AM16</f>
        <v>20973.559999999994</v>
      </c>
      <c r="AO16" s="14">
        <f>SUM('BCWS by JOB'!AO33)+AN16</f>
        <v>21592.559999999994</v>
      </c>
      <c r="AP16" s="14">
        <f>SUM('BCWS by JOB'!AP33)+AO16</f>
        <v>22074.559999999994</v>
      </c>
      <c r="AQ16" s="14">
        <f>SUM('BCWS by JOB'!AQ33)+AP16</f>
        <v>22502.559999999994</v>
      </c>
      <c r="AR16" s="14">
        <f>SUM('BCWS by JOB'!AR33)+AQ16</f>
        <v>22860.559999999994</v>
      </c>
      <c r="AS16" s="14">
        <f>SUM('BCWS by JOB'!AS33)+AR16</f>
        <v>23235.559999999994</v>
      </c>
      <c r="AT16" s="14">
        <f>SUM('BCWS by JOB'!AT33)+AS16</f>
        <v>23559.559999999994</v>
      </c>
      <c r="AU16" s="14">
        <f>SUM('BCWS by JOB'!AU33)+AT16</f>
        <v>23969.559999999994</v>
      </c>
      <c r="AV16" s="14">
        <f>SUM('BCWS by JOB'!AV33)+AU16</f>
        <v>24344.559999999994</v>
      </c>
      <c r="AW16" s="14">
        <f>SUM('BCWS by JOB'!AW33)+AV16</f>
        <v>24662.559999999994</v>
      </c>
      <c r="AX16" s="14">
        <f>SUM('BCWS by JOB'!AX33)+AW16</f>
        <v>24693.559999999994</v>
      </c>
      <c r="AY16" s="14"/>
      <c r="AZ16" s="14"/>
      <c r="BA16" s="2" t="s">
        <v>232</v>
      </c>
      <c r="BB16" s="2"/>
      <c r="BC16" s="2"/>
      <c r="BD16" s="2"/>
    </row>
    <row r="17" spans="2:56" s="1" customFormat="1" ht="12.75">
      <c r="B17" s="477"/>
      <c r="D17" s="11"/>
      <c r="E17" s="530" t="s">
        <v>234</v>
      </c>
      <c r="F17" s="525">
        <f>SUM('BCWP by JOB'!D33)</f>
        <v>122</v>
      </c>
      <c r="G17" s="518">
        <f>SUM('BCWP by JOB'!E33)+F17</f>
        <v>778</v>
      </c>
      <c r="H17" s="518">
        <f>SUM('BCWP by JOB'!F33)+G17</f>
        <v>1447</v>
      </c>
      <c r="I17" s="518">
        <f>SUM('BCWP by JOB'!G33)+H17</f>
        <v>2191.76516807</v>
      </c>
      <c r="J17" s="425">
        <f>SUM('BCWP by JOB'!H33)+I17</f>
        <v>2900.12051166</v>
      </c>
      <c r="K17" s="897">
        <f>SUM('BCWP by JOB'!I33)+J17</f>
        <v>3794.506</v>
      </c>
      <c r="L17" s="897">
        <f>SUM('BCWP by JOB'!J33)+K17</f>
        <v>4333.6990753499995</v>
      </c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s="1" customFormat="1" ht="12.75">
      <c r="B18" s="477"/>
      <c r="D18" s="11"/>
      <c r="E18" s="530" t="s">
        <v>235</v>
      </c>
      <c r="F18" s="526">
        <f>SUM('ACWP by JOB'!E33)</f>
        <v>305.79298</v>
      </c>
      <c r="G18" s="519">
        <f>SUM('ACWP by JOB'!F33)+F18</f>
        <v>823.5042599999999</v>
      </c>
      <c r="H18" s="519">
        <f>SUM('ACWP by JOB'!G33)+G18</f>
        <v>1302.9008192343415</v>
      </c>
      <c r="I18" s="519">
        <f>SUM('ACWP by JOB'!H33)+H18</f>
        <v>2004.9938192343416</v>
      </c>
      <c r="J18" s="520">
        <f>SUM('ACWP by JOB'!I33)+I18</f>
        <v>2727.8868192343416</v>
      </c>
      <c r="K18" s="897">
        <f>SUM('ACWP by JOB'!J33)+J18</f>
        <v>3154.771819234342</v>
      </c>
      <c r="L18" s="897">
        <f>SUM('ACWP by JOB'!K33)+K18</f>
        <v>3726.687819234342</v>
      </c>
      <c r="M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s="1" customFormat="1" ht="12.75">
      <c r="B19" s="477"/>
      <c r="D19" s="11"/>
      <c r="E19" s="530" t="s">
        <v>237</v>
      </c>
      <c r="F19" s="527">
        <f aca="true" t="shared" si="3" ref="F19:L19">+F17/F18</f>
        <v>0.3989627230814782</v>
      </c>
      <c r="G19" s="521">
        <f t="shared" si="3"/>
        <v>0.9447431395193998</v>
      </c>
      <c r="H19" s="521">
        <f t="shared" si="3"/>
        <v>1.110598733716615</v>
      </c>
      <c r="I19" s="521">
        <f t="shared" si="3"/>
        <v>1.093153079597513</v>
      </c>
      <c r="J19" s="522">
        <f t="shared" si="3"/>
        <v>1.0631381372611348</v>
      </c>
      <c r="K19" s="898">
        <f t="shared" si="3"/>
        <v>1.2027830275601106</v>
      </c>
      <c r="L19" s="898">
        <f t="shared" si="3"/>
        <v>1.162882239017372</v>
      </c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1" customFormat="1" ht="13.5" thickBot="1">
      <c r="B20" s="477"/>
      <c r="D20" s="11"/>
      <c r="E20" s="531" t="s">
        <v>236</v>
      </c>
      <c r="F20" s="528">
        <f aca="true" t="shared" si="4" ref="F20:K20">+F17/F16</f>
        <v>0.6206440453782368</v>
      </c>
      <c r="G20" s="523">
        <f t="shared" si="4"/>
        <v>1.1262956743297239</v>
      </c>
      <c r="H20" s="523">
        <f t="shared" si="4"/>
        <v>0.9403859026599858</v>
      </c>
      <c r="I20" s="523">
        <f t="shared" si="4"/>
        <v>0.9676112046858237</v>
      </c>
      <c r="J20" s="524">
        <f t="shared" si="4"/>
        <v>1.031007327548082</v>
      </c>
      <c r="K20" s="899">
        <f t="shared" si="4"/>
        <v>0.944491986329841</v>
      </c>
      <c r="L20" s="899">
        <f>+L17/L16</f>
        <v>0.9301220521947594</v>
      </c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s="1" customFormat="1" ht="6" customHeight="1" thickBot="1">
      <c r="B21" s="477"/>
      <c r="D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"/>
      <c r="BB21" s="2"/>
      <c r="BC21" s="2"/>
      <c r="BD21" s="2"/>
    </row>
    <row r="22" spans="2:56" s="1" customFormat="1" ht="13.5" thickBot="1">
      <c r="B22" s="477"/>
      <c r="C22" s="1409" t="s">
        <v>535</v>
      </c>
      <c r="D22" s="1411"/>
      <c r="E22" s="529" t="s">
        <v>233</v>
      </c>
      <c r="F22" s="474">
        <f>SUM('BCWS by JOB'!F61)</f>
        <v>423.8</v>
      </c>
      <c r="G22" s="468">
        <f>SUM('BCWS by JOB'!G61)+F22</f>
        <v>1041.8</v>
      </c>
      <c r="H22" s="468">
        <f>SUM('BCWS by JOB'!H61)+G22</f>
        <v>1649.8</v>
      </c>
      <c r="I22" s="468">
        <f>SUM('BCWS by JOB'!I61)+H22</f>
        <v>2146.8</v>
      </c>
      <c r="J22" s="517">
        <f>SUM('BCWS by JOB'!J61)+I22</f>
        <v>2579.8</v>
      </c>
      <c r="K22" s="900">
        <f>SUM('BCWS by JOB'!K61)+J22</f>
        <v>3187.8</v>
      </c>
      <c r="L22" s="14">
        <f>SUM('BCWS by JOB'!L61)+K22</f>
        <v>3601.4</v>
      </c>
      <c r="M22" s="14">
        <f>SUM('BCWS by JOB'!M61)+L22</f>
        <v>3946.3</v>
      </c>
      <c r="N22" s="14">
        <f>SUM('BCWS by JOB'!N61)+M22</f>
        <v>4451.5</v>
      </c>
      <c r="O22" s="14">
        <f>SUM('BCWS by JOB'!O61)+N22</f>
        <v>4869.3</v>
      </c>
      <c r="P22" s="14">
        <f>SUM('BCWS by JOB'!P61)+O22</f>
        <v>5331.1</v>
      </c>
      <c r="Q22" s="14">
        <f>SUM('BCWS by JOB'!Q61)+P22</f>
        <v>5749.8</v>
      </c>
      <c r="R22" s="14">
        <f>SUM('BCWS by JOB'!R61)+Q22</f>
        <v>6125.3</v>
      </c>
      <c r="S22" s="14">
        <f>SUM('BCWS by JOB'!S61)+R22</f>
        <v>6770.1</v>
      </c>
      <c r="T22" s="14">
        <f>SUM('BCWS by JOB'!T61)+S22</f>
        <v>7626.8</v>
      </c>
      <c r="U22" s="14">
        <f>SUM('BCWS by JOB'!U61)+T22</f>
        <v>8625.9</v>
      </c>
      <c r="V22" s="14">
        <f>SUM('BCWS by JOB'!V61)+U22</f>
        <v>9569.6</v>
      </c>
      <c r="W22" s="14">
        <f>SUM('BCWS by JOB'!W61)+V22</f>
        <v>10380</v>
      </c>
      <c r="X22" s="14">
        <f>SUM('BCWS by JOB'!X61)+W22</f>
        <v>10897</v>
      </c>
      <c r="Y22" s="14">
        <f>SUM('BCWS by JOB'!Y61)+X22</f>
        <v>11266.6</v>
      </c>
      <c r="Z22" s="14">
        <f>SUM('BCWS by JOB'!Z61)+Y22</f>
        <v>11709</v>
      </c>
      <c r="AA22" s="14">
        <f>SUM('BCWS by JOB'!AA61)+Z22</f>
        <v>12131.3</v>
      </c>
      <c r="AB22" s="14">
        <f>SUM('BCWS by JOB'!AB61)+AA22</f>
        <v>12544</v>
      </c>
      <c r="AC22" s="14">
        <f>SUM('BCWS by JOB'!AC61)+AB22</f>
        <v>12948.6</v>
      </c>
      <c r="AD22" s="14">
        <f>SUM('BCWS by JOB'!AD61)+AC22</f>
        <v>13250.1</v>
      </c>
      <c r="AE22" s="14">
        <f>SUM('BCWS by JOB'!AE61)+AD22</f>
        <v>13612.800000000001</v>
      </c>
      <c r="AF22" s="14">
        <f>SUM('BCWS by JOB'!AF61)+AE22</f>
        <v>13896.500000000002</v>
      </c>
      <c r="AG22" s="14">
        <f>SUM('BCWS by JOB'!AG61)+AF22</f>
        <v>14088.500000000002</v>
      </c>
      <c r="AH22" s="14">
        <f>SUM('BCWS by JOB'!AH61)+AG22</f>
        <v>14297.500000000002</v>
      </c>
      <c r="AI22" s="14">
        <f>SUM('BCWS by JOB'!AI61)+AH22</f>
        <v>14635.500000000002</v>
      </c>
      <c r="AJ22" s="14">
        <f>SUM('BCWS by JOB'!AJ61)+AI22</f>
        <v>14930.500000000002</v>
      </c>
      <c r="AK22" s="14">
        <f>SUM('BCWS by JOB'!AK61)+AJ22</f>
        <v>15181.500000000002</v>
      </c>
      <c r="AL22" s="14">
        <f>SUM('BCWS by JOB'!AL61)+AK22</f>
        <v>15464.500000000002</v>
      </c>
      <c r="AM22" s="14">
        <f>SUM('BCWS by JOB'!AM61)+AL22</f>
        <v>15702.500000000002</v>
      </c>
      <c r="AN22" s="14">
        <f>SUM('BCWS by JOB'!AN61)+AM22</f>
        <v>15950.500000000002</v>
      </c>
      <c r="AO22" s="14">
        <f>SUM('BCWS by JOB'!AO61)+AN22</f>
        <v>16143.500000000002</v>
      </c>
      <c r="AP22" s="14">
        <f>SUM('BCWS by JOB'!AP61)+AO22</f>
        <v>16293.500000000002</v>
      </c>
      <c r="AQ22" s="14">
        <f>SUM('BCWS by JOB'!AQ61)+AP22</f>
        <v>16458.5</v>
      </c>
      <c r="AR22" s="14">
        <f>SUM('BCWS by JOB'!AR61)+AQ22</f>
        <v>16616.5</v>
      </c>
      <c r="AS22" s="14">
        <f>SUM('BCWS by JOB'!AS61)+AR22</f>
        <v>16781.5</v>
      </c>
      <c r="AT22" s="14">
        <f>SUM('BCWS by JOB'!AT61)+AS22</f>
        <v>16939.5</v>
      </c>
      <c r="AU22" s="14">
        <f>SUM('BCWS by JOB'!AU61)+AT22</f>
        <v>17096.5</v>
      </c>
      <c r="AV22" s="14">
        <f>SUM('BCWS by JOB'!AV61)+AU22</f>
        <v>17246.5</v>
      </c>
      <c r="AW22" s="14">
        <f>SUM('BCWS by JOB'!AW61)+AV22</f>
        <v>17373.5</v>
      </c>
      <c r="AX22" s="14">
        <f>SUM('BCWS by JOB'!AX61)+AW22</f>
        <v>17526.5</v>
      </c>
      <c r="AY22" s="14">
        <f>SUM('BCWS by JOB'!AY61)+AX22</f>
        <v>17530.5</v>
      </c>
      <c r="AZ22" s="2" t="s">
        <v>232</v>
      </c>
      <c r="BA22" s="2"/>
      <c r="BB22" s="2"/>
      <c r="BC22" s="2"/>
      <c r="BD22" s="2"/>
    </row>
    <row r="23" spans="2:56" s="1" customFormat="1" ht="12.75">
      <c r="B23" s="477"/>
      <c r="D23" s="11"/>
      <c r="E23" s="530" t="s">
        <v>234</v>
      </c>
      <c r="F23" s="525">
        <f>SUM('BCWP by JOB'!D61)</f>
        <v>300</v>
      </c>
      <c r="G23" s="518">
        <f>SUM('BCWP by JOB'!E61)+F23</f>
        <v>817</v>
      </c>
      <c r="H23" s="518">
        <f>SUM('BCWP by JOB'!F61)+G23</f>
        <v>1546</v>
      </c>
      <c r="I23" s="518">
        <f>SUM('BCWP by JOB'!G61)+H23</f>
        <v>1938.6460918399998</v>
      </c>
      <c r="J23" s="425">
        <f>SUM('BCWP by JOB'!H61)+I23</f>
        <v>2268.7</v>
      </c>
      <c r="K23" s="897">
        <f>SUM('BCWP by JOB'!I61)+J23</f>
        <v>2722.1431</v>
      </c>
      <c r="L23" s="897">
        <f>SUM('BCWP by JOB'!J61)+K23</f>
        <v>3091.3718048799997</v>
      </c>
      <c r="M23" s="2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s="1" customFormat="1" ht="12.75">
      <c r="B24" s="477"/>
      <c r="D24" s="11"/>
      <c r="E24" s="530" t="s">
        <v>235</v>
      </c>
      <c r="F24" s="526">
        <f>SUM('ACWP by JOB'!E61)</f>
        <v>317.20299</v>
      </c>
      <c r="G24" s="519">
        <f>SUM('ACWP by JOB'!F61)+F24</f>
        <v>705.0554099999999</v>
      </c>
      <c r="H24" s="519">
        <f>SUM('ACWP by JOB'!G61)+G24</f>
        <v>1005.8606533122736</v>
      </c>
      <c r="I24" s="519">
        <f>SUM('ACWP by JOB'!H61)+H24</f>
        <v>1659.2606533122737</v>
      </c>
      <c r="J24" s="520">
        <f>SUM('ACWP by JOB'!I61)+I24</f>
        <v>2055.8406533122734</v>
      </c>
      <c r="K24" s="897">
        <f>SUM('ACWP by JOB'!J61)+J24</f>
        <v>2404.7426533122734</v>
      </c>
      <c r="L24" s="897">
        <f>SUM('ACWP by JOB'!K61)+K24</f>
        <v>2776.3456533122735</v>
      </c>
      <c r="M24" s="2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s="1" customFormat="1" ht="12.75">
      <c r="B25" s="477"/>
      <c r="D25" s="11"/>
      <c r="E25" s="530" t="s">
        <v>237</v>
      </c>
      <c r="F25" s="527">
        <f aca="true" t="shared" si="5" ref="F25:L25">+F23/F24</f>
        <v>0.9457666209262403</v>
      </c>
      <c r="G25" s="521">
        <f t="shared" si="5"/>
        <v>1.1587741735078667</v>
      </c>
      <c r="H25" s="521">
        <f t="shared" si="5"/>
        <v>1.536992221446441</v>
      </c>
      <c r="I25" s="521">
        <f t="shared" si="5"/>
        <v>1.168379475503145</v>
      </c>
      <c r="J25" s="522">
        <f t="shared" si="5"/>
        <v>1.1035388352423021</v>
      </c>
      <c r="K25" s="898">
        <f t="shared" si="5"/>
        <v>1.1319893612110807</v>
      </c>
      <c r="L25" s="898">
        <f t="shared" si="5"/>
        <v>1.1134679146279534</v>
      </c>
      <c r="M25" s="2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s="1" customFormat="1" ht="13.5" thickBot="1">
      <c r="B26" s="477"/>
      <c r="D26" s="11"/>
      <c r="E26" s="531" t="s">
        <v>236</v>
      </c>
      <c r="F26" s="528">
        <f aca="true" t="shared" si="6" ref="F26:K26">+F23/F22</f>
        <v>0.7078810759792354</v>
      </c>
      <c r="G26" s="523">
        <f t="shared" si="6"/>
        <v>0.7842196198886543</v>
      </c>
      <c r="H26" s="523">
        <f t="shared" si="6"/>
        <v>0.9370832828221602</v>
      </c>
      <c r="I26" s="523">
        <f t="shared" si="6"/>
        <v>0.9030399160797464</v>
      </c>
      <c r="J26" s="524">
        <f t="shared" si="6"/>
        <v>0.8794092565315139</v>
      </c>
      <c r="K26" s="899">
        <f t="shared" si="6"/>
        <v>0.8539253089905262</v>
      </c>
      <c r="L26" s="899">
        <f>+L23/L22</f>
        <v>0.8583805755761648</v>
      </c>
      <c r="M26" s="2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s="1" customFormat="1" ht="5.25" customHeight="1" thickBot="1">
      <c r="B27" s="477"/>
      <c r="D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"/>
      <c r="BB27" s="2"/>
      <c r="BC27" s="2"/>
      <c r="BD27" s="2"/>
    </row>
    <row r="28" spans="2:56" s="1" customFormat="1" ht="13.5" thickBot="1">
      <c r="B28" s="477"/>
      <c r="C28" s="1409" t="s">
        <v>536</v>
      </c>
      <c r="D28" s="1411"/>
      <c r="E28" s="529" t="s">
        <v>233</v>
      </c>
      <c r="F28" s="474">
        <f>SUM('BCWS by JOB'!F75)</f>
        <v>-102.8</v>
      </c>
      <c r="G28" s="468">
        <f>SUM('BCWS by JOB'!G75)+F28</f>
        <v>-101.6</v>
      </c>
      <c r="H28" s="468">
        <f>SUM('BCWS by JOB'!H75)+G28</f>
        <v>-100.3</v>
      </c>
      <c r="I28" s="468">
        <f>SUM('BCWS by JOB'!I75)+H28</f>
        <v>-98.3</v>
      </c>
      <c r="J28" s="517">
        <f>SUM('BCWS by JOB'!J75)+I28</f>
        <v>-97</v>
      </c>
      <c r="K28" s="900">
        <f>SUM('BCWS by JOB'!K75)+J28</f>
        <v>-93.9</v>
      </c>
      <c r="L28" s="14">
        <f>SUM('BCWS by JOB'!L75)+K28</f>
        <v>-90.80000000000001</v>
      </c>
      <c r="M28" s="14">
        <f>SUM('BCWS by JOB'!M75)+L28</f>
        <v>-88.80000000000001</v>
      </c>
      <c r="N28" s="14">
        <f>SUM('BCWS by JOB'!N75)+M28</f>
        <v>-85.80000000000001</v>
      </c>
      <c r="O28" s="14">
        <f>SUM('BCWS by JOB'!O75)+N28</f>
        <v>-82.80000000000001</v>
      </c>
      <c r="P28" s="14">
        <f>SUM('BCWS by JOB'!P75)+O28</f>
        <v>-79.80000000000001</v>
      </c>
      <c r="Q28" s="14">
        <f>SUM('BCWS by JOB'!Q75)+P28</f>
        <v>-76.80000000000001</v>
      </c>
      <c r="R28" s="14">
        <f>SUM('BCWS by JOB'!R75)+Q28</f>
        <v>-73.80000000000001</v>
      </c>
      <c r="S28" s="14">
        <f>SUM('BCWS by JOB'!S75)+R28</f>
        <v>-70.80000000000001</v>
      </c>
      <c r="T28" s="14">
        <f>SUM('BCWS by JOB'!T75)+S28</f>
        <v>-67.80000000000001</v>
      </c>
      <c r="U28" s="14">
        <f>SUM('BCWS by JOB'!U75)+T28</f>
        <v>-64.80000000000001</v>
      </c>
      <c r="V28" s="14">
        <f>SUM('BCWS by JOB'!V75)+U28</f>
        <v>-61.80000000000001</v>
      </c>
      <c r="W28" s="14">
        <f>SUM('BCWS by JOB'!W75)+V28</f>
        <v>-0.8000000000000114</v>
      </c>
      <c r="X28" s="14">
        <f>SUM('BCWS by JOB'!X75)+W28</f>
        <v>76.19999999999999</v>
      </c>
      <c r="Y28" s="14">
        <f>SUM('BCWS by JOB'!Y75)+X28</f>
        <v>170.2</v>
      </c>
      <c r="Z28" s="14">
        <f>SUM('BCWS by JOB'!Z75)+Y28</f>
        <v>284.2</v>
      </c>
      <c r="AA28" s="14">
        <f>SUM('BCWS by JOB'!AA75)+Z28</f>
        <v>366.2</v>
      </c>
      <c r="AB28" s="14">
        <f>SUM('BCWS by JOB'!AB75)+AA28</f>
        <v>472.2</v>
      </c>
      <c r="AC28" s="14">
        <f>SUM('BCWS by JOB'!AC75)+AB28</f>
        <v>576.2</v>
      </c>
      <c r="AD28" s="14">
        <f>SUM('BCWS by JOB'!AD75)+AC28</f>
        <v>672.2</v>
      </c>
      <c r="AE28" s="14">
        <f>SUM('BCWS by JOB'!AE75)+AD28</f>
        <v>792.2</v>
      </c>
      <c r="AF28" s="14">
        <f>SUM('BCWS by JOB'!AF75)+AE28</f>
        <v>965.2</v>
      </c>
      <c r="AG28" s="14">
        <f>SUM('BCWS by JOB'!AG75)+AF28</f>
        <v>1228.2</v>
      </c>
      <c r="AH28" s="14">
        <f>SUM('BCWS by JOB'!AH75)+AG28</f>
        <v>1415.2</v>
      </c>
      <c r="AI28" s="14">
        <f>SUM('BCWS by JOB'!AI75)+AH28</f>
        <v>1657.2</v>
      </c>
      <c r="AJ28" s="14">
        <f>SUM('BCWS by JOB'!AJ75)+AI28</f>
        <v>1918.2</v>
      </c>
      <c r="AK28" s="14">
        <f>SUM('BCWS by JOB'!AK75)+AJ28</f>
        <v>2144.2</v>
      </c>
      <c r="AL28" s="14">
        <f>SUM('BCWS by JOB'!AL75)+AK28</f>
        <v>2394.2</v>
      </c>
      <c r="AM28" s="14">
        <f>SUM('BCWS by JOB'!AM75)+AL28</f>
        <v>2666.2</v>
      </c>
      <c r="AN28" s="14">
        <f>SUM('BCWS by JOB'!AN75)+AM28</f>
        <v>3014.2</v>
      </c>
      <c r="AO28" s="14">
        <f>SUM('BCWS by JOB'!AO75)+AN28</f>
        <v>3267.2</v>
      </c>
      <c r="AP28" s="14">
        <f>SUM('BCWS by JOB'!AP75)+AO28</f>
        <v>3464.2</v>
      </c>
      <c r="AQ28" s="14">
        <f>SUM('BCWS by JOB'!AQ75)+AP28</f>
        <v>3632.2</v>
      </c>
      <c r="AR28" s="14">
        <f>SUM('BCWS by JOB'!AR75)+AQ28</f>
        <v>3744.2</v>
      </c>
      <c r="AS28" s="14">
        <f>SUM('BCWS by JOB'!AS75)+AR28</f>
        <v>3799.2</v>
      </c>
      <c r="AT28" s="14">
        <f>SUM('BCWS by JOB'!AT75)+AS28</f>
        <v>3858.2</v>
      </c>
      <c r="AU28" s="14">
        <f>SUM('BCWS by JOB'!AU75)+AT28</f>
        <v>4027.2</v>
      </c>
      <c r="AV28" s="14">
        <f>SUM('BCWS by JOB'!AV75)+AU28</f>
        <v>4137.2</v>
      </c>
      <c r="AW28" s="14">
        <f>SUM('BCWS by JOB'!AW75)+AV28</f>
        <v>4231.2</v>
      </c>
      <c r="AX28" s="14">
        <f>SUM('BCWS by JOB'!AX75)+AW28</f>
        <v>4330.2</v>
      </c>
      <c r="AY28" s="14"/>
      <c r="AZ28" s="14"/>
      <c r="BA28" s="2" t="s">
        <v>232</v>
      </c>
      <c r="BB28" s="2"/>
      <c r="BC28" s="2"/>
      <c r="BD28" s="2"/>
    </row>
    <row r="29" spans="2:56" s="1" customFormat="1" ht="12.75">
      <c r="B29" s="478"/>
      <c r="D29" s="11"/>
      <c r="E29" s="530" t="s">
        <v>234</v>
      </c>
      <c r="F29" s="525">
        <f>SUM('BCWP by JOB'!D75)</f>
        <v>-103</v>
      </c>
      <c r="G29" s="518">
        <f>SUM('BCWP by JOB'!E75)+F29</f>
        <v>-102</v>
      </c>
      <c r="H29" s="518">
        <f>SUM('BCWP by JOB'!F75)+G29</f>
        <v>-101</v>
      </c>
      <c r="I29" s="518">
        <f>SUM('BCWP by JOB'!G75)+H29</f>
        <v>-98.37675641999999</v>
      </c>
      <c r="J29" s="425">
        <f>SUM('BCWP by JOB'!H75)+I29</f>
        <v>-97.11999999999999</v>
      </c>
      <c r="K29" s="897">
        <f>SUM('BCWP by JOB'!I75)+J29</f>
        <v>-94.79999999999998</v>
      </c>
      <c r="L29" s="897">
        <f>SUM('BCWP by JOB'!J75)+K29</f>
        <v>-91.02429291999998</v>
      </c>
      <c r="M29" s="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s="1" customFormat="1" ht="12.75">
      <c r="B30" s="477"/>
      <c r="D30" s="11"/>
      <c r="E30" s="530" t="s">
        <v>235</v>
      </c>
      <c r="F30" s="526">
        <f>SUM('ACWP by JOB'!E75)</f>
        <v>-104.25965</v>
      </c>
      <c r="G30" s="519">
        <f>SUM('ACWP by JOB'!F75)+F30</f>
        <v>-104.25965</v>
      </c>
      <c r="H30" s="519">
        <f>SUM('ACWP by JOB'!G75)+G30</f>
        <v>-104.3014988800466</v>
      </c>
      <c r="I30" s="519">
        <f>SUM('ACWP by JOB'!H75)+H30</f>
        <v>-104.3014988800466</v>
      </c>
      <c r="J30" s="520">
        <f>SUM('ACWP by JOB'!I75)+I30</f>
        <v>-104.6584988800466</v>
      </c>
      <c r="K30" s="897">
        <f>SUM('ACWP by JOB'!J75)+J30</f>
        <v>-104.6584988800466</v>
      </c>
      <c r="L30" s="897">
        <f>SUM('ACWP by JOB'!K75)+K30</f>
        <v>-104.6584988800466</v>
      </c>
      <c r="M30" s="2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s="1" customFormat="1" ht="12.75">
      <c r="B31" s="477"/>
      <c r="D31" s="11"/>
      <c r="E31" s="530" t="s">
        <v>237</v>
      </c>
      <c r="F31" s="527">
        <f aca="true" t="shared" si="7" ref="F31:L31">+F29/F30</f>
        <v>0.9879181447472729</v>
      </c>
      <c r="G31" s="521">
        <f t="shared" si="7"/>
        <v>0.9783267064487556</v>
      </c>
      <c r="H31" s="521">
        <f t="shared" si="7"/>
        <v>0.9683465825947187</v>
      </c>
      <c r="I31" s="521">
        <f t="shared" si="7"/>
        <v>0.9431959988718817</v>
      </c>
      <c r="J31" s="522">
        <f t="shared" si="7"/>
        <v>0.927970504443344</v>
      </c>
      <c r="K31" s="898">
        <f t="shared" si="7"/>
        <v>0.9058031694937089</v>
      </c>
      <c r="L31" s="898">
        <f t="shared" si="7"/>
        <v>0.8697267197031621</v>
      </c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s="1" customFormat="1" ht="13.5" thickBot="1">
      <c r="B32" s="477"/>
      <c r="D32" s="11"/>
      <c r="E32" s="531" t="s">
        <v>236</v>
      </c>
      <c r="F32" s="528">
        <f aca="true" t="shared" si="8" ref="F32:K32">+F29/F28</f>
        <v>1.0019455252918288</v>
      </c>
      <c r="G32" s="523">
        <f t="shared" si="8"/>
        <v>1.0039370078740157</v>
      </c>
      <c r="H32" s="523">
        <f t="shared" si="8"/>
        <v>1.0069790628115654</v>
      </c>
      <c r="I32" s="523">
        <f t="shared" si="8"/>
        <v>1.0007808384537131</v>
      </c>
      <c r="J32" s="524">
        <f t="shared" si="8"/>
        <v>1.0012371134020617</v>
      </c>
      <c r="K32" s="899">
        <f t="shared" si="8"/>
        <v>1.009584664536741</v>
      </c>
      <c r="L32" s="899">
        <f>+L29/L28</f>
        <v>1.002470186343612</v>
      </c>
      <c r="M32" s="2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s="1" customFormat="1" ht="6" customHeight="1" thickBot="1">
      <c r="B33" s="477"/>
      <c r="D33" s="11"/>
      <c r="F33" s="12"/>
      <c r="G33" s="2"/>
      <c r="H33" s="2"/>
      <c r="I33" s="3"/>
      <c r="J33" s="3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s="1" customFormat="1" ht="13.5" thickBot="1">
      <c r="B34" s="477"/>
      <c r="C34" s="1409" t="s">
        <v>577</v>
      </c>
      <c r="D34" s="1410"/>
      <c r="E34" s="529" t="s">
        <v>233</v>
      </c>
      <c r="F34" s="533">
        <f aca="true" t="shared" si="9" ref="F34:AZ34">SUM(F28,F22,F16,F10)</f>
        <v>621.5699999999999</v>
      </c>
      <c r="G34" s="532">
        <f t="shared" si="9"/>
        <v>1829.96</v>
      </c>
      <c r="H34" s="532">
        <f t="shared" si="9"/>
        <v>3382.23</v>
      </c>
      <c r="I34" s="532">
        <f t="shared" si="9"/>
        <v>4710.63</v>
      </c>
      <c r="J34" s="455">
        <f t="shared" si="9"/>
        <v>5778.700000000001</v>
      </c>
      <c r="K34" s="896">
        <f t="shared" si="9"/>
        <v>7739.41</v>
      </c>
      <c r="L34" s="12">
        <f t="shared" si="9"/>
        <v>8924.880000000001</v>
      </c>
      <c r="M34" s="12">
        <f t="shared" si="9"/>
        <v>9857.77</v>
      </c>
      <c r="N34" s="12">
        <f t="shared" si="9"/>
        <v>11238.150000000001</v>
      </c>
      <c r="O34" s="12">
        <f t="shared" si="9"/>
        <v>12405.960000000001</v>
      </c>
      <c r="P34" s="12">
        <f t="shared" si="9"/>
        <v>13602.02</v>
      </c>
      <c r="Q34" s="12">
        <f t="shared" si="9"/>
        <v>14728.460000000001</v>
      </c>
      <c r="R34" s="12">
        <f t="shared" si="9"/>
        <v>15759.230000000001</v>
      </c>
      <c r="S34" s="12">
        <f t="shared" si="9"/>
        <v>16980.5</v>
      </c>
      <c r="T34" s="12">
        <f t="shared" si="9"/>
        <v>18546.45</v>
      </c>
      <c r="U34" s="12">
        <f t="shared" si="9"/>
        <v>20063.45</v>
      </c>
      <c r="V34" s="12">
        <f t="shared" si="9"/>
        <v>21509.97</v>
      </c>
      <c r="W34" s="12">
        <f t="shared" si="9"/>
        <v>23007.65</v>
      </c>
      <c r="X34" s="12">
        <f t="shared" si="9"/>
        <v>24226.7</v>
      </c>
      <c r="Y34" s="240">
        <f t="shared" si="9"/>
        <v>25508.43</v>
      </c>
      <c r="Z34" s="240">
        <f t="shared" si="9"/>
        <v>27080.97</v>
      </c>
      <c r="AA34" s="240">
        <f t="shared" si="9"/>
        <v>28433.96</v>
      </c>
      <c r="AB34" s="240">
        <f t="shared" si="9"/>
        <v>29846.89</v>
      </c>
      <c r="AC34" s="240">
        <f t="shared" si="9"/>
        <v>31160.73</v>
      </c>
      <c r="AD34" s="240">
        <f t="shared" si="9"/>
        <v>32354.97</v>
      </c>
      <c r="AE34" s="240">
        <f t="shared" si="9"/>
        <v>33659.07</v>
      </c>
      <c r="AF34" s="240">
        <f t="shared" si="9"/>
        <v>34857.090000000004</v>
      </c>
      <c r="AG34" s="240">
        <f t="shared" si="9"/>
        <v>36003.26</v>
      </c>
      <c r="AH34" s="240">
        <f t="shared" si="9"/>
        <v>37151.43</v>
      </c>
      <c r="AI34" s="240">
        <f t="shared" si="9"/>
        <v>38703.75</v>
      </c>
      <c r="AJ34" s="240">
        <f t="shared" si="9"/>
        <v>39956.259999999995</v>
      </c>
      <c r="AK34" s="240">
        <f t="shared" si="9"/>
        <v>40954.259999999995</v>
      </c>
      <c r="AL34" s="240">
        <f t="shared" si="9"/>
        <v>42161.259999999995</v>
      </c>
      <c r="AM34" s="240">
        <f t="shared" si="9"/>
        <v>43190.259999999995</v>
      </c>
      <c r="AN34" s="240">
        <f t="shared" si="9"/>
        <v>44497.259999999995</v>
      </c>
      <c r="AO34" s="240">
        <f t="shared" si="9"/>
        <v>45704.259999999995</v>
      </c>
      <c r="AP34" s="240">
        <f t="shared" si="9"/>
        <v>46663.259999999995</v>
      </c>
      <c r="AQ34" s="240">
        <f t="shared" si="9"/>
        <v>47566.259999999995</v>
      </c>
      <c r="AR34" s="240">
        <f t="shared" si="9"/>
        <v>48330.259999999995</v>
      </c>
      <c r="AS34" s="240">
        <f t="shared" si="9"/>
        <v>49067.259999999995</v>
      </c>
      <c r="AT34" s="240">
        <f t="shared" si="9"/>
        <v>49744.259999999995</v>
      </c>
      <c r="AU34" s="240">
        <f t="shared" si="9"/>
        <v>50588.259999999995</v>
      </c>
      <c r="AV34" s="240">
        <f t="shared" si="9"/>
        <v>51326.259999999995</v>
      </c>
      <c r="AW34" s="240">
        <f t="shared" si="9"/>
        <v>51952.259999999995</v>
      </c>
      <c r="AX34" s="240">
        <f t="shared" si="9"/>
        <v>52343.259999999995</v>
      </c>
      <c r="AY34" s="240">
        <f t="shared" si="9"/>
        <v>23324.5</v>
      </c>
      <c r="AZ34" s="240">
        <f t="shared" si="9"/>
        <v>0</v>
      </c>
      <c r="BA34" s="2"/>
      <c r="BB34" s="2"/>
      <c r="BC34" s="2"/>
      <c r="BD34" s="2"/>
    </row>
    <row r="35" spans="2:56" s="1" customFormat="1" ht="12.75">
      <c r="B35" s="478"/>
      <c r="D35" s="11"/>
      <c r="E35" s="530" t="s">
        <v>234</v>
      </c>
      <c r="F35" s="525">
        <f aca="true" t="shared" si="10" ref="F35:J36">SUM(F29,F23,F17,F11)</f>
        <v>421</v>
      </c>
      <c r="G35" s="518">
        <f t="shared" si="10"/>
        <v>1692</v>
      </c>
      <c r="H35" s="518">
        <f t="shared" si="10"/>
        <v>3186</v>
      </c>
      <c r="I35" s="518">
        <f t="shared" si="10"/>
        <v>4429.0134102</v>
      </c>
      <c r="J35" s="425">
        <f t="shared" si="10"/>
        <v>5554.26051166</v>
      </c>
      <c r="K35" s="897">
        <f>SUM(K29,K23,K17,K11)</f>
        <v>7049.5471</v>
      </c>
      <c r="L35" s="897">
        <f>SUM(L29,L23,L17,L11)</f>
        <v>8088.97358731</v>
      </c>
      <c r="M35" s="2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s="1" customFormat="1" ht="12.75">
      <c r="B36" s="477"/>
      <c r="D36" s="11"/>
      <c r="E36" s="530" t="s">
        <v>235</v>
      </c>
      <c r="F36" s="525">
        <f t="shared" si="10"/>
        <v>630.45472</v>
      </c>
      <c r="G36" s="518">
        <f t="shared" si="10"/>
        <v>1642.94455</v>
      </c>
      <c r="H36" s="518">
        <f t="shared" si="10"/>
        <v>2514.057562535116</v>
      </c>
      <c r="I36" s="518">
        <f t="shared" si="10"/>
        <v>3976.844562535116</v>
      </c>
      <c r="J36" s="425">
        <f t="shared" si="10"/>
        <v>5276.552562535116</v>
      </c>
      <c r="K36" s="897">
        <f>SUM(K30,K24,K18,K12)</f>
        <v>6148.601562535116</v>
      </c>
      <c r="L36" s="897">
        <f>SUM(L30,L24,L18,L12)</f>
        <v>7235.213562535117</v>
      </c>
      <c r="M36" s="2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s="1" customFormat="1" ht="12.75">
      <c r="B37" s="477"/>
      <c r="D37" s="11"/>
      <c r="E37" s="530" t="s">
        <v>237</v>
      </c>
      <c r="F37" s="527">
        <f aca="true" t="shared" si="11" ref="F37:L37">+F35/F36</f>
        <v>0.6677719852743748</v>
      </c>
      <c r="G37" s="521">
        <f t="shared" si="11"/>
        <v>1.0298582505416876</v>
      </c>
      <c r="H37" s="521">
        <f t="shared" si="11"/>
        <v>1.2672740861141274</v>
      </c>
      <c r="I37" s="521">
        <f t="shared" si="11"/>
        <v>1.1137004075856163</v>
      </c>
      <c r="J37" s="522">
        <f t="shared" si="11"/>
        <v>1.0526305662330897</v>
      </c>
      <c r="K37" s="898">
        <f t="shared" si="11"/>
        <v>1.1465285282029916</v>
      </c>
      <c r="L37" s="898">
        <f t="shared" si="11"/>
        <v>1.118000666793827</v>
      </c>
      <c r="M37" s="2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s="1" customFormat="1" ht="13.5" thickBot="1">
      <c r="B38" s="477"/>
      <c r="D38" s="11"/>
      <c r="E38" s="531" t="s">
        <v>236</v>
      </c>
      <c r="F38" s="528">
        <f aca="true" t="shared" si="12" ref="F38:K38">+F35/F34</f>
        <v>0.6773171163344435</v>
      </c>
      <c r="G38" s="523">
        <f t="shared" si="12"/>
        <v>0.9246103739972458</v>
      </c>
      <c r="H38" s="523">
        <f t="shared" si="12"/>
        <v>0.9419820650872354</v>
      </c>
      <c r="I38" s="523">
        <f t="shared" si="12"/>
        <v>0.9402167884550474</v>
      </c>
      <c r="J38" s="524">
        <f t="shared" si="12"/>
        <v>0.9611609032585182</v>
      </c>
      <c r="K38" s="899">
        <f t="shared" si="12"/>
        <v>0.9108636317238652</v>
      </c>
      <c r="L38" s="899">
        <f>+L35/L34</f>
        <v>0.9063397588886348</v>
      </c>
      <c r="M38" s="2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s="1" customFormat="1" ht="6" customHeight="1" thickBot="1">
      <c r="B39" s="477"/>
      <c r="D39" s="11"/>
      <c r="F39" s="2"/>
      <c r="G39" s="2"/>
      <c r="H39" s="2"/>
      <c r="I39" s="2"/>
      <c r="J39" s="3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s="1" customFormat="1" ht="12.75">
      <c r="B40" s="477"/>
      <c r="C40" s="1416" t="s">
        <v>612</v>
      </c>
      <c r="D40" s="1417"/>
      <c r="E40" s="529" t="s">
        <v>233</v>
      </c>
      <c r="F40" s="474">
        <f>SUM('BCWS by JOB'!F43:F45)</f>
        <v>219</v>
      </c>
      <c r="G40" s="468">
        <f>SUM('BCWS by JOB'!G43:G45)+F40</f>
        <v>518</v>
      </c>
      <c r="H40" s="468">
        <f>SUM('BCWS by JOB'!H43:H45)+G40</f>
        <v>827</v>
      </c>
      <c r="I40" s="468">
        <f>SUM('BCWS by JOB'!I43:I45)+H40</f>
        <v>1070</v>
      </c>
      <c r="J40" s="517">
        <f>SUM('BCWS by JOB'!J43:J45)+I40</f>
        <v>1184</v>
      </c>
      <c r="K40" s="900">
        <f>SUM('BCWS by JOB'!K43:K45)+J40</f>
        <v>1418</v>
      </c>
      <c r="L40" s="14">
        <f>SUM('BCWS by JOB'!L43:L45)+K40</f>
        <v>1500</v>
      </c>
      <c r="M40" s="14">
        <f>SUM('BCWS by JOB'!M43:M45)+L40</f>
        <v>1538</v>
      </c>
      <c r="N40" s="14">
        <f>SUM('BCWS by JOB'!N43:N45)+M40</f>
        <v>1580</v>
      </c>
      <c r="O40" s="14">
        <f>SUM('BCWS by JOB'!O43:O45)+N40</f>
        <v>1606</v>
      </c>
      <c r="P40" s="14">
        <f>SUM('BCWS by JOB'!P43:P45)+O40</f>
        <v>1606</v>
      </c>
      <c r="Q40" s="14">
        <f>SUM('BCWS by JOB'!Q43:Q45)+P40</f>
        <v>1606</v>
      </c>
      <c r="R40" s="14">
        <f>SUM('BCWS by JOB'!R43:R45)+Q40</f>
        <v>1606</v>
      </c>
      <c r="S40" s="14">
        <f>SUM('BCWS by JOB'!S43:S45)+R40</f>
        <v>1606</v>
      </c>
      <c r="T40" s="14">
        <f>SUM('BCWS by JOB'!T43:T45)+S40</f>
        <v>1606</v>
      </c>
      <c r="U40" s="14">
        <f>SUM('BCWS by JOB'!U43:U45)+T40</f>
        <v>1606</v>
      </c>
      <c r="V40" s="14">
        <f>SUM('BCWS by JOB'!V43:V45)+U40</f>
        <v>1606</v>
      </c>
      <c r="W40" s="14">
        <f>SUM('BCWS by JOB'!W43:W45)+V40</f>
        <v>1606</v>
      </c>
      <c r="X40" s="14">
        <f>SUM('BCWS by JOB'!X43:X45)+W40</f>
        <v>1606</v>
      </c>
      <c r="Y40" s="14">
        <f>SUM('BCWS by JOB'!Y43:Y45)+X40</f>
        <v>1606</v>
      </c>
      <c r="Z40" s="14">
        <f>SUM('BCWS by JOB'!Z43:Z45)+Y40</f>
        <v>1606</v>
      </c>
      <c r="AA40" s="14">
        <f>SUM('BCWS by JOB'!AA43:AA45)+Z40</f>
        <v>1606</v>
      </c>
      <c r="AB40" s="14">
        <f>SUM('BCWS by JOB'!AB43:AB45)+AA40</f>
        <v>1606</v>
      </c>
      <c r="AC40" s="14">
        <f>SUM('BCWS by JOB'!AC43:AC45)+AB40</f>
        <v>1606</v>
      </c>
      <c r="AD40" s="14">
        <f>SUM('BCWS by JOB'!AD43:AD45)+AC40</f>
        <v>1606</v>
      </c>
      <c r="AE40" s="14">
        <f>SUM('BCWS by JOB'!AE43:AE45)+AD40</f>
        <v>1606</v>
      </c>
      <c r="AF40" s="14">
        <f>SUM('BCWS by JOB'!AF43:AF45)+AE40</f>
        <v>1606</v>
      </c>
      <c r="AG40" s="14">
        <f>SUM('BCWS by JOB'!AG43:AG45)+AF40</f>
        <v>1606</v>
      </c>
      <c r="AH40" s="14">
        <f>SUM('BCWS by JOB'!AH43:AH45)+AG40</f>
        <v>1606</v>
      </c>
      <c r="AI40" s="14">
        <f>SUM('BCWS by JOB'!AI43:AI45)+AH40</f>
        <v>1606</v>
      </c>
      <c r="AJ40" s="14">
        <f>SUM('BCWS by JOB'!AJ43:AJ45)+AI40</f>
        <v>1606</v>
      </c>
      <c r="AK40" s="14">
        <f>SUM('BCWS by JOB'!AK43:AK45)+AJ40</f>
        <v>1606</v>
      </c>
      <c r="AL40" s="14">
        <f>SUM('BCWS by JOB'!AL43:AL45)+AK40</f>
        <v>1606</v>
      </c>
      <c r="AM40" s="14">
        <f>SUM('BCWS by JOB'!AM43:AM45)+AL40</f>
        <v>1606</v>
      </c>
      <c r="AN40" s="14">
        <f>SUM('BCWS by JOB'!AN43:AN45)+AM40</f>
        <v>1606</v>
      </c>
      <c r="AO40" s="14">
        <f>SUM('BCWS by JOB'!AO43:AO45)+AN40</f>
        <v>1606</v>
      </c>
      <c r="AP40" s="14">
        <f>SUM('BCWS by JOB'!AP43:AP45)+AO40</f>
        <v>1606</v>
      </c>
      <c r="AQ40" s="14">
        <f>SUM('BCWS by JOB'!AQ43:AQ45)+AP40</f>
        <v>1606</v>
      </c>
      <c r="AR40" s="14">
        <f>SUM('BCWS by JOB'!AR43:AR45)+AQ40</f>
        <v>1606</v>
      </c>
      <c r="AS40" s="14">
        <f>SUM('BCWS by JOB'!AS43:AS45)+AR40</f>
        <v>1606</v>
      </c>
      <c r="AT40" s="14">
        <f>SUM('BCWS by JOB'!AT43:AT45)+AS40</f>
        <v>1606</v>
      </c>
      <c r="AU40" s="14">
        <f>SUM('BCWS by JOB'!AU43:AU45)+AT40</f>
        <v>1606</v>
      </c>
      <c r="AV40" s="14">
        <f>SUM('BCWS by JOB'!AV43:AV45)+AU40</f>
        <v>1606</v>
      </c>
      <c r="AW40" s="14">
        <f>SUM('BCWS by JOB'!AW43:AW45)+AV40</f>
        <v>1606</v>
      </c>
      <c r="AX40" s="14">
        <f>SUM('BCWS by JOB'!AX43:AX45)+AW40</f>
        <v>1606</v>
      </c>
      <c r="AY40" s="14">
        <f>SUM('BCWS by JOB'!AY43:AY45)+AX40</f>
        <v>1606</v>
      </c>
      <c r="AZ40" s="14">
        <f>SUM('BCWS by JOB'!AZ43:AZ45)+AY40</f>
        <v>1606</v>
      </c>
      <c r="BA40" s="2"/>
      <c r="BB40" s="2"/>
      <c r="BC40" s="2"/>
      <c r="BD40" s="2"/>
    </row>
    <row r="41" spans="2:56" s="1" customFormat="1" ht="13.5" thickBot="1">
      <c r="B41" s="477"/>
      <c r="C41" s="1418" t="s">
        <v>613</v>
      </c>
      <c r="D41" s="1419"/>
      <c r="E41" s="530" t="s">
        <v>234</v>
      </c>
      <c r="F41" s="552">
        <f>SUM('BCWP by JOB'!D43:D45)</f>
        <v>96</v>
      </c>
      <c r="G41" s="509">
        <f>SUM('BCWP by JOB'!E43:E45)+F41</f>
        <v>292</v>
      </c>
      <c r="H41" s="509">
        <f>SUM('BCWP by JOB'!F43:F45)+G41</f>
        <v>797</v>
      </c>
      <c r="I41" s="509">
        <f>SUM('BCWP by JOB'!G43:G45)+H41</f>
        <v>897.5716322099998</v>
      </c>
      <c r="J41" s="471">
        <f>SUM('BCWP by JOB'!H43:H45)+I41</f>
        <v>918.4999999999999</v>
      </c>
      <c r="K41" s="901">
        <f>SUM('BCWP by JOB'!I43:I45)+J41</f>
        <v>1122.391</v>
      </c>
      <c r="L41" s="901">
        <f>SUM('BCWP by JOB'!J43:J45)+K41</f>
        <v>1224.7874298</v>
      </c>
      <c r="M41" s="2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s="1" customFormat="1" ht="12.75">
      <c r="B42" s="477"/>
      <c r="D42" s="11"/>
      <c r="E42" s="530" t="s">
        <v>235</v>
      </c>
      <c r="F42" s="526">
        <f>SUM('ACWP by JOB'!E43:E45)</f>
        <v>123.94133000000001</v>
      </c>
      <c r="G42" s="550">
        <f>SUM('ACWP by JOB'!F43:F45)+F42</f>
        <v>257.93505</v>
      </c>
      <c r="H42" s="550">
        <f>SUM('ACWP by JOB'!G43:G45)+G42</f>
        <v>406.7498033851951</v>
      </c>
      <c r="I42" s="550">
        <f>SUM('ACWP by JOB'!H43:H45)+H42</f>
        <v>700.8288033851951</v>
      </c>
      <c r="J42" s="551">
        <f>SUM('ACWP by JOB'!I43:I45)+I42</f>
        <v>828.5818033851951</v>
      </c>
      <c r="K42" s="901">
        <f>SUM('ACWP by JOB'!J43:J45)+J42</f>
        <v>943.1298033851951</v>
      </c>
      <c r="L42" s="901">
        <f>SUM('ACWP by JOB'!K43:K45)+K42</f>
        <v>1073.112803385195</v>
      </c>
      <c r="M42" s="2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s="1" customFormat="1" ht="12.75">
      <c r="B43" s="477"/>
      <c r="D43" s="11"/>
      <c r="E43" s="530" t="s">
        <v>237</v>
      </c>
      <c r="F43" s="527">
        <f aca="true" t="shared" si="13" ref="F43:L43">+F41/F42</f>
        <v>0.7745600277163396</v>
      </c>
      <c r="G43" s="521">
        <f t="shared" si="13"/>
        <v>1.1320679372578484</v>
      </c>
      <c r="H43" s="521">
        <f t="shared" si="13"/>
        <v>1.9594354892539065</v>
      </c>
      <c r="I43" s="521">
        <f t="shared" si="13"/>
        <v>1.2807287997788945</v>
      </c>
      <c r="J43" s="522">
        <f t="shared" si="13"/>
        <v>1.1085206026097139</v>
      </c>
      <c r="K43" s="898">
        <f t="shared" si="13"/>
        <v>1.1900705459326797</v>
      </c>
      <c r="L43" s="898">
        <f t="shared" si="13"/>
        <v>1.1413408040015351</v>
      </c>
      <c r="M43" s="2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s="1" customFormat="1" ht="13.5" thickBot="1">
      <c r="B44" s="477"/>
      <c r="D44" s="11"/>
      <c r="E44" s="531" t="s">
        <v>236</v>
      </c>
      <c r="F44" s="528">
        <f aca="true" t="shared" si="14" ref="F44:K44">+F41/F40</f>
        <v>0.4383561643835616</v>
      </c>
      <c r="G44" s="523">
        <f t="shared" si="14"/>
        <v>0.5637065637065637</v>
      </c>
      <c r="H44" s="523">
        <f t="shared" si="14"/>
        <v>0.9637243047158404</v>
      </c>
      <c r="I44" s="523">
        <f t="shared" si="14"/>
        <v>0.8388519927196261</v>
      </c>
      <c r="J44" s="524">
        <f t="shared" si="14"/>
        <v>0.7757601351351351</v>
      </c>
      <c r="K44" s="899">
        <f t="shared" si="14"/>
        <v>0.791531029619182</v>
      </c>
      <c r="L44" s="899">
        <f>+L41/L40</f>
        <v>0.8165249532</v>
      </c>
      <c r="M44" s="2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s="1" customFormat="1" ht="5.25" customHeight="1" thickBot="1">
      <c r="B45" s="477"/>
      <c r="D45" s="11"/>
      <c r="F45" s="2"/>
      <c r="G45" s="2"/>
      <c r="H45" s="2"/>
      <c r="I45" s="2"/>
      <c r="J45" s="3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s="1" customFormat="1" ht="12.75">
      <c r="B46" s="477"/>
      <c r="C46" s="1416" t="s">
        <v>614</v>
      </c>
      <c r="D46" s="1417"/>
      <c r="E46" s="529" t="s">
        <v>233</v>
      </c>
      <c r="F46" s="474">
        <f>SUM('BCWS by JOB'!F14,'BCWS by JOB'!F16:F17)</f>
        <v>254.37</v>
      </c>
      <c r="G46" s="468">
        <f>SUM('BCWS by JOB'!G14,'BCWS by JOB'!G16:G17)+F46</f>
        <v>497.46000000000004</v>
      </c>
      <c r="H46" s="468">
        <f>SUM('BCWS by JOB'!H14,'BCWS by JOB'!H16:H17)+G46</f>
        <v>838.33</v>
      </c>
      <c r="I46" s="468">
        <f>SUM('BCWS by JOB'!I14,'BCWS by JOB'!I16:I17)+H46</f>
        <v>1170.53</v>
      </c>
      <c r="J46" s="517">
        <f>SUM('BCWS by JOB'!J14,'BCWS by JOB'!J16:J17)+I46</f>
        <v>1417.1</v>
      </c>
      <c r="K46" s="900">
        <f>SUM('BCWS by JOB'!K14,'BCWS by JOB'!K16:K17)+J46</f>
        <v>1754.71</v>
      </c>
      <c r="L46" s="14">
        <f>SUM('BCWS by JOB'!L14,'BCWS by JOB'!L16:L17)+K46</f>
        <v>1998.28</v>
      </c>
      <c r="M46" s="14">
        <f>SUM('BCWS by JOB'!M14,'BCWS by JOB'!M16:M17)+L46</f>
        <v>2223.27</v>
      </c>
      <c r="N46" s="14">
        <f>SUM('BCWS by JOB'!N14,'BCWS by JOB'!N16:N17)+M46</f>
        <v>2531.45</v>
      </c>
      <c r="O46" s="14">
        <f>SUM('BCWS by JOB'!O14,'BCWS by JOB'!O16:O17)+N46</f>
        <v>2783.46</v>
      </c>
      <c r="P46" s="14">
        <f>SUM('BCWS by JOB'!P14,'BCWS by JOB'!P16:P17)+O46</f>
        <v>3079.7200000000003</v>
      </c>
      <c r="Q46" s="14">
        <f>SUM('BCWS by JOB'!Q14,'BCWS by JOB'!Q16:Q17)+P46</f>
        <v>3346.46</v>
      </c>
      <c r="R46" s="14">
        <f>SUM('BCWS by JOB'!R14,'BCWS by JOB'!R16:R17)+Q46</f>
        <v>3596.73</v>
      </c>
      <c r="S46" s="14">
        <f>SUM('BCWS by JOB'!S14,'BCWS by JOB'!S16:S17)+R46</f>
        <v>3831.2</v>
      </c>
      <c r="T46" s="14">
        <f>SUM('BCWS by JOB'!T14,'BCWS by JOB'!T16:T17)+S46</f>
        <v>4258.45</v>
      </c>
      <c r="U46" s="14">
        <f>SUM('BCWS by JOB'!U14,'BCWS by JOB'!U16:U17)+T46</f>
        <v>4570.349999999999</v>
      </c>
      <c r="V46" s="14">
        <f>SUM('BCWS by JOB'!V14,'BCWS by JOB'!V16:V17)+U46</f>
        <v>4851.169999999999</v>
      </c>
      <c r="W46" s="14">
        <f>SUM('BCWS by JOB'!W14,'BCWS by JOB'!W16:W17)+V46</f>
        <v>5164.449999999999</v>
      </c>
      <c r="X46" s="14">
        <f>SUM('BCWS by JOB'!X14,'BCWS by JOB'!X16:X17)+W46</f>
        <v>5448.499999999999</v>
      </c>
      <c r="Y46" s="14">
        <f>SUM('BCWS by JOB'!Y14,'BCWS by JOB'!Y16:Y17)+X46</f>
        <v>5663.629999999999</v>
      </c>
      <c r="Z46" s="14">
        <f>SUM('BCWS by JOB'!Z14,'BCWS by JOB'!Z16:Z17)+Y46</f>
        <v>5966.7699999999995</v>
      </c>
      <c r="AA46" s="14">
        <f>SUM('BCWS by JOB'!AA14,'BCWS by JOB'!AA16:AA17)+Z46</f>
        <v>6353.459999999999</v>
      </c>
      <c r="AB46" s="14">
        <f>SUM('BCWS by JOB'!AB14,'BCWS by JOB'!AB16:AB17)+AA46</f>
        <v>6781.689999999999</v>
      </c>
      <c r="AC46" s="14">
        <f>SUM('BCWS by JOB'!AC14,'BCWS by JOB'!AC16:AC17)+AB46</f>
        <v>7133.9299999999985</v>
      </c>
      <c r="AD46" s="14">
        <f>SUM('BCWS by JOB'!AD14,'BCWS by JOB'!AD16:AD17)+AC46</f>
        <v>7480.669999999998</v>
      </c>
      <c r="AE46" s="14">
        <f>SUM('BCWS by JOB'!AE14,'BCWS by JOB'!AE16:AE17)+AD46</f>
        <v>7795.069999999998</v>
      </c>
      <c r="AF46" s="14">
        <f>SUM('BCWS by JOB'!AF14,'BCWS by JOB'!AF16:AF17)+AE46</f>
        <v>8142.389999999998</v>
      </c>
      <c r="AG46" s="14">
        <f>SUM('BCWS by JOB'!AG14,'BCWS by JOB'!AG16:AG17)+AF46</f>
        <v>8432.559999999998</v>
      </c>
      <c r="AH46" s="14">
        <f>SUM('BCWS by JOB'!AH14,'BCWS by JOB'!AH16:AH17)+AG46</f>
        <v>8725.729999999998</v>
      </c>
      <c r="AI46" s="14">
        <f>SUM('BCWS by JOB'!AI14,'BCWS by JOB'!AI16:AI17)+AH46</f>
        <v>8964.049999999997</v>
      </c>
      <c r="AJ46" s="14">
        <f>SUM('BCWS by JOB'!AJ14,'BCWS by JOB'!AJ16:AJ17)+AI46</f>
        <v>9073.559999999998</v>
      </c>
      <c r="AK46" s="14">
        <f>SUM('BCWS by JOB'!AK14,'BCWS by JOB'!AK16:AK17)+AJ46</f>
        <v>9073.559999999998</v>
      </c>
      <c r="AL46" s="14">
        <f>SUM('BCWS by JOB'!AL14,'BCWS by JOB'!AL16:AL17)+AK46</f>
        <v>9073.559999999998</v>
      </c>
      <c r="AM46" s="14">
        <f>SUM('BCWS by JOB'!AM14,'BCWS by JOB'!AM16:AM17)+AL46</f>
        <v>9073.559999999998</v>
      </c>
      <c r="AN46" s="14">
        <f>SUM('BCWS by JOB'!AN14,'BCWS by JOB'!AN16:AN17)+AM46</f>
        <v>9073.559999999998</v>
      </c>
      <c r="AO46" s="14">
        <f>SUM('BCWS by JOB'!AO14,'BCWS by JOB'!AO16:AO17)+AN46</f>
        <v>9073.559999999998</v>
      </c>
      <c r="AP46" s="14">
        <f>SUM('BCWS by JOB'!AP14,'BCWS by JOB'!AP16:AP17)+AO46</f>
        <v>9073.559999999998</v>
      </c>
      <c r="AQ46" s="14">
        <f>SUM('BCWS by JOB'!AQ14,'BCWS by JOB'!AQ16:AQ17)+AP46</f>
        <v>9073.559999999998</v>
      </c>
      <c r="AR46" s="14">
        <f>SUM('BCWS by JOB'!AR14,'BCWS by JOB'!AR16:AR17)+AQ46</f>
        <v>9073.559999999998</v>
      </c>
      <c r="AS46" s="14">
        <f>SUM('BCWS by JOB'!AS14,'BCWS by JOB'!AS16:AS17)+AR46</f>
        <v>9073.559999999998</v>
      </c>
      <c r="AT46" s="14">
        <f>SUM('BCWS by JOB'!AT14,'BCWS by JOB'!AT16:AT17)+AS46</f>
        <v>9073.559999999998</v>
      </c>
      <c r="AU46" s="14">
        <f>SUM('BCWS by JOB'!AU14,'BCWS by JOB'!AU16:AU17)+AT46</f>
        <v>9073.559999999998</v>
      </c>
      <c r="AV46" s="14">
        <f>SUM('BCWS by JOB'!AV14,'BCWS by JOB'!AV16:AV17)+AU46</f>
        <v>9073.559999999998</v>
      </c>
      <c r="AW46" s="14">
        <f>SUM('BCWS by JOB'!AW14,'BCWS by JOB'!AW16:AW17)+AV46</f>
        <v>9073.559999999998</v>
      </c>
      <c r="AX46" s="14">
        <f>SUM('BCWS by JOB'!AX14,'BCWS by JOB'!AX16:AX17)+AW46</f>
        <v>9073.559999999998</v>
      </c>
      <c r="AY46" s="14">
        <f>SUM('BCWS by JOB'!AY14,'BCWS by JOB'!AY16:AY17)+AX46</f>
        <v>9073.559999999998</v>
      </c>
      <c r="AZ46" s="14">
        <f>SUM('BCWS by JOB'!AZ14,'BCWS by JOB'!AZ16:AZ17)+AY46</f>
        <v>9073.559999999998</v>
      </c>
      <c r="BA46" s="2"/>
      <c r="BB46" s="2"/>
      <c r="BC46" s="2"/>
      <c r="BD46" s="2"/>
    </row>
    <row r="47" spans="2:56" s="1" customFormat="1" ht="13.5" thickBot="1">
      <c r="B47" s="477"/>
      <c r="C47" s="1418" t="s">
        <v>615</v>
      </c>
      <c r="D47" s="1419"/>
      <c r="E47" s="530" t="s">
        <v>234</v>
      </c>
      <c r="F47" s="552">
        <f>SUM('BCWP by JOB'!D14,'BCWP by JOB'!D16:D17)</f>
        <v>254</v>
      </c>
      <c r="G47" s="549">
        <f>SUM('BCWP by JOB'!E14,'BCWP by JOB'!E16:E17)+F47</f>
        <v>494</v>
      </c>
      <c r="H47" s="549">
        <f>SUM('BCWP by JOB'!F14,'BCWP by JOB'!F16:F17)+G47</f>
        <v>808</v>
      </c>
      <c r="I47" s="549">
        <f>SUM('BCWP by JOB'!G14,'BCWP by JOB'!G16:G17)+H47</f>
        <v>1064.65386914</v>
      </c>
      <c r="J47" s="553">
        <f>SUM('BCWP by JOB'!H14,'BCWP by JOB'!H16:H17)+I47</f>
        <v>1359.15</v>
      </c>
      <c r="K47" s="902">
        <f>SUM('BCWP by JOB'!I14,'BCWP by JOB'!I16:I17)+J47</f>
        <v>1600.257</v>
      </c>
      <c r="L47" s="902">
        <f>SUM('BCWP by JOB'!J14,'BCWP by JOB'!J16:J17)+K47</f>
        <v>1777.2997018699996</v>
      </c>
      <c r="M47" s="2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s="1" customFormat="1" ht="12.75">
      <c r="B48" s="477"/>
      <c r="D48" s="11"/>
      <c r="E48" s="530" t="s">
        <v>235</v>
      </c>
      <c r="F48" s="526">
        <f>SUM('ACWP by JOB'!E14,'ACWP by JOB'!E16:E17)</f>
        <v>191.28094</v>
      </c>
      <c r="G48" s="519">
        <f>SUM('ACWP by JOB'!F14,'ACWP by JOB'!F16:F17)+F48</f>
        <v>363.58007999999995</v>
      </c>
      <c r="H48" s="519">
        <f>SUM('ACWP by JOB'!G14,'ACWP by JOB'!G16:G17)+G48</f>
        <v>571.3967854790535</v>
      </c>
      <c r="I48" s="519">
        <f>SUM('ACWP by JOB'!H14,'ACWP by JOB'!H16:H17)+H48</f>
        <v>851.3267854790536</v>
      </c>
      <c r="J48" s="520">
        <f>SUM('ACWP by JOB'!I14,'ACWP by JOB'!I16:I17)+I48</f>
        <v>1075.1187854790535</v>
      </c>
      <c r="K48" s="897">
        <f>SUM('ACWP by JOB'!J14,'ACWP by JOB'!J16:J17)+J48</f>
        <v>1226.7267854790534</v>
      </c>
      <c r="L48" s="897">
        <f>SUM('ACWP by JOB'!K14,'ACWP by JOB'!K16:K17)+K48</f>
        <v>1443.2527854790535</v>
      </c>
      <c r="M48" s="2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s="1" customFormat="1" ht="12.75">
      <c r="B49" s="477"/>
      <c r="D49" s="11"/>
      <c r="E49" s="530" t="s">
        <v>237</v>
      </c>
      <c r="F49" s="527">
        <f aca="true" t="shared" si="15" ref="F49:L49">+F47/F48</f>
        <v>1.3278897521101685</v>
      </c>
      <c r="G49" s="521">
        <f t="shared" si="15"/>
        <v>1.358710301180417</v>
      </c>
      <c r="H49" s="521">
        <f t="shared" si="15"/>
        <v>1.4140786587075052</v>
      </c>
      <c r="I49" s="521">
        <f t="shared" si="15"/>
        <v>1.2505819002757024</v>
      </c>
      <c r="J49" s="522">
        <f t="shared" si="15"/>
        <v>1.2641858912309745</v>
      </c>
      <c r="K49" s="898">
        <f t="shared" si="15"/>
        <v>1.3044934038634186</v>
      </c>
      <c r="L49" s="898">
        <f t="shared" si="15"/>
        <v>1.2314541982886713</v>
      </c>
      <c r="M49" s="2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s="1" customFormat="1" ht="13.5" thickBot="1">
      <c r="B50" s="477"/>
      <c r="D50" s="11"/>
      <c r="E50" s="531" t="s">
        <v>236</v>
      </c>
      <c r="F50" s="528">
        <f aca="true" t="shared" si="16" ref="F50:K50">+F47/F46</f>
        <v>0.9985454259543185</v>
      </c>
      <c r="G50" s="523">
        <f t="shared" si="16"/>
        <v>0.9930446669078921</v>
      </c>
      <c r="H50" s="523">
        <f t="shared" si="16"/>
        <v>0.9638209297054858</v>
      </c>
      <c r="I50" s="523">
        <f t="shared" si="16"/>
        <v>0.9095485541933996</v>
      </c>
      <c r="J50" s="524">
        <f t="shared" si="16"/>
        <v>0.959106626208454</v>
      </c>
      <c r="K50" s="899">
        <f t="shared" si="16"/>
        <v>0.9119780476545982</v>
      </c>
      <c r="L50" s="899">
        <f>+L47/L46</f>
        <v>0.8894147476179513</v>
      </c>
      <c r="M50" s="2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s="1" customFormat="1" ht="6" customHeight="1" thickBot="1">
      <c r="B51" s="477"/>
      <c r="D51" s="11"/>
      <c r="F51" s="2"/>
      <c r="G51" s="2"/>
      <c r="H51" s="2"/>
      <c r="I51" s="2"/>
      <c r="J51" s="3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s="1" customFormat="1" ht="12.75">
      <c r="B52" s="477"/>
      <c r="C52" s="1420" t="s">
        <v>616</v>
      </c>
      <c r="D52" s="1421"/>
      <c r="E52" s="529" t="s">
        <v>233</v>
      </c>
      <c r="F52" s="474">
        <f>SUM('BCWS by JOB'!F12)</f>
        <v>237</v>
      </c>
      <c r="G52" s="468">
        <f>SUM('BCWS by JOB'!G12)+F52</f>
        <v>408</v>
      </c>
      <c r="H52" s="468">
        <f>SUM('BCWS by JOB'!H12)+G52</f>
        <v>639</v>
      </c>
      <c r="I52" s="468">
        <f>SUM('BCWS by JOB'!I12)+H52</f>
        <v>821</v>
      </c>
      <c r="J52" s="517">
        <f>SUM('BCWS by JOB'!J12)+I52</f>
        <v>957</v>
      </c>
      <c r="K52" s="900">
        <f>SUM('BCWS by JOB'!K12)+J52</f>
        <v>1170</v>
      </c>
      <c r="L52" s="14">
        <f>SUM('BCWS by JOB'!L12)+K52</f>
        <v>1358</v>
      </c>
      <c r="M52" s="14">
        <f>SUM('BCWS by JOB'!M12)+L52</f>
        <v>1491</v>
      </c>
      <c r="N52" s="14">
        <f>SUM('BCWS by JOB'!N12)+M52</f>
        <v>1713</v>
      </c>
      <c r="O52" s="14">
        <f>SUM('BCWS by JOB'!O12)+N52</f>
        <v>1924</v>
      </c>
      <c r="P52" s="14">
        <f>SUM('BCWS by JOB'!P12)+O52</f>
        <v>2107</v>
      </c>
      <c r="Q52" s="14">
        <f>SUM('BCWS by JOB'!Q12)+P52</f>
        <v>2316</v>
      </c>
      <c r="R52" s="14">
        <f>SUM('BCWS by JOB'!R12)+Q52</f>
        <v>2509</v>
      </c>
      <c r="S52" s="14">
        <f>SUM('BCWS by JOB'!S12)+R52</f>
        <v>2665</v>
      </c>
      <c r="T52" s="14">
        <f>SUM('BCWS by JOB'!T12)+S52</f>
        <v>2752</v>
      </c>
      <c r="U52" s="14">
        <f>SUM('BCWS by JOB'!U12)+T52</f>
        <v>2768</v>
      </c>
      <c r="V52" s="14">
        <f>SUM('BCWS by JOB'!V12)+U52</f>
        <v>2769</v>
      </c>
      <c r="W52" s="14">
        <f>SUM('BCWS by JOB'!W12)+V52</f>
        <v>2769</v>
      </c>
      <c r="X52" s="14">
        <f>SUM('BCWS by JOB'!X12)+W52</f>
        <v>2769</v>
      </c>
      <c r="Y52" s="14">
        <f>SUM('BCWS by JOB'!Y12)+X52</f>
        <v>2769</v>
      </c>
      <c r="Z52" s="14">
        <f>SUM('BCWS by JOB'!Z12)+Y52</f>
        <v>2769</v>
      </c>
      <c r="AA52" s="14">
        <f>SUM('BCWS by JOB'!AA12)+Z52</f>
        <v>2769</v>
      </c>
      <c r="AB52" s="14">
        <f>SUM('BCWS by JOB'!AB12)+AA52</f>
        <v>2769</v>
      </c>
      <c r="AC52" s="14">
        <f>SUM('BCWS by JOB'!AC12)+AB52</f>
        <v>2769</v>
      </c>
      <c r="AD52" s="14">
        <f>SUM('BCWS by JOB'!AD12)+AC52</f>
        <v>2769</v>
      </c>
      <c r="AE52" s="14">
        <f>SUM('BCWS by JOB'!AE12)+AD52</f>
        <v>2769</v>
      </c>
      <c r="AF52" s="14">
        <f>SUM('BCWS by JOB'!AF12)+AE52</f>
        <v>2769</v>
      </c>
      <c r="AG52" s="14">
        <f>SUM('BCWS by JOB'!AG12)+AF52</f>
        <v>2769</v>
      </c>
      <c r="AH52" s="14">
        <f>SUM('BCWS by JOB'!AH12)+AG52</f>
        <v>2769</v>
      </c>
      <c r="AI52" s="14">
        <f>SUM('BCWS by JOB'!AI12)+AH52</f>
        <v>2769</v>
      </c>
      <c r="AJ52" s="14">
        <f>SUM('BCWS by JOB'!AJ12)+AI52</f>
        <v>2769</v>
      </c>
      <c r="AK52" s="14">
        <f>SUM('BCWS by JOB'!AK12)+AJ52</f>
        <v>2769</v>
      </c>
      <c r="AL52" s="14">
        <f>SUM('BCWS by JOB'!AL12)+AK52</f>
        <v>2769</v>
      </c>
      <c r="AM52" s="14">
        <f>SUM('BCWS by JOB'!AM12)+AL52</f>
        <v>2769</v>
      </c>
      <c r="AN52" s="14">
        <f>SUM('BCWS by JOB'!AN12)+AM52</f>
        <v>2769</v>
      </c>
      <c r="AO52" s="14">
        <f>SUM('BCWS by JOB'!AO12)+AN52</f>
        <v>2769</v>
      </c>
      <c r="AP52" s="14">
        <f>SUM('BCWS by JOB'!AP12)+AO52</f>
        <v>2769</v>
      </c>
      <c r="AQ52" s="14">
        <f>SUM('BCWS by JOB'!AQ12)+AP52</f>
        <v>2769</v>
      </c>
      <c r="AR52" s="14">
        <f>SUM('BCWS by JOB'!AR12)+AQ52</f>
        <v>2769</v>
      </c>
      <c r="AS52" s="14">
        <f>SUM('BCWS by JOB'!AS12)+AR52</f>
        <v>2769</v>
      </c>
      <c r="AT52" s="14">
        <f>SUM('BCWS by JOB'!AT12)+AS52</f>
        <v>2769</v>
      </c>
      <c r="AU52" s="14">
        <f>SUM('BCWS by JOB'!AU12)+AT52</f>
        <v>2769</v>
      </c>
      <c r="AV52" s="14">
        <f>SUM('BCWS by JOB'!AV12)+AU52</f>
        <v>2769</v>
      </c>
      <c r="AW52" s="14">
        <f>SUM('BCWS by JOB'!AW12)+AV52</f>
        <v>2769</v>
      </c>
      <c r="AX52" s="14">
        <f>SUM('BCWS by JOB'!AX12)+AW52</f>
        <v>2769</v>
      </c>
      <c r="AY52" s="14">
        <f>SUM('BCWS by JOB'!AY12)+AX52</f>
        <v>2769</v>
      </c>
      <c r="AZ52" s="14">
        <f>SUM('BCWS by JOB'!AZ12)+AY52</f>
        <v>2769</v>
      </c>
      <c r="BA52" s="2"/>
      <c r="BB52" s="2"/>
      <c r="BC52" s="2"/>
      <c r="BD52" s="2"/>
    </row>
    <row r="53" spans="2:56" s="1" customFormat="1" ht="13.5" thickBot="1">
      <c r="B53" s="477"/>
      <c r="C53" s="1418">
        <v>1451</v>
      </c>
      <c r="D53" s="1419"/>
      <c r="E53" s="530" t="s">
        <v>234</v>
      </c>
      <c r="F53" s="552">
        <f>SUM('BCWP by JOB'!D12)</f>
        <v>236</v>
      </c>
      <c r="G53" s="549">
        <f>SUM('BCWP by JOB'!E12)+F53</f>
        <v>412</v>
      </c>
      <c r="H53" s="549">
        <f>SUM('BCWP by JOB'!F12)+G53</f>
        <v>711</v>
      </c>
      <c r="I53" s="549">
        <f>SUM('BCWP by JOB'!G12)+H53</f>
        <v>946.2219701200002</v>
      </c>
      <c r="J53" s="553">
        <f>SUM('BCWP by JOB'!H12)+I53</f>
        <v>1184</v>
      </c>
      <c r="K53" s="902">
        <f>SUM('BCWP by JOB'!I12)+J53</f>
        <v>1439.27</v>
      </c>
      <c r="L53" s="902">
        <f>SUM('BCWP by JOB'!J12)+K53</f>
        <v>1546.0835163800002</v>
      </c>
      <c r="M53" s="2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s="1" customFormat="1" ht="12.75">
      <c r="B54" s="477"/>
      <c r="D54" s="11"/>
      <c r="E54" s="530" t="s">
        <v>235</v>
      </c>
      <c r="F54" s="526">
        <f>SUM('ACWP by JOB'!E12)</f>
        <v>283.70750000000004</v>
      </c>
      <c r="G54" s="519">
        <f>SUM('ACWP by JOB'!F12)+F54</f>
        <v>502.50305000000003</v>
      </c>
      <c r="H54" s="519">
        <f>SUM('ACWP by JOB'!G12)+G54</f>
        <v>659.790693632146</v>
      </c>
      <c r="I54" s="519">
        <f>SUM('ACWP by JOB'!H12)+H54</f>
        <v>900.0866936321461</v>
      </c>
      <c r="J54" s="520">
        <f>SUM('ACWP by JOB'!I12)+I54</f>
        <v>1090.423693632146</v>
      </c>
      <c r="K54" s="897">
        <f>SUM('ACWP by JOB'!J12)+J54</f>
        <v>1245.018693632146</v>
      </c>
      <c r="L54" s="897">
        <f>SUM('ACWP by JOB'!K12)+K54</f>
        <v>1436.403693632146</v>
      </c>
      <c r="M54" s="2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s="1" customFormat="1" ht="12.75">
      <c r="B55" s="477"/>
      <c r="D55" s="11"/>
      <c r="E55" s="530" t="s">
        <v>237</v>
      </c>
      <c r="F55" s="527">
        <f aca="true" t="shared" si="17" ref="F55:L55">+F53/F54</f>
        <v>0.8318426548469814</v>
      </c>
      <c r="G55" s="521">
        <f t="shared" si="17"/>
        <v>0.8198955210321609</v>
      </c>
      <c r="H55" s="521">
        <f t="shared" si="17"/>
        <v>1.0776144720774203</v>
      </c>
      <c r="I55" s="521">
        <f t="shared" si="17"/>
        <v>1.0512564809748304</v>
      </c>
      <c r="J55" s="522">
        <f t="shared" si="17"/>
        <v>1.08581646465894</v>
      </c>
      <c r="K55" s="898">
        <f t="shared" si="17"/>
        <v>1.1560228029999744</v>
      </c>
      <c r="L55" s="898">
        <f t="shared" si="17"/>
        <v>1.0763572408189188</v>
      </c>
      <c r="M55" s="2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s="1" customFormat="1" ht="13.5" thickBot="1">
      <c r="B56" s="477"/>
      <c r="D56" s="11"/>
      <c r="E56" s="531" t="s">
        <v>236</v>
      </c>
      <c r="F56" s="528">
        <f aca="true" t="shared" si="18" ref="F56:K56">+F53/F52</f>
        <v>0.9957805907172996</v>
      </c>
      <c r="G56" s="523">
        <f t="shared" si="18"/>
        <v>1.0098039215686274</v>
      </c>
      <c r="H56" s="523">
        <f t="shared" si="18"/>
        <v>1.1126760563380282</v>
      </c>
      <c r="I56" s="523">
        <f t="shared" si="18"/>
        <v>1.152523715127893</v>
      </c>
      <c r="J56" s="524">
        <f t="shared" si="18"/>
        <v>1.2371995820271682</v>
      </c>
      <c r="K56" s="899">
        <f t="shared" si="18"/>
        <v>1.230145299145299</v>
      </c>
      <c r="L56" s="899">
        <f>+L53/L52</f>
        <v>1.1385003802503684</v>
      </c>
      <c r="M56" s="2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s="1" customFormat="1" ht="4.5" customHeight="1">
      <c r="B57" s="477"/>
      <c r="D57" s="11"/>
      <c r="F57" s="2"/>
      <c r="G57" s="2"/>
      <c r="H57" s="2"/>
      <c r="I57" s="2"/>
      <c r="J57" s="3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s="1" customFormat="1" ht="12.75">
      <c r="B58" s="477"/>
      <c r="C58" s="1422" t="s">
        <v>845</v>
      </c>
      <c r="D58" s="1408"/>
      <c r="E58" s="1" t="s">
        <v>233</v>
      </c>
      <c r="F58" s="14">
        <f>SUM('BCWS by JOB'!F13)</f>
        <v>0</v>
      </c>
      <c r="G58" s="14">
        <f>SUM('BCWS by JOB'!G13)+F58</f>
        <v>4</v>
      </c>
      <c r="H58" s="14">
        <f>SUM('BCWS by JOB'!H13)+G58</f>
        <v>23</v>
      </c>
      <c r="I58" s="14">
        <f>SUM('BCWS by JOB'!I13)+H58</f>
        <v>43</v>
      </c>
      <c r="J58" s="14">
        <f>SUM('BCWS by JOB'!J13)+I58</f>
        <v>90</v>
      </c>
      <c r="K58" s="903">
        <f>SUM('BCWS by JOB'!K13)+J58</f>
        <v>147</v>
      </c>
      <c r="L58" s="14">
        <f>SUM('BCWS by JOB'!L13)+K58</f>
        <v>190</v>
      </c>
      <c r="M58" s="14">
        <f>SUM('BCWS by JOB'!M13)+L58</f>
        <v>216</v>
      </c>
      <c r="N58" s="14">
        <f>SUM('BCWS by JOB'!N13)+M58</f>
        <v>258</v>
      </c>
      <c r="O58" s="14">
        <f>SUM('BCWS by JOB'!O13)+N58</f>
        <v>301</v>
      </c>
      <c r="P58" s="14">
        <f>SUM('BCWS by JOB'!P13)+O58</f>
        <v>343</v>
      </c>
      <c r="Q58" s="14">
        <f>SUM('BCWS by JOB'!Q13)+P58</f>
        <v>369</v>
      </c>
      <c r="R58" s="14">
        <f>SUM('BCWS by JOB'!R13)+Q58</f>
        <v>393</v>
      </c>
      <c r="S58" s="14">
        <f>SUM('BCWS by JOB'!S13)+R58</f>
        <v>418</v>
      </c>
      <c r="T58" s="14">
        <f>SUM('BCWS by JOB'!T13)+S58</f>
        <v>444</v>
      </c>
      <c r="U58" s="14">
        <f>SUM('BCWS by JOB'!U13)+T58</f>
        <v>477</v>
      </c>
      <c r="V58" s="14">
        <f>SUM('BCWS by JOB'!V13)+U58</f>
        <v>501</v>
      </c>
      <c r="W58" s="14">
        <f>SUM('BCWS by JOB'!W13)+V58</f>
        <v>501</v>
      </c>
      <c r="X58" s="14">
        <f>SUM('BCWS by JOB'!X13)+W58</f>
        <v>501</v>
      </c>
      <c r="Y58" s="14">
        <f>SUM('BCWS by JOB'!Y13)+X58</f>
        <v>501</v>
      </c>
      <c r="Z58" s="14">
        <f>SUM('BCWS by JOB'!Z13)+Y58</f>
        <v>501</v>
      </c>
      <c r="AA58" s="14">
        <f>SUM('BCWS by JOB'!AA13)+Z58</f>
        <v>501</v>
      </c>
      <c r="AB58" s="14">
        <f>SUM('BCWS by JOB'!AB13)+AA58</f>
        <v>501</v>
      </c>
      <c r="AC58" s="14">
        <f>SUM('BCWS by JOB'!AC13)+AB58</f>
        <v>501</v>
      </c>
      <c r="AD58" s="14">
        <f>SUM('BCWS by JOB'!AD13)+AC58</f>
        <v>501</v>
      </c>
      <c r="AE58" s="14">
        <f>SUM('BCWS by JOB'!AE13)+AD58</f>
        <v>501</v>
      </c>
      <c r="AF58" s="14">
        <f>SUM('BCWS by JOB'!AF13)+AE58</f>
        <v>501</v>
      </c>
      <c r="AG58" s="14">
        <f>SUM('BCWS by JOB'!AG13)+AF58</f>
        <v>501</v>
      </c>
      <c r="AH58" s="14">
        <f>SUM('BCWS by JOB'!AH13)+AG58</f>
        <v>501</v>
      </c>
      <c r="AI58" s="14">
        <f>SUM('BCWS by JOB'!AI13)+AH58</f>
        <v>501</v>
      </c>
      <c r="AJ58" s="14">
        <f>SUM('BCWS by JOB'!AJ13)+AI58</f>
        <v>501</v>
      </c>
      <c r="AK58" s="14">
        <f>SUM('BCWS by JOB'!AK13)+AJ58</f>
        <v>501</v>
      </c>
      <c r="AL58" s="14">
        <f>SUM('BCWS by JOB'!AL13)+AK58</f>
        <v>501</v>
      </c>
      <c r="AM58" s="14">
        <f>SUM('BCWS by JOB'!AM13)+AL58</f>
        <v>501</v>
      </c>
      <c r="AN58" s="14">
        <f>SUM('BCWS by JOB'!AN13)+AM58</f>
        <v>501</v>
      </c>
      <c r="AO58" s="14">
        <f>SUM('BCWS by JOB'!AO13)+AN58</f>
        <v>501</v>
      </c>
      <c r="AP58" s="14">
        <f>SUM('BCWS by JOB'!AP13)+AO58</f>
        <v>501</v>
      </c>
      <c r="AQ58" s="14">
        <f>SUM('BCWS by JOB'!AQ13)+AP58</f>
        <v>501</v>
      </c>
      <c r="AR58" s="14">
        <f>SUM('BCWS by JOB'!AR13)+AQ58</f>
        <v>501</v>
      </c>
      <c r="AS58" s="14">
        <f>SUM('BCWS by JOB'!AS13)+AR58</f>
        <v>501</v>
      </c>
      <c r="AT58" s="14">
        <f>SUM('BCWS by JOB'!AT13)+AS58</f>
        <v>501</v>
      </c>
      <c r="AU58" s="14">
        <f>SUM('BCWS by JOB'!AU13)+AT58</f>
        <v>501</v>
      </c>
      <c r="AV58" s="14">
        <f>SUM('BCWS by JOB'!AV13)+AU58</f>
        <v>501</v>
      </c>
      <c r="AW58" s="14">
        <f>SUM('BCWS by JOB'!AW13)+AV58</f>
        <v>501</v>
      </c>
      <c r="AX58" s="14">
        <f>SUM('BCWS by JOB'!AX13)+AW58</f>
        <v>501</v>
      </c>
      <c r="AY58" s="14">
        <f>SUM('BCWS by JOB'!AY13)+AX58</f>
        <v>501</v>
      </c>
      <c r="AZ58" s="14">
        <f>SUM('BCWS by JOB'!AZ13)+AY58</f>
        <v>501</v>
      </c>
      <c r="BA58" s="2"/>
      <c r="BB58" s="2"/>
      <c r="BC58" s="2"/>
      <c r="BD58" s="2"/>
    </row>
    <row r="59" spans="2:56" s="1" customFormat="1" ht="12.75">
      <c r="B59" s="477"/>
      <c r="C59" s="1422">
        <v>1459</v>
      </c>
      <c r="D59" s="1408"/>
      <c r="E59" s="1" t="s">
        <v>234</v>
      </c>
      <c r="F59" s="1">
        <f>SUM('BCWP by JOB'!D13)</f>
        <v>0</v>
      </c>
      <c r="G59" s="1">
        <f>SUM('BCWP by JOB'!E13)+F59</f>
        <v>18</v>
      </c>
      <c r="H59" s="1">
        <f>SUM('BCWP by JOB'!F13)+G59</f>
        <v>32</v>
      </c>
      <c r="I59" s="1">
        <f>SUM('BCWP by JOB'!G13)+H59</f>
        <v>44.163189</v>
      </c>
      <c r="J59" s="1">
        <f>SUM('BCWP by JOB'!H13)+I59</f>
        <v>135.3</v>
      </c>
      <c r="K59" s="904">
        <f>SUM('BCWP by JOB'!I13)+J59</f>
        <v>168.318</v>
      </c>
      <c r="L59" s="904">
        <f>SUM('BCWP by JOB'!J13)+K59</f>
        <v>282.9756819000001</v>
      </c>
      <c r="M59" s="2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s="1" customFormat="1" ht="12.75">
      <c r="B60" s="477"/>
      <c r="D60" s="11"/>
      <c r="E60" s="1" t="s">
        <v>235</v>
      </c>
      <c r="F60" s="240">
        <f>SUM('ACWP by JOB'!E13)</f>
        <v>42.20441</v>
      </c>
      <c r="G60" s="240">
        <f>SUM('ACWP by JOB'!F13)+F60</f>
        <v>97.48289</v>
      </c>
      <c r="H60" s="240">
        <f>SUM('ACWP by JOB'!G13)+G60</f>
        <v>149.1849940026223</v>
      </c>
      <c r="I60" s="240">
        <f>SUM('ACWP by JOB'!H13)+H60</f>
        <v>213.9909940026223</v>
      </c>
      <c r="J60" s="240">
        <f>SUM('ACWP by JOB'!I13)+I60</f>
        <v>289.4529940026223</v>
      </c>
      <c r="K60" s="905">
        <f>SUM('ACWP by JOB'!J13)+J60</f>
        <v>339.2299940026223</v>
      </c>
      <c r="L60" s="905">
        <f>SUM('ACWP by JOB'!K13)+K60</f>
        <v>370.05299400262226</v>
      </c>
      <c r="M60" s="2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1" customFormat="1" ht="12.75">
      <c r="B61" s="477"/>
      <c r="D61" s="11"/>
      <c r="E61" s="1" t="s">
        <v>237</v>
      </c>
      <c r="F61" s="338">
        <f aca="true" t="shared" si="19" ref="F61:L61">+F59/F60</f>
        <v>0</v>
      </c>
      <c r="G61" s="338">
        <f t="shared" si="19"/>
        <v>0.18464778793488787</v>
      </c>
      <c r="H61" s="338">
        <f t="shared" si="19"/>
        <v>0.2144987853097177</v>
      </c>
      <c r="I61" s="338">
        <f t="shared" si="19"/>
        <v>0.20637872731905163</v>
      </c>
      <c r="J61" s="338">
        <f t="shared" si="19"/>
        <v>0.46743340992622195</v>
      </c>
      <c r="K61" s="906">
        <f t="shared" si="19"/>
        <v>0.4961766440932664</v>
      </c>
      <c r="L61" s="906">
        <f t="shared" si="19"/>
        <v>0.7646896160445465</v>
      </c>
      <c r="M61" s="2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1" customFormat="1" ht="12.75">
      <c r="B62" s="477"/>
      <c r="D62" s="11"/>
      <c r="E62" s="1" t="s">
        <v>236</v>
      </c>
      <c r="F62" s="338"/>
      <c r="G62" s="338">
        <f aca="true" t="shared" si="20" ref="G62:L62">+G59/G58</f>
        <v>4.5</v>
      </c>
      <c r="H62" s="338">
        <f t="shared" si="20"/>
        <v>1.391304347826087</v>
      </c>
      <c r="I62" s="338">
        <f t="shared" si="20"/>
        <v>1.0270509069767442</v>
      </c>
      <c r="J62" s="338">
        <f t="shared" si="20"/>
        <v>1.5033333333333334</v>
      </c>
      <c r="K62" s="906">
        <f t="shared" si="20"/>
        <v>1.1450204081632653</v>
      </c>
      <c r="L62" s="906">
        <f t="shared" si="20"/>
        <v>1.4893456942105268</v>
      </c>
      <c r="M62" s="2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1" customFormat="1" ht="5.25" customHeight="1">
      <c r="B63" s="477"/>
      <c r="D63" s="11"/>
      <c r="F63" s="2"/>
      <c r="G63" s="2"/>
      <c r="H63" s="2"/>
      <c r="I63" s="2"/>
      <c r="J63" s="3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3" s="1" customFormat="1" ht="12.75">
      <c r="B64" s="477"/>
      <c r="C64" s="1422" t="s">
        <v>750</v>
      </c>
      <c r="D64" s="1408"/>
      <c r="E64" s="1" t="s">
        <v>233</v>
      </c>
      <c r="F64" s="14">
        <f>SUM('BCWS by JOB'!F55)</f>
        <v>82</v>
      </c>
      <c r="G64" s="14">
        <f>SUM('BCWS by JOB'!G55)+F64</f>
        <v>158</v>
      </c>
      <c r="H64" s="14">
        <f>SUM('BCWS by JOB'!H55)+G64</f>
        <v>221</v>
      </c>
      <c r="I64" s="14">
        <f>SUM('BCWS by JOB'!I55)+H64</f>
        <v>290</v>
      </c>
      <c r="J64" s="14">
        <f>SUM('BCWS by JOB'!J55)+I64</f>
        <v>343</v>
      </c>
      <c r="K64" s="903">
        <f>SUM('BCWS by JOB'!K55)+J64</f>
        <v>404</v>
      </c>
      <c r="L64" s="14">
        <f>SUM('BCWS by JOB'!L55)+K64</f>
        <v>457</v>
      </c>
      <c r="M64" s="14">
        <f>SUM('BCWS by JOB'!M55)+L64</f>
        <v>497</v>
      </c>
      <c r="N64" s="14">
        <f>SUM('BCWS by JOB'!N55)+M64</f>
        <v>556</v>
      </c>
      <c r="O64" s="14">
        <f>SUM('BCWS by JOB'!O55)+N64</f>
        <v>612</v>
      </c>
      <c r="P64" s="14">
        <f>SUM('BCWS by JOB'!P55)+O64</f>
        <v>668</v>
      </c>
      <c r="Q64" s="14">
        <f>SUM('BCWS by JOB'!Q55)+P64</f>
        <v>727</v>
      </c>
      <c r="R64" s="14">
        <f>SUM('BCWS by JOB'!R55)+Q64</f>
        <v>783</v>
      </c>
      <c r="S64" s="14">
        <f>SUM('BCWS by JOB'!S55)+R64</f>
        <v>839</v>
      </c>
      <c r="T64" s="14">
        <f>SUM('BCWS by JOB'!T55)+S64</f>
        <v>898</v>
      </c>
      <c r="U64" s="14">
        <f>SUM('BCWS by JOB'!U55)+T64</f>
        <v>954</v>
      </c>
      <c r="V64" s="14">
        <f>SUM('BCWS by JOB'!V55)+U64</f>
        <v>1010</v>
      </c>
      <c r="W64" s="14">
        <f>SUM('BCWS by JOB'!W55)+V64</f>
        <v>1071</v>
      </c>
      <c r="X64" s="14">
        <f>SUM('BCWS by JOB'!X55)+W64</f>
        <v>1119</v>
      </c>
      <c r="Y64" s="14">
        <f>SUM('BCWS by JOB'!Y55)+X64</f>
        <v>1164</v>
      </c>
      <c r="Z64" s="14">
        <f>SUM('BCWS by JOB'!Z55)+Y64</f>
        <v>1220</v>
      </c>
      <c r="AA64" s="14">
        <f>SUM('BCWS by JOB'!AA55)+Z64</f>
        <v>1273</v>
      </c>
      <c r="AB64" s="14">
        <f>SUM('BCWS by JOB'!AB55)+AA64</f>
        <v>1332</v>
      </c>
      <c r="AC64" s="14">
        <f>SUM('BCWS by JOB'!AC55)+AB64</f>
        <v>1391</v>
      </c>
      <c r="AD64" s="14">
        <f>SUM('BCWS by JOB'!AD55)+AC64</f>
        <v>1444</v>
      </c>
      <c r="AE64" s="14">
        <f>SUM('BCWS by JOB'!AE55)+AD64</f>
        <v>1503</v>
      </c>
      <c r="AF64" s="14">
        <f>SUM('BCWS by JOB'!AF55)+AE64</f>
        <v>1562</v>
      </c>
      <c r="AG64" s="14">
        <f>SUM('BCWS by JOB'!AG55)+AF64</f>
        <v>1618</v>
      </c>
      <c r="AH64" s="14">
        <f>SUM('BCWS by JOB'!AH55)+AG64</f>
        <v>1674</v>
      </c>
      <c r="AI64" s="14">
        <f>SUM('BCWS by JOB'!AI55)+AH64</f>
        <v>1733</v>
      </c>
      <c r="AJ64" s="14">
        <f>SUM('BCWS by JOB'!AJ55)+AI64</f>
        <v>1784</v>
      </c>
      <c r="AK64" s="14">
        <f>SUM('BCWS by JOB'!AK55)+AJ64</f>
        <v>1827</v>
      </c>
      <c r="AL64" s="14">
        <f>SUM('BCWS by JOB'!AL55)+AK64</f>
        <v>1880</v>
      </c>
      <c r="AM64" s="14">
        <f>SUM('BCWS by JOB'!AM55)+AL64</f>
        <v>1933</v>
      </c>
      <c r="AN64" s="14">
        <f>SUM('BCWS by JOB'!AN55)+AM64</f>
        <v>1994</v>
      </c>
      <c r="AO64" s="14">
        <f>SUM('BCWS by JOB'!AO55)+AN64</f>
        <v>2053</v>
      </c>
      <c r="AP64" s="14">
        <f>SUM('BCWS by JOB'!AP55)+AO64</f>
        <v>2106</v>
      </c>
      <c r="AQ64" s="14">
        <f>SUM('BCWS by JOB'!AQ55)+AP64</f>
        <v>2165</v>
      </c>
      <c r="AR64" s="14">
        <f>SUM('BCWS by JOB'!AR55)+AQ64</f>
        <v>2221</v>
      </c>
      <c r="AS64" s="14">
        <f>SUM('BCWS by JOB'!AS55)+AR64</f>
        <v>2280</v>
      </c>
      <c r="AT64" s="14">
        <f>SUM('BCWS by JOB'!AT55)+AS64</f>
        <v>2336</v>
      </c>
      <c r="AU64" s="14">
        <f>SUM('BCWS by JOB'!AU55)+AT64</f>
        <v>2384</v>
      </c>
      <c r="AV64" s="14">
        <f>SUM('BCWS by JOB'!AV55)+AU64</f>
        <v>2430</v>
      </c>
      <c r="AW64" s="14">
        <f>SUM('BCWS by JOB'!AW55)+AV64</f>
        <v>2469</v>
      </c>
      <c r="AX64" s="14">
        <f>SUM('BCWS by JOB'!AX55)+AW64</f>
        <v>2517</v>
      </c>
      <c r="AY64" s="14">
        <f>SUM('BCWS by JOB'!AY55)+AX64</f>
        <v>2519</v>
      </c>
      <c r="AZ64" s="14"/>
      <c r="BA64" s="1" t="s">
        <v>232</v>
      </c>
    </row>
    <row r="65" spans="2:12" s="1" customFormat="1" ht="12.75">
      <c r="B65" s="477"/>
      <c r="C65" s="1422">
        <v>8202</v>
      </c>
      <c r="D65" s="1408"/>
      <c r="E65" s="1" t="s">
        <v>234</v>
      </c>
      <c r="F65" s="1">
        <f>SUM('BCWP by JOB'!D55)</f>
        <v>108</v>
      </c>
      <c r="G65" s="1">
        <f>SUM('BCWP by JOB'!E55)+F65</f>
        <v>208</v>
      </c>
      <c r="H65" s="1">
        <f>SUM('BCWP by JOB'!F55)+G65</f>
        <v>295</v>
      </c>
      <c r="I65" s="1">
        <f>SUM('BCWP by JOB'!G55)+H65</f>
        <v>289.20299167</v>
      </c>
      <c r="J65" s="1">
        <f>SUM('BCWP by JOB'!H55)+I65</f>
        <v>342.46</v>
      </c>
      <c r="K65" s="904">
        <f>SUM('BCWP by JOB'!I55)+J65</f>
        <v>403.1</v>
      </c>
      <c r="L65" s="904">
        <f>SUM('BCWP by JOB'!J55)+K65</f>
        <v>456.88544722000006</v>
      </c>
    </row>
    <row r="66" spans="2:12" s="1" customFormat="1" ht="12.75">
      <c r="B66" s="477"/>
      <c r="D66" s="11"/>
      <c r="E66" s="1" t="s">
        <v>235</v>
      </c>
      <c r="F66" s="240">
        <f>SUM('ACWP by JOB'!E55)</f>
        <v>59.59645</v>
      </c>
      <c r="G66" s="240">
        <f>SUM('ACWP by JOB'!F55)+F66</f>
        <v>118.22819999999999</v>
      </c>
      <c r="H66" s="240">
        <f>SUM('ACWP by JOB'!G55)+G66</f>
        <v>176.83109090857948</v>
      </c>
      <c r="I66" s="240">
        <f>SUM('ACWP by JOB'!H55)+H66</f>
        <v>264.20509090857945</v>
      </c>
      <c r="J66" s="240">
        <f>SUM('ACWP by JOB'!I55)+I66</f>
        <v>318.42909090857944</v>
      </c>
      <c r="K66" s="905">
        <f>SUM('ACWP by JOB'!J55)+J66</f>
        <v>373.13109090857944</v>
      </c>
      <c r="L66" s="905">
        <f>SUM('ACWP by JOB'!K55)+K66</f>
        <v>428.2570909085794</v>
      </c>
    </row>
    <row r="67" spans="2:12" s="1" customFormat="1" ht="12.75">
      <c r="B67" s="477"/>
      <c r="D67" s="11"/>
      <c r="E67" s="1" t="s">
        <v>237</v>
      </c>
      <c r="F67" s="338">
        <f aca="true" t="shared" si="21" ref="F67:L67">+F65/F66</f>
        <v>1.8121884776693915</v>
      </c>
      <c r="G67" s="338">
        <f t="shared" si="21"/>
        <v>1.759309538671823</v>
      </c>
      <c r="H67" s="338">
        <f t="shared" si="21"/>
        <v>1.6682586669813233</v>
      </c>
      <c r="I67" s="338">
        <f t="shared" si="21"/>
        <v>1.0946155150737438</v>
      </c>
      <c r="J67" s="338">
        <f t="shared" si="21"/>
        <v>1.075467065596465</v>
      </c>
      <c r="K67" s="906">
        <f t="shared" si="21"/>
        <v>1.0803173732278537</v>
      </c>
      <c r="L67" s="906">
        <f t="shared" si="21"/>
        <v>1.0668485284170857</v>
      </c>
    </row>
    <row r="68" spans="2:12" s="1" customFormat="1" ht="12.75">
      <c r="B68" s="477"/>
      <c r="D68" s="11"/>
      <c r="E68" s="1" t="s">
        <v>236</v>
      </c>
      <c r="F68" s="338">
        <f aca="true" t="shared" si="22" ref="F68:K68">+F65/F64</f>
        <v>1.3170731707317074</v>
      </c>
      <c r="G68" s="338">
        <f t="shared" si="22"/>
        <v>1.3164556962025316</v>
      </c>
      <c r="H68" s="338">
        <f t="shared" si="22"/>
        <v>1.334841628959276</v>
      </c>
      <c r="I68" s="338">
        <f t="shared" si="22"/>
        <v>0.9972516954137932</v>
      </c>
      <c r="J68" s="338">
        <f t="shared" si="22"/>
        <v>0.9984256559766763</v>
      </c>
      <c r="K68" s="906">
        <f t="shared" si="22"/>
        <v>0.9977722772277229</v>
      </c>
      <c r="L68" s="906">
        <f>+L65/L64</f>
        <v>0.9997493374617069</v>
      </c>
    </row>
    <row r="69" spans="2:56" s="1" customFormat="1" ht="5.25" customHeight="1">
      <c r="B69" s="477"/>
      <c r="D69" s="11"/>
      <c r="F69" s="2"/>
      <c r="G69" s="2"/>
      <c r="H69" s="2"/>
      <c r="I69" s="2"/>
      <c r="J69" s="3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2" s="1" customFormat="1" ht="12.75">
      <c r="B70" s="477"/>
      <c r="C70" s="1422" t="s">
        <v>617</v>
      </c>
      <c r="D70" s="1408"/>
      <c r="E70" s="1" t="s">
        <v>233</v>
      </c>
      <c r="F70" s="14">
        <f>SUM('BCWS by JOB'!F56)</f>
        <v>33</v>
      </c>
      <c r="G70" s="14">
        <f>SUM('BCWS by JOB'!G56)+F70</f>
        <v>65</v>
      </c>
      <c r="H70" s="14">
        <f>SUM('BCWS by JOB'!H56)+G70</f>
        <v>97</v>
      </c>
      <c r="I70" s="14">
        <f>SUM('BCWS by JOB'!I56)+H70</f>
        <v>132</v>
      </c>
      <c r="J70" s="14">
        <f>SUM('BCWS by JOB'!J56)+I70</f>
        <v>161</v>
      </c>
      <c r="K70" s="903">
        <f>SUM('BCWS by JOB'!K56)+J70</f>
        <v>196</v>
      </c>
      <c r="L70" s="14">
        <f>SUM('BCWS by JOB'!L56)+K70</f>
        <v>226</v>
      </c>
      <c r="M70" s="14">
        <f>SUM('BCWS by JOB'!M56)+L70</f>
        <v>249</v>
      </c>
      <c r="N70" s="14">
        <f>SUM('BCWS by JOB'!N56)+M70</f>
        <v>282</v>
      </c>
      <c r="O70" s="14">
        <f>SUM('BCWS by JOB'!O56)+N70</f>
        <v>314</v>
      </c>
      <c r="P70" s="14">
        <f>SUM('BCWS by JOB'!P56)+O70</f>
        <v>346</v>
      </c>
      <c r="Q70" s="14">
        <f>SUM('BCWS by JOB'!Q56)+P70</f>
        <v>379</v>
      </c>
      <c r="R70" s="14">
        <f>SUM('BCWS by JOB'!R56)+Q70</f>
        <v>411</v>
      </c>
      <c r="S70" s="14">
        <f>SUM('BCWS by JOB'!S56)+R70</f>
        <v>443</v>
      </c>
      <c r="T70" s="14">
        <f>SUM('BCWS by JOB'!T56)+S70</f>
        <v>476</v>
      </c>
      <c r="U70" s="14">
        <f>SUM('BCWS by JOB'!U56)+T70</f>
        <v>508</v>
      </c>
      <c r="V70" s="14">
        <f>SUM('BCWS by JOB'!V56)+U70</f>
        <v>540</v>
      </c>
      <c r="W70" s="14">
        <f>SUM('BCWS by JOB'!W56)+V70</f>
        <v>575</v>
      </c>
      <c r="X70" s="14">
        <f>SUM('BCWS by JOB'!X56)+W70</f>
        <v>602</v>
      </c>
      <c r="Y70" s="14">
        <f>SUM('BCWS by JOB'!Y56)+X70</f>
        <v>628</v>
      </c>
      <c r="Z70" s="14">
        <f>SUM('BCWS by JOB'!Z56)+Y70</f>
        <v>660</v>
      </c>
      <c r="AA70" s="14">
        <f>SUM('BCWS by JOB'!AA56)+Z70</f>
        <v>690</v>
      </c>
      <c r="AB70" s="14">
        <f>SUM('BCWS by JOB'!AB56)+AA70</f>
        <v>723</v>
      </c>
      <c r="AC70" s="14">
        <f>SUM('BCWS by JOB'!AC56)+AB70</f>
        <v>756</v>
      </c>
      <c r="AD70" s="14">
        <f>SUM('BCWS by JOB'!AD56)+AC70</f>
        <v>786</v>
      </c>
      <c r="AE70" s="14">
        <f>SUM('BCWS by JOB'!AE56)+AD70</f>
        <v>819</v>
      </c>
      <c r="AF70" s="14">
        <f>SUM('BCWS by JOB'!AF56)+AE70</f>
        <v>852</v>
      </c>
      <c r="AG70" s="14">
        <f>SUM('BCWS by JOB'!AG56)+AF70</f>
        <v>884</v>
      </c>
      <c r="AH70" s="14">
        <f>SUM('BCWS by JOB'!AH56)+AG70</f>
        <v>916</v>
      </c>
      <c r="AI70" s="14">
        <f>SUM('BCWS by JOB'!AI56)+AH70</f>
        <v>949</v>
      </c>
      <c r="AJ70" s="14">
        <f>SUM('BCWS by JOB'!AJ56)+AI70</f>
        <v>978</v>
      </c>
      <c r="AK70" s="14">
        <f>SUM('BCWS by JOB'!AK56)+AJ70</f>
        <v>1002</v>
      </c>
      <c r="AL70" s="14">
        <f>SUM('BCWS by JOB'!AL56)+AK70</f>
        <v>1032</v>
      </c>
      <c r="AM70" s="14">
        <f>SUM('BCWS by JOB'!AM56)+AL70</f>
        <v>1062</v>
      </c>
      <c r="AN70" s="14">
        <f>SUM('BCWS by JOB'!AN56)+AM70</f>
        <v>1097</v>
      </c>
      <c r="AO70" s="14">
        <f>SUM('BCWS by JOB'!AO56)+AN70</f>
        <v>1130</v>
      </c>
      <c r="AP70" s="14">
        <f>SUM('BCWS by JOB'!AP56)+AO70</f>
        <v>1160</v>
      </c>
      <c r="AQ70" s="14">
        <f>SUM('BCWS by JOB'!AQ56)+AP70</f>
        <v>1193</v>
      </c>
      <c r="AR70" s="14">
        <f>SUM('BCWS by JOB'!AR56)+AQ70</f>
        <v>1225</v>
      </c>
      <c r="AS70" s="14">
        <f>SUM('BCWS by JOB'!AS56)+AR70</f>
        <v>1258</v>
      </c>
      <c r="AT70" s="14">
        <f>SUM('BCWS by JOB'!AT56)+AS70</f>
        <v>1290</v>
      </c>
      <c r="AU70" s="14">
        <f>SUM('BCWS by JOB'!AU56)+AT70</f>
        <v>1322</v>
      </c>
      <c r="AV70" s="14">
        <f>SUM('BCWS by JOB'!AV56)+AU70</f>
        <v>1352</v>
      </c>
      <c r="AW70" s="14">
        <f>SUM('BCWS by JOB'!AW56)+AV70</f>
        <v>1378</v>
      </c>
      <c r="AX70" s="14">
        <f>SUM('BCWS by JOB'!AX56)+AW70</f>
        <v>1410</v>
      </c>
      <c r="AY70" s="14">
        <f>SUM('BCWS by JOB'!AY56)+AX70</f>
        <v>1412</v>
      </c>
      <c r="AZ70" s="14"/>
    </row>
    <row r="71" spans="2:12" s="1" customFormat="1" ht="12.75">
      <c r="B71" s="477"/>
      <c r="C71" s="1422">
        <v>8203</v>
      </c>
      <c r="D71" s="1408"/>
      <c r="E71" s="1" t="s">
        <v>234</v>
      </c>
      <c r="F71" s="1">
        <f>SUM('BCWP by JOB'!D56)</f>
        <v>31</v>
      </c>
      <c r="G71" s="1">
        <f>SUM('BCWP by JOB'!E56)+F71</f>
        <v>60</v>
      </c>
      <c r="H71" s="1">
        <f>SUM('BCWP by JOB'!F56)+G71</f>
        <v>89</v>
      </c>
      <c r="I71" s="1">
        <f>SUM('BCWP by JOB'!G56)+H71</f>
        <v>130.90838007</v>
      </c>
      <c r="J71" s="1">
        <f>SUM('BCWP by JOB'!H56)+I71</f>
        <v>160.47</v>
      </c>
      <c r="K71" s="904">
        <f>SUM('BCWP by JOB'!I56)+J71</f>
        <v>194.2511</v>
      </c>
      <c r="L71" s="904">
        <f>SUM('BCWP by JOB'!J56)+K71</f>
        <v>225.2187168</v>
      </c>
    </row>
    <row r="72" spans="2:12" s="1" customFormat="1" ht="12.75">
      <c r="B72" s="477"/>
      <c r="D72" s="11"/>
      <c r="E72" s="1" t="s">
        <v>235</v>
      </c>
      <c r="F72" s="240">
        <f>SUM('ACWP by JOB'!E56)</f>
        <v>5.07976</v>
      </c>
      <c r="G72" s="240">
        <f>SUM('ACWP by JOB'!F56)+F72</f>
        <v>10.31795</v>
      </c>
      <c r="H72" s="240">
        <f>SUM('ACWP by JOB'!G56)+G72</f>
        <v>11.958999487020458</v>
      </c>
      <c r="I72" s="240">
        <f>SUM('ACWP by JOB'!H56)+H72</f>
        <v>22.05199948702046</v>
      </c>
      <c r="J72" s="240">
        <f>SUM('ACWP by JOB'!I56)+I72</f>
        <v>36.56099948702046</v>
      </c>
      <c r="K72" s="905">
        <f>SUM('ACWP by JOB'!J56)+J72</f>
        <v>55.86599948702046</v>
      </c>
      <c r="L72" s="905">
        <f>SUM('ACWP by JOB'!K56)+K72</f>
        <v>75.91599948702046</v>
      </c>
    </row>
    <row r="73" spans="2:12" s="1" customFormat="1" ht="12.75">
      <c r="B73" s="477"/>
      <c r="D73" s="11"/>
      <c r="E73" s="1" t="s">
        <v>237</v>
      </c>
      <c r="F73" s="338">
        <f aca="true" t="shared" si="23" ref="F73:L73">+F71/F72</f>
        <v>6.102650518922154</v>
      </c>
      <c r="G73" s="338">
        <f t="shared" si="23"/>
        <v>5.815108621383124</v>
      </c>
      <c r="H73" s="338">
        <f t="shared" si="23"/>
        <v>7.442094139781089</v>
      </c>
      <c r="I73" s="338">
        <f t="shared" si="23"/>
        <v>5.936349678724194</v>
      </c>
      <c r="J73" s="338">
        <f t="shared" si="23"/>
        <v>4.389103204275598</v>
      </c>
      <c r="K73" s="906">
        <f t="shared" si="23"/>
        <v>3.477089854002004</v>
      </c>
      <c r="L73" s="906">
        <f t="shared" si="23"/>
        <v>2.9666831540366694</v>
      </c>
    </row>
    <row r="74" spans="2:12" s="1" customFormat="1" ht="12.75">
      <c r="B74" s="477"/>
      <c r="D74" s="11"/>
      <c r="E74" s="1" t="s">
        <v>236</v>
      </c>
      <c r="F74" s="338">
        <f aca="true" t="shared" si="24" ref="F74:K74">+F71/F70</f>
        <v>0.9393939393939394</v>
      </c>
      <c r="G74" s="338">
        <f t="shared" si="24"/>
        <v>0.9230769230769231</v>
      </c>
      <c r="H74" s="338">
        <f t="shared" si="24"/>
        <v>0.9175257731958762</v>
      </c>
      <c r="I74" s="338">
        <f t="shared" si="24"/>
        <v>0.9917301520454544</v>
      </c>
      <c r="J74" s="338">
        <f t="shared" si="24"/>
        <v>0.9967080745341614</v>
      </c>
      <c r="K74" s="906">
        <f t="shared" si="24"/>
        <v>0.9910770408163265</v>
      </c>
      <c r="L74" s="906">
        <f>+L71/L70</f>
        <v>0.9965429946902655</v>
      </c>
    </row>
    <row r="75" spans="2:9" s="1" customFormat="1" ht="12.75">
      <c r="B75" s="477"/>
      <c r="D75" s="11"/>
      <c r="F75" s="2"/>
      <c r="G75" s="2" t="s">
        <v>232</v>
      </c>
      <c r="H75" s="2"/>
      <c r="I75" s="2" t="s">
        <v>232</v>
      </c>
    </row>
    <row r="76" spans="2:52" s="1" customFormat="1" ht="12.75">
      <c r="B76" s="477"/>
      <c r="C76" s="1422" t="s">
        <v>636</v>
      </c>
      <c r="D76" s="1408"/>
      <c r="E76" s="1" t="s">
        <v>233</v>
      </c>
      <c r="F76" s="14">
        <f>SUM('BCWS by JOB'!F57)</f>
        <v>37</v>
      </c>
      <c r="G76" s="14">
        <f>SUM('BCWS by JOB'!G57)+F76</f>
        <v>73</v>
      </c>
      <c r="H76" s="14">
        <f>SUM('BCWS by JOB'!H57)+G76</f>
        <v>109</v>
      </c>
      <c r="I76" s="14">
        <f>SUM('BCWS by JOB'!I57)+H76</f>
        <v>148</v>
      </c>
      <c r="J76" s="14">
        <f>SUM('BCWS by JOB'!J57)+I76</f>
        <v>180</v>
      </c>
      <c r="K76" s="903">
        <f>SUM('BCWS by JOB'!K57)+J76</f>
        <v>207</v>
      </c>
      <c r="L76" s="14">
        <f>SUM('BCWS by JOB'!L57)+K76</f>
        <v>231</v>
      </c>
      <c r="M76" s="14">
        <f>SUM('BCWS by JOB'!M57)+L76</f>
        <v>249</v>
      </c>
      <c r="N76" s="14">
        <f>SUM('BCWS by JOB'!N57)+M76</f>
        <v>275</v>
      </c>
      <c r="O76" s="14">
        <f>SUM('BCWS by JOB'!O57)+N76</f>
        <v>300</v>
      </c>
      <c r="P76" s="14">
        <f>SUM('BCWS by JOB'!P57)+O76</f>
        <v>325</v>
      </c>
      <c r="Q76" s="14">
        <f>SUM('BCWS by JOB'!Q57)+P76</f>
        <v>351</v>
      </c>
      <c r="R76" s="14">
        <f>SUM('BCWS by JOB'!R57)+Q76</f>
        <v>376</v>
      </c>
      <c r="S76" s="14">
        <f>SUM('BCWS by JOB'!S57)+R76</f>
        <v>401</v>
      </c>
      <c r="T76" s="14">
        <f>SUM('BCWS by JOB'!T57)+S76</f>
        <v>427</v>
      </c>
      <c r="U76" s="14">
        <f>SUM('BCWS by JOB'!U57)+T76</f>
        <v>452</v>
      </c>
      <c r="V76" s="14">
        <f>SUM('BCWS by JOB'!V57)+U76</f>
        <v>477</v>
      </c>
      <c r="W76" s="14">
        <f>SUM('BCWS by JOB'!W57)+V76</f>
        <v>504</v>
      </c>
      <c r="X76" s="14">
        <f>SUM('BCWS by JOB'!X57)+W76</f>
        <v>525</v>
      </c>
      <c r="Y76" s="14">
        <f>SUM('BCWS by JOB'!Y57)+X76</f>
        <v>545</v>
      </c>
      <c r="Z76" s="14">
        <f>SUM('BCWS by JOB'!Z57)+Y76</f>
        <v>570</v>
      </c>
      <c r="AA76" s="14">
        <f>SUM('BCWS by JOB'!AA57)+Z76</f>
        <v>594</v>
      </c>
      <c r="AB76" s="14">
        <f>SUM('BCWS by JOB'!AB57)+AA76</f>
        <v>620</v>
      </c>
      <c r="AC76" s="14">
        <f>SUM('BCWS by JOB'!AC57)+AB76</f>
        <v>646</v>
      </c>
      <c r="AD76" s="14">
        <f>SUM('BCWS by JOB'!AD57)+AC76</f>
        <v>670</v>
      </c>
      <c r="AE76" s="14">
        <f>SUM('BCWS by JOB'!AE57)+AD76</f>
        <v>696</v>
      </c>
      <c r="AF76" s="14">
        <f>SUM('BCWS by JOB'!AF57)+AE76</f>
        <v>722</v>
      </c>
      <c r="AG76" s="14">
        <f>SUM('BCWS by JOB'!AG57)+AF76</f>
        <v>747</v>
      </c>
      <c r="AH76" s="14">
        <f>SUM('BCWS by JOB'!AH57)+AG76</f>
        <v>772</v>
      </c>
      <c r="AI76" s="14">
        <f>SUM('BCWS by JOB'!AI57)+AH76</f>
        <v>798</v>
      </c>
      <c r="AJ76" s="14">
        <f>SUM('BCWS by JOB'!AJ57)+AI76</f>
        <v>820</v>
      </c>
      <c r="AK76" s="14">
        <f>SUM('BCWS by JOB'!AK57)+AJ76</f>
        <v>839</v>
      </c>
      <c r="AL76" s="14">
        <f>SUM('BCWS by JOB'!AL57)+AK76</f>
        <v>863</v>
      </c>
      <c r="AM76" s="14">
        <f>SUM('BCWS by JOB'!AM57)+AL76</f>
        <v>887</v>
      </c>
      <c r="AN76" s="14">
        <f>SUM('BCWS by JOB'!AN57)+AM76</f>
        <v>914</v>
      </c>
      <c r="AO76" s="14">
        <f>SUM('BCWS by JOB'!AO57)+AN76</f>
        <v>940</v>
      </c>
      <c r="AP76" s="14">
        <f>SUM('BCWS by JOB'!AP57)+AO76</f>
        <v>964</v>
      </c>
      <c r="AQ76" s="14">
        <f>SUM('BCWS by JOB'!AQ57)+AP76</f>
        <v>990</v>
      </c>
      <c r="AR76" s="14">
        <f>SUM('BCWS by JOB'!AR57)+AQ76</f>
        <v>1015</v>
      </c>
      <c r="AS76" s="14">
        <f>SUM('BCWS by JOB'!AS57)+AR76</f>
        <v>1041</v>
      </c>
      <c r="AT76" s="14">
        <f>SUM('BCWS by JOB'!AT57)+AS76</f>
        <v>1066</v>
      </c>
      <c r="AU76" s="14">
        <f>SUM('BCWS by JOB'!AU57)+AT76</f>
        <v>1091</v>
      </c>
      <c r="AV76" s="14">
        <f>SUM('BCWS by JOB'!AV57)+AU76</f>
        <v>1115</v>
      </c>
      <c r="AW76" s="14">
        <f>SUM('BCWS by JOB'!AW57)+AV76</f>
        <v>1135</v>
      </c>
      <c r="AX76" s="14">
        <f>SUM('BCWS by JOB'!AX57)+AW76</f>
        <v>1160</v>
      </c>
      <c r="AY76" s="14"/>
      <c r="AZ76" s="14" t="s">
        <v>232</v>
      </c>
    </row>
    <row r="77" spans="2:12" s="1" customFormat="1" ht="12.75">
      <c r="B77" s="477"/>
      <c r="C77" s="1422">
        <v>8204</v>
      </c>
      <c r="D77" s="1408"/>
      <c r="E77" s="1" t="s">
        <v>234</v>
      </c>
      <c r="F77" s="1">
        <f>SUM('BCWP by JOB'!D57)</f>
        <v>35</v>
      </c>
      <c r="G77" s="1">
        <f>SUM('BCWP by JOB'!E57)+F77</f>
        <v>69</v>
      </c>
      <c r="H77" s="1">
        <f>SUM('BCWP by JOB'!F57)+G77</f>
        <v>103</v>
      </c>
      <c r="I77" s="1">
        <f>SUM('BCWP by JOB'!G57)+H77</f>
        <v>147.91024786999995</v>
      </c>
      <c r="J77" s="1">
        <f>SUM('BCWP by JOB'!H57)+I77</f>
        <v>180.95</v>
      </c>
      <c r="K77" s="904">
        <f>SUM('BCWP by JOB'!I57)+J77</f>
        <v>207.311</v>
      </c>
      <c r="L77" s="904">
        <f>SUM('BCWP by JOB'!J57)+K77</f>
        <v>231.47238240000001</v>
      </c>
    </row>
    <row r="78" spans="2:12" s="1" customFormat="1" ht="12.75">
      <c r="B78" s="477"/>
      <c r="D78" s="11"/>
      <c r="E78" s="1" t="s">
        <v>235</v>
      </c>
      <c r="F78" s="240">
        <f>SUM('ACWP by JOB'!E57)</f>
        <v>42.5836</v>
      </c>
      <c r="G78" s="240">
        <f>SUM('ACWP by JOB'!F57)+F78</f>
        <v>95.73588</v>
      </c>
      <c r="H78" s="240">
        <f>SUM('ACWP by JOB'!G57)+G78</f>
        <v>142.84429825010403</v>
      </c>
      <c r="I78" s="240">
        <f>SUM('ACWP by JOB'!H57)+H78</f>
        <v>193.31329825010403</v>
      </c>
      <c r="J78" s="240">
        <f>SUM('ACWP by JOB'!I57)+I78</f>
        <v>225.40929825010403</v>
      </c>
      <c r="K78" s="905">
        <f>SUM('ACWP by JOB'!J57)+J78</f>
        <v>272.063298250104</v>
      </c>
      <c r="L78" s="905">
        <f>SUM('ACWP by JOB'!K57)+K78</f>
        <v>319.395298250104</v>
      </c>
    </row>
    <row r="79" spans="2:12" s="1" customFormat="1" ht="12.75">
      <c r="B79" s="477"/>
      <c r="D79" s="11"/>
      <c r="E79" s="1" t="s">
        <v>237</v>
      </c>
      <c r="F79" s="338">
        <f aca="true" t="shared" si="25" ref="F79:L79">+F77/F78</f>
        <v>0.8219126612122978</v>
      </c>
      <c r="G79" s="338">
        <f t="shared" si="25"/>
        <v>0.7207329164363455</v>
      </c>
      <c r="H79" s="338">
        <f t="shared" si="25"/>
        <v>0.7210648325609663</v>
      </c>
      <c r="I79" s="338">
        <f t="shared" si="25"/>
        <v>0.7651322966857524</v>
      </c>
      <c r="J79" s="338">
        <f t="shared" si="25"/>
        <v>0.8027619153457725</v>
      </c>
      <c r="K79" s="906">
        <f t="shared" si="25"/>
        <v>0.7619954669865903</v>
      </c>
      <c r="L79" s="906">
        <f t="shared" si="25"/>
        <v>0.7247206946006589</v>
      </c>
    </row>
    <row r="80" spans="2:12" s="1" customFormat="1" ht="12.75">
      <c r="B80" s="477"/>
      <c r="D80" s="11"/>
      <c r="E80" s="1" t="s">
        <v>236</v>
      </c>
      <c r="F80" s="338">
        <f aca="true" t="shared" si="26" ref="F80:K80">+F77/F76</f>
        <v>0.9459459459459459</v>
      </c>
      <c r="G80" s="338">
        <f t="shared" si="26"/>
        <v>0.9452054794520548</v>
      </c>
      <c r="H80" s="338">
        <f t="shared" si="26"/>
        <v>0.944954128440367</v>
      </c>
      <c r="I80" s="338">
        <f t="shared" si="26"/>
        <v>0.9993935666891889</v>
      </c>
      <c r="J80" s="338">
        <f t="shared" si="26"/>
        <v>1.0052777777777777</v>
      </c>
      <c r="K80" s="906">
        <f t="shared" si="26"/>
        <v>1.0015024154589371</v>
      </c>
      <c r="L80" s="906">
        <f>+L77/L76</f>
        <v>1.0020449454545455</v>
      </c>
    </row>
    <row r="81" spans="2:9" s="1" customFormat="1" ht="6" customHeight="1">
      <c r="B81" s="477"/>
      <c r="D81" s="11"/>
      <c r="F81" s="338"/>
      <c r="G81" s="338"/>
      <c r="H81" s="338"/>
      <c r="I81" s="338"/>
    </row>
    <row r="82" spans="2:52" s="1" customFormat="1" ht="12.75">
      <c r="B82" s="477"/>
      <c r="C82" s="1422" t="s">
        <v>751</v>
      </c>
      <c r="D82" s="1408"/>
      <c r="E82" s="1" t="s">
        <v>233</v>
      </c>
      <c r="F82" s="14">
        <f>SUM('BCWS by JOB'!F58)</f>
        <v>0</v>
      </c>
      <c r="G82" s="14">
        <f>SUM('BCWS by JOB'!G58)+F82</f>
        <v>27</v>
      </c>
      <c r="H82" s="14">
        <f>SUM('BCWS by JOB'!H58)+G82</f>
        <v>54</v>
      </c>
      <c r="I82" s="14">
        <f>SUM('BCWS by JOB'!I58)+H82</f>
        <v>84</v>
      </c>
      <c r="J82" s="14">
        <f>SUM('BCWS by JOB'!J58)+I82</f>
        <v>102</v>
      </c>
      <c r="K82" s="903">
        <f>SUM('BCWS by JOB'!K58)+J82</f>
        <v>123</v>
      </c>
      <c r="L82" s="14">
        <f>SUM('BCWS by JOB'!L58)+K82</f>
        <v>143</v>
      </c>
      <c r="M82" s="14">
        <f>SUM('BCWS by JOB'!M58)+L82</f>
        <v>158</v>
      </c>
      <c r="N82" s="14">
        <f>SUM('BCWS by JOB'!N58)+M82</f>
        <v>180</v>
      </c>
      <c r="O82" s="14">
        <f>SUM('BCWS by JOB'!O58)+N82</f>
        <v>205</v>
      </c>
      <c r="P82" s="14">
        <f>SUM('BCWS by JOB'!P58)+O82</f>
        <v>240</v>
      </c>
      <c r="Q82" s="14">
        <f>SUM('BCWS by JOB'!Q58)+P82</f>
        <v>277</v>
      </c>
      <c r="R82" s="14">
        <f>SUM('BCWS by JOB'!R58)+Q82</f>
        <v>312</v>
      </c>
      <c r="S82" s="14">
        <f>SUM('BCWS by JOB'!S58)+R82</f>
        <v>330</v>
      </c>
      <c r="T82" s="14">
        <f>SUM('BCWS by JOB'!T58)+S82</f>
        <v>342</v>
      </c>
      <c r="U82" s="14">
        <f>SUM('BCWS by JOB'!U58)+T82</f>
        <v>354</v>
      </c>
      <c r="V82" s="14">
        <f>SUM('BCWS by JOB'!V58)+U82</f>
        <v>366</v>
      </c>
      <c r="W82" s="14">
        <f>SUM('BCWS by JOB'!W58)+V82</f>
        <v>379</v>
      </c>
      <c r="X82" s="14">
        <f>SUM('BCWS by JOB'!X58)+W82</f>
        <v>393</v>
      </c>
      <c r="Y82" s="14">
        <f>SUM('BCWS by JOB'!Y58)+X82</f>
        <v>407</v>
      </c>
      <c r="Z82" s="14">
        <f>SUM('BCWS by JOB'!Z58)+Y82</f>
        <v>425</v>
      </c>
      <c r="AA82" s="14">
        <f>SUM('BCWS by JOB'!AA58)+Z82</f>
        <v>443</v>
      </c>
      <c r="AB82" s="14">
        <f>SUM('BCWS by JOB'!AB58)+AA82</f>
        <v>459</v>
      </c>
      <c r="AC82" s="14">
        <f>SUM('BCWS by JOB'!AC58)+AB82</f>
        <v>475</v>
      </c>
      <c r="AD82" s="14">
        <f>SUM('BCWS by JOB'!AD58)+AC82</f>
        <v>489</v>
      </c>
      <c r="AE82" s="14">
        <f>SUM('BCWS by JOB'!AE58)+AD82</f>
        <v>500</v>
      </c>
      <c r="AF82" s="14">
        <f>SUM('BCWS by JOB'!AF58)+AE82</f>
        <v>509</v>
      </c>
      <c r="AG82" s="14">
        <f>SUM('BCWS by JOB'!AG58)+AF82</f>
        <v>518</v>
      </c>
      <c r="AH82" s="14">
        <f>SUM('BCWS by JOB'!AH58)+AG82</f>
        <v>527</v>
      </c>
      <c r="AI82" s="14">
        <f>SUM('BCWS by JOB'!AI58)+AH82</f>
        <v>536</v>
      </c>
      <c r="AJ82" s="14">
        <f>SUM('BCWS by JOB'!AJ58)+AI82</f>
        <v>542</v>
      </c>
      <c r="AK82" s="14">
        <f>SUM('BCWS by JOB'!AK58)+AJ82</f>
        <v>545</v>
      </c>
      <c r="AL82" s="14">
        <f>SUM('BCWS by JOB'!AL58)+AK82</f>
        <v>549</v>
      </c>
      <c r="AM82" s="14">
        <f>SUM('BCWS by JOB'!AM58)+AL82</f>
        <v>553</v>
      </c>
      <c r="AN82" s="14">
        <f>SUM('BCWS by JOB'!AN58)+AM82</f>
        <v>557</v>
      </c>
      <c r="AO82" s="14">
        <f>SUM('BCWS by JOB'!AO58)+AN82</f>
        <v>561</v>
      </c>
      <c r="AP82" s="14">
        <f>SUM('BCWS by JOB'!AP58)+AO82</f>
        <v>565</v>
      </c>
      <c r="AQ82" s="14">
        <f>SUM('BCWS by JOB'!AQ58)+AP82</f>
        <v>569</v>
      </c>
      <c r="AR82" s="14">
        <f>SUM('BCWS by JOB'!AR58)+AQ82</f>
        <v>573</v>
      </c>
      <c r="AS82" s="14">
        <f>SUM('BCWS by JOB'!AS58)+AR82</f>
        <v>577</v>
      </c>
      <c r="AT82" s="14">
        <f>SUM('BCWS by JOB'!AT58)+AS82</f>
        <v>581</v>
      </c>
      <c r="AU82" s="14">
        <f>SUM('BCWS by JOB'!AU58)+AT82</f>
        <v>585</v>
      </c>
      <c r="AV82" s="14">
        <f>SUM('BCWS by JOB'!AV58)+AU82</f>
        <v>589</v>
      </c>
      <c r="AW82" s="14">
        <f>SUM('BCWS by JOB'!AW58)+AV82</f>
        <v>592</v>
      </c>
      <c r="AX82" s="14"/>
      <c r="AY82" s="14"/>
      <c r="AZ82" s="14" t="s">
        <v>232</v>
      </c>
    </row>
    <row r="83" spans="2:12" s="1" customFormat="1" ht="12.75">
      <c r="B83" s="477"/>
      <c r="C83" s="1422">
        <v>8205</v>
      </c>
      <c r="D83" s="1408"/>
      <c r="E83" s="1" t="s">
        <v>234</v>
      </c>
      <c r="F83" s="1">
        <f>SUM('BCWP by JOB'!D58)</f>
        <v>0</v>
      </c>
      <c r="G83" s="1">
        <f>SUM('BCWP by JOB'!E58)+F83</f>
        <v>21</v>
      </c>
      <c r="H83" s="1">
        <f>SUM('BCWP by JOB'!F58)+G83</f>
        <v>42</v>
      </c>
      <c r="I83" s="1">
        <f>SUM('BCWP by JOB'!G58)+H83</f>
        <v>75.26736</v>
      </c>
      <c r="J83" s="1">
        <f>SUM('BCWP by JOB'!H58)+I83</f>
        <v>76</v>
      </c>
      <c r="K83" s="904">
        <f>SUM('BCWP by JOB'!I58)+J83</f>
        <v>87.581</v>
      </c>
      <c r="L83" s="904">
        <f>SUM('BCWP by JOB'!J58)+K83</f>
        <v>100.76903940000001</v>
      </c>
    </row>
    <row r="84" spans="2:12" s="1" customFormat="1" ht="12.75">
      <c r="B84" s="477"/>
      <c r="D84" s="11"/>
      <c r="E84" s="1" t="s">
        <v>235</v>
      </c>
      <c r="F84" s="240">
        <f>SUM('ACWP by JOB'!E58)</f>
        <v>17.50684</v>
      </c>
      <c r="G84" s="240">
        <f>SUM('ACWP by JOB'!F58)+F84</f>
        <v>37.58991</v>
      </c>
      <c r="H84" s="240">
        <f>SUM('ACWP by JOB'!G58)+G84</f>
        <v>60.08210772351456</v>
      </c>
      <c r="I84" s="240">
        <f>SUM('ACWP by JOB'!H58)+H84</f>
        <v>81.55410772351456</v>
      </c>
      <c r="J84" s="240">
        <f>SUM('ACWP by JOB'!I58)+I84</f>
        <v>92.09610772351456</v>
      </c>
      <c r="K84" s="905">
        <f>SUM('ACWP by JOB'!J58)+J84</f>
        <v>96.13410772351456</v>
      </c>
      <c r="L84" s="905">
        <f>SUM('ACWP by JOB'!K58)+K84</f>
        <v>113.31710772351457</v>
      </c>
    </row>
    <row r="85" spans="2:12" s="1" customFormat="1" ht="12.75">
      <c r="B85" s="477"/>
      <c r="D85" s="11"/>
      <c r="E85" s="1" t="s">
        <v>237</v>
      </c>
      <c r="F85" s="338">
        <f aca="true" t="shared" si="27" ref="F85:L85">+F83/F84</f>
        <v>0</v>
      </c>
      <c r="G85" s="338">
        <f t="shared" si="27"/>
        <v>0.5586605554522477</v>
      </c>
      <c r="H85" s="338">
        <f t="shared" si="27"/>
        <v>0.6990433856494402</v>
      </c>
      <c r="I85" s="338">
        <f t="shared" si="27"/>
        <v>0.9229131689500184</v>
      </c>
      <c r="J85" s="338">
        <f t="shared" si="27"/>
        <v>0.8252248860306091</v>
      </c>
      <c r="K85" s="906">
        <f t="shared" si="27"/>
        <v>0.9110294158228043</v>
      </c>
      <c r="L85" s="906">
        <f t="shared" si="27"/>
        <v>0.8892658966011476</v>
      </c>
    </row>
    <row r="86" spans="2:12" s="1" customFormat="1" ht="12.75">
      <c r="B86" s="477"/>
      <c r="D86" s="11"/>
      <c r="E86" s="1" t="s">
        <v>236</v>
      </c>
      <c r="F86" s="338"/>
      <c r="G86" s="338">
        <f aca="true" t="shared" si="28" ref="G86:L86">+G83/G82</f>
        <v>0.7777777777777778</v>
      </c>
      <c r="H86" s="338">
        <f t="shared" si="28"/>
        <v>0.7777777777777778</v>
      </c>
      <c r="I86" s="338">
        <f t="shared" si="28"/>
        <v>0.89604</v>
      </c>
      <c r="J86" s="338">
        <f t="shared" si="28"/>
        <v>0.7450980392156863</v>
      </c>
      <c r="K86" s="906">
        <f t="shared" si="28"/>
        <v>0.7120406504065041</v>
      </c>
      <c r="L86" s="906">
        <f t="shared" si="28"/>
        <v>0.7046785972027972</v>
      </c>
    </row>
    <row r="87" spans="2:9" s="1" customFormat="1" ht="6" customHeight="1">
      <c r="B87" s="477"/>
      <c r="D87" s="11"/>
      <c r="F87" s="338"/>
      <c r="G87" s="338"/>
      <c r="H87" s="338"/>
      <c r="I87" s="338"/>
    </row>
    <row r="88" spans="2:53" s="1" customFormat="1" ht="12.75">
      <c r="B88" s="477"/>
      <c r="C88" s="1422" t="s">
        <v>637</v>
      </c>
      <c r="D88" s="1408"/>
      <c r="E88" s="1" t="s">
        <v>233</v>
      </c>
      <c r="F88" s="14">
        <f>SUM('BCWS by JOB'!F20:F23)</f>
        <v>14.2</v>
      </c>
      <c r="G88" s="14">
        <f>SUM('BCWS by JOB'!G20:G23)+F88</f>
        <v>31.3</v>
      </c>
      <c r="H88" s="14">
        <f>SUM('BCWS by JOB'!H20:H23)+G88</f>
        <v>55.400000000000006</v>
      </c>
      <c r="I88" s="14">
        <f>SUM('BCWS by JOB'!I20:I23)+H88</f>
        <v>153.60000000000002</v>
      </c>
      <c r="J88" s="14">
        <f>SUM('BCWS by JOB'!J20:J23)+I88</f>
        <v>192.8</v>
      </c>
      <c r="K88" s="14">
        <f>SUM('BCWS by JOB'!K20:K23)+J88</f>
        <v>252.8</v>
      </c>
      <c r="L88" s="14">
        <f>SUM('BCWS by JOB'!L20:L23)+K88</f>
        <v>279</v>
      </c>
      <c r="M88" s="14">
        <f>SUM('BCWS by JOB'!M20:M23)+L88</f>
        <v>298</v>
      </c>
      <c r="N88" s="14">
        <f>SUM('BCWS by JOB'!N20:N23)+M88</f>
        <v>310</v>
      </c>
      <c r="O88" s="14">
        <f>SUM('BCWS by JOB'!O20:O23)+N88</f>
        <v>313</v>
      </c>
      <c r="P88" s="14">
        <f>SUM('BCWS by JOB'!P20:P23)+O88</f>
        <v>315</v>
      </c>
      <c r="Q88" s="14">
        <f>SUM('BCWS by JOB'!Q20:Q23)+P88</f>
        <v>318</v>
      </c>
      <c r="R88" s="14">
        <f>SUM('BCWS by JOB'!R20:R23)+Q88</f>
        <v>320</v>
      </c>
      <c r="S88" s="14">
        <f>SUM('BCWS by JOB'!S20:S23)+R88</f>
        <v>322</v>
      </c>
      <c r="T88" s="14">
        <f>SUM('BCWS by JOB'!T20:T23)+S88</f>
        <v>325</v>
      </c>
      <c r="U88" s="14">
        <f>SUM('BCWS by JOB'!U20:U23)+T88</f>
        <v>327</v>
      </c>
      <c r="V88" s="14">
        <f>SUM('BCWS by JOB'!V20:V23)+U88</f>
        <v>329</v>
      </c>
      <c r="W88" s="14">
        <f>SUM('BCWS by JOB'!W20:W23)+V88</f>
        <v>332</v>
      </c>
      <c r="X88" s="14">
        <f>SUM('BCWS by JOB'!X20:X23)+W88</f>
        <v>334</v>
      </c>
      <c r="Y88" s="14">
        <f>SUM('BCWS by JOB'!Y20:Y23)+X88</f>
        <v>336</v>
      </c>
      <c r="Z88" s="14">
        <f>SUM('BCWS by JOB'!Z20:Z23)+Y88</f>
        <v>339</v>
      </c>
      <c r="AA88" s="14">
        <f>SUM('BCWS by JOB'!AA20:AA23)+Z88</f>
        <v>341</v>
      </c>
      <c r="AB88" s="14">
        <f>SUM('BCWS by JOB'!AB20:AB23)+AA88</f>
        <v>369</v>
      </c>
      <c r="AC88" s="14">
        <f>SUM('BCWS by JOB'!AC20:AC23)+AB88</f>
        <v>396</v>
      </c>
      <c r="AD88" s="14">
        <f>SUM('BCWS by JOB'!AD20:AD23)+AC88</f>
        <v>426</v>
      </c>
      <c r="AE88" s="14">
        <f>SUM('BCWS by JOB'!AE20:AE23)+AD88</f>
        <v>453</v>
      </c>
      <c r="AF88" s="14">
        <f>SUM('BCWS by JOB'!AF20:AF23)+AE88</f>
        <v>456</v>
      </c>
      <c r="AG88" s="14">
        <f>SUM('BCWS by JOB'!AG20:AG23)+AF88</f>
        <v>459</v>
      </c>
      <c r="AH88" s="14">
        <f>SUM('BCWS by JOB'!AH20:AH23)+AG88</f>
        <v>461</v>
      </c>
      <c r="AI88" s="14">
        <f>SUM('BCWS by JOB'!AI20:AI23)+AH88</f>
        <v>499</v>
      </c>
      <c r="AJ88" s="14">
        <f>SUM('BCWS by JOB'!AJ20:AJ23)+AI88</f>
        <v>532</v>
      </c>
      <c r="AK88" s="14">
        <f>SUM('BCWS by JOB'!AK20:AK23)+AJ88</f>
        <v>554</v>
      </c>
      <c r="AL88" s="14">
        <f>SUM('BCWS by JOB'!AL20:AL23)+AK88</f>
        <v>587</v>
      </c>
      <c r="AM88" s="14">
        <f>SUM('BCWS by JOB'!AM20:AM23)+AL88</f>
        <v>623</v>
      </c>
      <c r="AN88" s="14">
        <f>SUM('BCWS by JOB'!AN20:AN23)+AM88</f>
        <v>669</v>
      </c>
      <c r="AO88" s="14">
        <f>SUM('BCWS by JOB'!AO20:AO23)+AN88</f>
        <v>691</v>
      </c>
      <c r="AP88" s="14">
        <f>SUM('BCWS by JOB'!AP20:AP23)+AO88</f>
        <v>696</v>
      </c>
      <c r="AQ88" s="14">
        <f>SUM('BCWS by JOB'!AQ20:AQ23)+AP88</f>
        <v>702</v>
      </c>
      <c r="AR88" s="14">
        <f>SUM('BCWS by JOB'!AR20:AR23)+AQ88</f>
        <v>707</v>
      </c>
      <c r="AS88" s="14">
        <f>SUM('BCWS by JOB'!AS20:AS23)+AR88</f>
        <v>713</v>
      </c>
      <c r="AT88" s="14">
        <f>SUM('BCWS by JOB'!AT20:AT23)+AS88</f>
        <v>718</v>
      </c>
      <c r="AU88" s="14"/>
      <c r="AV88" s="14"/>
      <c r="AW88" s="14"/>
      <c r="AX88" s="14"/>
      <c r="AY88" s="14"/>
      <c r="AZ88" s="14"/>
      <c r="BA88" s="14"/>
    </row>
    <row r="89" spans="2:12" s="1" customFormat="1" ht="12.75">
      <c r="B89" s="477"/>
      <c r="C89" s="1422" t="s">
        <v>654</v>
      </c>
      <c r="D89" s="1408"/>
      <c r="E89" s="1" t="s">
        <v>234</v>
      </c>
      <c r="F89" s="1">
        <f>SUM('BCWP by JOB'!D20:D23)</f>
        <v>14</v>
      </c>
      <c r="G89" s="1">
        <f>SUM('BCWP by JOB'!E20:E23)+F89</f>
        <v>58</v>
      </c>
      <c r="H89" s="1">
        <f>SUM('BCWP by JOB'!F20:F23)+G89</f>
        <v>114</v>
      </c>
      <c r="I89" s="1">
        <f>SUM('BCWP by JOB'!G20:G23)+H89</f>
        <v>148.26610024000001</v>
      </c>
      <c r="J89" s="1">
        <f>SUM('BCWP by JOB'!H20:H23)+I89</f>
        <v>155.78051166000003</v>
      </c>
      <c r="K89" s="1">
        <f>SUM('BCWP by JOB'!I20:I23)+J89</f>
        <v>160.581</v>
      </c>
      <c r="L89" s="1">
        <f>SUM('BCWP by JOB'!J20:J23)+K89</f>
        <v>209.01715507000006</v>
      </c>
    </row>
    <row r="90" spans="2:12" s="1" customFormat="1" ht="12.75">
      <c r="B90" s="477"/>
      <c r="D90" s="11"/>
      <c r="E90" s="1" t="s">
        <v>235</v>
      </c>
      <c r="F90" s="240">
        <f>SUM('ACWP by JOB'!E20:E23)</f>
        <v>29.68733</v>
      </c>
      <c r="G90" s="240">
        <f>SUM('ACWP by JOB'!F20:F23)+F90</f>
        <v>49.77378</v>
      </c>
      <c r="H90" s="240">
        <f>SUM('ACWP by JOB'!G20:G23)+G90</f>
        <v>94.68383434316308</v>
      </c>
      <c r="I90" s="240">
        <f>SUM('ACWP by JOB'!H20:H23)+H90</f>
        <v>129.37283434316308</v>
      </c>
      <c r="J90" s="240">
        <f>SUM('ACWP by JOB'!I20:I23)+I90</f>
        <v>141.17183434316308</v>
      </c>
      <c r="K90" s="240">
        <f>SUM('ACWP by JOB'!J20:J23)+J90</f>
        <v>145.53283434316307</v>
      </c>
      <c r="L90" s="240">
        <f>SUM('ACWP by JOB'!K20:K23)+K90</f>
        <v>151.17083434316308</v>
      </c>
    </row>
    <row r="91" spans="2:12" s="1" customFormat="1" ht="12.75">
      <c r="B91" s="477"/>
      <c r="D91" s="11"/>
      <c r="E91" s="1" t="s">
        <v>237</v>
      </c>
      <c r="F91" s="338">
        <f aca="true" t="shared" si="29" ref="F91:L91">+F89/F90</f>
        <v>0.47158164779385686</v>
      </c>
      <c r="G91" s="338">
        <f t="shared" si="29"/>
        <v>1.1652721573487084</v>
      </c>
      <c r="H91" s="338">
        <f t="shared" si="29"/>
        <v>1.2040070070127202</v>
      </c>
      <c r="I91" s="338">
        <f t="shared" si="29"/>
        <v>1.1460373500569858</v>
      </c>
      <c r="J91" s="338">
        <f t="shared" si="29"/>
        <v>1.1034815293348523</v>
      </c>
      <c r="K91" s="338">
        <f t="shared" si="29"/>
        <v>1.1034004850160046</v>
      </c>
      <c r="L91" s="338">
        <f t="shared" si="29"/>
        <v>1.382655298412416</v>
      </c>
    </row>
    <row r="92" spans="2:12" s="1" customFormat="1" ht="12.75">
      <c r="B92" s="477"/>
      <c r="D92" s="11"/>
      <c r="E92" s="1" t="s">
        <v>236</v>
      </c>
      <c r="F92" s="338">
        <f aca="true" t="shared" si="30" ref="F92:K92">+F89/F88</f>
        <v>0.9859154929577465</v>
      </c>
      <c r="G92" s="338">
        <f t="shared" si="30"/>
        <v>1.853035143769968</v>
      </c>
      <c r="H92" s="338">
        <f t="shared" si="30"/>
        <v>2.0577617328519855</v>
      </c>
      <c r="I92" s="338">
        <f t="shared" si="30"/>
        <v>0.9652740901041666</v>
      </c>
      <c r="J92" s="338">
        <f t="shared" si="30"/>
        <v>0.8079902057053943</v>
      </c>
      <c r="K92" s="338">
        <f t="shared" si="30"/>
        <v>0.6352096518987341</v>
      </c>
      <c r="L92" s="338">
        <f>+L89/L88</f>
        <v>0.7491654303584232</v>
      </c>
    </row>
    <row r="93" spans="2:9" s="1" customFormat="1" ht="6.75" customHeight="1">
      <c r="B93" s="477"/>
      <c r="D93" s="11"/>
      <c r="F93" s="338"/>
      <c r="G93" s="338"/>
      <c r="H93" s="338"/>
      <c r="I93" s="338"/>
    </row>
    <row r="94" spans="2:58" s="1" customFormat="1" ht="12.75">
      <c r="B94" s="477"/>
      <c r="C94" s="1422" t="s">
        <v>752</v>
      </c>
      <c r="D94" s="1408"/>
      <c r="E94" s="1" t="s">
        <v>233</v>
      </c>
      <c r="F94" s="14">
        <f>SUM('BCWS by JOB'!F35:F36)</f>
        <v>5</v>
      </c>
      <c r="G94" s="14">
        <f>SUM('BCWS by JOB'!G35:G36)+F94</f>
        <v>5</v>
      </c>
      <c r="H94" s="14">
        <f>SUM('BCWS by JOB'!H35:H36)+G94</f>
        <v>5</v>
      </c>
      <c r="I94" s="14">
        <f>SUM('BCWS by JOB'!I35:I36)+H94</f>
        <v>14</v>
      </c>
      <c r="J94" s="14">
        <f>SUM('BCWS by JOB'!J35:J36)+I94</f>
        <v>44</v>
      </c>
      <c r="K94" s="903">
        <f>SUM('BCWS by JOB'!K35:K36)+J94</f>
        <v>79</v>
      </c>
      <c r="L94" s="14">
        <f>SUM('BCWS by JOB'!L35:L36)+K94</f>
        <v>104</v>
      </c>
      <c r="M94" s="14">
        <f>SUM('BCWS by JOB'!M35:M36)+L94</f>
        <v>134</v>
      </c>
      <c r="N94" s="14">
        <f>SUM('BCWS by JOB'!N35:N36)+M94</f>
        <v>182</v>
      </c>
      <c r="O94" s="14">
        <f>SUM('BCWS by JOB'!O35:O36)+N94</f>
        <v>214</v>
      </c>
      <c r="P94" s="14">
        <f>SUM('BCWS by JOB'!P35:P36)+O94</f>
        <v>251</v>
      </c>
      <c r="Q94" s="14">
        <f>SUM('BCWS by JOB'!Q35:Q36)+P94</f>
        <v>282</v>
      </c>
      <c r="R94" s="14">
        <f>SUM('BCWS by JOB'!R35:R36)+Q94</f>
        <v>322</v>
      </c>
      <c r="S94" s="14">
        <f>SUM('BCWS by JOB'!S35:S36)+R94</f>
        <v>458</v>
      </c>
      <c r="T94" s="14">
        <f>SUM('BCWS by JOB'!T35:T36)+S94</f>
        <v>631</v>
      </c>
      <c r="U94" s="14">
        <f>SUM('BCWS by JOB'!U35:U36)+T94</f>
        <v>956</v>
      </c>
      <c r="V94" s="14">
        <f>SUM('BCWS by JOB'!V35:V36)+U94</f>
        <v>1226</v>
      </c>
      <c r="W94" s="14">
        <f>SUM('BCWS by JOB'!W35:W36)+V94</f>
        <v>1409</v>
      </c>
      <c r="X94" s="14">
        <f>SUM('BCWS by JOB'!X35:X36)+W94</f>
        <v>1510</v>
      </c>
      <c r="Y94" s="14">
        <f>SUM('BCWS by JOB'!Y35:Y36)+X94</f>
        <v>1566</v>
      </c>
      <c r="Z94" s="14">
        <f>SUM('BCWS by JOB'!Z35:Z36)+Y94</f>
        <v>1629</v>
      </c>
      <c r="AA94" s="14">
        <f>SUM('BCWS by JOB'!AA35:AA36)+Z94</f>
        <v>1694</v>
      </c>
      <c r="AB94" s="14">
        <f>SUM('BCWS by JOB'!AB35:AB36)+AA94</f>
        <v>1758</v>
      </c>
      <c r="AC94" s="14">
        <f>SUM('BCWS by JOB'!AC35:AC36)+AB94</f>
        <v>1827</v>
      </c>
      <c r="AD94" s="14">
        <f>SUM('BCWS by JOB'!AD35:AD36)+AC94</f>
        <v>1859</v>
      </c>
      <c r="AE94" s="14">
        <f>SUM('BCWS by JOB'!AE35:AE36)+AD94</f>
        <v>1859</v>
      </c>
      <c r="AF94" s="14">
        <f>SUM('BCWS by JOB'!AF35:AF36)+AE94</f>
        <v>1859</v>
      </c>
      <c r="AG94" s="14">
        <f>SUM('BCWS by JOB'!AG35:AG36)+AF94</f>
        <v>1859</v>
      </c>
      <c r="AH94" s="14">
        <f>SUM('BCWS by JOB'!AH35:AH36)+AG94</f>
        <v>1859</v>
      </c>
      <c r="AI94" s="14">
        <f>SUM('BCWS by JOB'!AI35:AI36)+AH94</f>
        <v>1859</v>
      </c>
      <c r="AJ94" s="14">
        <f>SUM('BCWS by JOB'!AJ35:AJ36)+AI94</f>
        <v>1859</v>
      </c>
      <c r="AK94" s="14">
        <f>SUM('BCWS by JOB'!AK35:AK36)+AJ94</f>
        <v>1859</v>
      </c>
      <c r="AL94" s="14">
        <f>SUM('BCWS by JOB'!AL35:AL36)+AK94</f>
        <v>1859</v>
      </c>
      <c r="AM94" s="14">
        <f>SUM('BCWS by JOB'!AM35:AM36)+AL94</f>
        <v>1861</v>
      </c>
      <c r="AN94" s="14">
        <f>SUM('BCWS by JOB'!AN35:AN36)+AM94</f>
        <v>1873</v>
      </c>
      <c r="AO94" s="14">
        <f>SUM('BCWS by JOB'!AO35:AO36)+AN94</f>
        <v>1887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F94" s="1" t="s">
        <v>232</v>
      </c>
    </row>
    <row r="95" spans="2:12" s="1" customFormat="1" ht="12.75">
      <c r="B95" s="477"/>
      <c r="C95" s="1422" t="s">
        <v>638</v>
      </c>
      <c r="D95" s="1408"/>
      <c r="E95" s="1" t="s">
        <v>234</v>
      </c>
      <c r="F95" s="1">
        <f>SUM('BCWP by JOB'!D35:D36)</f>
        <v>5</v>
      </c>
      <c r="G95" s="1">
        <f>SUM('BCWP by JOB'!E35:E36)+F95</f>
        <v>5</v>
      </c>
      <c r="H95" s="1">
        <f>SUM('BCWP by JOB'!F35:F36)+G95</f>
        <v>5</v>
      </c>
      <c r="I95" s="1">
        <f>SUM('BCWP by JOB'!G35:G36)+H95</f>
        <v>47.332460999999995</v>
      </c>
      <c r="J95" s="1">
        <f>SUM('BCWP by JOB'!H35:H36)+I95</f>
        <v>60.35</v>
      </c>
      <c r="K95" s="904">
        <f>SUM('BCWP by JOB'!I35:I36)+J95</f>
        <v>61.085</v>
      </c>
      <c r="L95" s="904">
        <f>SUM('BCWP by JOB'!J35:J36)+K95</f>
        <v>61.59459100000001</v>
      </c>
    </row>
    <row r="96" spans="2:12" s="1" customFormat="1" ht="12.75">
      <c r="B96" s="477"/>
      <c r="D96" s="11"/>
      <c r="E96" s="1" t="s">
        <v>235</v>
      </c>
      <c r="F96" s="240">
        <f>SUM('ACWP by JOB'!E35:E36)</f>
        <v>4.260039999999999</v>
      </c>
      <c r="G96" s="240">
        <f>SUM('ACWP by JOB'!F35:F36)+F96</f>
        <v>5.800679999999999</v>
      </c>
      <c r="H96" s="240">
        <f>SUM('ACWP by JOB'!G35:G36)+G96</f>
        <v>7.206003202384923</v>
      </c>
      <c r="I96" s="240">
        <f>SUM('ACWP by JOB'!H35:H36)+H96</f>
        <v>13.784003202384923</v>
      </c>
      <c r="J96" s="240">
        <f>SUM('ACWP by JOB'!I35:I36)+I96</f>
        <v>44.38500320238492</v>
      </c>
      <c r="K96" s="905">
        <f>SUM('ACWP by JOB'!J35:J36)+J96</f>
        <v>47.60200320238492</v>
      </c>
      <c r="L96" s="905">
        <f>SUM('ACWP by JOB'!K35:K36)+K96</f>
        <v>55.34900320238492</v>
      </c>
    </row>
    <row r="97" spans="2:12" s="1" customFormat="1" ht="12.75">
      <c r="B97" s="477"/>
      <c r="D97" s="11"/>
      <c r="E97" s="1" t="s">
        <v>237</v>
      </c>
      <c r="F97" s="338">
        <f aca="true" t="shared" si="31" ref="F97:L97">+F95/F96</f>
        <v>1.1736978995502392</v>
      </c>
      <c r="G97" s="338">
        <f t="shared" si="31"/>
        <v>0.8619679072108789</v>
      </c>
      <c r="H97" s="338">
        <f t="shared" si="31"/>
        <v>0.6938659142345626</v>
      </c>
      <c r="I97" s="338">
        <f t="shared" si="31"/>
        <v>3.433868978774648</v>
      </c>
      <c r="J97" s="338">
        <f t="shared" si="31"/>
        <v>1.3596934920747563</v>
      </c>
      <c r="K97" s="906">
        <f t="shared" si="31"/>
        <v>1.2832443151665425</v>
      </c>
      <c r="L97" s="906">
        <f t="shared" si="31"/>
        <v>1.1128401133942367</v>
      </c>
    </row>
    <row r="98" spans="2:12" s="1" customFormat="1" ht="12.75">
      <c r="B98" s="477"/>
      <c r="D98" s="11"/>
      <c r="E98" s="1" t="s">
        <v>236</v>
      </c>
      <c r="F98" s="338">
        <f aca="true" t="shared" si="32" ref="F98:K98">+F95/F94</f>
        <v>1</v>
      </c>
      <c r="G98" s="338">
        <f t="shared" si="32"/>
        <v>1</v>
      </c>
      <c r="H98" s="338">
        <f t="shared" si="32"/>
        <v>1</v>
      </c>
      <c r="I98" s="338">
        <f t="shared" si="32"/>
        <v>3.380890071428571</v>
      </c>
      <c r="J98" s="338">
        <f t="shared" si="32"/>
        <v>1.371590909090909</v>
      </c>
      <c r="K98" s="906">
        <f t="shared" si="32"/>
        <v>0.7732278481012659</v>
      </c>
      <c r="L98" s="906">
        <f>+L95/L94</f>
        <v>0.5922556826923078</v>
      </c>
    </row>
    <row r="99" spans="2:9" s="1" customFormat="1" ht="6.75" customHeight="1">
      <c r="B99" s="477"/>
      <c r="D99" s="11"/>
      <c r="F99" s="338"/>
      <c r="G99" s="338"/>
      <c r="H99" s="338"/>
      <c r="I99" s="338"/>
    </row>
    <row r="100" spans="2:41" s="1" customFormat="1" ht="12.75">
      <c r="B100" s="477"/>
      <c r="C100" s="1422" t="s">
        <v>642</v>
      </c>
      <c r="D100" s="1408"/>
      <c r="E100" s="1" t="s">
        <v>233</v>
      </c>
      <c r="F100" s="14">
        <f>SUM('BCWS by JOB'!F40)</f>
        <v>8</v>
      </c>
      <c r="G100" s="14">
        <f>SUM('BCWS by JOB'!G40)+F100</f>
        <v>73</v>
      </c>
      <c r="H100" s="14">
        <f>SUM('BCWS by JOB'!H40)+G100</f>
        <v>133</v>
      </c>
      <c r="I100" s="14">
        <f>SUM('BCWS by JOB'!I40)+H100</f>
        <v>168</v>
      </c>
      <c r="J100" s="14">
        <f>SUM('BCWS by JOB'!J40)+I100</f>
        <v>228</v>
      </c>
      <c r="K100" s="903">
        <f>SUM('BCWS by JOB'!K40)+J100</f>
        <v>289</v>
      </c>
      <c r="L100" s="14">
        <f>SUM('BCWS by JOB'!L40)+K100</f>
        <v>348</v>
      </c>
      <c r="M100" s="14">
        <f>SUM('BCWS by JOB'!M40)+L100</f>
        <v>404</v>
      </c>
      <c r="N100" s="14">
        <f>SUM('BCWS by JOB'!N40)+M100</f>
        <v>463</v>
      </c>
      <c r="O100" s="14">
        <f>SUM('BCWS by JOB'!O40)+N100</f>
        <v>521</v>
      </c>
      <c r="P100" s="14">
        <f>SUM('BCWS by JOB'!P40)+O100</f>
        <v>625</v>
      </c>
      <c r="Q100" s="14">
        <f>SUM('BCWS by JOB'!Q40)+P100</f>
        <v>682</v>
      </c>
      <c r="R100" s="14">
        <f>SUM('BCWS by JOB'!R40)+Q100</f>
        <v>739</v>
      </c>
      <c r="S100" s="14">
        <f>SUM('BCWS by JOB'!S40)+R100</f>
        <v>795</v>
      </c>
      <c r="T100" s="14">
        <f>SUM('BCWS by JOB'!T40)+S100</f>
        <v>898</v>
      </c>
      <c r="U100" s="14">
        <f>SUM('BCWS by JOB'!U40)+T100</f>
        <v>952</v>
      </c>
      <c r="V100" s="14">
        <f>SUM('BCWS by JOB'!V40)+U100</f>
        <v>1004</v>
      </c>
      <c r="W100" s="14">
        <f>SUM('BCWS by JOB'!W40)+V100</f>
        <v>1004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12" s="1" customFormat="1" ht="12.75">
      <c r="B101" s="477"/>
      <c r="C101" s="1422">
        <v>1361</v>
      </c>
      <c r="D101" s="1408"/>
      <c r="E101" s="1" t="s">
        <v>234</v>
      </c>
      <c r="F101" s="1">
        <f>SUM('BCWP by JOB'!D40)</f>
        <v>4</v>
      </c>
      <c r="G101" s="1">
        <f>SUM('BCWP by JOB'!E40)+F101</f>
        <v>49</v>
      </c>
      <c r="H101" s="1">
        <f>SUM('BCWP by JOB'!F40)+G101</f>
        <v>108</v>
      </c>
      <c r="I101" s="1">
        <f>SUM('BCWP by JOB'!G40)+H101</f>
        <v>199.41206949999997</v>
      </c>
      <c r="J101" s="1">
        <f>SUM('BCWP by JOB'!H40)+I101</f>
        <v>267.65</v>
      </c>
      <c r="K101" s="904">
        <f>SUM('BCWP by JOB'!I40)+J101</f>
        <v>331.282</v>
      </c>
      <c r="L101" s="904">
        <f>SUM('BCWP by JOB'!J40)+K101</f>
        <v>363.6</v>
      </c>
    </row>
    <row r="102" spans="2:12" s="1" customFormat="1" ht="12.75">
      <c r="B102" s="477"/>
      <c r="D102" s="11"/>
      <c r="E102" s="1" t="s">
        <v>235</v>
      </c>
      <c r="F102" s="240">
        <f>SUM('ACWP by JOB'!E40)</f>
        <v>-6.0157300000000085</v>
      </c>
      <c r="G102" s="240">
        <f>SUM('ACWP by JOB'!F40)+F102</f>
        <v>34.379239999999996</v>
      </c>
      <c r="H102" s="240">
        <f>SUM('ACWP by JOB'!G40)+G102</f>
        <v>88.80752648279773</v>
      </c>
      <c r="I102" s="240">
        <f>SUM('ACWP by JOB'!H40)+H102</f>
        <v>185.35052648279773</v>
      </c>
      <c r="J102" s="240">
        <f>SUM('ACWP by JOB'!I40)+I102</f>
        <v>271.3235264827977</v>
      </c>
      <c r="K102" s="905">
        <f>SUM('ACWP by JOB'!J40)+J102</f>
        <v>340.5435264827977</v>
      </c>
      <c r="L102" s="905">
        <f>SUM('ACWP by JOB'!K40)+K102</f>
        <v>385.1965264827977</v>
      </c>
    </row>
    <row r="103" spans="2:12" s="1" customFormat="1" ht="12.75">
      <c r="B103" s="477"/>
      <c r="D103" s="11"/>
      <c r="E103" s="1" t="s">
        <v>237</v>
      </c>
      <c r="F103" s="338">
        <f aca="true" t="shared" si="33" ref="F103:L103">+F101/F102</f>
        <v>-0.6649234589983252</v>
      </c>
      <c r="G103" s="338">
        <f t="shared" si="33"/>
        <v>1.4252787438000376</v>
      </c>
      <c r="H103" s="338">
        <f t="shared" si="33"/>
        <v>1.2161131412766002</v>
      </c>
      <c r="I103" s="338">
        <f t="shared" si="33"/>
        <v>1.0758645971178684</v>
      </c>
      <c r="J103" s="338">
        <f t="shared" si="33"/>
        <v>0.9864607152559967</v>
      </c>
      <c r="K103" s="906">
        <f t="shared" si="33"/>
        <v>0.9728036924429232</v>
      </c>
      <c r="L103" s="906">
        <f t="shared" si="33"/>
        <v>0.9439337455090936</v>
      </c>
    </row>
    <row r="104" spans="2:12" s="1" customFormat="1" ht="12.75">
      <c r="B104" s="477"/>
      <c r="D104" s="11"/>
      <c r="E104" s="1" t="s">
        <v>236</v>
      </c>
      <c r="F104" s="338"/>
      <c r="G104" s="338">
        <f aca="true" t="shared" si="34" ref="G104:L104">+G101/G100</f>
        <v>0.6712328767123288</v>
      </c>
      <c r="H104" s="338">
        <f t="shared" si="34"/>
        <v>0.8120300751879699</v>
      </c>
      <c r="I104" s="338">
        <f t="shared" si="34"/>
        <v>1.1869766041666665</v>
      </c>
      <c r="J104" s="338">
        <f t="shared" si="34"/>
        <v>1.1739035087719296</v>
      </c>
      <c r="K104" s="906">
        <f t="shared" si="34"/>
        <v>1.1463044982698962</v>
      </c>
      <c r="L104" s="906">
        <f t="shared" si="34"/>
        <v>1.0448275862068965</v>
      </c>
    </row>
    <row r="105" spans="2:9" s="1" customFormat="1" ht="6.75" customHeight="1">
      <c r="B105" s="477"/>
      <c r="D105" s="11"/>
      <c r="F105" s="338"/>
      <c r="G105" s="338"/>
      <c r="H105" s="338"/>
      <c r="I105" s="338"/>
    </row>
    <row r="106" spans="2:54" s="1" customFormat="1" ht="12.75">
      <c r="B106" s="477"/>
      <c r="C106" s="1422" t="s">
        <v>643</v>
      </c>
      <c r="D106" s="1408"/>
      <c r="E106" s="1" t="s">
        <v>233</v>
      </c>
      <c r="F106" s="14">
        <f>SUM('BCWS by JOB'!F43:F45)</f>
        <v>219</v>
      </c>
      <c r="G106" s="14">
        <f>SUM('BCWS by JOB'!G43:G45)+F106</f>
        <v>518</v>
      </c>
      <c r="H106" s="14">
        <f>SUM('BCWS by JOB'!H43:H45)+G106</f>
        <v>827</v>
      </c>
      <c r="I106" s="14">
        <f>SUM('BCWS by JOB'!I43:I45)+H106</f>
        <v>1070</v>
      </c>
      <c r="J106" s="14">
        <f>SUM('BCWS by JOB'!J43:J45)+I106</f>
        <v>1184</v>
      </c>
      <c r="K106" s="903">
        <f>SUM('BCWS by JOB'!K43:K45)+J106</f>
        <v>1418</v>
      </c>
      <c r="L106" s="14">
        <f>SUM('BCWS by JOB'!L43:L45)+K106</f>
        <v>1500</v>
      </c>
      <c r="M106" s="14">
        <f>SUM('BCWS by JOB'!M43:M45)+L106</f>
        <v>1538</v>
      </c>
      <c r="N106" s="14">
        <f>SUM('BCWS by JOB'!N43:N45)+M106</f>
        <v>1580</v>
      </c>
      <c r="O106" s="14">
        <f>SUM('BCWS by JOB'!O43:O45)+N106</f>
        <v>1606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2:12" s="1" customFormat="1" ht="12.75">
      <c r="B107" s="477"/>
      <c r="C107" s="1422" t="s">
        <v>644</v>
      </c>
      <c r="D107" s="1408"/>
      <c r="E107" s="1" t="s">
        <v>234</v>
      </c>
      <c r="F107" s="1">
        <f>SUM('BCWP by JOB'!D43:D45)</f>
        <v>96</v>
      </c>
      <c r="G107" s="1">
        <f>SUM('BCWP by JOB'!E43:E45)+F107</f>
        <v>292</v>
      </c>
      <c r="H107" s="1">
        <f>SUM('BCWP by JOB'!F43:F45)+G107</f>
        <v>797</v>
      </c>
      <c r="I107" s="1">
        <f>SUM('BCWP by JOB'!G43:G45)+H107</f>
        <v>897.5716322099998</v>
      </c>
      <c r="J107" s="1">
        <f>SUM('BCWP by JOB'!H43:H45)+I107</f>
        <v>918.4999999999999</v>
      </c>
      <c r="K107" s="904">
        <f>SUM('BCWP by JOB'!I43:I45)+J107</f>
        <v>1122.391</v>
      </c>
      <c r="L107" s="904">
        <f>SUM('BCWP by JOB'!J43:J45)+K107</f>
        <v>1224.7874298</v>
      </c>
    </row>
    <row r="108" spans="2:12" s="1" customFormat="1" ht="12.75">
      <c r="B108" s="477"/>
      <c r="D108" s="11"/>
      <c r="E108" s="1" t="s">
        <v>235</v>
      </c>
      <c r="F108" s="240">
        <f>SUM('ACWP by JOB'!E43:E45)</f>
        <v>123.94133000000001</v>
      </c>
      <c r="G108" s="240">
        <f>SUM('ACWP by JOB'!F43:F45)+F108</f>
        <v>257.93505</v>
      </c>
      <c r="H108" s="240">
        <f>SUM('ACWP by JOB'!G43:G45)+G108</f>
        <v>406.7498033851951</v>
      </c>
      <c r="I108" s="240">
        <f>SUM('ACWP by JOB'!H43:H45)+H108</f>
        <v>700.8288033851951</v>
      </c>
      <c r="J108" s="240">
        <f>SUM('ACWP by JOB'!I43:I45)+I108</f>
        <v>828.5818033851951</v>
      </c>
      <c r="K108" s="905">
        <f>SUM('ACWP by JOB'!J43:J45)+J108</f>
        <v>943.1298033851951</v>
      </c>
      <c r="L108" s="905">
        <f>SUM('ACWP by JOB'!K43:K45)+K108</f>
        <v>1073.112803385195</v>
      </c>
    </row>
    <row r="109" spans="2:12" s="1" customFormat="1" ht="12.75">
      <c r="B109" s="477"/>
      <c r="D109" s="11"/>
      <c r="E109" s="1" t="s">
        <v>237</v>
      </c>
      <c r="F109" s="338">
        <f aca="true" t="shared" si="35" ref="F109:L109">+F107/F108</f>
        <v>0.7745600277163396</v>
      </c>
      <c r="G109" s="338">
        <f t="shared" si="35"/>
        <v>1.1320679372578484</v>
      </c>
      <c r="H109" s="338">
        <f t="shared" si="35"/>
        <v>1.9594354892539065</v>
      </c>
      <c r="I109" s="338">
        <f t="shared" si="35"/>
        <v>1.2807287997788945</v>
      </c>
      <c r="J109" s="338">
        <f t="shared" si="35"/>
        <v>1.1085206026097139</v>
      </c>
      <c r="K109" s="906">
        <f t="shared" si="35"/>
        <v>1.1900705459326797</v>
      </c>
      <c r="L109" s="906">
        <f t="shared" si="35"/>
        <v>1.1413408040015351</v>
      </c>
    </row>
    <row r="110" spans="2:12" s="1" customFormat="1" ht="12.75">
      <c r="B110" s="477"/>
      <c r="D110" s="11"/>
      <c r="E110" s="1" t="s">
        <v>236</v>
      </c>
      <c r="F110" s="338">
        <f aca="true" t="shared" si="36" ref="F110:K110">+F107/F106</f>
        <v>0.4383561643835616</v>
      </c>
      <c r="G110" s="338">
        <f t="shared" si="36"/>
        <v>0.5637065637065637</v>
      </c>
      <c r="H110" s="338">
        <f t="shared" si="36"/>
        <v>0.9637243047158404</v>
      </c>
      <c r="I110" s="338">
        <f t="shared" si="36"/>
        <v>0.8388519927196261</v>
      </c>
      <c r="J110" s="338">
        <f t="shared" si="36"/>
        <v>0.7757601351351351</v>
      </c>
      <c r="K110" s="906">
        <f t="shared" si="36"/>
        <v>0.791531029619182</v>
      </c>
      <c r="L110" s="906">
        <f>+L107/L106</f>
        <v>0.8165249532</v>
      </c>
    </row>
    <row r="111" spans="2:9" s="1" customFormat="1" ht="6" customHeight="1">
      <c r="B111" s="477"/>
      <c r="D111" s="11"/>
      <c r="F111" s="338"/>
      <c r="G111" s="338"/>
      <c r="H111" s="338"/>
      <c r="I111" s="338"/>
    </row>
    <row r="112" spans="2:66" s="1" customFormat="1" ht="12.75">
      <c r="B112" s="477"/>
      <c r="C112" s="1422" t="s">
        <v>645</v>
      </c>
      <c r="D112" s="1408"/>
      <c r="E112" s="1" t="s">
        <v>233</v>
      </c>
      <c r="F112" s="14">
        <f>SUM('BCWS by JOB'!F46:F47)</f>
        <v>7</v>
      </c>
      <c r="G112" s="14">
        <f>SUM('BCWS by JOB'!G46:G47)+F112</f>
        <v>38</v>
      </c>
      <c r="H112" s="14">
        <f>SUM('BCWS by JOB'!H46:H47)+G112</f>
        <v>70</v>
      </c>
      <c r="I112" s="14">
        <f>SUM('BCWS by JOB'!I46:I47)+H112</f>
        <v>128</v>
      </c>
      <c r="J112" s="14">
        <f>SUM('BCWS by JOB'!J46:J47)+I112</f>
        <v>164</v>
      </c>
      <c r="K112" s="903">
        <f>SUM('BCWS by JOB'!K46:K47)+J112</f>
        <v>186</v>
      </c>
      <c r="L112" s="14">
        <f>SUM('BCWS by JOB'!L46:L47)+K112</f>
        <v>186</v>
      </c>
      <c r="M112" s="14">
        <f>SUM('BCWS by JOB'!M46:M47)+L112</f>
        <v>186</v>
      </c>
      <c r="N112" s="14">
        <f>SUM('BCWS by JOB'!N46:N47)+M112</f>
        <v>186</v>
      </c>
      <c r="O112" s="14">
        <f>SUM('BCWS by JOB'!O46:O47)+N112</f>
        <v>186</v>
      </c>
      <c r="P112" s="14">
        <f>SUM('BCWS by JOB'!P46:P47)+O112</f>
        <v>186</v>
      </c>
      <c r="Q112" s="14">
        <f>SUM('BCWS by JOB'!Q46:Q47)+P112</f>
        <v>186</v>
      </c>
      <c r="R112" s="14">
        <f>SUM('BCWS by JOB'!R46:R47)+Q112</f>
        <v>186</v>
      </c>
      <c r="S112" s="14">
        <f>SUM('BCWS by JOB'!S46:S47)+R112</f>
        <v>218</v>
      </c>
      <c r="T112" s="14">
        <f>SUM('BCWS by JOB'!T46:T47)+S112</f>
        <v>327</v>
      </c>
      <c r="U112" s="14">
        <f>SUM('BCWS by JOB'!U46:U47)+T112</f>
        <v>458</v>
      </c>
      <c r="V112" s="14">
        <f>SUM('BCWS by JOB'!V46:V47)+U112</f>
        <v>589</v>
      </c>
      <c r="W112" s="14">
        <f>SUM('BCWS by JOB'!W46:W47)+V112</f>
        <v>732</v>
      </c>
      <c r="X112" s="14">
        <f>SUM('BCWS by JOB'!X46:X47)+W112</f>
        <v>825</v>
      </c>
      <c r="Y112" s="14">
        <f>SUM('BCWS by JOB'!Y46:Y47)+X112</f>
        <v>876</v>
      </c>
      <c r="Z112" s="14">
        <f>SUM('BCWS by JOB'!Z46:Z47)+Y112</f>
        <v>939</v>
      </c>
      <c r="AA112" s="14">
        <f>SUM('BCWS by JOB'!AA46:AA47)+Z112</f>
        <v>999</v>
      </c>
      <c r="AB112" s="14">
        <f>SUM('BCWS by JOB'!AB46:AB47)+AA112</f>
        <v>1065</v>
      </c>
      <c r="AC112" s="14">
        <f>SUM('BCWS by JOB'!AC46:AC47)+AB112</f>
        <v>1131</v>
      </c>
      <c r="AD112" s="14">
        <f>SUM('BCWS by JOB'!AD46:AD47)+AC112</f>
        <v>1191</v>
      </c>
      <c r="AE112" s="14">
        <f>SUM('BCWS by JOB'!AE46:AE47)+AD112</f>
        <v>1257</v>
      </c>
      <c r="AF112" s="14">
        <f>SUM('BCWS by JOB'!AF46:AF47)+AE112</f>
        <v>1260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12" s="1" customFormat="1" ht="12.75">
      <c r="B113" s="477"/>
      <c r="C113" s="1422" t="s">
        <v>646</v>
      </c>
      <c r="D113" s="1408"/>
      <c r="E113" s="1" t="s">
        <v>234</v>
      </c>
      <c r="F113" s="1">
        <f>SUM('BCWP by JOB'!D46:D47)</f>
        <v>2</v>
      </c>
      <c r="G113" s="1">
        <f>SUM('BCWP by JOB'!E46:E47)+F113</f>
        <v>45</v>
      </c>
      <c r="H113" s="1">
        <f>SUM('BCWP by JOB'!F46:F47)+G113</f>
        <v>75</v>
      </c>
      <c r="I113" s="1">
        <f>SUM('BCWP by JOB'!G46:G47)+H113</f>
        <v>81.9423845</v>
      </c>
      <c r="J113" s="1">
        <f>SUM('BCWP by JOB'!H46:H47)+I113</f>
        <v>136.7</v>
      </c>
      <c r="K113" s="904">
        <f>SUM('BCWP by JOB'!I46:I47)+J113</f>
        <v>145.001</v>
      </c>
      <c r="L113" s="904">
        <f>SUM('BCWP by JOB'!J46:J47)+K113</f>
        <v>145.198906</v>
      </c>
    </row>
    <row r="114" spans="2:12" s="1" customFormat="1" ht="12.75">
      <c r="B114" s="477"/>
      <c r="D114" s="11"/>
      <c r="E114" s="1" t="s">
        <v>235</v>
      </c>
      <c r="F114" s="240">
        <f>SUM('ACWP by JOB'!E46:E47)</f>
        <v>54.10057</v>
      </c>
      <c r="G114" s="240">
        <f>SUM('ACWP by JOB'!F46:F47)+F114</f>
        <v>101.47542999999999</v>
      </c>
      <c r="H114" s="240">
        <f>SUM('ACWP by JOB'!G46:G47)+G114</f>
        <v>138.5961054058865</v>
      </c>
      <c r="I114" s="240">
        <f>SUM('ACWP by JOB'!H46:H47)+H114</f>
        <v>174.65210540588652</v>
      </c>
      <c r="J114" s="240">
        <f>SUM('ACWP by JOB'!I46:I47)+I114</f>
        <v>176.91410540588652</v>
      </c>
      <c r="K114" s="905">
        <f>SUM('ACWP by JOB'!J46:J47)+J114</f>
        <v>160.00010540588653</v>
      </c>
      <c r="L114" s="905">
        <f>SUM('ACWP by JOB'!K46:K47)+K114</f>
        <v>183.08110540588652</v>
      </c>
    </row>
    <row r="115" spans="2:12" s="1" customFormat="1" ht="12.75">
      <c r="B115" s="477"/>
      <c r="D115" s="11"/>
      <c r="E115" s="1" t="s">
        <v>237</v>
      </c>
      <c r="F115" s="338">
        <f aca="true" t="shared" si="37" ref="F115:L115">+F113/F114</f>
        <v>0.03696818721133622</v>
      </c>
      <c r="G115" s="338">
        <f t="shared" si="37"/>
        <v>0.44345710089624657</v>
      </c>
      <c r="H115" s="338">
        <f t="shared" si="37"/>
        <v>0.5411407469232867</v>
      </c>
      <c r="I115" s="338">
        <f t="shared" si="37"/>
        <v>0.4691749023555613</v>
      </c>
      <c r="J115" s="338">
        <f t="shared" si="37"/>
        <v>0.7726913559909482</v>
      </c>
      <c r="K115" s="906">
        <f t="shared" si="37"/>
        <v>0.9062556529707467</v>
      </c>
      <c r="L115" s="906">
        <f t="shared" si="37"/>
        <v>0.7930851503113738</v>
      </c>
    </row>
    <row r="116" spans="2:12" s="1" customFormat="1" ht="12.75">
      <c r="B116" s="477"/>
      <c r="D116" s="11"/>
      <c r="E116" s="1" t="s">
        <v>236</v>
      </c>
      <c r="F116" s="338">
        <f aca="true" t="shared" si="38" ref="F116:K116">+F113/F112</f>
        <v>0.2857142857142857</v>
      </c>
      <c r="G116" s="338">
        <f t="shared" si="38"/>
        <v>1.1842105263157894</v>
      </c>
      <c r="H116" s="338">
        <f t="shared" si="38"/>
        <v>1.0714285714285714</v>
      </c>
      <c r="I116" s="338">
        <f t="shared" si="38"/>
        <v>0.64017487890625</v>
      </c>
      <c r="J116" s="338">
        <f t="shared" si="38"/>
        <v>0.8335365853658536</v>
      </c>
      <c r="K116" s="906">
        <f t="shared" si="38"/>
        <v>0.7795752688172043</v>
      </c>
      <c r="L116" s="906">
        <f>+L113/L112</f>
        <v>0.7806392795698924</v>
      </c>
    </row>
    <row r="117" spans="2:9" s="1" customFormat="1" ht="6" customHeight="1">
      <c r="B117" s="477"/>
      <c r="D117" s="11"/>
      <c r="F117" s="338"/>
      <c r="G117" s="338"/>
      <c r="H117" s="338"/>
      <c r="I117" s="338"/>
    </row>
    <row r="118" spans="2:42" s="1" customFormat="1" ht="12.75">
      <c r="B118" s="477"/>
      <c r="C118" s="1422" t="s">
        <v>647</v>
      </c>
      <c r="D118" s="1408"/>
      <c r="E118" s="1" t="s">
        <v>233</v>
      </c>
      <c r="F118" s="14">
        <f>SUM('BCWS by JOB'!F48)</f>
        <v>6</v>
      </c>
      <c r="G118" s="14">
        <f>SUM('BCWS by JOB'!G48)+F118</f>
        <v>6</v>
      </c>
      <c r="H118" s="14">
        <f>SUM('BCWS by JOB'!H48)+G118</f>
        <v>6</v>
      </c>
      <c r="I118" s="14">
        <f>SUM('BCWS by JOB'!I48)+H118</f>
        <v>6</v>
      </c>
      <c r="J118" s="14">
        <f>SUM('BCWS by JOB'!J48)+I118</f>
        <v>6</v>
      </c>
      <c r="K118" s="14">
        <f>SUM('BCWS by JOB'!K48)+J118</f>
        <v>6</v>
      </c>
      <c r="L118" s="14">
        <f>SUM('BCWS by JOB'!L48)+K118</f>
        <v>6</v>
      </c>
      <c r="M118" s="14">
        <f>SUM('BCWS by JOB'!M48)+L118</f>
        <v>6</v>
      </c>
      <c r="N118" s="14">
        <f>SUM('BCWS by JOB'!N48)+M118</f>
        <v>34</v>
      </c>
      <c r="O118" s="14">
        <f>SUM('BCWS by JOB'!O48)+N118</f>
        <v>61</v>
      </c>
      <c r="P118" s="14">
        <f>SUM('BCWS by JOB'!P48)+O118</f>
        <v>88</v>
      </c>
      <c r="Q118" s="14">
        <f>SUM('BCWS by JOB'!Q48)+P118</f>
        <v>116</v>
      </c>
      <c r="R118" s="14">
        <f>SUM('BCWS by JOB'!R48)+Q118</f>
        <v>143</v>
      </c>
      <c r="S118" s="14">
        <f>SUM('BCWS by JOB'!S48)+R118</f>
        <v>191</v>
      </c>
      <c r="T118" s="14">
        <f>SUM('BCWS by JOB'!T48)+S118</f>
        <v>222</v>
      </c>
      <c r="U118" s="14">
        <f>SUM('BCWS by JOB'!U48)+T118</f>
        <v>269</v>
      </c>
      <c r="V118" s="14">
        <f>SUM('BCWS by JOB'!V48)+U118</f>
        <v>327</v>
      </c>
      <c r="W118" s="14">
        <f>SUM('BCWS by JOB'!W48)+V118</f>
        <v>404</v>
      </c>
      <c r="X118" s="14">
        <f>SUM('BCWS by JOB'!X48)+W118</f>
        <v>465</v>
      </c>
      <c r="Y118" s="14">
        <f>SUM('BCWS by JOB'!Y48)+X118</f>
        <v>518</v>
      </c>
      <c r="Z118" s="14">
        <f>SUM('BCWS by JOB'!Z48)+Y118</f>
        <v>544</v>
      </c>
      <c r="AA118" s="14">
        <f>SUM('BCWS by JOB'!AA48)+Z118</f>
        <v>564</v>
      </c>
      <c r="AB118" s="14">
        <f>SUM('BCWS by JOB'!AB48)+AA118</f>
        <v>587</v>
      </c>
      <c r="AC118" s="14">
        <f>SUM('BCWS by JOB'!AC48)+AB118</f>
        <v>610</v>
      </c>
      <c r="AD118" s="14">
        <f>SUM('BCWS by JOB'!AD48)+AC118</f>
        <v>630</v>
      </c>
      <c r="AE118" s="14">
        <f>SUM('BCWS by JOB'!AE48)+AD118</f>
        <v>653</v>
      </c>
      <c r="AF118" s="14">
        <f>SUM('BCWS by JOB'!AF48)+AE118</f>
        <v>676</v>
      </c>
      <c r="AG118" s="14">
        <f>SUM('BCWS by JOB'!AG48)+AF118</f>
        <v>697</v>
      </c>
      <c r="AH118" s="14">
        <f>SUM('BCWS by JOB'!AH48)+AG118</f>
        <v>701</v>
      </c>
      <c r="AI118" s="14">
        <f>SUM('BCWS by JOB'!AI48)+AH118</f>
        <v>743</v>
      </c>
      <c r="AJ118" s="14">
        <f>SUM('BCWS by JOB'!AJ48)+AI118</f>
        <v>785</v>
      </c>
      <c r="AK118" s="14">
        <f>SUM('BCWS by JOB'!AK48)+AJ118</f>
        <v>824</v>
      </c>
      <c r="AL118" s="14">
        <f>SUM('BCWS by JOB'!AL48)+AK118</f>
        <v>858</v>
      </c>
      <c r="AM118" s="14">
        <f>SUM('BCWS by JOB'!AM48)+AL118</f>
        <v>861</v>
      </c>
      <c r="AN118" s="14"/>
      <c r="AO118" s="14"/>
      <c r="AP118" s="14"/>
    </row>
    <row r="119" spans="2:12" s="1" customFormat="1" ht="12.75">
      <c r="B119" s="477"/>
      <c r="C119" s="1422">
        <v>1601</v>
      </c>
      <c r="D119" s="1408"/>
      <c r="E119" s="1" t="s">
        <v>234</v>
      </c>
      <c r="F119" s="1">
        <f>SUM('BCWP by JOB'!D48)</f>
        <v>0</v>
      </c>
      <c r="G119" s="1">
        <f>SUM('BCWP by JOB'!E48)+F119</f>
        <v>6</v>
      </c>
      <c r="H119" s="1">
        <f>SUM('BCWP by JOB'!F48)+G119</f>
        <v>6</v>
      </c>
      <c r="I119" s="1">
        <f>SUM('BCWP by JOB'!G48)+H119</f>
        <v>6.228800000000001</v>
      </c>
      <c r="J119" s="1">
        <f>SUM('BCWP by JOB'!H48)+I119</f>
        <v>14.599999999999998</v>
      </c>
      <c r="K119" s="1">
        <f>SUM('BCWP by JOB'!I48)+J119</f>
        <v>14.597999999999999</v>
      </c>
      <c r="L119" s="1">
        <f>SUM('BCWP by JOB'!J48)+K119</f>
        <v>22.96779</v>
      </c>
    </row>
    <row r="120" spans="2:12" s="1" customFormat="1" ht="12.75">
      <c r="B120" s="477"/>
      <c r="D120" s="11"/>
      <c r="E120" s="1" t="s">
        <v>235</v>
      </c>
      <c r="F120" s="240">
        <f>SUM('ACWP by JOB'!E48)</f>
        <v>0</v>
      </c>
      <c r="G120" s="240">
        <f>SUM('ACWP by JOB'!F48)+F120</f>
        <v>0</v>
      </c>
      <c r="H120" s="240">
        <f>SUM('ACWP by JOB'!G48)+G120</f>
        <v>0</v>
      </c>
      <c r="I120" s="240">
        <f>SUM('ACWP by JOB'!H48)+H120</f>
        <v>0</v>
      </c>
      <c r="J120" s="240">
        <f>SUM('ACWP by JOB'!I48)+I120</f>
        <v>0</v>
      </c>
      <c r="K120" s="240">
        <f>SUM('ACWP by JOB'!J48)+J120</f>
        <v>0</v>
      </c>
      <c r="L120" s="240">
        <f>SUM('ACWP by JOB'!K48)+K120</f>
        <v>0</v>
      </c>
    </row>
    <row r="121" spans="2:12" s="1" customFormat="1" ht="12.75">
      <c r="B121" s="477"/>
      <c r="D121" s="11"/>
      <c r="E121" s="1" t="s">
        <v>237</v>
      </c>
      <c r="F121" s="338" t="e">
        <f aca="true" t="shared" si="39" ref="F121:L121">+F119/F120</f>
        <v>#DIV/0!</v>
      </c>
      <c r="G121" s="338" t="e">
        <f t="shared" si="39"/>
        <v>#DIV/0!</v>
      </c>
      <c r="H121" s="338" t="e">
        <f t="shared" si="39"/>
        <v>#DIV/0!</v>
      </c>
      <c r="I121" s="338" t="e">
        <f t="shared" si="39"/>
        <v>#DIV/0!</v>
      </c>
      <c r="J121" s="338" t="e">
        <f t="shared" si="39"/>
        <v>#DIV/0!</v>
      </c>
      <c r="K121" s="338" t="e">
        <f t="shared" si="39"/>
        <v>#DIV/0!</v>
      </c>
      <c r="L121" s="338" t="e">
        <f t="shared" si="39"/>
        <v>#DIV/0!</v>
      </c>
    </row>
    <row r="122" spans="2:12" s="1" customFormat="1" ht="12.75">
      <c r="B122" s="477"/>
      <c r="D122" s="11"/>
      <c r="E122" s="1" t="s">
        <v>236</v>
      </c>
      <c r="F122" s="338"/>
      <c r="G122" s="338">
        <f aca="true" t="shared" si="40" ref="G122:L122">+G119/G118</f>
        <v>1</v>
      </c>
      <c r="H122" s="338">
        <f t="shared" si="40"/>
        <v>1</v>
      </c>
      <c r="I122" s="338">
        <f t="shared" si="40"/>
        <v>1.0381333333333334</v>
      </c>
      <c r="J122" s="338">
        <f t="shared" si="40"/>
        <v>2.433333333333333</v>
      </c>
      <c r="K122" s="338">
        <f t="shared" si="40"/>
        <v>2.433</v>
      </c>
      <c r="L122" s="338">
        <f t="shared" si="40"/>
        <v>3.8279650000000003</v>
      </c>
    </row>
    <row r="123" spans="2:9" s="1" customFormat="1" ht="6" customHeight="1">
      <c r="B123" s="477"/>
      <c r="D123" s="11"/>
      <c r="F123" s="338"/>
      <c r="G123" s="338"/>
      <c r="H123" s="338"/>
      <c r="I123" s="338"/>
    </row>
    <row r="124" spans="2:64" s="1" customFormat="1" ht="12.75">
      <c r="B124" s="477"/>
      <c r="D124" s="11" t="s">
        <v>653</v>
      </c>
      <c r="E124" s="1" t="s">
        <v>233</v>
      </c>
      <c r="F124" s="14">
        <f>SUM('BCWS by JOB'!F54)</f>
        <v>34</v>
      </c>
      <c r="G124" s="14">
        <f>SUM('BCWS by JOB'!G54)+F124</f>
        <v>66</v>
      </c>
      <c r="H124" s="14">
        <f>SUM('BCWS by JOB'!H54)+G124</f>
        <v>98</v>
      </c>
      <c r="I124" s="14">
        <f>SUM('BCWS by JOB'!I54)+H124</f>
        <v>133</v>
      </c>
      <c r="J124" s="14">
        <f>SUM('BCWS by JOB'!J54)+I124</f>
        <v>162</v>
      </c>
      <c r="K124" s="903">
        <f>SUM('BCWS by JOB'!K54)+J124</f>
        <v>200</v>
      </c>
      <c r="L124" s="14">
        <f>SUM('BCWS by JOB'!L54)+K124</f>
        <v>233</v>
      </c>
      <c r="M124" s="14">
        <f>SUM('BCWS by JOB'!M54)+L124</f>
        <v>258</v>
      </c>
      <c r="N124" s="14">
        <f>SUM('BCWS by JOB'!N54)+M124</f>
        <v>294</v>
      </c>
      <c r="O124" s="14">
        <f>SUM('BCWS by JOB'!O54)+N124</f>
        <v>328</v>
      </c>
      <c r="P124" s="14">
        <f>SUM('BCWS by JOB'!P54)+O124</f>
        <v>362</v>
      </c>
      <c r="Q124" s="14">
        <f>SUM('BCWS by JOB'!Q54)+P124</f>
        <v>398</v>
      </c>
      <c r="R124" s="14">
        <f>SUM('BCWS by JOB'!R54)+Q124</f>
        <v>432</v>
      </c>
      <c r="S124" s="14">
        <f>SUM('BCWS by JOB'!S54)+R124</f>
        <v>466</v>
      </c>
      <c r="T124" s="14">
        <f>SUM('BCWS by JOB'!T54)+S124</f>
        <v>502</v>
      </c>
      <c r="U124" s="14">
        <f>SUM('BCWS by JOB'!U54)+T124</f>
        <v>536</v>
      </c>
      <c r="V124" s="14">
        <f>SUM('BCWS by JOB'!V54)+U124</f>
        <v>569</v>
      </c>
      <c r="W124" s="14">
        <f>SUM('BCWS by JOB'!W54)+V124</f>
        <v>609</v>
      </c>
      <c r="X124" s="14">
        <f>SUM('BCWS by JOB'!X54)+W124</f>
        <v>640</v>
      </c>
      <c r="Y124" s="14">
        <f>SUM('BCWS by JOB'!Y54)+X124</f>
        <v>670</v>
      </c>
      <c r="Z124" s="14">
        <f>SUM('BCWS by JOB'!Z54)+Y124</f>
        <v>707</v>
      </c>
      <c r="AA124" s="14">
        <f>SUM('BCWS by JOB'!AA54)+Z124</f>
        <v>742</v>
      </c>
      <c r="AB124" s="14">
        <f>SUM('BCWS by JOB'!AB54)+AA124</f>
        <v>780</v>
      </c>
      <c r="AC124" s="14">
        <f>SUM('BCWS by JOB'!AC54)+AB124</f>
        <v>818</v>
      </c>
      <c r="AD124" s="14">
        <f>SUM('BCWS by JOB'!AD54)+AC124</f>
        <v>853</v>
      </c>
      <c r="AE124" s="14">
        <f>SUM('BCWS by JOB'!AE54)+AD124</f>
        <v>891</v>
      </c>
      <c r="AF124" s="14">
        <f>SUM('BCWS by JOB'!AF54)+AE124</f>
        <v>929</v>
      </c>
      <c r="AG124" s="14">
        <f>SUM('BCWS by JOB'!AG54)+AF124</f>
        <v>966</v>
      </c>
      <c r="AH124" s="14">
        <f>SUM('BCWS by JOB'!AH54)+AG124</f>
        <v>999</v>
      </c>
      <c r="AI124" s="14">
        <f>SUM('BCWS by JOB'!AI54)+AH124</f>
        <v>1039</v>
      </c>
      <c r="AJ124" s="14">
        <f>SUM('BCWS by JOB'!AJ54)+AI124</f>
        <v>1073</v>
      </c>
      <c r="AK124" s="14">
        <f>SUM('BCWS by JOB'!AK54)+AJ124</f>
        <v>1102</v>
      </c>
      <c r="AL124" s="14">
        <f>SUM('BCWS by JOB'!AL54)+AK124</f>
        <v>1138</v>
      </c>
      <c r="AM124" s="14">
        <f>SUM('BCWS by JOB'!AM54)+AL124</f>
        <v>1174</v>
      </c>
      <c r="AN124" s="14">
        <f>SUM('BCWS by JOB'!AN54)+AM124</f>
        <v>1216</v>
      </c>
      <c r="AO124" s="14">
        <f>SUM('BCWS by JOB'!AO54)+AN124</f>
        <v>1256</v>
      </c>
      <c r="AP124" s="14">
        <f>SUM('BCWS by JOB'!AP54)+AO124</f>
        <v>1292</v>
      </c>
      <c r="AQ124" s="14">
        <f>SUM('BCWS by JOB'!AQ54)+AP124</f>
        <v>1332</v>
      </c>
      <c r="AR124" s="14">
        <f>SUM('BCWS by JOB'!AR54)+AQ124</f>
        <v>1370</v>
      </c>
      <c r="AS124" s="14">
        <f>SUM('BCWS by JOB'!AS54)+AR124</f>
        <v>1410</v>
      </c>
      <c r="AT124" s="14">
        <f>SUM('BCWS by JOB'!AT54)+AS124</f>
        <v>1448</v>
      </c>
      <c r="AU124" s="14">
        <f>SUM('BCWS by JOB'!AU54)+AT124</f>
        <v>1493</v>
      </c>
      <c r="AV124" s="14">
        <f>SUM('BCWS by JOB'!AV54)+AU124</f>
        <v>1536</v>
      </c>
      <c r="AW124" s="14">
        <f>SUM('BCWS by JOB'!AW54)+AV124</f>
        <v>1573</v>
      </c>
      <c r="AX124" s="14">
        <f>SUM('BCWS by JOB'!AX54)+AW124</f>
        <v>1618</v>
      </c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2:12" s="1" customFormat="1" ht="12.75">
      <c r="B125" s="477"/>
      <c r="D125" s="11">
        <v>1901</v>
      </c>
      <c r="E125" s="1" t="s">
        <v>234</v>
      </c>
      <c r="F125" s="1">
        <f>SUM('BCWP by JOB'!D54)</f>
        <v>34</v>
      </c>
      <c r="G125" s="1">
        <f>SUM('BCWP by JOB'!E54)+F125</f>
        <v>66</v>
      </c>
      <c r="H125" s="1">
        <f>SUM('BCWP by JOB'!F54)+G125</f>
        <v>98</v>
      </c>
      <c r="I125" s="1">
        <f>SUM('BCWP by JOB'!G54)+H125</f>
        <v>132.64167952</v>
      </c>
      <c r="J125" s="1">
        <f>SUM('BCWP by JOB'!H54)+I125</f>
        <v>161.56</v>
      </c>
      <c r="K125" s="904">
        <f>SUM('BCWP by JOB'!I54)+J125</f>
        <v>199.131</v>
      </c>
      <c r="L125" s="904">
        <f>SUM('BCWP by JOB'!J54)+K125</f>
        <v>232.21053822</v>
      </c>
    </row>
    <row r="126" spans="2:12" s="1" customFormat="1" ht="12.75">
      <c r="B126" s="477"/>
      <c r="D126" s="11"/>
      <c r="E126" s="1" t="s">
        <v>235</v>
      </c>
      <c r="F126" s="240">
        <f>SUM('ACWP by JOB'!E54)</f>
        <v>36.462</v>
      </c>
      <c r="G126" s="240">
        <f>SUM('ACWP by JOB'!F54)+F126</f>
        <v>53.934000000000005</v>
      </c>
      <c r="H126" s="240">
        <f>SUM('ACWP by JOB'!G54)+G126</f>
        <v>64.98100000000001</v>
      </c>
      <c r="I126" s="240">
        <f>SUM('ACWP by JOB'!H54)+H126</f>
        <v>96.64800000000001</v>
      </c>
      <c r="J126" s="240">
        <f>SUM('ACWP by JOB'!I54)+I126</f>
        <v>109.709</v>
      </c>
      <c r="K126" s="905">
        <f>SUM('ACWP by JOB'!J54)+J126</f>
        <v>119.964</v>
      </c>
      <c r="L126" s="905">
        <f>SUM('ACWP by JOB'!K54)+K126</f>
        <v>130.754</v>
      </c>
    </row>
    <row r="127" spans="2:12" s="1" customFormat="1" ht="12.75">
      <c r="B127" s="477"/>
      <c r="D127" s="11"/>
      <c r="E127" s="1" t="s">
        <v>237</v>
      </c>
      <c r="F127" s="338">
        <f aca="true" t="shared" si="41" ref="F127:L127">+F125/F126</f>
        <v>0.932477647962262</v>
      </c>
      <c r="G127" s="338">
        <f t="shared" si="41"/>
        <v>1.223717877405718</v>
      </c>
      <c r="H127" s="338">
        <f t="shared" si="41"/>
        <v>1.5081331466120864</v>
      </c>
      <c r="I127" s="338">
        <f t="shared" si="41"/>
        <v>1.3724203244764503</v>
      </c>
      <c r="J127" s="338">
        <f t="shared" si="41"/>
        <v>1.472623030015769</v>
      </c>
      <c r="K127" s="906">
        <f t="shared" si="41"/>
        <v>1.659922976893068</v>
      </c>
      <c r="L127" s="906">
        <f t="shared" si="41"/>
        <v>1.7759344893464062</v>
      </c>
    </row>
    <row r="128" spans="2:12" s="1" customFormat="1" ht="12.75">
      <c r="B128" s="477"/>
      <c r="D128" s="11"/>
      <c r="E128" s="1" t="s">
        <v>236</v>
      </c>
      <c r="F128" s="338">
        <f aca="true" t="shared" si="42" ref="F128:K128">+F125/F124</f>
        <v>1</v>
      </c>
      <c r="G128" s="338">
        <f t="shared" si="42"/>
        <v>1</v>
      </c>
      <c r="H128" s="338">
        <f t="shared" si="42"/>
        <v>1</v>
      </c>
      <c r="I128" s="338">
        <f t="shared" si="42"/>
        <v>0.9973058610526315</v>
      </c>
      <c r="J128" s="338">
        <f t="shared" si="42"/>
        <v>0.9972839506172839</v>
      </c>
      <c r="K128" s="906">
        <f t="shared" si="42"/>
        <v>0.995655</v>
      </c>
      <c r="L128" s="906">
        <f>+L125/L124</f>
        <v>0.9966117520171673</v>
      </c>
    </row>
    <row r="130" spans="2:52" s="1" customFormat="1" ht="12.75">
      <c r="B130" s="477"/>
      <c r="D130" s="11" t="s">
        <v>639</v>
      </c>
      <c r="E130" s="1" t="s">
        <v>233</v>
      </c>
      <c r="F130" s="14">
        <f>SUM('BCWS by JOB'!F37)</f>
        <v>0</v>
      </c>
      <c r="G130" s="14">
        <f>SUM('BCWS by JOB'!G37)+F130</f>
        <v>0</v>
      </c>
      <c r="H130" s="14">
        <f>SUM('BCWS by JOB'!H37)+G130</f>
        <v>0</v>
      </c>
      <c r="I130" s="14">
        <f>SUM('BCWS by JOB'!I37)+H130</f>
        <v>0</v>
      </c>
      <c r="J130" s="14">
        <f>SUM('BCWS by JOB'!J37)+I130</f>
        <v>0</v>
      </c>
      <c r="K130" s="14">
        <f>SUM('BCWS by JOB'!K37)+J130</f>
        <v>0</v>
      </c>
      <c r="L130" s="14">
        <f>SUM('BCWS by JOB'!L37)+K130</f>
        <v>0</v>
      </c>
      <c r="M130" s="14">
        <f>SUM('BCWS by JOB'!M37)+L130</f>
        <v>0</v>
      </c>
      <c r="N130" s="14">
        <f>SUM('BCWS by JOB'!N37)+M130</f>
        <v>0</v>
      </c>
      <c r="O130" s="14">
        <f>SUM('BCWS by JOB'!O37)+N130</f>
        <v>0</v>
      </c>
      <c r="P130" s="14">
        <f>SUM('BCWS by JOB'!P37)+O130</f>
        <v>0</v>
      </c>
      <c r="Q130" s="14">
        <f>SUM('BCWS by JOB'!Q37)+P130</f>
        <v>0</v>
      </c>
      <c r="R130" s="14">
        <f>SUM('BCWS by JOB'!R37)+Q130</f>
        <v>0</v>
      </c>
      <c r="S130" s="14">
        <f>SUM('BCWS by JOB'!S37)+R130</f>
        <v>0</v>
      </c>
      <c r="T130" s="14">
        <f>SUM('BCWS by JOB'!T37)+S130</f>
        <v>0</v>
      </c>
      <c r="U130" s="14">
        <f>SUM('BCWS by JOB'!U37)+T130</f>
        <v>0</v>
      </c>
      <c r="V130" s="14">
        <f>SUM('BCWS by JOB'!V37)+U130</f>
        <v>0</v>
      </c>
      <c r="W130" s="14">
        <f>SUM('BCWS by JOB'!W37)+V130</f>
        <v>0</v>
      </c>
      <c r="X130" s="14">
        <f>SUM('BCWS by JOB'!X37)+W130</f>
        <v>0</v>
      </c>
      <c r="Y130" s="14">
        <f>SUM('BCWS by JOB'!Y37)+X130</f>
        <v>0</v>
      </c>
      <c r="Z130" s="14">
        <f>SUM('BCWS by JOB'!Z37)+Y130</f>
        <v>0</v>
      </c>
      <c r="AA130" s="14">
        <f>SUM('BCWS by JOB'!AA37)+Z130</f>
        <v>0</v>
      </c>
      <c r="AB130" s="14">
        <f>SUM('BCWS by JOB'!AB37)+AA130</f>
        <v>0</v>
      </c>
      <c r="AC130" s="14">
        <f>SUM('BCWS by JOB'!AC37)+AB130</f>
        <v>4</v>
      </c>
      <c r="AD130" s="14">
        <f>SUM('BCWS by JOB'!AD37)+AC130</f>
        <v>12</v>
      </c>
      <c r="AE130" s="14">
        <f>SUM('BCWS by JOB'!AE37)+AD130</f>
        <v>28</v>
      </c>
      <c r="AF130" s="14">
        <f>SUM('BCWS by JOB'!AF37)+AE130</f>
        <v>30</v>
      </c>
      <c r="AG130" s="14">
        <f>SUM('BCWS by JOB'!AG37)+AF130</f>
        <v>32</v>
      </c>
      <c r="AH130" s="14">
        <f>SUM('BCWS by JOB'!AH37)+AG130</f>
        <v>79</v>
      </c>
      <c r="AI130" s="14">
        <f>SUM('BCWS by JOB'!AI37)+AH130</f>
        <v>131</v>
      </c>
      <c r="AJ130" s="14">
        <f>SUM('BCWS by JOB'!AJ37)+AI130</f>
        <v>176</v>
      </c>
      <c r="AK130" s="14">
        <f>SUM('BCWS by JOB'!AK37)+AJ130</f>
        <v>214</v>
      </c>
      <c r="AL130" s="14">
        <f>SUM('BCWS by JOB'!AL37)+AK130</f>
        <v>261</v>
      </c>
      <c r="AM130" s="14">
        <f>SUM('BCWS by JOB'!AM37)+AL130</f>
        <v>308</v>
      </c>
      <c r="AN130" s="14">
        <f>SUM('BCWS by JOB'!AN37)+AM130</f>
        <v>339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11" s="1" customFormat="1" ht="12.75">
      <c r="B131" s="477"/>
      <c r="D131" s="11">
        <v>1353</v>
      </c>
      <c r="E131" s="1" t="s">
        <v>234</v>
      </c>
      <c r="F131" s="1">
        <f>SUM('BCWP by JOB'!D37)</f>
        <v>0</v>
      </c>
      <c r="G131" s="1">
        <f>SUM('BCWP by JOB'!E37)+F131</f>
        <v>0</v>
      </c>
      <c r="H131" s="1">
        <f>SUM('BCWP by JOB'!F37)+G131</f>
        <v>0</v>
      </c>
      <c r="I131" s="1">
        <f>SUM('BCWP by JOB'!G37)+H131</f>
        <v>0</v>
      </c>
      <c r="J131" s="1">
        <f>SUM('BCWP by JOB'!H37)+I131</f>
        <v>0</v>
      </c>
      <c r="K131" s="1">
        <f>SUM('BCWP by JOB'!I37)+J131</f>
        <v>0</v>
      </c>
    </row>
    <row r="132" spans="2:11" s="1" customFormat="1" ht="12.75">
      <c r="B132" s="477"/>
      <c r="D132" s="11"/>
      <c r="E132" s="1" t="s">
        <v>235</v>
      </c>
      <c r="F132" s="240">
        <f>SUM('ACWP by JOB'!E37)</f>
        <v>0</v>
      </c>
      <c r="G132" s="240">
        <f>SUM('ACWP by JOB'!F37)+F132</f>
        <v>0</v>
      </c>
      <c r="H132" s="240">
        <f>SUM('ACWP by JOB'!G37)+G132</f>
        <v>0</v>
      </c>
      <c r="I132" s="240">
        <f>SUM('ACWP by JOB'!H37)+H132</f>
        <v>0</v>
      </c>
      <c r="J132" s="240">
        <f>SUM('ACWP by JOB'!I37)+I132</f>
        <v>0</v>
      </c>
      <c r="K132" s="240">
        <f>SUM('ACWP by JOB'!J37)+J132</f>
        <v>0</v>
      </c>
    </row>
    <row r="133" spans="2:11" s="1" customFormat="1" ht="12.75">
      <c r="B133" s="477"/>
      <c r="D133" s="11"/>
      <c r="E133" s="1" t="s">
        <v>237</v>
      </c>
      <c r="F133" s="338" t="e">
        <f aca="true" t="shared" si="43" ref="F133:K133">+F131/F132</f>
        <v>#DIV/0!</v>
      </c>
      <c r="G133" s="338" t="e">
        <f t="shared" si="43"/>
        <v>#DIV/0!</v>
      </c>
      <c r="H133" s="338" t="e">
        <f t="shared" si="43"/>
        <v>#DIV/0!</v>
      </c>
      <c r="I133" s="338" t="e">
        <f t="shared" si="43"/>
        <v>#DIV/0!</v>
      </c>
      <c r="J133" s="338" t="e">
        <f t="shared" si="43"/>
        <v>#DIV/0!</v>
      </c>
      <c r="K133" s="338" t="e">
        <f t="shared" si="43"/>
        <v>#DIV/0!</v>
      </c>
    </row>
    <row r="134" spans="2:11" s="1" customFormat="1" ht="12.75">
      <c r="B134" s="477"/>
      <c r="D134" s="11"/>
      <c r="E134" s="1" t="s">
        <v>236</v>
      </c>
      <c r="F134" s="338"/>
      <c r="G134" s="338" t="e">
        <f>+G131/G130</f>
        <v>#DIV/0!</v>
      </c>
      <c r="H134" s="338" t="e">
        <f>+H131/H130</f>
        <v>#DIV/0!</v>
      </c>
      <c r="I134" s="338" t="e">
        <f>+I131/I130</f>
        <v>#DIV/0!</v>
      </c>
      <c r="J134" s="338" t="e">
        <f>+J131/J130</f>
        <v>#DIV/0!</v>
      </c>
      <c r="K134" s="338" t="e">
        <f>+K131/K130</f>
        <v>#DIV/0!</v>
      </c>
    </row>
    <row r="135" spans="2:9" s="1" customFormat="1" ht="6.75" customHeight="1">
      <c r="B135" s="477"/>
      <c r="D135" s="11"/>
      <c r="F135" s="338"/>
      <c r="G135" s="338"/>
      <c r="H135" s="338"/>
      <c r="I135" s="338"/>
    </row>
    <row r="136" spans="2:49" s="1" customFormat="1" ht="12.75">
      <c r="B136" s="477"/>
      <c r="D136" s="11" t="s">
        <v>640</v>
      </c>
      <c r="E136" s="1" t="s">
        <v>233</v>
      </c>
      <c r="F136" s="14">
        <f>SUM('BCWS by JOB'!F38)</f>
        <v>0</v>
      </c>
      <c r="G136" s="14">
        <f>SUM('BCWS by JOB'!G38)+F136</f>
        <v>0</v>
      </c>
      <c r="H136" s="14">
        <f>SUM('BCWS by JOB'!H38)+G136</f>
        <v>0</v>
      </c>
      <c r="I136" s="14">
        <f>SUM('BCWS by JOB'!I38)+H136</f>
        <v>0</v>
      </c>
      <c r="J136" s="14">
        <f>SUM('BCWS by JOB'!J38)+I136</f>
        <v>0</v>
      </c>
      <c r="K136" s="14">
        <f>SUM('BCWS by JOB'!K38)+J136</f>
        <v>0</v>
      </c>
      <c r="L136" s="14">
        <f>SUM('BCWS by JOB'!L38)+K136</f>
        <v>29.6</v>
      </c>
      <c r="M136" s="14">
        <f>SUM('BCWS by JOB'!M38)+L136</f>
        <v>74.5</v>
      </c>
      <c r="N136" s="14">
        <f>SUM('BCWS by JOB'!N38)+M136</f>
        <v>145.7</v>
      </c>
      <c r="O136" s="14">
        <f>SUM('BCWS by JOB'!O38)+N136</f>
        <v>191.5</v>
      </c>
      <c r="P136" s="14">
        <f>SUM('BCWS by JOB'!P38)+O136</f>
        <v>259.3</v>
      </c>
      <c r="Q136" s="14">
        <f>SUM('BCWS by JOB'!Q38)+P136</f>
        <v>327</v>
      </c>
      <c r="R136" s="14">
        <f>SUM('BCWS by JOB'!R38)+Q136</f>
        <v>355.5</v>
      </c>
      <c r="S136" s="14">
        <f>SUM('BCWS by JOB'!S38)+R136</f>
        <v>519.3</v>
      </c>
      <c r="T136" s="14">
        <f>SUM('BCWS by JOB'!T38)+S136</f>
        <v>733</v>
      </c>
      <c r="U136" s="14">
        <f>SUM('BCWS by JOB'!U38)+T136</f>
        <v>958.1</v>
      </c>
      <c r="V136" s="14">
        <f>SUM('BCWS by JOB'!V38)+U136</f>
        <v>1172.8</v>
      </c>
      <c r="W136" s="14">
        <f>SUM('BCWS by JOB'!W38)+V136</f>
        <v>1341.2</v>
      </c>
      <c r="X136" s="14">
        <f>SUM('BCWS by JOB'!X38)+W136</f>
        <v>1431.2</v>
      </c>
      <c r="Y136" s="14">
        <f>SUM('BCWS by JOB'!Y38)+X136</f>
        <v>1488.8</v>
      </c>
      <c r="Z136" s="14">
        <f>SUM('BCWS by JOB'!Z38)+Y136</f>
        <v>1584.2</v>
      </c>
      <c r="AA136" s="14">
        <f>SUM('BCWS by JOB'!AA38)+Z136</f>
        <v>1671.5</v>
      </c>
      <c r="AB136" s="14">
        <f>SUM('BCWS by JOB'!AB38)+AA136</f>
        <v>1713.2</v>
      </c>
      <c r="AC136" s="14">
        <f>SUM('BCWS by JOB'!AC38)+AB136</f>
        <v>1736.8</v>
      </c>
      <c r="AD136" s="14">
        <f>SUM('BCWS by JOB'!AD38)+AC136</f>
        <v>1738.3</v>
      </c>
      <c r="AE136" s="14">
        <f>SUM('BCWS by JOB'!AE38)+AD136</f>
        <v>1803</v>
      </c>
      <c r="AF136" s="14">
        <f>SUM('BCWS by JOB'!AF38)+AE136</f>
        <v>1867.7</v>
      </c>
      <c r="AG136" s="14">
        <f>SUM('BCWS by JOB'!AG38)+AF136</f>
        <v>1867.7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2:11" s="1" customFormat="1" ht="12.75">
      <c r="B137" s="477"/>
      <c r="D137" s="11">
        <v>1354</v>
      </c>
      <c r="E137" s="1" t="s">
        <v>234</v>
      </c>
      <c r="F137" s="1">
        <f>SUM('BCWP by JOB'!D38)</f>
        <v>0</v>
      </c>
      <c r="G137" s="1">
        <f>SUM('BCWP by JOB'!E38)+F137</f>
        <v>0</v>
      </c>
      <c r="H137" s="1">
        <f>SUM('BCWP by JOB'!F38)+G137</f>
        <v>0</v>
      </c>
      <c r="I137" s="1">
        <f>SUM('BCWP by JOB'!G38)+H137</f>
        <v>0</v>
      </c>
      <c r="J137" s="1">
        <f>SUM('BCWP by JOB'!H38)+I137</f>
        <v>0</v>
      </c>
      <c r="K137" s="1">
        <f>SUM('BCWP by JOB'!I38)+J137</f>
        <v>0</v>
      </c>
    </row>
    <row r="138" spans="2:11" s="1" customFormat="1" ht="12.75">
      <c r="B138" s="477"/>
      <c r="D138" s="11"/>
      <c r="E138" s="1" t="s">
        <v>235</v>
      </c>
      <c r="F138" s="240">
        <f>SUM('ACWP by JOB'!E38)</f>
        <v>0</v>
      </c>
      <c r="G138" s="240">
        <f>SUM('ACWP by JOB'!F38)+F138</f>
        <v>0</v>
      </c>
      <c r="H138" s="240">
        <f>SUM('ACWP by JOB'!G38)+G138</f>
        <v>0</v>
      </c>
      <c r="I138" s="240">
        <f>SUM('ACWP by JOB'!H38)+H138</f>
        <v>0</v>
      </c>
      <c r="J138" s="240">
        <f>SUM('ACWP by JOB'!I38)+I138</f>
        <v>0</v>
      </c>
      <c r="K138" s="240">
        <f>SUM('ACWP by JOB'!J38)+J138</f>
        <v>9.652</v>
      </c>
    </row>
    <row r="139" spans="2:11" s="1" customFormat="1" ht="12.75">
      <c r="B139" s="477"/>
      <c r="D139" s="11"/>
      <c r="E139" s="1" t="s">
        <v>237</v>
      </c>
      <c r="F139" s="338" t="e">
        <f aca="true" t="shared" si="44" ref="F139:K139">+F137/F138</f>
        <v>#DIV/0!</v>
      </c>
      <c r="G139" s="338" t="e">
        <f t="shared" si="44"/>
        <v>#DIV/0!</v>
      </c>
      <c r="H139" s="338" t="e">
        <f t="shared" si="44"/>
        <v>#DIV/0!</v>
      </c>
      <c r="I139" s="338" t="e">
        <f t="shared" si="44"/>
        <v>#DIV/0!</v>
      </c>
      <c r="J139" s="338" t="e">
        <f t="shared" si="44"/>
        <v>#DIV/0!</v>
      </c>
      <c r="K139" s="338">
        <f t="shared" si="44"/>
        <v>0</v>
      </c>
    </row>
    <row r="140" spans="2:11" s="1" customFormat="1" ht="12.75">
      <c r="B140" s="477"/>
      <c r="D140" s="11"/>
      <c r="E140" s="1" t="s">
        <v>236</v>
      </c>
      <c r="F140" s="338"/>
      <c r="G140" s="338" t="e">
        <f>+G137/G136</f>
        <v>#DIV/0!</v>
      </c>
      <c r="H140" s="338" t="e">
        <f>+H137/H136</f>
        <v>#DIV/0!</v>
      </c>
      <c r="I140" s="338" t="e">
        <f>+I137/I136</f>
        <v>#DIV/0!</v>
      </c>
      <c r="J140" s="338" t="e">
        <f>+J137/J136</f>
        <v>#DIV/0!</v>
      </c>
      <c r="K140" s="338" t="e">
        <f>+K137/K136</f>
        <v>#DIV/0!</v>
      </c>
    </row>
    <row r="141" spans="2:9" s="1" customFormat="1" ht="7.5" customHeight="1">
      <c r="B141" s="477"/>
      <c r="D141" s="11"/>
      <c r="F141" s="338"/>
      <c r="G141" s="338"/>
      <c r="H141" s="338"/>
      <c r="I141" s="338" t="s">
        <v>232</v>
      </c>
    </row>
    <row r="142" spans="2:46" s="1" customFormat="1" ht="12.75">
      <c r="B142" s="477"/>
      <c r="D142" s="11" t="s">
        <v>641</v>
      </c>
      <c r="E142" s="1" t="s">
        <v>233</v>
      </c>
      <c r="F142" s="14">
        <f>SUM('BCWS by JOB'!F39)</f>
        <v>0</v>
      </c>
      <c r="G142" s="14">
        <f>SUM('BCWS by JOB'!G39)+F142</f>
        <v>0</v>
      </c>
      <c r="H142" s="14">
        <f>SUM('BCWS by JOB'!H39)+G142</f>
        <v>0</v>
      </c>
      <c r="I142" s="14">
        <f>SUM('BCWS by JOB'!I39)+H142</f>
        <v>0</v>
      </c>
      <c r="J142" s="14">
        <f>SUM('BCWS by JOB'!J39)+I142</f>
        <v>0</v>
      </c>
      <c r="K142" s="14">
        <f>SUM('BCWS by JOB'!K39)+J142</f>
        <v>0</v>
      </c>
      <c r="L142" s="14">
        <f>SUM('BCWS by JOB'!L39)+K142</f>
        <v>0</v>
      </c>
      <c r="M142" s="14">
        <f>SUM('BCWS by JOB'!M39)+L142</f>
        <v>0</v>
      </c>
      <c r="N142" s="14">
        <f>SUM('BCWS by JOB'!N39)+M142</f>
        <v>0</v>
      </c>
      <c r="O142" s="14">
        <f>SUM('BCWS by JOB'!O39)+N142</f>
        <v>4</v>
      </c>
      <c r="P142" s="14">
        <f>SUM('BCWS by JOB'!P39)+O142</f>
        <v>8</v>
      </c>
      <c r="Q142" s="14">
        <f>SUM('BCWS by JOB'!Q39)+P142</f>
        <v>12</v>
      </c>
      <c r="R142" s="14">
        <f>SUM('BCWS by JOB'!R39)+Q142</f>
        <v>17</v>
      </c>
      <c r="S142" s="14">
        <f>SUM('BCWS by JOB'!S39)+R142</f>
        <v>20</v>
      </c>
      <c r="T142" s="14">
        <f>SUM('BCWS by JOB'!T39)+S142</f>
        <v>27</v>
      </c>
      <c r="U142" s="14">
        <f>SUM('BCWS by JOB'!U39)+T142</f>
        <v>31</v>
      </c>
      <c r="V142" s="14">
        <f>SUM('BCWS by JOB'!V39)+U142</f>
        <v>31</v>
      </c>
      <c r="W142" s="14">
        <f>SUM('BCWS by JOB'!W39)+V142</f>
        <v>46</v>
      </c>
      <c r="X142" s="14">
        <f>SUM('BCWS by JOB'!X39)+W142</f>
        <v>58</v>
      </c>
      <c r="Y142" s="14">
        <f>SUM('BCWS by JOB'!Y39)+X142</f>
        <v>61</v>
      </c>
      <c r="Z142" s="14">
        <f>SUM('BCWS by JOB'!Z39)+Y142</f>
        <v>67</v>
      </c>
      <c r="AA142" s="14">
        <f>SUM('BCWS by JOB'!AA39)+Z142</f>
        <v>71</v>
      </c>
      <c r="AB142" s="14">
        <f>SUM('BCWS by JOB'!AB39)+AA142</f>
        <v>71</v>
      </c>
      <c r="AC142" s="14">
        <f>SUM('BCWS by JOB'!AC39)+AB142</f>
        <v>71</v>
      </c>
      <c r="AD142" s="14">
        <f>SUM('BCWS by JOB'!AD39)+AC142</f>
        <v>71</v>
      </c>
      <c r="AE142" s="14">
        <f>SUM('BCWS by JOB'!AE39)+AD142</f>
        <v>71</v>
      </c>
      <c r="AF142" s="14">
        <f>SUM('BCWS by JOB'!AF39)+AE142</f>
        <v>71</v>
      </c>
      <c r="AG142" s="14">
        <f>SUM('BCWS by JOB'!AG39)+AF142</f>
        <v>71</v>
      </c>
      <c r="AH142" s="14">
        <f>SUM('BCWS by JOB'!AH39)+AG142</f>
        <v>71</v>
      </c>
      <c r="AI142" s="14">
        <f>SUM('BCWS by JOB'!AI39)+AH142</f>
        <v>71</v>
      </c>
      <c r="AJ142" s="14">
        <f>SUM('BCWS by JOB'!AJ39)+AI142</f>
        <v>71</v>
      </c>
      <c r="AK142" s="14">
        <f>SUM('BCWS by JOB'!AK39)+AJ142</f>
        <v>71</v>
      </c>
      <c r="AL142" s="14">
        <f>SUM('BCWS by JOB'!AL39)+AK142</f>
        <v>71</v>
      </c>
      <c r="AM142" s="14">
        <f>SUM('BCWS by JOB'!AM39)+AL142</f>
        <v>71</v>
      </c>
      <c r="AN142" s="14">
        <f>SUM('BCWS by JOB'!AN39)+AM142</f>
        <v>73</v>
      </c>
      <c r="AO142" s="14"/>
      <c r="AP142" s="14"/>
      <c r="AQ142" s="14"/>
      <c r="AR142" s="14"/>
      <c r="AS142" s="14"/>
      <c r="AT142" s="14"/>
    </row>
    <row r="143" spans="2:11" s="1" customFormat="1" ht="12.75">
      <c r="B143" s="477"/>
      <c r="D143" s="11">
        <v>1355</v>
      </c>
      <c r="E143" s="1" t="s">
        <v>234</v>
      </c>
      <c r="F143" s="1">
        <f>SUM('BCWP by JOB'!D39)</f>
        <v>0</v>
      </c>
      <c r="G143" s="1">
        <f>SUM('BCWP by JOB'!E39)+F143</f>
        <v>0</v>
      </c>
      <c r="H143" s="1">
        <f>SUM('BCWP by JOB'!F39)+G143</f>
        <v>0</v>
      </c>
      <c r="I143" s="1">
        <f>SUM('BCWP by JOB'!G39)+H143</f>
        <v>0</v>
      </c>
      <c r="J143" s="1">
        <f>SUM('BCWP by JOB'!H39)+I143</f>
        <v>0</v>
      </c>
      <c r="K143" s="1">
        <f>SUM('BCWP by JOB'!I39)+J143</f>
        <v>0</v>
      </c>
    </row>
    <row r="144" spans="2:11" s="1" customFormat="1" ht="12.75">
      <c r="B144" s="477"/>
      <c r="D144" s="11"/>
      <c r="E144" s="1" t="s">
        <v>235</v>
      </c>
      <c r="F144" s="240">
        <f>SUM('ACWP by JOB'!E39)</f>
        <v>0</v>
      </c>
      <c r="G144" s="240">
        <f>SUM('ACWP by JOB'!F39)+F144</f>
        <v>0</v>
      </c>
      <c r="H144" s="240">
        <f>SUM('ACWP by JOB'!G39)+G144</f>
        <v>0</v>
      </c>
      <c r="I144" s="240">
        <f>SUM('ACWP by JOB'!H39)+H144</f>
        <v>0</v>
      </c>
      <c r="J144" s="240">
        <f>SUM('ACWP by JOB'!I39)+I144</f>
        <v>0</v>
      </c>
      <c r="K144" s="240">
        <f>SUM('ACWP by JOB'!J39)+J144</f>
        <v>0</v>
      </c>
    </row>
    <row r="145" spans="2:11" s="1" customFormat="1" ht="12.75">
      <c r="B145" s="477"/>
      <c r="D145" s="11"/>
      <c r="E145" s="1" t="s">
        <v>237</v>
      </c>
      <c r="F145" s="338" t="e">
        <f aca="true" t="shared" si="45" ref="F145:K145">+F143/F144</f>
        <v>#DIV/0!</v>
      </c>
      <c r="G145" s="338" t="e">
        <f t="shared" si="45"/>
        <v>#DIV/0!</v>
      </c>
      <c r="H145" s="338" t="e">
        <f t="shared" si="45"/>
        <v>#DIV/0!</v>
      </c>
      <c r="I145" s="338" t="e">
        <f t="shared" si="45"/>
        <v>#DIV/0!</v>
      </c>
      <c r="J145" s="338" t="e">
        <f t="shared" si="45"/>
        <v>#DIV/0!</v>
      </c>
      <c r="K145" s="338" t="e">
        <f t="shared" si="45"/>
        <v>#DIV/0!</v>
      </c>
    </row>
    <row r="146" spans="2:11" s="1" customFormat="1" ht="12.75">
      <c r="B146" s="477"/>
      <c r="D146" s="11"/>
      <c r="E146" s="1" t="s">
        <v>236</v>
      </c>
      <c r="F146" s="338"/>
      <c r="G146" s="338" t="e">
        <f>+G143/G142</f>
        <v>#DIV/0!</v>
      </c>
      <c r="H146" s="338" t="e">
        <f>+H143/H142</f>
        <v>#DIV/0!</v>
      </c>
      <c r="I146" s="338" t="e">
        <f>+I143/I142</f>
        <v>#DIV/0!</v>
      </c>
      <c r="J146" s="338" t="e">
        <f>+J143/J142</f>
        <v>#DIV/0!</v>
      </c>
      <c r="K146" s="338" t="e">
        <f>+K143/K142</f>
        <v>#DIV/0!</v>
      </c>
    </row>
    <row r="148" spans="2:55" s="1" customFormat="1" ht="12.75">
      <c r="B148" s="477"/>
      <c r="D148" s="11" t="s">
        <v>648</v>
      </c>
      <c r="E148" s="1" t="s">
        <v>233</v>
      </c>
      <c r="F148" s="14">
        <f>SUM('BCWS by JOB'!F49,'BCWS by JOB'!F51)</f>
        <v>0</v>
      </c>
      <c r="G148" s="14">
        <f>SUM('BCWS by JOB'!G49,'BCWS by JOB'!G51)+F148</f>
        <v>0</v>
      </c>
      <c r="H148" s="14">
        <f>SUM('BCWS by JOB'!H49,'BCWS by JOB'!H51)+G148</f>
        <v>0</v>
      </c>
      <c r="I148" s="14">
        <f>SUM('BCWS by JOB'!I49,'BCWS by JOB'!I51)+H148</f>
        <v>0</v>
      </c>
      <c r="J148" s="14">
        <f>SUM('BCWS by JOB'!J49,'BCWS by JOB'!J51)+I148</f>
        <v>0</v>
      </c>
      <c r="K148" s="14">
        <f>SUM('BCWS by JOB'!K49,'BCWS by JOB'!K51)+J148</f>
        <v>0</v>
      </c>
      <c r="L148" s="14">
        <f>SUM('BCWS by JOB'!L49,'BCWS by JOB'!L51)+K148</f>
        <v>0</v>
      </c>
      <c r="M148" s="14">
        <f>SUM('BCWS by JOB'!M49,'BCWS by JOB'!M51)+L148</f>
        <v>0</v>
      </c>
      <c r="N148" s="14">
        <f>SUM('BCWS by JOB'!N49,'BCWS by JOB'!N51)+M148</f>
        <v>0</v>
      </c>
      <c r="O148" s="14">
        <f>SUM('BCWS by JOB'!O49,'BCWS by JOB'!O51)+N148</f>
        <v>0</v>
      </c>
      <c r="P148" s="14">
        <f>SUM('BCWS by JOB'!P49,'BCWS by JOB'!P51)+O148</f>
        <v>0</v>
      </c>
      <c r="Q148" s="14">
        <f>SUM('BCWS by JOB'!Q49,'BCWS by JOB'!Q51)+P148</f>
        <v>0</v>
      </c>
      <c r="R148" s="14">
        <f>SUM('BCWS by JOB'!R49,'BCWS by JOB'!R51)+Q148</f>
        <v>0</v>
      </c>
      <c r="S148" s="14">
        <f>SUM('BCWS by JOB'!S49,'BCWS by JOB'!S51)+R148</f>
        <v>0</v>
      </c>
      <c r="T148" s="14">
        <f>SUM('BCWS by JOB'!T49,'BCWS by JOB'!T51)+S148</f>
        <v>0</v>
      </c>
      <c r="U148" s="14">
        <f>SUM('BCWS by JOB'!U49,'BCWS by JOB'!U51)+T148</f>
        <v>0</v>
      </c>
      <c r="V148" s="14">
        <f>SUM('BCWS by JOB'!V49,'BCWS by JOB'!V51)+U148</f>
        <v>0</v>
      </c>
      <c r="W148" s="14">
        <f>SUM('BCWS by JOB'!W49,'BCWS by JOB'!W51)+V148</f>
        <v>6</v>
      </c>
      <c r="X148" s="14">
        <f>SUM('BCWS by JOB'!X49,'BCWS by JOB'!X51)+W148</f>
        <v>10</v>
      </c>
      <c r="Y148" s="14">
        <f>SUM('BCWS by JOB'!Y49,'BCWS by JOB'!Y51)+X148</f>
        <v>14</v>
      </c>
      <c r="Z148" s="14">
        <f>SUM('BCWS by JOB'!Z49,'BCWS by JOB'!Z51)+Y148</f>
        <v>24</v>
      </c>
      <c r="AA148" s="14">
        <f>SUM('BCWS by JOB'!AA49,'BCWS by JOB'!AA51)+Z148</f>
        <v>46</v>
      </c>
      <c r="AB148" s="14">
        <f>SUM('BCWS by JOB'!AB49,'BCWS by JOB'!AB51)+AA148</f>
        <v>89</v>
      </c>
      <c r="AC148" s="14">
        <f>SUM('BCWS by JOB'!AC49,'BCWS by JOB'!AC51)+AB148</f>
        <v>133</v>
      </c>
      <c r="AD148" s="14">
        <f>SUM('BCWS by JOB'!AD49,'BCWS by JOB'!AD51)+AC148</f>
        <v>154</v>
      </c>
      <c r="AE148" s="14">
        <f>SUM('BCWS by JOB'!AE49,'BCWS by JOB'!AE51)+AD148</f>
        <v>177</v>
      </c>
      <c r="AF148" s="14">
        <f>SUM('BCWS by JOB'!AF49,'BCWS by JOB'!AF51)+AE148</f>
        <v>200</v>
      </c>
      <c r="AG148" s="14">
        <f>SUM('BCWS by JOB'!AG49,'BCWS by JOB'!AG51)+AF148</f>
        <v>207</v>
      </c>
      <c r="AH148" s="14">
        <f>SUM('BCWS by JOB'!AH49,'BCWS by JOB'!AH51)+AG148</f>
        <v>207</v>
      </c>
      <c r="AI148" s="14">
        <f>SUM('BCWS by JOB'!AI49,'BCWS by JOB'!AI51)+AH148</f>
        <v>281</v>
      </c>
      <c r="AJ148" s="14">
        <f>SUM('BCWS by JOB'!AJ49,'BCWS by JOB'!AJ51)+AI148</f>
        <v>345</v>
      </c>
      <c r="AK148" s="14">
        <f>SUM('BCWS by JOB'!AK49,'BCWS by JOB'!AK51)+AJ148</f>
        <v>399</v>
      </c>
      <c r="AL148" s="14">
        <f>SUM('BCWS by JOB'!AL49,'BCWS by JOB'!AL51)+AK148</f>
        <v>451</v>
      </c>
      <c r="AM148" s="14">
        <f>SUM('BCWS by JOB'!AM49,'BCWS by JOB'!AM51)+AL148</f>
        <v>487</v>
      </c>
      <c r="AN148" s="14">
        <f>SUM('BCWS by JOB'!AN49,'BCWS by JOB'!AN51)+AM148</f>
        <v>518</v>
      </c>
      <c r="AO148" s="14">
        <f>SUM('BCWS by JOB'!AO49,'BCWS by JOB'!AO51)+AN148</f>
        <v>532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2:11" s="1" customFormat="1" ht="12.75">
      <c r="B149" s="477"/>
      <c r="D149" s="11" t="s">
        <v>649</v>
      </c>
      <c r="E149" s="1" t="s">
        <v>234</v>
      </c>
      <c r="F149" s="1">
        <f>SUM('BCWP by JOB'!D49,'BCWP by JOB'!D51)</f>
        <v>0</v>
      </c>
      <c r="G149" s="1">
        <f>SUM('BCWP by JOB'!E49,'BCWP by JOB'!E51)+F149</f>
        <v>0</v>
      </c>
      <c r="H149" s="1">
        <f>SUM('BCWP by JOB'!F49,'BCWP by JOB'!F51)+G149</f>
        <v>0</v>
      </c>
      <c r="I149" s="1">
        <f>SUM('BCWP by JOB'!G49,'BCWP by JOB'!G51)+H149</f>
        <v>0</v>
      </c>
      <c r="J149" s="1">
        <f>SUM('BCWP by JOB'!H49,'BCWP by JOB'!H51)+I149</f>
        <v>0</v>
      </c>
      <c r="K149" s="1">
        <f>SUM('BCWP by JOB'!I49,'BCWP by JOB'!I51)+J149</f>
        <v>0</v>
      </c>
    </row>
    <row r="150" spans="2:11" s="1" customFormat="1" ht="12.75">
      <c r="B150" s="477"/>
      <c r="D150" s="11"/>
      <c r="E150" s="1" t="s">
        <v>235</v>
      </c>
      <c r="F150" s="240">
        <f>SUM('ACWP by JOB'!E49,'ACWP by JOB'!E51)</f>
        <v>-0.23265</v>
      </c>
      <c r="G150" s="240">
        <f>SUM('ACWP by JOB'!F49,'ACWP by JOB'!F51)+F150</f>
        <v>2.84865</v>
      </c>
      <c r="H150" s="240">
        <f>SUM('ACWP by JOB'!G49,'ACWP by JOB'!G51)+G150</f>
        <v>4.302221401457453</v>
      </c>
      <c r="I150" s="240">
        <f>SUM('ACWP by JOB'!H49,'ACWP by JOB'!H51)+H150</f>
        <v>4.302221401457453</v>
      </c>
      <c r="J150" s="240">
        <f>SUM('ACWP by JOB'!I49,'ACWP by JOB'!I51)+I150</f>
        <v>5.233221401457453</v>
      </c>
      <c r="K150" s="240">
        <f>SUM('ACWP by JOB'!J49,'ACWP by JOB'!J51)+J150</f>
        <v>5.233221401457453</v>
      </c>
    </row>
    <row r="151" spans="2:11" s="1" customFormat="1" ht="12.75">
      <c r="B151" s="477"/>
      <c r="D151" s="11"/>
      <c r="E151" s="1" t="s">
        <v>237</v>
      </c>
      <c r="F151" s="338">
        <f aca="true" t="shared" si="46" ref="F151:K151">+F149/F150</f>
        <v>0</v>
      </c>
      <c r="G151" s="338">
        <f t="shared" si="46"/>
        <v>0</v>
      </c>
      <c r="H151" s="338">
        <f t="shared" si="46"/>
        <v>0</v>
      </c>
      <c r="I151" s="338">
        <f t="shared" si="46"/>
        <v>0</v>
      </c>
      <c r="J151" s="338">
        <f t="shared" si="46"/>
        <v>0</v>
      </c>
      <c r="K151" s="338">
        <f t="shared" si="46"/>
        <v>0</v>
      </c>
    </row>
    <row r="152" spans="2:11" s="1" customFormat="1" ht="12.75">
      <c r="B152" s="477"/>
      <c r="D152" s="11"/>
      <c r="E152" s="1" t="s">
        <v>236</v>
      </c>
      <c r="F152" s="338" t="e">
        <f aca="true" t="shared" si="47" ref="F152:K152">+F149/F148</f>
        <v>#DIV/0!</v>
      </c>
      <c r="G152" s="338" t="e">
        <f t="shared" si="47"/>
        <v>#DIV/0!</v>
      </c>
      <c r="H152" s="338" t="e">
        <f t="shared" si="47"/>
        <v>#DIV/0!</v>
      </c>
      <c r="I152" s="338" t="e">
        <f t="shared" si="47"/>
        <v>#DIV/0!</v>
      </c>
      <c r="J152" s="338" t="e">
        <f t="shared" si="47"/>
        <v>#DIV/0!</v>
      </c>
      <c r="K152" s="338" t="e">
        <f t="shared" si="47"/>
        <v>#DIV/0!</v>
      </c>
    </row>
    <row r="153" spans="2:9" s="1" customFormat="1" ht="6.75" customHeight="1">
      <c r="B153" s="477"/>
      <c r="D153" s="11"/>
      <c r="F153" s="338"/>
      <c r="G153" s="338"/>
      <c r="H153" s="338"/>
      <c r="I153" s="338"/>
    </row>
    <row r="154" spans="2:78" s="1" customFormat="1" ht="12.75">
      <c r="B154" s="477"/>
      <c r="D154" s="11" t="s">
        <v>650</v>
      </c>
      <c r="E154" s="1" t="s">
        <v>233</v>
      </c>
      <c r="F154" s="14">
        <f>SUM('BCWS by JOB'!F50,'BCWS by JOB'!F52)</f>
        <v>0</v>
      </c>
      <c r="G154" s="14">
        <f>SUM('BCWS by JOB'!G50,'BCWS by JOB'!G52)+F154</f>
        <v>0</v>
      </c>
      <c r="H154" s="14">
        <f>SUM('BCWS by JOB'!H50,'BCWS by JOB'!H52)+G154</f>
        <v>0</v>
      </c>
      <c r="I154" s="14">
        <f>SUM('BCWS by JOB'!I50,'BCWS by JOB'!I52)+H154</f>
        <v>0</v>
      </c>
      <c r="J154" s="14">
        <f>SUM('BCWS by JOB'!J50,'BCWS by JOB'!J52)+I154</f>
        <v>0</v>
      </c>
      <c r="K154" s="14">
        <f>SUM('BCWS by JOB'!K50,'BCWS by JOB'!K52)+J154</f>
        <v>43</v>
      </c>
      <c r="L154" s="14">
        <f>SUM('BCWS by JOB'!L50,'BCWS by JOB'!L52)+K154</f>
        <v>79</v>
      </c>
      <c r="M154" s="14">
        <f>SUM('BCWS by JOB'!M50,'BCWS by JOB'!M52)+L154</f>
        <v>107</v>
      </c>
      <c r="N154" s="14">
        <f>SUM('BCWS by JOB'!N50,'BCWS by JOB'!N52)+M154</f>
        <v>148</v>
      </c>
      <c r="O154" s="14">
        <f>SUM('BCWS by JOB'!O50,'BCWS by JOB'!O52)+N154</f>
        <v>163</v>
      </c>
      <c r="P154" s="14">
        <f>SUM('BCWS by JOB'!P50,'BCWS by JOB'!P52)+O154</f>
        <v>165</v>
      </c>
      <c r="Q154" s="14">
        <f>SUM('BCWS by JOB'!Q50,'BCWS by JOB'!Q52)+P154</f>
        <v>166</v>
      </c>
      <c r="R154" s="14">
        <f>SUM('BCWS by JOB'!R50,'BCWS by JOB'!R52)+Q154</f>
        <v>167</v>
      </c>
      <c r="S154" s="14">
        <f>SUM('BCWS by JOB'!S50,'BCWS by JOB'!S52)+R154</f>
        <v>173</v>
      </c>
      <c r="T154" s="14">
        <f>SUM('BCWS by JOB'!T50,'BCWS by JOB'!T52)+S154</f>
        <v>191</v>
      </c>
      <c r="U154" s="14">
        <f>SUM('BCWS by JOB'!U50,'BCWS by JOB'!U52)+T154</f>
        <v>208</v>
      </c>
      <c r="V154" s="14">
        <f>SUM('BCWS by JOB'!V50,'BCWS by JOB'!V52)+U154</f>
        <v>226</v>
      </c>
      <c r="W154" s="14">
        <f>SUM('BCWS by JOB'!W50,'BCWS by JOB'!W52)+V154</f>
        <v>246</v>
      </c>
      <c r="X154" s="14">
        <f>SUM('BCWS by JOB'!X50,'BCWS by JOB'!X52)+W154</f>
        <v>252</v>
      </c>
      <c r="Y154" s="14">
        <f>SUM('BCWS by JOB'!Y50,'BCWS by JOB'!Y52)+X154</f>
        <v>253</v>
      </c>
      <c r="Z154" s="14">
        <f>SUM('BCWS by JOB'!Z50,'BCWS by JOB'!Z52)+Y154</f>
        <v>254</v>
      </c>
      <c r="AA154" s="14">
        <f>SUM('BCWS by JOB'!AA50,'BCWS by JOB'!AA52)+Z154</f>
        <v>255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12" s="1" customFormat="1" ht="12.75">
      <c r="B155" s="477"/>
      <c r="D155" s="11" t="s">
        <v>651</v>
      </c>
      <c r="E155" s="1" t="s">
        <v>234</v>
      </c>
      <c r="F155" s="1">
        <f>SUM('BCWP by JOB'!D50,'BCWP by JOB'!D52)</f>
        <v>0</v>
      </c>
      <c r="G155" s="1">
        <f>SUM('BCWP by JOB'!E50,'BCWP by JOB'!E52)+F155</f>
        <v>0</v>
      </c>
      <c r="H155" s="1">
        <f>SUM('BCWP by JOB'!F50,'BCWP by JOB'!F52)+G155</f>
        <v>0</v>
      </c>
      <c r="I155" s="1">
        <f>SUM('BCWP by JOB'!G50,'BCWP by JOB'!G52)+H155</f>
        <v>0</v>
      </c>
      <c r="J155" s="1">
        <f>SUM('BCWP by JOB'!H50,'BCWP by JOB'!H52)+I155</f>
        <v>10.83</v>
      </c>
      <c r="K155" s="1">
        <f>SUM('BCWP by JOB'!I50,'BCWP by JOB'!I52)+J155</f>
        <v>11.09</v>
      </c>
      <c r="L155" s="1">
        <f>SUM('BCWP by JOB'!J50,'BCWP by JOB'!J52)+K155</f>
        <v>11.0678955</v>
      </c>
    </row>
    <row r="156" spans="2:12" s="1" customFormat="1" ht="12.75">
      <c r="B156" s="477"/>
      <c r="D156" s="11"/>
      <c r="E156" s="1" t="s">
        <v>235</v>
      </c>
      <c r="F156" s="240">
        <f>SUM('ACWP by JOB'!E50,'ACWP by JOB'!E52)</f>
        <v>0</v>
      </c>
      <c r="G156" s="240">
        <f>SUM('ACWP by JOB'!F50,'ACWP by JOB'!F52)+F156</f>
        <v>0</v>
      </c>
      <c r="H156" s="240">
        <f>SUM('ACWP by JOB'!G50,'ACWP by JOB'!G52)+G156</f>
        <v>0</v>
      </c>
      <c r="I156" s="240">
        <f>SUM('ACWP by JOB'!H50,'ACWP by JOB'!H52)+H156</f>
        <v>0</v>
      </c>
      <c r="J156" s="240">
        <f>SUM('ACWP by JOB'!I50,'ACWP by JOB'!I52)+I156</f>
        <v>0</v>
      </c>
      <c r="K156" s="240">
        <f>SUM('ACWP by JOB'!J50,'ACWP by JOB'!J52)+J156</f>
        <v>32.6</v>
      </c>
      <c r="L156" s="240">
        <f>SUM('ACWP by JOB'!K50,'ACWP by JOB'!K52)+K156</f>
        <v>31.743000000000002</v>
      </c>
    </row>
    <row r="157" spans="2:12" s="1" customFormat="1" ht="12.75">
      <c r="B157" s="477"/>
      <c r="D157" s="11"/>
      <c r="E157" s="1" t="s">
        <v>237</v>
      </c>
      <c r="F157" s="338" t="e">
        <f aca="true" t="shared" si="48" ref="F157:L157">+F155/F156</f>
        <v>#DIV/0!</v>
      </c>
      <c r="G157" s="338" t="e">
        <f t="shared" si="48"/>
        <v>#DIV/0!</v>
      </c>
      <c r="H157" s="338" t="e">
        <f t="shared" si="48"/>
        <v>#DIV/0!</v>
      </c>
      <c r="I157" s="338" t="e">
        <f t="shared" si="48"/>
        <v>#DIV/0!</v>
      </c>
      <c r="J157" s="338" t="e">
        <f t="shared" si="48"/>
        <v>#DIV/0!</v>
      </c>
      <c r="K157" s="338">
        <f t="shared" si="48"/>
        <v>0.3401840490797546</v>
      </c>
      <c r="L157" s="338">
        <f t="shared" si="48"/>
        <v>0.3486720064266137</v>
      </c>
    </row>
    <row r="158" spans="2:12" s="1" customFormat="1" ht="12.75">
      <c r="B158" s="477"/>
      <c r="D158" s="11"/>
      <c r="E158" s="1" t="s">
        <v>236</v>
      </c>
      <c r="F158" s="338" t="e">
        <f aca="true" t="shared" si="49" ref="F158:L158">+F155/F154</f>
        <v>#DIV/0!</v>
      </c>
      <c r="G158" s="338" t="e">
        <f t="shared" si="49"/>
        <v>#DIV/0!</v>
      </c>
      <c r="H158" s="338" t="e">
        <f t="shared" si="49"/>
        <v>#DIV/0!</v>
      </c>
      <c r="I158" s="338" t="e">
        <f t="shared" si="49"/>
        <v>#DIV/0!</v>
      </c>
      <c r="J158" s="338" t="e">
        <f t="shared" si="49"/>
        <v>#DIV/0!</v>
      </c>
      <c r="K158" s="338">
        <f t="shared" si="49"/>
        <v>0.25790697674418606</v>
      </c>
      <c r="L158" s="338">
        <f t="shared" si="49"/>
        <v>0.14009994303797468</v>
      </c>
    </row>
    <row r="159" spans="2:31" s="1" customFormat="1" ht="5.25" customHeight="1">
      <c r="B159" s="477"/>
      <c r="D159" s="11"/>
      <c r="F159" s="338"/>
      <c r="G159" s="338"/>
      <c r="H159" s="338"/>
      <c r="I159" s="338"/>
      <c r="AE159" s="1" t="s">
        <v>232</v>
      </c>
    </row>
    <row r="160" spans="2:41" s="1" customFormat="1" ht="12.75">
      <c r="B160" s="477"/>
      <c r="D160" s="11" t="s">
        <v>652</v>
      </c>
      <c r="E160" s="1" t="s">
        <v>233</v>
      </c>
      <c r="F160" s="14">
        <f>SUM('BCWS by JOB'!F53)</f>
        <v>9</v>
      </c>
      <c r="G160" s="14">
        <f>SUM('BCWS by JOB'!G53)+F160</f>
        <v>24</v>
      </c>
      <c r="H160" s="14">
        <f>SUM('BCWS by JOB'!H53)+G160</f>
        <v>41</v>
      </c>
      <c r="I160" s="14">
        <f>SUM('BCWS by JOB'!I53)+H160</f>
        <v>67</v>
      </c>
      <c r="J160" s="14">
        <f>SUM('BCWS by JOB'!J53)+I160</f>
        <v>92</v>
      </c>
      <c r="K160" s="14">
        <f>SUM('BCWS by JOB'!K53)+J160</f>
        <v>120</v>
      </c>
      <c r="L160" s="14">
        <f>SUM('BCWS by JOB'!L53)+K160</f>
        <v>139</v>
      </c>
      <c r="M160" s="14">
        <f>SUM('BCWS by JOB'!M53)+L160</f>
        <v>164</v>
      </c>
      <c r="N160" s="14">
        <f>SUM('BCWS by JOB'!N53)+M160</f>
        <v>201</v>
      </c>
      <c r="O160" s="14">
        <f>SUM('BCWS by JOB'!O53)+N160</f>
        <v>236</v>
      </c>
      <c r="P160" s="14">
        <f>SUM('BCWS by JOB'!P53)+O160</f>
        <v>271</v>
      </c>
      <c r="Q160" s="14">
        <f>SUM('BCWS by JOB'!Q53)+P160</f>
        <v>307</v>
      </c>
      <c r="R160" s="14">
        <f>SUM('BCWS by JOB'!R53)+Q160</f>
        <v>339</v>
      </c>
      <c r="S160" s="14">
        <f>SUM('BCWS by JOB'!S53)+R160</f>
        <v>371</v>
      </c>
      <c r="T160" s="14">
        <f>SUM('BCWS by JOB'!T53)+S160</f>
        <v>404</v>
      </c>
      <c r="U160" s="14">
        <f>SUM('BCWS by JOB'!U53)+T160</f>
        <v>438</v>
      </c>
      <c r="V160" s="14">
        <f>SUM('BCWS by JOB'!V53)+U160</f>
        <v>477</v>
      </c>
      <c r="W160" s="14">
        <f>SUM('BCWS by JOB'!W53)+V160</f>
        <v>496</v>
      </c>
      <c r="X160" s="14">
        <f>SUM('BCWS by JOB'!X53)+W160</f>
        <v>503</v>
      </c>
      <c r="Y160" s="14">
        <f>SUM('BCWS by JOB'!Y53)+X160</f>
        <v>510</v>
      </c>
      <c r="Z160" s="14">
        <f>SUM('BCWS by JOB'!Z53)+Y160</f>
        <v>517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2:12" s="1" customFormat="1" ht="12.75">
      <c r="B161" s="477"/>
      <c r="D161" s="11">
        <v>1806</v>
      </c>
      <c r="E161" s="1" t="s">
        <v>234</v>
      </c>
      <c r="F161" s="1">
        <f>SUM('BCWP by JOB'!D53)</f>
        <v>0</v>
      </c>
      <c r="G161" s="1">
        <f>SUM('BCWP by JOB'!E53)+F161</f>
        <v>3</v>
      </c>
      <c r="H161" s="1">
        <f>SUM('BCWP by JOB'!F53)+G161</f>
        <v>25</v>
      </c>
      <c r="I161" s="1">
        <f>SUM('BCWP by JOB'!G53)+H161</f>
        <v>27.7446855</v>
      </c>
      <c r="J161" s="1">
        <f>SUM('BCWP by JOB'!H53)+I161</f>
        <v>36.15</v>
      </c>
      <c r="K161" s="1">
        <f>SUM('BCWP by JOB'!I53)+J161</f>
        <v>39.838</v>
      </c>
      <c r="L161" s="1">
        <f>SUM('BCWP by JOB'!J53)+K161</f>
        <v>106.13219950000001</v>
      </c>
    </row>
    <row r="162" spans="2:12" s="1" customFormat="1" ht="12.75">
      <c r="B162" s="477"/>
      <c r="D162" s="11"/>
      <c r="E162" s="1" t="s">
        <v>235</v>
      </c>
      <c r="F162" s="240">
        <f>SUM('ACWP by JOB'!E53)</f>
        <v>0</v>
      </c>
      <c r="G162" s="240">
        <f>SUM('ACWP by JOB'!F53)+F162</f>
        <v>0</v>
      </c>
      <c r="H162" s="240">
        <f>SUM('ACWP by JOB'!G53)+G162</f>
        <v>-0.128</v>
      </c>
      <c r="I162" s="240">
        <f>SUM('ACWP by JOB'!H53)+H162</f>
        <v>2.0069999999999997</v>
      </c>
      <c r="J162" s="240">
        <f>SUM('ACWP by JOB'!I53)+I162</f>
        <v>2.0069999999999997</v>
      </c>
      <c r="K162" s="240">
        <f>SUM('ACWP by JOB'!J53)+J162</f>
        <v>2.0069999999999997</v>
      </c>
      <c r="L162" s="240">
        <f>SUM('ACWP by JOB'!K53)+K162</f>
        <v>2.8899999999999997</v>
      </c>
    </row>
    <row r="163" spans="2:12" s="1" customFormat="1" ht="12.75">
      <c r="B163" s="477"/>
      <c r="D163" s="11"/>
      <c r="E163" s="1" t="s">
        <v>237</v>
      </c>
      <c r="F163" s="338" t="e">
        <f aca="true" t="shared" si="50" ref="F163:L163">+F161/F162</f>
        <v>#DIV/0!</v>
      </c>
      <c r="G163" s="338" t="e">
        <f t="shared" si="50"/>
        <v>#DIV/0!</v>
      </c>
      <c r="H163" s="338">
        <f t="shared" si="50"/>
        <v>-195.3125</v>
      </c>
      <c r="I163" s="338">
        <f t="shared" si="50"/>
        <v>13.823958893871453</v>
      </c>
      <c r="J163" s="338">
        <f t="shared" si="50"/>
        <v>18.011958146487295</v>
      </c>
      <c r="K163" s="338">
        <f t="shared" si="50"/>
        <v>19.84952665670155</v>
      </c>
      <c r="L163" s="338">
        <f t="shared" si="50"/>
        <v>36.72394446366783</v>
      </c>
    </row>
    <row r="164" spans="2:12" s="1" customFormat="1" ht="12.75">
      <c r="B164" s="477"/>
      <c r="D164" s="11"/>
      <c r="E164" s="1" t="s">
        <v>236</v>
      </c>
      <c r="F164" s="338">
        <f aca="true" t="shared" si="51" ref="F164:L164">+F161/F160</f>
        <v>0</v>
      </c>
      <c r="G164" s="338">
        <f t="shared" si="51"/>
        <v>0.125</v>
      </c>
      <c r="H164" s="338">
        <f t="shared" si="51"/>
        <v>0.6097560975609756</v>
      </c>
      <c r="I164" s="338">
        <f t="shared" si="51"/>
        <v>0.41409978358208954</v>
      </c>
      <c r="J164" s="338">
        <f t="shared" si="51"/>
        <v>0.39293478260869563</v>
      </c>
      <c r="K164" s="338">
        <f t="shared" si="51"/>
        <v>0.33198333333333335</v>
      </c>
      <c r="L164" s="338">
        <f t="shared" si="51"/>
        <v>0.7635410035971224</v>
      </c>
    </row>
  </sheetData>
  <mergeCells count="38">
    <mergeCell ref="C112:D112"/>
    <mergeCell ref="C113:D113"/>
    <mergeCell ref="C118:D118"/>
    <mergeCell ref="C119:D119"/>
    <mergeCell ref="C100:D100"/>
    <mergeCell ref="C101:D101"/>
    <mergeCell ref="C106:D106"/>
    <mergeCell ref="C107:D107"/>
    <mergeCell ref="C88:D88"/>
    <mergeCell ref="C89:D89"/>
    <mergeCell ref="C94:D94"/>
    <mergeCell ref="C95:D95"/>
    <mergeCell ref="C76:D76"/>
    <mergeCell ref="C77:D77"/>
    <mergeCell ref="C82:D82"/>
    <mergeCell ref="C83:D83"/>
    <mergeCell ref="C64:D64"/>
    <mergeCell ref="C65:D65"/>
    <mergeCell ref="C70:D70"/>
    <mergeCell ref="C71:D71"/>
    <mergeCell ref="C52:D52"/>
    <mergeCell ref="C53:D53"/>
    <mergeCell ref="C58:D58"/>
    <mergeCell ref="C59:D59"/>
    <mergeCell ref="C40:D40"/>
    <mergeCell ref="C41:D41"/>
    <mergeCell ref="C46:D46"/>
    <mergeCell ref="C47:D47"/>
    <mergeCell ref="F1:J1"/>
    <mergeCell ref="AU1:AZ1"/>
    <mergeCell ref="AI1:AT1"/>
    <mergeCell ref="W1:AH1"/>
    <mergeCell ref="K1:V1"/>
    <mergeCell ref="C34:D34"/>
    <mergeCell ref="C10:D10"/>
    <mergeCell ref="C16:D16"/>
    <mergeCell ref="C22:D22"/>
    <mergeCell ref="C28:D28"/>
  </mergeCells>
  <printOptions/>
  <pageMargins left="0.75" right="0.75" top="0.18" bottom="0.27" header="0.2" footer="0.26"/>
  <pageSetup fitToHeight="1" fitToWidth="1" horizontalDpi="600" verticalDpi="600" orientation="portrait" paperSize="167" scale="50" r:id="rId1"/>
  <ignoredErrors>
    <ignoredError sqref="K123:K124 J123:J124 H127:I161 J40:J118 L139:L144 K42 L150:L154 F40:F161 G127:G161 G40:G125 H40:I125 J159:J161 J147:J148 L146:L148 J141:J142 J127:J130 L129:L131 J135:J136 L133:L137 J153:J154 L159:L160 K40 K45:K46 K51:K52 K57:K58 K63:K64 K69:K70 K75:K76 K81:K82 K87:K88 K93:K94 K99:K100 K105:K106 K111:K112 K117:K118 K129:K130 K135:K136 K141:K142 K147:K148 L123:L124 L40 L45:L46 L51:L52 L57:L58 L63:L64 L69:L70 L75:L76 L81:L82 L87:L88 L93:L94 L99:L100 L105:L106 L111:L112 L117:L118 K153:K154 K159:K1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R300"/>
  <sheetViews>
    <sheetView showZeros="0" workbookViewId="0" topLeftCell="A1">
      <pane ySplit="2" topLeftCell="BM45" activePane="bottomLeft" state="frozen"/>
      <selection pane="topLeft" activeCell="A1" sqref="A1"/>
      <selection pane="bottomLeft" activeCell="H74" sqref="H74"/>
    </sheetView>
  </sheetViews>
  <sheetFormatPr defaultColWidth="9.140625" defaultRowHeight="12.75"/>
  <cols>
    <col min="1" max="1" width="19.7109375" style="1" customWidth="1"/>
    <col min="2" max="2" width="47.421875" style="1" customWidth="1"/>
    <col min="3" max="3" width="17.00390625" style="1" customWidth="1"/>
    <col min="4" max="4" width="7.140625" style="11" customWidth="1"/>
    <col min="5" max="5" width="11.00390625" style="1" customWidth="1"/>
    <col min="6" max="6" width="5.8515625" style="1" customWidth="1"/>
    <col min="7" max="7" width="6.00390625" style="2" customWidth="1"/>
    <col min="8" max="8" width="6.28125" style="2" customWidth="1"/>
    <col min="9" max="9" width="6.140625" style="3" customWidth="1"/>
    <col min="10" max="10" width="6.00390625" style="3" customWidth="1"/>
    <col min="11" max="12" width="6.00390625" style="24" customWidth="1"/>
    <col min="13" max="13" width="7.7109375" style="24" customWidth="1"/>
    <col min="14" max="22" width="6.00390625" style="2" customWidth="1"/>
    <col min="23" max="43" width="6.8515625" style="2" customWidth="1"/>
    <col min="44" max="44" width="6.8515625" style="3" customWidth="1"/>
    <col min="45" max="51" width="6.8515625" style="2" customWidth="1"/>
    <col min="52" max="52" width="8.28125" style="2" customWidth="1"/>
    <col min="53" max="53" width="8.57421875" style="2" customWidth="1"/>
    <col min="54" max="54" width="9.00390625" style="2" customWidth="1"/>
    <col min="55" max="56" width="8.28125" style="2" customWidth="1"/>
    <col min="57" max="57" width="8.7109375" style="1" customWidth="1"/>
    <col min="58" max="58" width="8.28125" style="1" customWidth="1"/>
    <col min="59" max="60" width="8.7109375" style="1" customWidth="1"/>
    <col min="61" max="62" width="8.421875" style="1" customWidth="1"/>
    <col min="63" max="63" width="8.140625" style="1" customWidth="1"/>
    <col min="64" max="64" width="9.00390625" style="1" customWidth="1"/>
    <col min="65" max="65" width="8.57421875" style="1" customWidth="1"/>
    <col min="66" max="66" width="9.00390625" style="1" customWidth="1"/>
    <col min="67" max="68" width="6.00390625" style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57421875" style="1" bestFit="1" customWidth="1"/>
    <col min="85" max="85" width="16.57421875" style="1" bestFit="1" customWidth="1"/>
    <col min="86" max="16384" width="7.421875" style="1" customWidth="1"/>
  </cols>
  <sheetData>
    <row r="1" spans="6:52" ht="13.5" thickBot="1">
      <c r="F1" s="1409" t="s">
        <v>706</v>
      </c>
      <c r="G1" s="1410"/>
      <c r="H1" s="1410"/>
      <c r="I1" s="1410"/>
      <c r="J1" s="1411"/>
      <c r="K1" s="1403" t="s">
        <v>706</v>
      </c>
      <c r="L1" s="1404"/>
      <c r="M1" s="1404"/>
      <c r="N1" s="1404"/>
      <c r="O1" s="1404"/>
      <c r="P1" s="1404"/>
      <c r="Q1" s="1404"/>
      <c r="R1" s="1404"/>
      <c r="S1" s="1404"/>
      <c r="T1" s="1404"/>
      <c r="U1" s="1404"/>
      <c r="V1" s="1395"/>
      <c r="W1" s="1405" t="s">
        <v>706</v>
      </c>
      <c r="X1" s="1406"/>
      <c r="Y1" s="1406"/>
      <c r="Z1" s="1406"/>
      <c r="AA1" s="1406"/>
      <c r="AB1" s="1406"/>
      <c r="AC1" s="1406"/>
      <c r="AD1" s="1406"/>
      <c r="AE1" s="1406"/>
      <c r="AF1" s="1406"/>
      <c r="AG1" s="1406"/>
      <c r="AH1" s="1407"/>
      <c r="AI1" s="1405" t="s">
        <v>698</v>
      </c>
      <c r="AJ1" s="1410"/>
      <c r="AK1" s="1410"/>
      <c r="AL1" s="1410"/>
      <c r="AM1" s="1410"/>
      <c r="AN1" s="1410"/>
      <c r="AO1" s="1410"/>
      <c r="AP1" s="1410"/>
      <c r="AQ1" s="1410"/>
      <c r="AR1" s="1410"/>
      <c r="AS1" s="1410"/>
      <c r="AT1" s="1411"/>
      <c r="AU1" s="1405" t="s">
        <v>697</v>
      </c>
      <c r="AV1" s="1406"/>
      <c r="AW1" s="1406"/>
      <c r="AX1" s="1406"/>
      <c r="AY1" s="1406"/>
      <c r="AZ1" s="1407"/>
    </row>
    <row r="2" spans="1:70" s="583" customFormat="1" ht="36" customHeight="1" thickBot="1">
      <c r="A2" s="574" t="s">
        <v>532</v>
      </c>
      <c r="B2" s="575" t="s">
        <v>298</v>
      </c>
      <c r="C2" s="582" t="s">
        <v>843</v>
      </c>
      <c r="D2" s="576" t="s">
        <v>531</v>
      </c>
      <c r="E2" s="577" t="s">
        <v>994</v>
      </c>
      <c r="F2" s="578" t="s">
        <v>700</v>
      </c>
      <c r="G2" s="579" t="s">
        <v>704</v>
      </c>
      <c r="H2" s="579" t="s">
        <v>705</v>
      </c>
      <c r="I2" s="579" t="s">
        <v>707</v>
      </c>
      <c r="J2" s="580" t="s">
        <v>708</v>
      </c>
      <c r="K2" s="574" t="s">
        <v>709</v>
      </c>
      <c r="L2" s="581" t="s">
        <v>710</v>
      </c>
      <c r="M2" s="581" t="s">
        <v>711</v>
      </c>
      <c r="N2" s="581" t="s">
        <v>712</v>
      </c>
      <c r="O2" s="581" t="s">
        <v>713</v>
      </c>
      <c r="P2" s="581" t="s">
        <v>714</v>
      </c>
      <c r="Q2" s="581" t="s">
        <v>715</v>
      </c>
      <c r="R2" s="581" t="s">
        <v>701</v>
      </c>
      <c r="S2" s="581" t="s">
        <v>716</v>
      </c>
      <c r="T2" s="581" t="s">
        <v>717</v>
      </c>
      <c r="U2" s="581" t="s">
        <v>718</v>
      </c>
      <c r="V2" s="575" t="s">
        <v>719</v>
      </c>
      <c r="W2" s="574" t="s">
        <v>720</v>
      </c>
      <c r="X2" s="581" t="s">
        <v>721</v>
      </c>
      <c r="Y2" s="581" t="s">
        <v>722</v>
      </c>
      <c r="Z2" s="581" t="s">
        <v>723</v>
      </c>
      <c r="AA2" s="581" t="s">
        <v>724</v>
      </c>
      <c r="AB2" s="581" t="s">
        <v>725</v>
      </c>
      <c r="AC2" s="581" t="s">
        <v>726</v>
      </c>
      <c r="AD2" s="581" t="s">
        <v>702</v>
      </c>
      <c r="AE2" s="581" t="s">
        <v>727</v>
      </c>
      <c r="AF2" s="581" t="s">
        <v>728</v>
      </c>
      <c r="AG2" s="581" t="s">
        <v>729</v>
      </c>
      <c r="AH2" s="575" t="s">
        <v>730</v>
      </c>
      <c r="AI2" s="574" t="s">
        <v>731</v>
      </c>
      <c r="AJ2" s="581" t="s">
        <v>732</v>
      </c>
      <c r="AK2" s="581" t="s">
        <v>733</v>
      </c>
      <c r="AL2" s="581" t="s">
        <v>734</v>
      </c>
      <c r="AM2" s="581" t="s">
        <v>735</v>
      </c>
      <c r="AN2" s="581" t="s">
        <v>736</v>
      </c>
      <c r="AO2" s="581" t="s">
        <v>737</v>
      </c>
      <c r="AP2" s="581" t="s">
        <v>703</v>
      </c>
      <c r="AQ2" s="581" t="s">
        <v>738</v>
      </c>
      <c r="AR2" s="581" t="s">
        <v>739</v>
      </c>
      <c r="AS2" s="581" t="s">
        <v>740</v>
      </c>
      <c r="AT2" s="575" t="s">
        <v>741</v>
      </c>
      <c r="AU2" s="574" t="s">
        <v>742</v>
      </c>
      <c r="AV2" s="581" t="s">
        <v>743</v>
      </c>
      <c r="AW2" s="581" t="s">
        <v>744</v>
      </c>
      <c r="AX2" s="581" t="s">
        <v>745</v>
      </c>
      <c r="AY2" s="581" t="s">
        <v>746</v>
      </c>
      <c r="AZ2" s="575" t="s">
        <v>747</v>
      </c>
      <c r="BA2" s="582"/>
      <c r="BB2" s="582" t="s">
        <v>376</v>
      </c>
      <c r="BC2" s="582" t="s">
        <v>377</v>
      </c>
      <c r="BD2" s="582" t="s">
        <v>378</v>
      </c>
      <c r="BE2" s="582" t="s">
        <v>355</v>
      </c>
      <c r="BF2" s="582" t="s">
        <v>356</v>
      </c>
      <c r="BG2" s="582" t="s">
        <v>379</v>
      </c>
      <c r="BH2" s="582" t="s">
        <v>380</v>
      </c>
      <c r="BI2" s="582" t="s">
        <v>381</v>
      </c>
      <c r="BJ2" s="582" t="s">
        <v>382</v>
      </c>
      <c r="BK2" s="582" t="s">
        <v>383</v>
      </c>
      <c r="BL2" s="582" t="s">
        <v>384</v>
      </c>
      <c r="BM2" s="582" t="s">
        <v>385</v>
      </c>
      <c r="BN2" s="582" t="s">
        <v>386</v>
      </c>
      <c r="BO2" s="582" t="s">
        <v>387</v>
      </c>
      <c r="BP2" s="582" t="s">
        <v>388</v>
      </c>
      <c r="BQ2" s="582" t="s">
        <v>357</v>
      </c>
      <c r="BR2" s="582" t="s">
        <v>358</v>
      </c>
    </row>
    <row r="3" spans="1:64" ht="12.75">
      <c r="A3" s="506" t="s">
        <v>389</v>
      </c>
      <c r="B3" s="507" t="s">
        <v>456</v>
      </c>
      <c r="C3" s="441"/>
      <c r="D3" s="475">
        <f>SUM(F3:BO3)</f>
        <v>3844</v>
      </c>
      <c r="E3" s="502">
        <f>SUM(F3:L3)</f>
        <v>455</v>
      </c>
      <c r="F3" s="483">
        <v>61</v>
      </c>
      <c r="G3" s="484">
        <v>54</v>
      </c>
      <c r="H3" s="484">
        <v>54</v>
      </c>
      <c r="I3" s="484">
        <v>59</v>
      </c>
      <c r="J3" s="485">
        <v>49</v>
      </c>
      <c r="K3" s="430">
        <v>95</v>
      </c>
      <c r="L3" s="491">
        <v>83</v>
      </c>
      <c r="M3" s="491">
        <v>62</v>
      </c>
      <c r="N3" s="491">
        <v>91</v>
      </c>
      <c r="O3" s="491">
        <v>87</v>
      </c>
      <c r="P3" s="491">
        <v>87</v>
      </c>
      <c r="Q3" s="491">
        <v>91</v>
      </c>
      <c r="R3" s="491">
        <v>87</v>
      </c>
      <c r="S3" s="491">
        <v>87</v>
      </c>
      <c r="T3" s="491">
        <v>91</v>
      </c>
      <c r="U3" s="491">
        <v>87</v>
      </c>
      <c r="V3" s="431">
        <v>87</v>
      </c>
      <c r="W3" s="441">
        <v>107</v>
      </c>
      <c r="X3" s="441">
        <v>84</v>
      </c>
      <c r="Y3" s="441">
        <v>79</v>
      </c>
      <c r="Z3" s="441">
        <v>98</v>
      </c>
      <c r="AA3" s="441">
        <v>93</v>
      </c>
      <c r="AB3" s="441">
        <v>102</v>
      </c>
      <c r="AC3" s="441">
        <v>102</v>
      </c>
      <c r="AD3" s="441">
        <v>93</v>
      </c>
      <c r="AE3" s="441">
        <v>102</v>
      </c>
      <c r="AF3" s="441">
        <v>102</v>
      </c>
      <c r="AG3" s="441">
        <v>98</v>
      </c>
      <c r="AH3" s="441">
        <v>98</v>
      </c>
      <c r="AI3" s="441">
        <v>95</v>
      </c>
      <c r="AJ3" s="441">
        <v>82</v>
      </c>
      <c r="AK3" s="441">
        <v>69</v>
      </c>
      <c r="AL3" s="441">
        <v>87</v>
      </c>
      <c r="AM3" s="441">
        <v>87</v>
      </c>
      <c r="AN3" s="441">
        <v>100</v>
      </c>
      <c r="AO3" s="441">
        <v>95</v>
      </c>
      <c r="AP3" s="441">
        <v>87</v>
      </c>
      <c r="AQ3" s="441">
        <v>95</v>
      </c>
      <c r="AR3" s="441">
        <v>91</v>
      </c>
      <c r="AS3" s="441">
        <v>95</v>
      </c>
      <c r="AT3" s="441">
        <v>91</v>
      </c>
      <c r="AU3" s="441">
        <v>80</v>
      </c>
      <c r="AV3" s="441">
        <v>76</v>
      </c>
      <c r="AW3" s="441">
        <v>64</v>
      </c>
      <c r="AX3" s="441">
        <v>80</v>
      </c>
      <c r="AY3" s="441"/>
      <c r="AZ3" s="441"/>
      <c r="BA3" s="441"/>
      <c r="BB3" s="441"/>
      <c r="BC3" s="441"/>
      <c r="BD3" s="441"/>
      <c r="BE3" s="441"/>
      <c r="BF3" s="441"/>
      <c r="BG3" s="441"/>
      <c r="BH3" s="441"/>
      <c r="BI3" s="441"/>
      <c r="BJ3" s="441"/>
      <c r="BK3" s="441"/>
      <c r="BL3" s="441"/>
    </row>
    <row r="4" spans="1:64" s="18" customFormat="1" ht="12.75">
      <c r="A4" s="488" t="s">
        <v>389</v>
      </c>
      <c r="B4" s="490" t="s">
        <v>457</v>
      </c>
      <c r="C4" s="441"/>
      <c r="D4" s="475">
        <f>SUM(F4:BO4)</f>
        <v>497</v>
      </c>
      <c r="E4" s="500">
        <f>SUM(F4:L4)</f>
        <v>88</v>
      </c>
      <c r="F4" s="488">
        <v>13</v>
      </c>
      <c r="G4" s="489">
        <v>12</v>
      </c>
      <c r="H4" s="489">
        <v>12</v>
      </c>
      <c r="I4" s="489">
        <v>13</v>
      </c>
      <c r="J4" s="490">
        <v>11</v>
      </c>
      <c r="K4" s="488">
        <v>14</v>
      </c>
      <c r="L4" s="489">
        <v>13</v>
      </c>
      <c r="M4" s="489">
        <v>10</v>
      </c>
      <c r="N4" s="489">
        <v>14</v>
      </c>
      <c r="O4" s="489">
        <v>13</v>
      </c>
      <c r="P4" s="489">
        <v>13</v>
      </c>
      <c r="Q4" s="489">
        <v>14</v>
      </c>
      <c r="R4" s="489">
        <v>13</v>
      </c>
      <c r="S4" s="489">
        <v>13</v>
      </c>
      <c r="T4" s="489">
        <v>14</v>
      </c>
      <c r="U4" s="489">
        <v>13</v>
      </c>
      <c r="V4" s="490">
        <v>13</v>
      </c>
      <c r="W4" s="441">
        <v>14</v>
      </c>
      <c r="X4" s="441">
        <v>12</v>
      </c>
      <c r="Y4" s="441">
        <v>11</v>
      </c>
      <c r="Z4" s="441">
        <v>13</v>
      </c>
      <c r="AA4" s="441">
        <v>13</v>
      </c>
      <c r="AB4" s="441">
        <v>14</v>
      </c>
      <c r="AC4" s="441">
        <v>14</v>
      </c>
      <c r="AD4" s="441">
        <v>13</v>
      </c>
      <c r="AE4" s="441">
        <v>14</v>
      </c>
      <c r="AF4" s="441">
        <v>14</v>
      </c>
      <c r="AG4" s="441">
        <v>13</v>
      </c>
      <c r="AH4" s="441">
        <v>13</v>
      </c>
      <c r="AI4" s="441">
        <v>9</v>
      </c>
      <c r="AJ4" s="441">
        <v>8</v>
      </c>
      <c r="AK4" s="441">
        <v>7</v>
      </c>
      <c r="AL4" s="441">
        <v>8</v>
      </c>
      <c r="AM4" s="441">
        <v>8</v>
      </c>
      <c r="AN4" s="441">
        <v>9</v>
      </c>
      <c r="AO4" s="441">
        <v>9</v>
      </c>
      <c r="AP4" s="441">
        <v>8</v>
      </c>
      <c r="AQ4" s="441">
        <v>9</v>
      </c>
      <c r="AR4" s="441">
        <v>9</v>
      </c>
      <c r="AS4" s="441">
        <v>9</v>
      </c>
      <c r="AT4" s="441">
        <v>9</v>
      </c>
      <c r="AU4" s="441">
        <v>5</v>
      </c>
      <c r="AV4" s="441">
        <v>5</v>
      </c>
      <c r="AW4" s="441">
        <v>4</v>
      </c>
      <c r="AX4" s="441">
        <v>5</v>
      </c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</row>
    <row r="5" spans="1:64" ht="13.5" thickBot="1">
      <c r="A5" s="492" t="s">
        <v>389</v>
      </c>
      <c r="B5" s="434" t="s">
        <v>458</v>
      </c>
      <c r="C5" s="441"/>
      <c r="D5" s="475">
        <f>SUM(F5:BO5)</f>
        <v>1453</v>
      </c>
      <c r="E5" s="503">
        <f>SUM(F5:L5)</f>
        <v>212</v>
      </c>
      <c r="F5" s="433">
        <v>30</v>
      </c>
      <c r="G5" s="486">
        <v>29</v>
      </c>
      <c r="H5" s="486">
        <v>29</v>
      </c>
      <c r="I5" s="486">
        <v>31</v>
      </c>
      <c r="J5" s="487">
        <v>26</v>
      </c>
      <c r="K5" s="492">
        <v>36</v>
      </c>
      <c r="L5" s="493">
        <v>31</v>
      </c>
      <c r="M5" s="493">
        <v>23</v>
      </c>
      <c r="N5" s="493">
        <v>34</v>
      </c>
      <c r="O5" s="493">
        <v>32</v>
      </c>
      <c r="P5" s="493">
        <v>32</v>
      </c>
      <c r="Q5" s="493">
        <v>34</v>
      </c>
      <c r="R5" s="493">
        <v>32</v>
      </c>
      <c r="S5" s="493">
        <v>32</v>
      </c>
      <c r="T5" s="493">
        <v>34</v>
      </c>
      <c r="U5" s="493">
        <v>32</v>
      </c>
      <c r="V5" s="434">
        <v>31</v>
      </c>
      <c r="W5" s="441">
        <v>38</v>
      </c>
      <c r="X5" s="441">
        <v>30</v>
      </c>
      <c r="Y5" s="441">
        <v>28</v>
      </c>
      <c r="Z5" s="441">
        <v>35</v>
      </c>
      <c r="AA5" s="441">
        <v>33</v>
      </c>
      <c r="AB5" s="441">
        <v>36</v>
      </c>
      <c r="AC5" s="441">
        <v>36</v>
      </c>
      <c r="AD5" s="441">
        <v>33</v>
      </c>
      <c r="AE5" s="441">
        <v>36</v>
      </c>
      <c r="AF5" s="441">
        <v>36</v>
      </c>
      <c r="AG5" s="441">
        <v>35</v>
      </c>
      <c r="AH5" s="441">
        <v>31</v>
      </c>
      <c r="AI5" s="441">
        <v>38</v>
      </c>
      <c r="AJ5" s="441">
        <v>33</v>
      </c>
      <c r="AK5" s="441">
        <v>28</v>
      </c>
      <c r="AL5" s="441">
        <v>35</v>
      </c>
      <c r="AM5" s="441">
        <v>35</v>
      </c>
      <c r="AN5" s="441">
        <v>40</v>
      </c>
      <c r="AO5" s="441">
        <v>38</v>
      </c>
      <c r="AP5" s="441">
        <v>35</v>
      </c>
      <c r="AQ5" s="441">
        <v>38</v>
      </c>
      <c r="AR5" s="441">
        <v>36</v>
      </c>
      <c r="AS5" s="441">
        <v>38</v>
      </c>
      <c r="AT5" s="441">
        <v>36</v>
      </c>
      <c r="AU5" s="441">
        <v>23</v>
      </c>
      <c r="AV5" s="441">
        <v>22</v>
      </c>
      <c r="AW5" s="441">
        <v>19</v>
      </c>
      <c r="AX5" s="441">
        <v>23</v>
      </c>
      <c r="AY5" s="441">
        <v>1</v>
      </c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</row>
    <row r="6" spans="1:70" ht="13.5" thickBot="1">
      <c r="A6" s="441"/>
      <c r="B6" s="422" t="s">
        <v>690</v>
      </c>
      <c r="C6" s="374"/>
      <c r="D6" s="344">
        <f aca="true" t="shared" si="0" ref="D6:AI6">SUM(D3:D5)</f>
        <v>5794</v>
      </c>
      <c r="E6" s="386">
        <f t="shared" si="0"/>
        <v>755</v>
      </c>
      <c r="F6" s="358">
        <f t="shared" si="0"/>
        <v>104</v>
      </c>
      <c r="G6" s="359">
        <f t="shared" si="0"/>
        <v>95</v>
      </c>
      <c r="H6" s="359">
        <f t="shared" si="0"/>
        <v>95</v>
      </c>
      <c r="I6" s="359">
        <f t="shared" si="0"/>
        <v>103</v>
      </c>
      <c r="J6" s="360">
        <f t="shared" si="0"/>
        <v>86</v>
      </c>
      <c r="K6" s="358">
        <f t="shared" si="0"/>
        <v>145</v>
      </c>
      <c r="L6" s="359">
        <f t="shared" si="0"/>
        <v>127</v>
      </c>
      <c r="M6" s="359">
        <f t="shared" si="0"/>
        <v>95</v>
      </c>
      <c r="N6" s="359">
        <f t="shared" si="0"/>
        <v>139</v>
      </c>
      <c r="O6" s="359">
        <f t="shared" si="0"/>
        <v>132</v>
      </c>
      <c r="P6" s="359">
        <f t="shared" si="0"/>
        <v>132</v>
      </c>
      <c r="Q6" s="359">
        <f t="shared" si="0"/>
        <v>139</v>
      </c>
      <c r="R6" s="359">
        <f t="shared" si="0"/>
        <v>132</v>
      </c>
      <c r="S6" s="359">
        <f t="shared" si="0"/>
        <v>132</v>
      </c>
      <c r="T6" s="359">
        <f t="shared" si="0"/>
        <v>139</v>
      </c>
      <c r="U6" s="359">
        <f t="shared" si="0"/>
        <v>132</v>
      </c>
      <c r="V6" s="360">
        <f t="shared" si="0"/>
        <v>131</v>
      </c>
      <c r="W6" s="21">
        <f t="shared" si="0"/>
        <v>159</v>
      </c>
      <c r="X6" s="21">
        <f t="shared" si="0"/>
        <v>126</v>
      </c>
      <c r="Y6" s="21">
        <f t="shared" si="0"/>
        <v>118</v>
      </c>
      <c r="Z6" s="21">
        <f t="shared" si="0"/>
        <v>146</v>
      </c>
      <c r="AA6" s="21">
        <f t="shared" si="0"/>
        <v>139</v>
      </c>
      <c r="AB6" s="21">
        <f t="shared" si="0"/>
        <v>152</v>
      </c>
      <c r="AC6" s="21">
        <f t="shared" si="0"/>
        <v>152</v>
      </c>
      <c r="AD6" s="21">
        <f t="shared" si="0"/>
        <v>139</v>
      </c>
      <c r="AE6" s="21">
        <f t="shared" si="0"/>
        <v>152</v>
      </c>
      <c r="AF6" s="21">
        <f t="shared" si="0"/>
        <v>152</v>
      </c>
      <c r="AG6" s="21">
        <f t="shared" si="0"/>
        <v>146</v>
      </c>
      <c r="AH6" s="21">
        <f t="shared" si="0"/>
        <v>142</v>
      </c>
      <c r="AI6" s="21">
        <f t="shared" si="0"/>
        <v>142</v>
      </c>
      <c r="AJ6" s="21">
        <f aca="true" t="shared" si="1" ref="AJ6:BO6">SUM(AJ3:AJ5)</f>
        <v>123</v>
      </c>
      <c r="AK6" s="21">
        <f t="shared" si="1"/>
        <v>104</v>
      </c>
      <c r="AL6" s="21">
        <f t="shared" si="1"/>
        <v>130</v>
      </c>
      <c r="AM6" s="21">
        <f t="shared" si="1"/>
        <v>130</v>
      </c>
      <c r="AN6" s="21">
        <f t="shared" si="1"/>
        <v>149</v>
      </c>
      <c r="AO6" s="21">
        <f t="shared" si="1"/>
        <v>142</v>
      </c>
      <c r="AP6" s="21">
        <f t="shared" si="1"/>
        <v>130</v>
      </c>
      <c r="AQ6" s="21">
        <f t="shared" si="1"/>
        <v>142</v>
      </c>
      <c r="AR6" s="21">
        <f t="shared" si="1"/>
        <v>136</v>
      </c>
      <c r="AS6" s="21">
        <f t="shared" si="1"/>
        <v>142</v>
      </c>
      <c r="AT6" s="21">
        <f t="shared" si="1"/>
        <v>136</v>
      </c>
      <c r="AU6" s="21">
        <f t="shared" si="1"/>
        <v>108</v>
      </c>
      <c r="AV6" s="21">
        <f t="shared" si="1"/>
        <v>103</v>
      </c>
      <c r="AW6" s="21">
        <f t="shared" si="1"/>
        <v>87</v>
      </c>
      <c r="AX6" s="21">
        <f t="shared" si="1"/>
        <v>108</v>
      </c>
      <c r="AY6" s="21">
        <f t="shared" si="1"/>
        <v>1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 t="shared" si="1"/>
        <v>0</v>
      </c>
      <c r="BN6" s="21">
        <f t="shared" si="1"/>
        <v>0</v>
      </c>
      <c r="BO6" s="21">
        <f t="shared" si="1"/>
        <v>0</v>
      </c>
      <c r="BP6" s="21">
        <f>SUM(BP3:BP5)</f>
        <v>0</v>
      </c>
      <c r="BQ6" s="21">
        <f>SUM(BQ3:BQ5)</f>
        <v>0</v>
      </c>
      <c r="BR6" s="21">
        <f>SUM(BR3:BR5)</f>
        <v>0</v>
      </c>
    </row>
    <row r="7" spans="1:64" ht="6.75" customHeight="1" thickBot="1">
      <c r="A7" s="441"/>
      <c r="B7" s="441"/>
      <c r="C7" s="441"/>
      <c r="D7" s="475"/>
      <c r="E7" s="476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</row>
    <row r="8" spans="1:64" ht="12.75">
      <c r="A8" s="430" t="s">
        <v>390</v>
      </c>
      <c r="B8" s="431" t="s">
        <v>419</v>
      </c>
      <c r="C8" s="441"/>
      <c r="D8" s="475">
        <f aca="true" t="shared" si="2" ref="D8:D32">SUM(F8:BO8)</f>
        <v>409</v>
      </c>
      <c r="E8" s="504">
        <f aca="true" t="shared" si="3" ref="E8:E32">SUM(F8:L8)</f>
        <v>102</v>
      </c>
      <c r="F8" s="430"/>
      <c r="G8" s="491">
        <v>17</v>
      </c>
      <c r="H8" s="491">
        <v>25</v>
      </c>
      <c r="I8" s="491">
        <v>4</v>
      </c>
      <c r="J8" s="431"/>
      <c r="K8" s="430">
        <v>27</v>
      </c>
      <c r="L8" s="491">
        <v>29</v>
      </c>
      <c r="M8" s="491">
        <v>2</v>
      </c>
      <c r="N8" s="491"/>
      <c r="O8" s="491"/>
      <c r="P8" s="491"/>
      <c r="Q8" s="491">
        <v>30</v>
      </c>
      <c r="R8" s="491">
        <v>27</v>
      </c>
      <c r="S8" s="491">
        <v>12</v>
      </c>
      <c r="T8" s="491">
        <v>12</v>
      </c>
      <c r="U8" s="491">
        <v>12</v>
      </c>
      <c r="V8" s="431">
        <v>12</v>
      </c>
      <c r="W8" s="441">
        <v>1</v>
      </c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>
        <v>60</v>
      </c>
      <c r="AJ8" s="441">
        <v>88</v>
      </c>
      <c r="AK8" s="441">
        <v>34</v>
      </c>
      <c r="AL8" s="441">
        <v>17</v>
      </c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</row>
    <row r="9" spans="1:64" ht="12.75">
      <c r="A9" s="488" t="s">
        <v>390</v>
      </c>
      <c r="B9" s="490" t="s">
        <v>420</v>
      </c>
      <c r="C9" s="441"/>
      <c r="D9" s="475">
        <f t="shared" si="2"/>
        <v>-252</v>
      </c>
      <c r="E9" s="500">
        <f t="shared" si="3"/>
        <v>-252</v>
      </c>
      <c r="F9" s="488">
        <v>-162</v>
      </c>
      <c r="G9" s="489"/>
      <c r="H9" s="489"/>
      <c r="I9" s="489">
        <v>-90</v>
      </c>
      <c r="J9" s="490"/>
      <c r="K9" s="488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90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</row>
    <row r="10" spans="1:64" ht="12.75">
      <c r="A10" s="488" t="s">
        <v>390</v>
      </c>
      <c r="B10" s="490" t="s">
        <v>421</v>
      </c>
      <c r="C10" s="441"/>
      <c r="D10" s="475">
        <f t="shared" si="2"/>
        <v>348</v>
      </c>
      <c r="E10" s="500">
        <f t="shared" si="3"/>
        <v>225</v>
      </c>
      <c r="F10" s="488">
        <v>17</v>
      </c>
      <c r="G10" s="489">
        <v>24</v>
      </c>
      <c r="H10" s="489">
        <v>51</v>
      </c>
      <c r="I10" s="489">
        <v>56</v>
      </c>
      <c r="J10" s="490">
        <v>29</v>
      </c>
      <c r="K10" s="488">
        <v>26</v>
      </c>
      <c r="L10" s="489">
        <v>22</v>
      </c>
      <c r="M10" s="489">
        <v>28</v>
      </c>
      <c r="N10" s="489">
        <v>41</v>
      </c>
      <c r="O10" s="489">
        <v>35</v>
      </c>
      <c r="P10" s="489">
        <v>11</v>
      </c>
      <c r="Q10" s="489">
        <v>5</v>
      </c>
      <c r="R10" s="489">
        <v>3</v>
      </c>
      <c r="S10" s="489"/>
      <c r="T10" s="489"/>
      <c r="U10" s="489"/>
      <c r="V10" s="490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</row>
    <row r="11" spans="1:64" ht="12.75">
      <c r="A11" s="488" t="s">
        <v>390</v>
      </c>
      <c r="B11" s="490" t="s">
        <v>424</v>
      </c>
      <c r="C11" s="441"/>
      <c r="D11" s="475">
        <f t="shared" si="2"/>
        <v>1039</v>
      </c>
      <c r="E11" s="500">
        <f t="shared" si="3"/>
        <v>879</v>
      </c>
      <c r="F11" s="488">
        <v>144</v>
      </c>
      <c r="G11" s="489">
        <v>7</v>
      </c>
      <c r="H11" s="489">
        <v>103</v>
      </c>
      <c r="I11" s="489">
        <v>82</v>
      </c>
      <c r="J11" s="490">
        <v>27</v>
      </c>
      <c r="K11" s="488">
        <v>452</v>
      </c>
      <c r="L11" s="489">
        <v>64</v>
      </c>
      <c r="M11" s="489">
        <v>22</v>
      </c>
      <c r="N11" s="489">
        <v>25</v>
      </c>
      <c r="O11" s="489">
        <v>23</v>
      </c>
      <c r="P11" s="489">
        <v>20</v>
      </c>
      <c r="Q11" s="489">
        <v>11</v>
      </c>
      <c r="R11" s="489">
        <v>10</v>
      </c>
      <c r="S11" s="489">
        <v>10</v>
      </c>
      <c r="T11" s="489">
        <v>10</v>
      </c>
      <c r="U11" s="489">
        <v>6</v>
      </c>
      <c r="V11" s="490">
        <v>6</v>
      </c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>
        <v>12</v>
      </c>
      <c r="AJ11" s="441">
        <v>4</v>
      </c>
      <c r="AK11" s="441">
        <v>1</v>
      </c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</row>
    <row r="12" spans="1:64" ht="12.75">
      <c r="A12" s="488" t="s">
        <v>390</v>
      </c>
      <c r="B12" s="490" t="s">
        <v>422</v>
      </c>
      <c r="C12" s="441"/>
      <c r="D12" s="475">
        <f t="shared" si="2"/>
        <v>2769</v>
      </c>
      <c r="E12" s="500">
        <f t="shared" si="3"/>
        <v>1358</v>
      </c>
      <c r="F12" s="488">
        <v>237</v>
      </c>
      <c r="G12" s="489">
        <v>171</v>
      </c>
      <c r="H12" s="489">
        <v>231</v>
      </c>
      <c r="I12" s="489">
        <v>182</v>
      </c>
      <c r="J12" s="490">
        <v>136</v>
      </c>
      <c r="K12" s="488">
        <v>213</v>
      </c>
      <c r="L12" s="489">
        <v>188</v>
      </c>
      <c r="M12" s="489">
        <v>133</v>
      </c>
      <c r="N12" s="489">
        <v>222</v>
      </c>
      <c r="O12" s="489">
        <v>211</v>
      </c>
      <c r="P12" s="489">
        <v>183</v>
      </c>
      <c r="Q12" s="489">
        <v>209</v>
      </c>
      <c r="R12" s="489">
        <v>193</v>
      </c>
      <c r="S12" s="489">
        <v>156</v>
      </c>
      <c r="T12" s="489">
        <v>87</v>
      </c>
      <c r="U12" s="489">
        <v>16</v>
      </c>
      <c r="V12" s="490">
        <v>1</v>
      </c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</row>
    <row r="13" spans="1:64" ht="12.75">
      <c r="A13" s="488" t="s">
        <v>390</v>
      </c>
      <c r="B13" s="490" t="s">
        <v>423</v>
      </c>
      <c r="C13" s="441"/>
      <c r="D13" s="475">
        <f t="shared" si="2"/>
        <v>501</v>
      </c>
      <c r="E13" s="500">
        <f t="shared" si="3"/>
        <v>190</v>
      </c>
      <c r="F13" s="488"/>
      <c r="G13" s="489">
        <v>4</v>
      </c>
      <c r="H13" s="489">
        <v>19</v>
      </c>
      <c r="I13" s="489">
        <v>20</v>
      </c>
      <c r="J13" s="490">
        <v>47</v>
      </c>
      <c r="K13" s="488">
        <v>57</v>
      </c>
      <c r="L13" s="489">
        <v>43</v>
      </c>
      <c r="M13" s="489">
        <v>26</v>
      </c>
      <c r="N13" s="489">
        <v>42</v>
      </c>
      <c r="O13" s="489">
        <v>43</v>
      </c>
      <c r="P13" s="489">
        <v>42</v>
      </c>
      <c r="Q13" s="489">
        <v>26</v>
      </c>
      <c r="R13" s="489">
        <v>24</v>
      </c>
      <c r="S13" s="489">
        <v>25</v>
      </c>
      <c r="T13" s="489">
        <v>26</v>
      </c>
      <c r="U13" s="489">
        <v>33</v>
      </c>
      <c r="V13" s="490">
        <v>24</v>
      </c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</row>
    <row r="14" spans="1:64" ht="12.75">
      <c r="A14" s="488" t="s">
        <v>390</v>
      </c>
      <c r="B14" s="490" t="s">
        <v>426</v>
      </c>
      <c r="C14" s="441"/>
      <c r="D14" s="475">
        <f t="shared" si="2"/>
        <v>1987</v>
      </c>
      <c r="E14" s="500">
        <f t="shared" si="3"/>
        <v>390</v>
      </c>
      <c r="F14" s="488">
        <v>64</v>
      </c>
      <c r="G14" s="489">
        <v>47</v>
      </c>
      <c r="H14" s="489">
        <v>47</v>
      </c>
      <c r="I14" s="489">
        <v>52</v>
      </c>
      <c r="J14" s="490">
        <v>43</v>
      </c>
      <c r="K14" s="488">
        <v>79</v>
      </c>
      <c r="L14" s="489">
        <v>58</v>
      </c>
      <c r="M14" s="489">
        <v>43</v>
      </c>
      <c r="N14" s="489">
        <v>63</v>
      </c>
      <c r="O14" s="489">
        <v>60</v>
      </c>
      <c r="P14" s="489">
        <v>86</v>
      </c>
      <c r="Q14" s="489">
        <v>71</v>
      </c>
      <c r="R14" s="489">
        <v>67</v>
      </c>
      <c r="S14" s="489">
        <v>66</v>
      </c>
      <c r="T14" s="489">
        <v>68</v>
      </c>
      <c r="U14" s="489">
        <v>64</v>
      </c>
      <c r="V14" s="490">
        <v>63</v>
      </c>
      <c r="W14" s="441">
        <v>89</v>
      </c>
      <c r="X14" s="441">
        <v>65</v>
      </c>
      <c r="Y14" s="441">
        <v>60</v>
      </c>
      <c r="Z14" s="441">
        <v>74</v>
      </c>
      <c r="AA14" s="441">
        <v>81</v>
      </c>
      <c r="AB14" s="441">
        <v>84</v>
      </c>
      <c r="AC14" s="441">
        <v>83</v>
      </c>
      <c r="AD14" s="441">
        <v>74</v>
      </c>
      <c r="AE14" s="441">
        <v>68</v>
      </c>
      <c r="AF14" s="441">
        <v>62</v>
      </c>
      <c r="AG14" s="441">
        <v>59</v>
      </c>
      <c r="AH14" s="441">
        <v>59</v>
      </c>
      <c r="AI14" s="441">
        <v>61</v>
      </c>
      <c r="AJ14" s="441">
        <v>27</v>
      </c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</row>
    <row r="15" spans="1:64" ht="12.75">
      <c r="A15" s="488" t="s">
        <v>390</v>
      </c>
      <c r="B15" s="490" t="s">
        <v>425</v>
      </c>
      <c r="C15" s="441"/>
      <c r="D15" s="475">
        <f t="shared" si="2"/>
        <v>522</v>
      </c>
      <c r="E15" s="500">
        <f t="shared" si="3"/>
        <v>184</v>
      </c>
      <c r="F15" s="488"/>
      <c r="G15" s="489">
        <v>11</v>
      </c>
      <c r="H15" s="489">
        <v>54</v>
      </c>
      <c r="I15" s="489">
        <v>42</v>
      </c>
      <c r="J15" s="490">
        <v>23</v>
      </c>
      <c r="K15" s="488">
        <v>30</v>
      </c>
      <c r="L15" s="489">
        <v>24</v>
      </c>
      <c r="M15" s="489">
        <v>35</v>
      </c>
      <c r="N15" s="489">
        <v>81</v>
      </c>
      <c r="O15" s="489">
        <v>46</v>
      </c>
      <c r="P15" s="489">
        <v>43</v>
      </c>
      <c r="Q15" s="489">
        <v>13</v>
      </c>
      <c r="R15" s="489">
        <v>9</v>
      </c>
      <c r="S15" s="489"/>
      <c r="T15" s="489"/>
      <c r="U15" s="489"/>
      <c r="V15" s="490">
        <v>36</v>
      </c>
      <c r="W15" s="441">
        <v>39</v>
      </c>
      <c r="X15" s="441">
        <v>31</v>
      </c>
      <c r="Y15" s="441">
        <v>5</v>
      </c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</row>
    <row r="16" spans="1:64" ht="12.75">
      <c r="A16" s="488" t="s">
        <v>390</v>
      </c>
      <c r="B16" s="490" t="s">
        <v>427</v>
      </c>
      <c r="C16" s="441"/>
      <c r="D16" s="475">
        <f t="shared" si="2"/>
        <v>5751.559999999999</v>
      </c>
      <c r="E16" s="500">
        <f t="shared" si="3"/>
        <v>1608.28</v>
      </c>
      <c r="F16" s="652">
        <v>190.37</v>
      </c>
      <c r="G16" s="653">
        <v>196.09</v>
      </c>
      <c r="H16" s="653">
        <v>293.87</v>
      </c>
      <c r="I16" s="653">
        <v>280.2</v>
      </c>
      <c r="J16" s="654">
        <v>203.57</v>
      </c>
      <c r="K16" s="652">
        <v>258.61</v>
      </c>
      <c r="L16" s="653">
        <v>185.57</v>
      </c>
      <c r="M16" s="653">
        <v>181.99</v>
      </c>
      <c r="N16" s="653">
        <v>245.18</v>
      </c>
      <c r="O16" s="653">
        <v>192.01</v>
      </c>
      <c r="P16" s="653">
        <v>210.26</v>
      </c>
      <c r="Q16" s="653">
        <v>195.74</v>
      </c>
      <c r="R16" s="653">
        <v>183.27</v>
      </c>
      <c r="S16" s="653">
        <v>168.47</v>
      </c>
      <c r="T16" s="653">
        <v>204.25</v>
      </c>
      <c r="U16" s="653">
        <v>192.9</v>
      </c>
      <c r="V16" s="654">
        <v>204.82</v>
      </c>
      <c r="W16" s="655">
        <v>221.28</v>
      </c>
      <c r="X16" s="655">
        <v>189.05</v>
      </c>
      <c r="Y16" s="655">
        <v>115.13</v>
      </c>
      <c r="Z16" s="655">
        <v>171.14</v>
      </c>
      <c r="AA16" s="655">
        <v>256.69</v>
      </c>
      <c r="AB16" s="655">
        <v>252.23</v>
      </c>
      <c r="AC16" s="655">
        <v>167.24</v>
      </c>
      <c r="AD16" s="655">
        <v>160.74</v>
      </c>
      <c r="AE16" s="655">
        <v>136.4</v>
      </c>
      <c r="AF16" s="655">
        <v>113.32</v>
      </c>
      <c r="AG16" s="655">
        <v>108.17</v>
      </c>
      <c r="AH16" s="655">
        <v>108.17</v>
      </c>
      <c r="AI16" s="655">
        <v>113.32</v>
      </c>
      <c r="AJ16" s="655">
        <v>51.51</v>
      </c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</row>
    <row r="17" spans="1:64" ht="12.75">
      <c r="A17" s="488" t="s">
        <v>390</v>
      </c>
      <c r="B17" s="490" t="s">
        <v>428</v>
      </c>
      <c r="C17" s="441"/>
      <c r="D17" s="475">
        <f t="shared" si="2"/>
        <v>1335</v>
      </c>
      <c r="E17" s="500">
        <f t="shared" si="3"/>
        <v>0</v>
      </c>
      <c r="F17" s="488"/>
      <c r="G17" s="489"/>
      <c r="H17" s="489"/>
      <c r="I17" s="489"/>
      <c r="J17" s="490"/>
      <c r="K17" s="488"/>
      <c r="L17" s="489"/>
      <c r="M17" s="489"/>
      <c r="N17" s="489"/>
      <c r="O17" s="489"/>
      <c r="P17" s="489"/>
      <c r="Q17" s="489"/>
      <c r="R17" s="489"/>
      <c r="S17" s="489"/>
      <c r="T17" s="489">
        <v>155</v>
      </c>
      <c r="U17" s="489">
        <v>55</v>
      </c>
      <c r="V17" s="490">
        <v>13</v>
      </c>
      <c r="W17" s="441">
        <v>3</v>
      </c>
      <c r="X17" s="441">
        <v>30</v>
      </c>
      <c r="Y17" s="441">
        <v>40</v>
      </c>
      <c r="Z17" s="441">
        <v>58</v>
      </c>
      <c r="AA17" s="441">
        <v>49</v>
      </c>
      <c r="AB17" s="441">
        <v>92</v>
      </c>
      <c r="AC17" s="441">
        <v>102</v>
      </c>
      <c r="AD17" s="441">
        <v>112</v>
      </c>
      <c r="AE17" s="441">
        <v>110</v>
      </c>
      <c r="AF17" s="441">
        <v>172</v>
      </c>
      <c r="AG17" s="441">
        <v>123</v>
      </c>
      <c r="AH17" s="441">
        <v>126</v>
      </c>
      <c r="AI17" s="441">
        <v>64</v>
      </c>
      <c r="AJ17" s="441">
        <v>31</v>
      </c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</row>
    <row r="18" spans="1:64" ht="12.75">
      <c r="A18" s="488" t="s">
        <v>390</v>
      </c>
      <c r="B18" s="490" t="s">
        <v>429</v>
      </c>
      <c r="C18" s="441"/>
      <c r="D18" s="475">
        <f t="shared" si="2"/>
        <v>69</v>
      </c>
      <c r="E18" s="500">
        <f t="shared" si="3"/>
        <v>0</v>
      </c>
      <c r="F18" s="488"/>
      <c r="G18" s="489"/>
      <c r="H18" s="489"/>
      <c r="I18" s="489"/>
      <c r="J18" s="490"/>
      <c r="K18" s="488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90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>
        <v>13</v>
      </c>
      <c r="AI18" s="441">
        <v>21</v>
      </c>
      <c r="AJ18" s="441">
        <v>3</v>
      </c>
      <c r="AK18" s="441">
        <v>2</v>
      </c>
      <c r="AL18" s="441">
        <v>3</v>
      </c>
      <c r="AM18" s="441">
        <v>2</v>
      </c>
      <c r="AN18" s="441">
        <v>0</v>
      </c>
      <c r="AO18" s="441">
        <v>2</v>
      </c>
      <c r="AP18" s="441">
        <v>12</v>
      </c>
      <c r="AQ18" s="441">
        <v>11</v>
      </c>
      <c r="AR18" s="441"/>
      <c r="AS18" s="441"/>
      <c r="AT18" s="441"/>
      <c r="AU18" s="441"/>
      <c r="AV18" s="441"/>
      <c r="AW18" s="441"/>
      <c r="AX18" s="441"/>
      <c r="AY18" s="4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441"/>
      <c r="BK18" s="441"/>
      <c r="BL18" s="441"/>
    </row>
    <row r="19" spans="1:64" ht="12.75">
      <c r="A19" s="488" t="s">
        <v>390</v>
      </c>
      <c r="B19" s="490" t="s">
        <v>430</v>
      </c>
      <c r="C19" s="441"/>
      <c r="D19" s="475">
        <f t="shared" si="2"/>
        <v>170</v>
      </c>
      <c r="E19" s="500">
        <f t="shared" si="3"/>
        <v>0</v>
      </c>
      <c r="F19" s="488"/>
      <c r="G19" s="489"/>
      <c r="H19" s="489"/>
      <c r="I19" s="489"/>
      <c r="J19" s="490"/>
      <c r="K19" s="488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90"/>
      <c r="W19" s="441"/>
      <c r="X19" s="441"/>
      <c r="Y19" s="441"/>
      <c r="Z19" s="441">
        <v>22</v>
      </c>
      <c r="AA19" s="441">
        <v>20</v>
      </c>
      <c r="AB19" s="441">
        <v>25</v>
      </c>
      <c r="AC19" s="441">
        <v>3</v>
      </c>
      <c r="AD19" s="441"/>
      <c r="AE19" s="441"/>
      <c r="AF19" s="441"/>
      <c r="AG19" s="441"/>
      <c r="AH19" s="441"/>
      <c r="AI19" s="441">
        <v>0</v>
      </c>
      <c r="AJ19" s="441">
        <v>7</v>
      </c>
      <c r="AK19" s="441">
        <v>15</v>
      </c>
      <c r="AL19" s="441">
        <v>19</v>
      </c>
      <c r="AM19" s="441">
        <v>19</v>
      </c>
      <c r="AN19" s="441">
        <v>22</v>
      </c>
      <c r="AO19" s="441">
        <v>16</v>
      </c>
      <c r="AP19" s="441">
        <v>2</v>
      </c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</row>
    <row r="20" spans="1:64" ht="12.75">
      <c r="A20" s="488" t="s">
        <v>390</v>
      </c>
      <c r="B20" s="490" t="s">
        <v>431</v>
      </c>
      <c r="C20" s="441"/>
      <c r="D20" s="475">
        <f t="shared" si="2"/>
        <v>290</v>
      </c>
      <c r="E20" s="500">
        <f t="shared" si="3"/>
        <v>263</v>
      </c>
      <c r="F20" s="488">
        <v>12</v>
      </c>
      <c r="G20" s="489">
        <v>15</v>
      </c>
      <c r="H20" s="489">
        <v>22</v>
      </c>
      <c r="I20" s="489">
        <v>96</v>
      </c>
      <c r="J20" s="490">
        <v>37</v>
      </c>
      <c r="K20" s="488">
        <v>57</v>
      </c>
      <c r="L20" s="489">
        <v>24</v>
      </c>
      <c r="M20" s="489">
        <v>17</v>
      </c>
      <c r="N20" s="489">
        <v>9</v>
      </c>
      <c r="O20" s="489">
        <v>1</v>
      </c>
      <c r="P20" s="489"/>
      <c r="Q20" s="489"/>
      <c r="R20" s="489"/>
      <c r="S20" s="489"/>
      <c r="T20" s="489"/>
      <c r="U20" s="489"/>
      <c r="V20" s="490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</row>
    <row r="21" spans="1:64" ht="12.75">
      <c r="A21" s="488" t="s">
        <v>390</v>
      </c>
      <c r="B21" s="490" t="s">
        <v>432</v>
      </c>
      <c r="C21" s="441"/>
      <c r="D21" s="475">
        <f t="shared" si="2"/>
        <v>31</v>
      </c>
      <c r="E21" s="500">
        <f t="shared" si="3"/>
        <v>0</v>
      </c>
      <c r="F21" s="488"/>
      <c r="G21" s="489"/>
      <c r="H21" s="489"/>
      <c r="I21" s="489"/>
      <c r="J21" s="490"/>
      <c r="K21" s="488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90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>
        <v>9</v>
      </c>
      <c r="AJ21" s="441">
        <v>8</v>
      </c>
      <c r="AK21" s="441">
        <v>1</v>
      </c>
      <c r="AL21" s="441">
        <v>2</v>
      </c>
      <c r="AM21" s="441">
        <v>2</v>
      </c>
      <c r="AN21" s="441">
        <v>7</v>
      </c>
      <c r="AO21" s="441">
        <v>2</v>
      </c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</row>
    <row r="22" spans="1:64" ht="12.75">
      <c r="A22" s="488" t="s">
        <v>390</v>
      </c>
      <c r="B22" s="490" t="s">
        <v>433</v>
      </c>
      <c r="C22" s="441"/>
      <c r="D22" s="475">
        <f t="shared" si="2"/>
        <v>263</v>
      </c>
      <c r="E22" s="500">
        <f t="shared" si="3"/>
        <v>0</v>
      </c>
      <c r="F22" s="488"/>
      <c r="G22" s="489"/>
      <c r="H22" s="489"/>
      <c r="I22" s="489"/>
      <c r="J22" s="490"/>
      <c r="K22" s="488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90"/>
      <c r="W22" s="441"/>
      <c r="X22" s="441"/>
      <c r="Y22" s="441"/>
      <c r="Z22" s="441"/>
      <c r="AA22" s="441"/>
      <c r="AB22" s="441">
        <v>25</v>
      </c>
      <c r="AC22" s="441">
        <v>24</v>
      </c>
      <c r="AD22" s="441">
        <v>28</v>
      </c>
      <c r="AE22" s="441">
        <v>24</v>
      </c>
      <c r="AF22" s="441"/>
      <c r="AG22" s="441"/>
      <c r="AH22" s="441"/>
      <c r="AI22" s="441">
        <v>23</v>
      </c>
      <c r="AJ22" s="441">
        <v>20</v>
      </c>
      <c r="AK22" s="441">
        <v>17</v>
      </c>
      <c r="AL22" s="441">
        <v>26</v>
      </c>
      <c r="AM22" s="441">
        <v>29</v>
      </c>
      <c r="AN22" s="441">
        <v>33</v>
      </c>
      <c r="AO22" s="441">
        <v>14</v>
      </c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</row>
    <row r="23" spans="1:64" ht="12.75">
      <c r="A23" s="488" t="s">
        <v>390</v>
      </c>
      <c r="B23" s="490" t="s">
        <v>434</v>
      </c>
      <c r="C23" s="441"/>
      <c r="D23" s="475">
        <f t="shared" si="2"/>
        <v>134</v>
      </c>
      <c r="E23" s="500">
        <f t="shared" si="3"/>
        <v>16</v>
      </c>
      <c r="F23" s="1016">
        <v>2.2</v>
      </c>
      <c r="G23" s="1016">
        <v>2.1</v>
      </c>
      <c r="H23" s="1016">
        <v>2.1</v>
      </c>
      <c r="I23" s="1016">
        <v>2.2</v>
      </c>
      <c r="J23" s="1016">
        <v>2.2</v>
      </c>
      <c r="K23" s="1016">
        <v>3</v>
      </c>
      <c r="L23" s="1017">
        <v>2.2</v>
      </c>
      <c r="M23" s="489">
        <v>2</v>
      </c>
      <c r="N23" s="489">
        <v>3</v>
      </c>
      <c r="O23" s="489">
        <v>2</v>
      </c>
      <c r="P23" s="489">
        <v>2</v>
      </c>
      <c r="Q23" s="489">
        <v>3</v>
      </c>
      <c r="R23" s="489">
        <v>2</v>
      </c>
      <c r="S23" s="489">
        <v>2</v>
      </c>
      <c r="T23" s="489">
        <v>3</v>
      </c>
      <c r="U23" s="489">
        <v>2</v>
      </c>
      <c r="V23" s="490">
        <v>2</v>
      </c>
      <c r="W23" s="441">
        <v>3</v>
      </c>
      <c r="X23" s="441">
        <v>2</v>
      </c>
      <c r="Y23" s="441">
        <v>2</v>
      </c>
      <c r="Z23" s="441">
        <v>3</v>
      </c>
      <c r="AA23" s="441">
        <v>2</v>
      </c>
      <c r="AB23" s="441">
        <v>3</v>
      </c>
      <c r="AC23" s="441">
        <v>3</v>
      </c>
      <c r="AD23" s="441">
        <v>2</v>
      </c>
      <c r="AE23" s="441">
        <v>3</v>
      </c>
      <c r="AF23" s="441">
        <v>3</v>
      </c>
      <c r="AG23" s="441">
        <v>3</v>
      </c>
      <c r="AH23" s="441">
        <v>2</v>
      </c>
      <c r="AI23" s="441">
        <v>6</v>
      </c>
      <c r="AJ23" s="441">
        <v>5</v>
      </c>
      <c r="AK23" s="441">
        <v>4</v>
      </c>
      <c r="AL23" s="441">
        <v>5</v>
      </c>
      <c r="AM23" s="441">
        <v>5</v>
      </c>
      <c r="AN23" s="441">
        <v>6</v>
      </c>
      <c r="AO23" s="441">
        <v>6</v>
      </c>
      <c r="AP23" s="441">
        <v>5</v>
      </c>
      <c r="AQ23" s="441">
        <v>6</v>
      </c>
      <c r="AR23" s="441">
        <v>5</v>
      </c>
      <c r="AS23" s="441">
        <v>6</v>
      </c>
      <c r="AT23" s="441">
        <v>5</v>
      </c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441"/>
    </row>
    <row r="24" spans="1:64" ht="12.75">
      <c r="A24" s="488" t="s">
        <v>390</v>
      </c>
      <c r="B24" s="490" t="s">
        <v>435</v>
      </c>
      <c r="C24" s="441"/>
      <c r="D24" s="475">
        <f t="shared" si="2"/>
        <v>46</v>
      </c>
      <c r="E24" s="500">
        <f t="shared" si="3"/>
        <v>0</v>
      </c>
      <c r="F24" s="488"/>
      <c r="G24" s="489"/>
      <c r="H24" s="489"/>
      <c r="I24" s="489"/>
      <c r="J24" s="490"/>
      <c r="K24" s="488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90"/>
      <c r="W24" s="441">
        <v>13</v>
      </c>
      <c r="X24" s="441">
        <v>1</v>
      </c>
      <c r="Y24" s="441">
        <v>1</v>
      </c>
      <c r="Z24" s="441">
        <v>2</v>
      </c>
      <c r="AA24" s="441">
        <v>2</v>
      </c>
      <c r="AB24" s="441">
        <v>1</v>
      </c>
      <c r="AC24" s="441">
        <v>5</v>
      </c>
      <c r="AD24" s="441">
        <v>11</v>
      </c>
      <c r="AE24" s="441">
        <v>8</v>
      </c>
      <c r="AF24" s="441">
        <v>2</v>
      </c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441"/>
    </row>
    <row r="25" spans="1:64" ht="12.75">
      <c r="A25" s="488" t="s">
        <v>390</v>
      </c>
      <c r="B25" s="490" t="s">
        <v>436</v>
      </c>
      <c r="C25" s="441"/>
      <c r="D25" s="475">
        <f t="shared" si="2"/>
        <v>654</v>
      </c>
      <c r="E25" s="500">
        <f t="shared" si="3"/>
        <v>0</v>
      </c>
      <c r="F25" s="488"/>
      <c r="G25" s="489"/>
      <c r="H25" s="489"/>
      <c r="I25" s="489"/>
      <c r="J25" s="490"/>
      <c r="K25" s="488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90"/>
      <c r="W25" s="441">
        <v>23</v>
      </c>
      <c r="X25" s="441">
        <v>18</v>
      </c>
      <c r="Y25" s="441"/>
      <c r="Z25" s="441">
        <v>59</v>
      </c>
      <c r="AA25" s="441">
        <v>35</v>
      </c>
      <c r="AB25" s="441">
        <v>21</v>
      </c>
      <c r="AC25" s="441">
        <v>23</v>
      </c>
      <c r="AD25" s="441">
        <v>17</v>
      </c>
      <c r="AE25" s="441"/>
      <c r="AF25" s="441"/>
      <c r="AG25" s="441">
        <v>30</v>
      </c>
      <c r="AH25" s="441">
        <v>44</v>
      </c>
      <c r="AI25" s="441">
        <v>61</v>
      </c>
      <c r="AJ25" s="441">
        <v>57</v>
      </c>
      <c r="AK25" s="441">
        <v>49</v>
      </c>
      <c r="AL25" s="441">
        <v>55</v>
      </c>
      <c r="AM25" s="441">
        <v>42</v>
      </c>
      <c r="AN25" s="441">
        <v>32</v>
      </c>
      <c r="AO25" s="441">
        <v>29</v>
      </c>
      <c r="AP25" s="441">
        <v>26</v>
      </c>
      <c r="AQ25" s="441">
        <v>30</v>
      </c>
      <c r="AR25" s="441">
        <v>2</v>
      </c>
      <c r="AS25" s="441">
        <v>1</v>
      </c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</row>
    <row r="26" spans="1:64" ht="12.75">
      <c r="A26" s="488" t="s">
        <v>390</v>
      </c>
      <c r="B26" s="490" t="s">
        <v>437</v>
      </c>
      <c r="C26" s="441"/>
      <c r="D26" s="475">
        <f t="shared" si="2"/>
        <v>105</v>
      </c>
      <c r="E26" s="500">
        <f t="shared" si="3"/>
        <v>0</v>
      </c>
      <c r="F26" s="488"/>
      <c r="G26" s="489"/>
      <c r="H26" s="489"/>
      <c r="I26" s="489"/>
      <c r="J26" s="490"/>
      <c r="K26" s="488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90"/>
      <c r="W26" s="441">
        <v>18</v>
      </c>
      <c r="X26" s="441">
        <v>18</v>
      </c>
      <c r="Y26" s="441">
        <v>11</v>
      </c>
      <c r="Z26" s="441">
        <v>13</v>
      </c>
      <c r="AA26" s="441">
        <v>10</v>
      </c>
      <c r="AB26" s="441"/>
      <c r="AC26" s="441"/>
      <c r="AD26" s="441">
        <v>15</v>
      </c>
      <c r="AE26" s="441">
        <v>16</v>
      </c>
      <c r="AF26" s="441">
        <v>4</v>
      </c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</row>
    <row r="27" spans="1:64" ht="12.75">
      <c r="A27" s="488" t="s">
        <v>390</v>
      </c>
      <c r="B27" s="490" t="s">
        <v>438</v>
      </c>
      <c r="C27" s="441"/>
      <c r="D27" s="475">
        <f t="shared" si="2"/>
        <v>573</v>
      </c>
      <c r="E27" s="500">
        <f t="shared" si="3"/>
        <v>0</v>
      </c>
      <c r="F27" s="488"/>
      <c r="G27" s="489"/>
      <c r="H27" s="489"/>
      <c r="I27" s="489"/>
      <c r="J27" s="490"/>
      <c r="K27" s="488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90"/>
      <c r="W27" s="441"/>
      <c r="X27" s="441"/>
      <c r="Y27" s="441"/>
      <c r="Z27" s="441"/>
      <c r="AA27" s="441"/>
      <c r="AB27" s="441"/>
      <c r="AC27" s="441">
        <v>7</v>
      </c>
      <c r="AD27" s="441">
        <v>8</v>
      </c>
      <c r="AE27" s="441">
        <v>23</v>
      </c>
      <c r="AF27" s="441">
        <v>24</v>
      </c>
      <c r="AG27" s="441">
        <v>21</v>
      </c>
      <c r="AH27" s="441">
        <v>23</v>
      </c>
      <c r="AI27" s="441">
        <v>25</v>
      </c>
      <c r="AJ27" s="441">
        <v>57</v>
      </c>
      <c r="AK27" s="441">
        <v>58</v>
      </c>
      <c r="AL27" s="441">
        <v>73</v>
      </c>
      <c r="AM27" s="441">
        <v>68</v>
      </c>
      <c r="AN27" s="441">
        <v>60</v>
      </c>
      <c r="AO27" s="441">
        <v>57</v>
      </c>
      <c r="AP27" s="441">
        <v>45</v>
      </c>
      <c r="AQ27" s="441">
        <v>24</v>
      </c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1"/>
      <c r="BL27" s="441"/>
    </row>
    <row r="28" spans="1:64" ht="12.75">
      <c r="A28" s="488" t="s">
        <v>390</v>
      </c>
      <c r="B28" s="490" t="s">
        <v>439</v>
      </c>
      <c r="C28" s="441"/>
      <c r="D28" s="475">
        <f t="shared" si="2"/>
        <v>202</v>
      </c>
      <c r="E28" s="500">
        <f t="shared" si="3"/>
        <v>0</v>
      </c>
      <c r="F28" s="488"/>
      <c r="G28" s="489"/>
      <c r="H28" s="489"/>
      <c r="I28" s="489"/>
      <c r="J28" s="490"/>
      <c r="K28" s="488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90">
        <v>5</v>
      </c>
      <c r="W28" s="441">
        <v>43</v>
      </c>
      <c r="X28" s="441">
        <v>74</v>
      </c>
      <c r="Y28" s="441">
        <v>68</v>
      </c>
      <c r="Z28" s="441">
        <v>12</v>
      </c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</row>
    <row r="29" spans="1:64" ht="12.75">
      <c r="A29" s="488" t="s">
        <v>390</v>
      </c>
      <c r="B29" s="490" t="s">
        <v>440</v>
      </c>
      <c r="C29" s="441"/>
      <c r="D29" s="475">
        <f t="shared" si="2"/>
        <v>1416</v>
      </c>
      <c r="E29" s="500">
        <f t="shared" si="3"/>
        <v>-304</v>
      </c>
      <c r="F29" s="488">
        <v>-308</v>
      </c>
      <c r="G29" s="489"/>
      <c r="H29" s="489"/>
      <c r="I29" s="489"/>
      <c r="J29" s="490"/>
      <c r="K29" s="488">
        <v>2</v>
      </c>
      <c r="L29" s="489">
        <v>2</v>
      </c>
      <c r="M29" s="489">
        <v>1</v>
      </c>
      <c r="N29" s="489">
        <v>2</v>
      </c>
      <c r="O29" s="489">
        <v>2</v>
      </c>
      <c r="P29" s="489">
        <v>2</v>
      </c>
      <c r="Q29" s="489">
        <v>2</v>
      </c>
      <c r="R29" s="489">
        <v>2</v>
      </c>
      <c r="S29" s="489">
        <v>2</v>
      </c>
      <c r="T29" s="489">
        <v>2</v>
      </c>
      <c r="U29" s="489">
        <v>2</v>
      </c>
      <c r="V29" s="490">
        <v>2</v>
      </c>
      <c r="W29" s="441">
        <v>14</v>
      </c>
      <c r="X29" s="441">
        <v>12</v>
      </c>
      <c r="Y29" s="441">
        <v>5</v>
      </c>
      <c r="Z29" s="441">
        <v>71</v>
      </c>
      <c r="AA29" s="441">
        <v>63</v>
      </c>
      <c r="AB29" s="441">
        <v>68</v>
      </c>
      <c r="AC29" s="441">
        <v>66</v>
      </c>
      <c r="AD29" s="441">
        <v>60</v>
      </c>
      <c r="AE29" s="441">
        <v>66</v>
      </c>
      <c r="AF29" s="441">
        <v>66</v>
      </c>
      <c r="AG29" s="441">
        <v>62</v>
      </c>
      <c r="AH29" s="441">
        <v>61</v>
      </c>
      <c r="AI29" s="441">
        <v>64</v>
      </c>
      <c r="AJ29" s="441">
        <v>54</v>
      </c>
      <c r="AK29" s="441">
        <v>45</v>
      </c>
      <c r="AL29" s="441">
        <v>56</v>
      </c>
      <c r="AM29" s="441">
        <v>55</v>
      </c>
      <c r="AN29" s="441">
        <v>86</v>
      </c>
      <c r="AO29" s="441">
        <v>85</v>
      </c>
      <c r="AP29" s="441">
        <v>79</v>
      </c>
      <c r="AQ29" s="441">
        <v>85</v>
      </c>
      <c r="AR29" s="441">
        <v>83</v>
      </c>
      <c r="AS29" s="441">
        <v>84</v>
      </c>
      <c r="AT29" s="441">
        <v>81</v>
      </c>
      <c r="AU29" s="441">
        <v>79</v>
      </c>
      <c r="AV29" s="441">
        <v>77</v>
      </c>
      <c r="AW29" s="441">
        <v>70</v>
      </c>
      <c r="AX29" s="441">
        <v>4</v>
      </c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</row>
    <row r="30" spans="1:64" ht="12.75">
      <c r="A30" s="488" t="s">
        <v>390</v>
      </c>
      <c r="B30" s="490" t="s">
        <v>441</v>
      </c>
      <c r="C30" s="441"/>
      <c r="D30" s="475">
        <f t="shared" si="2"/>
        <v>1406</v>
      </c>
      <c r="E30" s="500">
        <f t="shared" si="3"/>
        <v>0</v>
      </c>
      <c r="F30" s="488"/>
      <c r="G30" s="489"/>
      <c r="H30" s="489"/>
      <c r="I30" s="489"/>
      <c r="J30" s="490"/>
      <c r="K30" s="488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90"/>
      <c r="W30" s="441"/>
      <c r="X30" s="441"/>
      <c r="Y30" s="441"/>
      <c r="Z30" s="441">
        <v>10</v>
      </c>
      <c r="AA30" s="441">
        <v>38</v>
      </c>
      <c r="AB30" s="441">
        <v>42</v>
      </c>
      <c r="AC30" s="441">
        <v>42</v>
      </c>
      <c r="AD30" s="441">
        <v>38</v>
      </c>
      <c r="AE30" s="441">
        <v>42</v>
      </c>
      <c r="AF30" s="441">
        <v>42</v>
      </c>
      <c r="AG30" s="441">
        <v>40</v>
      </c>
      <c r="AH30" s="441">
        <v>42</v>
      </c>
      <c r="AI30" s="441">
        <v>42</v>
      </c>
      <c r="AJ30" s="441">
        <v>40</v>
      </c>
      <c r="AK30" s="441">
        <v>44</v>
      </c>
      <c r="AL30" s="441">
        <v>40</v>
      </c>
      <c r="AM30" s="441">
        <v>38</v>
      </c>
      <c r="AN30" s="441">
        <v>83</v>
      </c>
      <c r="AO30" s="441">
        <v>87</v>
      </c>
      <c r="AP30" s="441">
        <v>83</v>
      </c>
      <c r="AQ30" s="441">
        <v>87</v>
      </c>
      <c r="AR30" s="441">
        <v>87</v>
      </c>
      <c r="AS30" s="441">
        <v>87</v>
      </c>
      <c r="AT30" s="441">
        <v>87</v>
      </c>
      <c r="AU30" s="441">
        <v>83</v>
      </c>
      <c r="AV30" s="441">
        <v>87</v>
      </c>
      <c r="AW30" s="441">
        <v>91</v>
      </c>
      <c r="AX30" s="441">
        <v>4</v>
      </c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</row>
    <row r="31" spans="1:64" ht="12.75">
      <c r="A31" s="488" t="s">
        <v>390</v>
      </c>
      <c r="B31" s="490" t="s">
        <v>442</v>
      </c>
      <c r="C31" s="441"/>
      <c r="D31" s="475">
        <f t="shared" si="2"/>
        <v>4511</v>
      </c>
      <c r="E31" s="500">
        <f t="shared" si="3"/>
        <v>0</v>
      </c>
      <c r="F31" s="488"/>
      <c r="G31" s="489"/>
      <c r="H31" s="489"/>
      <c r="I31" s="489"/>
      <c r="J31" s="490"/>
      <c r="K31" s="488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90"/>
      <c r="W31" s="441"/>
      <c r="X31" s="441">
        <v>59</v>
      </c>
      <c r="Y31" s="441">
        <v>393</v>
      </c>
      <c r="Z31" s="441">
        <v>369</v>
      </c>
      <c r="AA31" s="441">
        <v>129</v>
      </c>
      <c r="AB31" s="441">
        <v>103</v>
      </c>
      <c r="AC31" s="441">
        <v>102</v>
      </c>
      <c r="AD31" s="441">
        <v>108</v>
      </c>
      <c r="AE31" s="441">
        <v>147</v>
      </c>
      <c r="AF31" s="441">
        <v>75</v>
      </c>
      <c r="AG31" s="441">
        <v>74</v>
      </c>
      <c r="AH31" s="441">
        <v>107</v>
      </c>
      <c r="AI31" s="441">
        <v>243</v>
      </c>
      <c r="AJ31" s="441">
        <v>98</v>
      </c>
      <c r="AK31" s="441">
        <v>128</v>
      </c>
      <c r="AL31" s="441">
        <v>224</v>
      </c>
      <c r="AM31" s="441">
        <v>105</v>
      </c>
      <c r="AN31" s="441">
        <v>206</v>
      </c>
      <c r="AO31" s="441">
        <v>295</v>
      </c>
      <c r="AP31" s="441">
        <v>206</v>
      </c>
      <c r="AQ31" s="441">
        <v>172</v>
      </c>
      <c r="AR31" s="441">
        <v>181</v>
      </c>
      <c r="AS31" s="441">
        <v>197</v>
      </c>
      <c r="AT31" s="441">
        <v>151</v>
      </c>
      <c r="AU31" s="441">
        <v>248</v>
      </c>
      <c r="AV31" s="441">
        <v>211</v>
      </c>
      <c r="AW31" s="441">
        <v>157</v>
      </c>
      <c r="AX31" s="441">
        <v>23</v>
      </c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</row>
    <row r="32" spans="1:64" ht="13.5" thickBot="1">
      <c r="A32" s="492" t="s">
        <v>390</v>
      </c>
      <c r="B32" s="434" t="s">
        <v>443</v>
      </c>
      <c r="C32" s="441"/>
      <c r="D32" s="475">
        <f t="shared" si="2"/>
        <v>414</v>
      </c>
      <c r="E32" s="503">
        <f t="shared" si="3"/>
        <v>0</v>
      </c>
      <c r="F32" s="492"/>
      <c r="G32" s="493"/>
      <c r="H32" s="493"/>
      <c r="I32" s="493"/>
      <c r="J32" s="434"/>
      <c r="K32" s="432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8"/>
      <c r="W32" s="441"/>
      <c r="X32" s="441"/>
      <c r="Y32" s="441"/>
      <c r="Z32" s="441">
        <v>6</v>
      </c>
      <c r="AA32" s="441">
        <v>24</v>
      </c>
      <c r="AB32" s="441">
        <v>26</v>
      </c>
      <c r="AC32" s="441">
        <v>26</v>
      </c>
      <c r="AD32" s="441">
        <v>24</v>
      </c>
      <c r="AE32" s="441">
        <v>26</v>
      </c>
      <c r="AF32" s="441">
        <v>26</v>
      </c>
      <c r="AG32" s="441">
        <v>25</v>
      </c>
      <c r="AH32" s="441">
        <v>25</v>
      </c>
      <c r="AI32" s="441">
        <v>26</v>
      </c>
      <c r="AJ32" s="441">
        <v>23</v>
      </c>
      <c r="AK32" s="441">
        <v>19</v>
      </c>
      <c r="AL32" s="441">
        <v>24</v>
      </c>
      <c r="AM32" s="441">
        <v>24</v>
      </c>
      <c r="AN32" s="441">
        <v>27</v>
      </c>
      <c r="AO32" s="441">
        <v>26</v>
      </c>
      <c r="AP32" s="441">
        <v>24</v>
      </c>
      <c r="AQ32" s="441">
        <v>13</v>
      </c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</row>
    <row r="33" spans="1:64" ht="13.5" thickBot="1">
      <c r="A33" s="441"/>
      <c r="B33" s="422" t="s">
        <v>695</v>
      </c>
      <c r="C33" s="374"/>
      <c r="D33" s="344">
        <f aca="true" t="shared" si="4" ref="D33:AI33">SUM(D8:D32)</f>
        <v>24693.559999999998</v>
      </c>
      <c r="E33" s="386">
        <f t="shared" si="4"/>
        <v>4659.28</v>
      </c>
      <c r="F33" s="358">
        <f t="shared" si="4"/>
        <v>196.57</v>
      </c>
      <c r="G33" s="359">
        <f t="shared" si="4"/>
        <v>494.19000000000005</v>
      </c>
      <c r="H33" s="359">
        <f t="shared" si="4"/>
        <v>847.97</v>
      </c>
      <c r="I33" s="359">
        <f t="shared" si="4"/>
        <v>726.4000000000001</v>
      </c>
      <c r="J33" s="360">
        <f t="shared" si="4"/>
        <v>547.77</v>
      </c>
      <c r="K33" s="358">
        <f t="shared" si="4"/>
        <v>1204.6100000000001</v>
      </c>
      <c r="L33" s="359">
        <f t="shared" si="4"/>
        <v>641.77</v>
      </c>
      <c r="M33" s="359">
        <f t="shared" si="4"/>
        <v>490.99</v>
      </c>
      <c r="N33" s="359">
        <f t="shared" si="4"/>
        <v>733.1800000000001</v>
      </c>
      <c r="O33" s="359">
        <f t="shared" si="4"/>
        <v>615.01</v>
      </c>
      <c r="P33" s="359">
        <f t="shared" si="4"/>
        <v>599.26</v>
      </c>
      <c r="Q33" s="359">
        <f t="shared" si="4"/>
        <v>565.74</v>
      </c>
      <c r="R33" s="359">
        <f t="shared" si="4"/>
        <v>520.27</v>
      </c>
      <c r="S33" s="359">
        <f t="shared" si="4"/>
        <v>441.47</v>
      </c>
      <c r="T33" s="359">
        <f t="shared" si="4"/>
        <v>567.25</v>
      </c>
      <c r="U33" s="359">
        <f t="shared" si="4"/>
        <v>382.9</v>
      </c>
      <c r="V33" s="360">
        <f t="shared" si="4"/>
        <v>368.82</v>
      </c>
      <c r="W33" s="21">
        <f t="shared" si="4"/>
        <v>467.28</v>
      </c>
      <c r="X33" s="21">
        <f t="shared" si="4"/>
        <v>499.05</v>
      </c>
      <c r="Y33" s="21">
        <f t="shared" si="4"/>
        <v>700.13</v>
      </c>
      <c r="Z33" s="21">
        <f t="shared" si="4"/>
        <v>870.14</v>
      </c>
      <c r="AA33" s="21">
        <f t="shared" si="4"/>
        <v>709.69</v>
      </c>
      <c r="AB33" s="21">
        <f t="shared" si="4"/>
        <v>742.23</v>
      </c>
      <c r="AC33" s="21">
        <f t="shared" si="4"/>
        <v>653.24</v>
      </c>
      <c r="AD33" s="21">
        <f t="shared" si="4"/>
        <v>657.74</v>
      </c>
      <c r="AE33" s="21">
        <f t="shared" si="4"/>
        <v>669.4</v>
      </c>
      <c r="AF33" s="21">
        <f t="shared" si="4"/>
        <v>589.3199999999999</v>
      </c>
      <c r="AG33" s="21">
        <f t="shared" si="4"/>
        <v>545.1700000000001</v>
      </c>
      <c r="AH33" s="21">
        <f t="shared" si="4"/>
        <v>610.1700000000001</v>
      </c>
      <c r="AI33" s="21">
        <f t="shared" si="4"/>
        <v>830.3199999999999</v>
      </c>
      <c r="AJ33" s="21">
        <f aca="true" t="shared" si="5" ref="AJ33:BD33">SUM(AJ8:AJ32)</f>
        <v>573.51</v>
      </c>
      <c r="AK33" s="21">
        <f t="shared" si="5"/>
        <v>417</v>
      </c>
      <c r="AL33" s="21">
        <f t="shared" si="5"/>
        <v>544</v>
      </c>
      <c r="AM33" s="21">
        <f t="shared" si="5"/>
        <v>389</v>
      </c>
      <c r="AN33" s="21">
        <f t="shared" si="5"/>
        <v>562</v>
      </c>
      <c r="AO33" s="21">
        <f t="shared" si="5"/>
        <v>619</v>
      </c>
      <c r="AP33" s="21">
        <f t="shared" si="5"/>
        <v>482</v>
      </c>
      <c r="AQ33" s="21">
        <f t="shared" si="5"/>
        <v>428</v>
      </c>
      <c r="AR33" s="21">
        <f t="shared" si="5"/>
        <v>358</v>
      </c>
      <c r="AS33" s="21">
        <f t="shared" si="5"/>
        <v>375</v>
      </c>
      <c r="AT33" s="21">
        <f t="shared" si="5"/>
        <v>324</v>
      </c>
      <c r="AU33" s="21">
        <f t="shared" si="5"/>
        <v>410</v>
      </c>
      <c r="AV33" s="21">
        <f t="shared" si="5"/>
        <v>375</v>
      </c>
      <c r="AW33" s="21">
        <f t="shared" si="5"/>
        <v>318</v>
      </c>
      <c r="AX33" s="21">
        <f t="shared" si="5"/>
        <v>31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  <c r="BD33" s="21">
        <f t="shared" si="5"/>
        <v>0</v>
      </c>
      <c r="BE33" s="441"/>
      <c r="BF33" s="441"/>
      <c r="BG33" s="441"/>
      <c r="BH33" s="441"/>
      <c r="BI33" s="441"/>
      <c r="BJ33" s="441"/>
      <c r="BK33" s="441"/>
      <c r="BL33" s="441"/>
    </row>
    <row r="34" spans="1:64" ht="6" customHeight="1" thickBot="1">
      <c r="A34" s="441"/>
      <c r="B34" s="441"/>
      <c r="C34" s="441"/>
      <c r="D34" s="475"/>
      <c r="E34" s="476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</row>
    <row r="35" spans="1:64" ht="12.75">
      <c r="A35" s="430" t="s">
        <v>391</v>
      </c>
      <c r="B35" s="431" t="s">
        <v>394</v>
      </c>
      <c r="C35" s="441"/>
      <c r="D35" s="475">
        <f aca="true" t="shared" si="6" ref="D35:D60">SUM(F35:BO35)</f>
        <v>258</v>
      </c>
      <c r="E35" s="504">
        <f aca="true" t="shared" si="7" ref="E35:E60">SUM(F35:L35)</f>
        <v>104</v>
      </c>
      <c r="F35" s="430">
        <v>5</v>
      </c>
      <c r="G35" s="491"/>
      <c r="H35" s="491"/>
      <c r="I35" s="491">
        <v>9</v>
      </c>
      <c r="J35" s="431">
        <v>30</v>
      </c>
      <c r="K35" s="430">
        <v>35</v>
      </c>
      <c r="L35" s="491">
        <v>25</v>
      </c>
      <c r="M35" s="491">
        <v>30</v>
      </c>
      <c r="N35" s="491">
        <v>48</v>
      </c>
      <c r="O35" s="491">
        <v>32</v>
      </c>
      <c r="P35" s="491">
        <v>33</v>
      </c>
      <c r="Q35" s="491">
        <v>11</v>
      </c>
      <c r="R35" s="491"/>
      <c r="S35" s="491"/>
      <c r="T35" s="491"/>
      <c r="U35" s="491"/>
      <c r="V35" s="43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</row>
    <row r="36" spans="1:64" ht="12.75">
      <c r="A36" s="488" t="s">
        <v>391</v>
      </c>
      <c r="B36" s="490" t="s">
        <v>395</v>
      </c>
      <c r="C36" s="441"/>
      <c r="D36" s="475">
        <f t="shared" si="6"/>
        <v>1629</v>
      </c>
      <c r="E36" s="500">
        <f t="shared" si="7"/>
        <v>0</v>
      </c>
      <c r="F36" s="488"/>
      <c r="G36" s="489"/>
      <c r="H36" s="489"/>
      <c r="I36" s="489"/>
      <c r="J36" s="490"/>
      <c r="K36" s="488"/>
      <c r="L36" s="489"/>
      <c r="M36" s="489"/>
      <c r="N36" s="489"/>
      <c r="O36" s="489"/>
      <c r="P36" s="489">
        <v>4</v>
      </c>
      <c r="Q36" s="489">
        <v>20</v>
      </c>
      <c r="R36" s="489">
        <v>40</v>
      </c>
      <c r="S36" s="489">
        <v>136</v>
      </c>
      <c r="T36" s="489">
        <v>173</v>
      </c>
      <c r="U36" s="489">
        <v>325</v>
      </c>
      <c r="V36" s="490">
        <v>270</v>
      </c>
      <c r="W36" s="441">
        <v>183</v>
      </c>
      <c r="X36" s="441">
        <v>101</v>
      </c>
      <c r="Y36" s="441">
        <v>56</v>
      </c>
      <c r="Z36" s="441">
        <v>63</v>
      </c>
      <c r="AA36" s="441">
        <v>65</v>
      </c>
      <c r="AB36" s="441">
        <v>64</v>
      </c>
      <c r="AC36" s="441">
        <v>69</v>
      </c>
      <c r="AD36" s="441">
        <v>32</v>
      </c>
      <c r="AE36" s="441"/>
      <c r="AF36" s="441"/>
      <c r="AG36" s="441"/>
      <c r="AH36" s="441"/>
      <c r="AI36" s="441"/>
      <c r="AJ36" s="441"/>
      <c r="AK36" s="441"/>
      <c r="AL36" s="441"/>
      <c r="AM36" s="441">
        <v>2</v>
      </c>
      <c r="AN36" s="441">
        <v>12</v>
      </c>
      <c r="AO36" s="441">
        <v>14</v>
      </c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</row>
    <row r="37" spans="1:64" ht="12.75">
      <c r="A37" s="488" t="s">
        <v>391</v>
      </c>
      <c r="B37" s="490" t="s">
        <v>396</v>
      </c>
      <c r="C37" s="441"/>
      <c r="D37" s="475">
        <f t="shared" si="6"/>
        <v>339</v>
      </c>
      <c r="E37" s="500">
        <f t="shared" si="7"/>
        <v>0</v>
      </c>
      <c r="F37" s="488"/>
      <c r="G37" s="489"/>
      <c r="H37" s="489"/>
      <c r="I37" s="489"/>
      <c r="J37" s="490"/>
      <c r="K37" s="488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90"/>
      <c r="W37" s="441"/>
      <c r="X37" s="441"/>
      <c r="Y37" s="441"/>
      <c r="Z37" s="441"/>
      <c r="AA37" s="441"/>
      <c r="AB37" s="441"/>
      <c r="AC37" s="441">
        <v>4</v>
      </c>
      <c r="AD37" s="441">
        <v>8</v>
      </c>
      <c r="AE37" s="441">
        <v>16</v>
      </c>
      <c r="AF37" s="441">
        <v>2</v>
      </c>
      <c r="AG37" s="441">
        <v>2</v>
      </c>
      <c r="AH37" s="441">
        <v>47</v>
      </c>
      <c r="AI37" s="441">
        <v>52</v>
      </c>
      <c r="AJ37" s="441">
        <v>45</v>
      </c>
      <c r="AK37" s="441">
        <v>38</v>
      </c>
      <c r="AL37" s="441">
        <v>47</v>
      </c>
      <c r="AM37" s="441">
        <v>47</v>
      </c>
      <c r="AN37" s="441">
        <v>31</v>
      </c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</row>
    <row r="38" spans="1:64" ht="38.25">
      <c r="A38" s="488" t="s">
        <v>391</v>
      </c>
      <c r="B38" s="799" t="s">
        <v>397</v>
      </c>
      <c r="C38" s="800" t="s">
        <v>844</v>
      </c>
      <c r="D38" s="475">
        <f t="shared" si="6"/>
        <v>1867.7</v>
      </c>
      <c r="E38" s="500">
        <f t="shared" si="7"/>
        <v>29.6</v>
      </c>
      <c r="F38" s="488"/>
      <c r="G38" s="489"/>
      <c r="H38" s="489"/>
      <c r="I38" s="489"/>
      <c r="J38" s="490"/>
      <c r="K38" s="488"/>
      <c r="L38" s="489">
        <v>29.6</v>
      </c>
      <c r="M38" s="489">
        <v>44.9</v>
      </c>
      <c r="N38" s="489">
        <v>71.2</v>
      </c>
      <c r="O38" s="489">
        <v>45.8</v>
      </c>
      <c r="P38" s="489">
        <v>67.8</v>
      </c>
      <c r="Q38" s="489">
        <v>67.7</v>
      </c>
      <c r="R38" s="489">
        <v>28.5</v>
      </c>
      <c r="S38" s="489">
        <v>163.8</v>
      </c>
      <c r="T38" s="489">
        <v>213.7</v>
      </c>
      <c r="U38" s="489">
        <v>225.1</v>
      </c>
      <c r="V38" s="490">
        <v>214.7</v>
      </c>
      <c r="W38" s="441">
        <v>168.4</v>
      </c>
      <c r="X38" s="441">
        <v>90</v>
      </c>
      <c r="Y38" s="441">
        <v>57.6</v>
      </c>
      <c r="Z38" s="441">
        <v>95.4</v>
      </c>
      <c r="AA38" s="441">
        <v>87.3</v>
      </c>
      <c r="AB38" s="441">
        <v>41.7</v>
      </c>
      <c r="AC38" s="441">
        <v>23.6</v>
      </c>
      <c r="AD38" s="441">
        <v>1.5</v>
      </c>
      <c r="AE38" s="441">
        <v>64.7</v>
      </c>
      <c r="AF38" s="441">
        <v>64.7</v>
      </c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</row>
    <row r="39" spans="1:64" ht="12.75">
      <c r="A39" s="488" t="s">
        <v>391</v>
      </c>
      <c r="B39" s="490" t="s">
        <v>398</v>
      </c>
      <c r="C39" s="441"/>
      <c r="D39" s="475">
        <f t="shared" si="6"/>
        <v>73</v>
      </c>
      <c r="E39" s="500">
        <f t="shared" si="7"/>
        <v>0</v>
      </c>
      <c r="F39" s="488"/>
      <c r="G39" s="489"/>
      <c r="H39" s="489"/>
      <c r="I39" s="489"/>
      <c r="J39" s="490"/>
      <c r="K39" s="488"/>
      <c r="L39" s="489"/>
      <c r="M39" s="489"/>
      <c r="N39" s="489"/>
      <c r="O39" s="489">
        <v>4</v>
      </c>
      <c r="P39" s="489">
        <v>4</v>
      </c>
      <c r="Q39" s="489">
        <v>4</v>
      </c>
      <c r="R39" s="489">
        <v>5</v>
      </c>
      <c r="S39" s="489">
        <v>3</v>
      </c>
      <c r="T39" s="489">
        <v>7</v>
      </c>
      <c r="U39" s="489">
        <v>4</v>
      </c>
      <c r="V39" s="490"/>
      <c r="W39" s="441">
        <v>15</v>
      </c>
      <c r="X39" s="441">
        <v>12</v>
      </c>
      <c r="Y39" s="441">
        <v>3</v>
      </c>
      <c r="Z39" s="441">
        <v>6</v>
      </c>
      <c r="AA39" s="441">
        <v>4</v>
      </c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>
        <v>2</v>
      </c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</row>
    <row r="40" spans="1:64" ht="12.75">
      <c r="A40" s="488" t="s">
        <v>391</v>
      </c>
      <c r="B40" s="490" t="s">
        <v>393</v>
      </c>
      <c r="C40" s="441"/>
      <c r="D40" s="475">
        <f t="shared" si="6"/>
        <v>1004</v>
      </c>
      <c r="E40" s="500">
        <f t="shared" si="7"/>
        <v>348</v>
      </c>
      <c r="F40" s="488">
        <v>8</v>
      </c>
      <c r="G40" s="489">
        <v>65</v>
      </c>
      <c r="H40" s="489">
        <v>60</v>
      </c>
      <c r="I40" s="489">
        <v>35</v>
      </c>
      <c r="J40" s="490">
        <v>60</v>
      </c>
      <c r="K40" s="488">
        <v>61</v>
      </c>
      <c r="L40" s="489">
        <v>59</v>
      </c>
      <c r="M40" s="489">
        <v>56</v>
      </c>
      <c r="N40" s="489">
        <v>59</v>
      </c>
      <c r="O40" s="489">
        <v>58</v>
      </c>
      <c r="P40" s="489">
        <v>104</v>
      </c>
      <c r="Q40" s="489">
        <v>57</v>
      </c>
      <c r="R40" s="489">
        <v>57</v>
      </c>
      <c r="S40" s="489">
        <v>56</v>
      </c>
      <c r="T40" s="489">
        <v>103</v>
      </c>
      <c r="U40" s="489">
        <v>54</v>
      </c>
      <c r="V40" s="490">
        <v>52</v>
      </c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</row>
    <row r="41" spans="1:64" ht="12.75">
      <c r="A41" s="488" t="s">
        <v>391</v>
      </c>
      <c r="B41" s="490" t="s">
        <v>399</v>
      </c>
      <c r="C41" s="441"/>
      <c r="D41" s="475">
        <f t="shared" si="6"/>
        <v>-36</v>
      </c>
      <c r="E41" s="500">
        <f t="shared" si="7"/>
        <v>-36</v>
      </c>
      <c r="F41" s="488">
        <v>-36</v>
      </c>
      <c r="G41" s="489"/>
      <c r="H41" s="489"/>
      <c r="I41" s="489"/>
      <c r="J41" s="490"/>
      <c r="K41" s="488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90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1"/>
    </row>
    <row r="42" spans="1:64" s="22" customFormat="1" ht="12.75">
      <c r="A42" s="488" t="s">
        <v>391</v>
      </c>
      <c r="B42" s="490" t="s">
        <v>401</v>
      </c>
      <c r="C42" s="441"/>
      <c r="D42" s="475">
        <f t="shared" si="6"/>
        <v>-84</v>
      </c>
      <c r="E42" s="500">
        <f t="shared" si="7"/>
        <v>-84</v>
      </c>
      <c r="F42" s="488">
        <v>5</v>
      </c>
      <c r="G42" s="489">
        <v>1</v>
      </c>
      <c r="H42" s="489"/>
      <c r="I42" s="489">
        <v>-90</v>
      </c>
      <c r="J42" s="490"/>
      <c r="K42" s="488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90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</row>
    <row r="43" spans="1:64" ht="12.75">
      <c r="A43" s="488" t="s">
        <v>391</v>
      </c>
      <c r="B43" s="490" t="s">
        <v>400</v>
      </c>
      <c r="C43" s="441"/>
      <c r="D43" s="475">
        <f t="shared" si="6"/>
        <v>280</v>
      </c>
      <c r="E43" s="500">
        <f t="shared" si="7"/>
        <v>242</v>
      </c>
      <c r="F43" s="488">
        <v>12</v>
      </c>
      <c r="G43" s="489">
        <v>23</v>
      </c>
      <c r="H43" s="489">
        <v>8</v>
      </c>
      <c r="I43" s="489">
        <v>15</v>
      </c>
      <c r="J43" s="490">
        <v>12</v>
      </c>
      <c r="K43" s="488">
        <v>116</v>
      </c>
      <c r="L43" s="489">
        <v>56</v>
      </c>
      <c r="M43" s="489">
        <v>19</v>
      </c>
      <c r="N43" s="489">
        <v>17</v>
      </c>
      <c r="O43" s="489">
        <v>2</v>
      </c>
      <c r="P43" s="489"/>
      <c r="Q43" s="489"/>
      <c r="R43" s="489"/>
      <c r="S43" s="489"/>
      <c r="T43" s="489"/>
      <c r="U43" s="489"/>
      <c r="V43" s="490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</row>
    <row r="44" spans="1:64" ht="12.75">
      <c r="A44" s="488" t="s">
        <v>391</v>
      </c>
      <c r="B44" s="490" t="s">
        <v>402</v>
      </c>
      <c r="C44" s="441"/>
      <c r="D44" s="475">
        <f t="shared" si="6"/>
        <v>1208</v>
      </c>
      <c r="E44" s="500">
        <f t="shared" si="7"/>
        <v>1140</v>
      </c>
      <c r="F44" s="488">
        <v>177</v>
      </c>
      <c r="G44" s="489">
        <v>276</v>
      </c>
      <c r="H44" s="489">
        <v>250</v>
      </c>
      <c r="I44" s="489">
        <v>191</v>
      </c>
      <c r="J44" s="490">
        <v>102</v>
      </c>
      <c r="K44" s="488">
        <v>118</v>
      </c>
      <c r="L44" s="489">
        <v>26</v>
      </c>
      <c r="M44" s="489">
        <v>19</v>
      </c>
      <c r="N44" s="489">
        <v>25</v>
      </c>
      <c r="O44" s="489">
        <v>24</v>
      </c>
      <c r="P44" s="489"/>
      <c r="Q44" s="489"/>
      <c r="R44" s="489"/>
      <c r="S44" s="489"/>
      <c r="T44" s="489"/>
      <c r="U44" s="489"/>
      <c r="V44" s="490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</row>
    <row r="45" spans="1:64" ht="12.75">
      <c r="A45" s="488" t="s">
        <v>391</v>
      </c>
      <c r="B45" s="490" t="s">
        <v>403</v>
      </c>
      <c r="C45" s="441"/>
      <c r="D45" s="475">
        <f t="shared" si="6"/>
        <v>118</v>
      </c>
      <c r="E45" s="500">
        <f t="shared" si="7"/>
        <v>118</v>
      </c>
      <c r="F45" s="488">
        <v>30</v>
      </c>
      <c r="G45" s="489"/>
      <c r="H45" s="489">
        <v>51</v>
      </c>
      <c r="I45" s="489">
        <v>37</v>
      </c>
      <c r="J45" s="490"/>
      <c r="K45" s="488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90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</row>
    <row r="46" spans="1:64" ht="12.75">
      <c r="A46" s="488" t="s">
        <v>391</v>
      </c>
      <c r="B46" s="490" t="s">
        <v>409</v>
      </c>
      <c r="C46" s="441"/>
      <c r="D46" s="475">
        <f t="shared" si="6"/>
        <v>186</v>
      </c>
      <c r="E46" s="500">
        <f t="shared" si="7"/>
        <v>186</v>
      </c>
      <c r="F46" s="488">
        <v>7</v>
      </c>
      <c r="G46" s="489">
        <v>31</v>
      </c>
      <c r="H46" s="489">
        <v>32</v>
      </c>
      <c r="I46" s="489">
        <v>58</v>
      </c>
      <c r="J46" s="490">
        <v>36</v>
      </c>
      <c r="K46" s="488">
        <v>22</v>
      </c>
      <c r="L46" s="489">
        <v>0</v>
      </c>
      <c r="M46" s="489"/>
      <c r="N46" s="489"/>
      <c r="O46" s="489"/>
      <c r="P46" s="489"/>
      <c r="Q46" s="489"/>
      <c r="R46" s="489"/>
      <c r="S46" s="489"/>
      <c r="T46" s="489"/>
      <c r="U46" s="489"/>
      <c r="V46" s="490"/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</row>
    <row r="47" spans="1:64" ht="12.75">
      <c r="A47" s="488" t="s">
        <v>391</v>
      </c>
      <c r="B47" s="490" t="s">
        <v>410</v>
      </c>
      <c r="C47" s="441"/>
      <c r="D47" s="475">
        <f t="shared" si="6"/>
        <v>1074</v>
      </c>
      <c r="E47" s="500">
        <f t="shared" si="7"/>
        <v>0</v>
      </c>
      <c r="F47" s="488"/>
      <c r="G47" s="489"/>
      <c r="H47" s="489"/>
      <c r="I47" s="489"/>
      <c r="J47" s="490"/>
      <c r="K47" s="488"/>
      <c r="L47" s="489"/>
      <c r="M47" s="489"/>
      <c r="N47" s="489"/>
      <c r="O47" s="489"/>
      <c r="P47" s="489"/>
      <c r="Q47" s="489"/>
      <c r="R47" s="489"/>
      <c r="S47" s="489">
        <v>32</v>
      </c>
      <c r="T47" s="489">
        <v>109</v>
      </c>
      <c r="U47" s="489">
        <v>131</v>
      </c>
      <c r="V47" s="490">
        <v>131</v>
      </c>
      <c r="W47" s="441">
        <v>143</v>
      </c>
      <c r="X47" s="441">
        <v>93</v>
      </c>
      <c r="Y47" s="441">
        <v>51</v>
      </c>
      <c r="Z47" s="441">
        <v>63</v>
      </c>
      <c r="AA47" s="441">
        <v>60</v>
      </c>
      <c r="AB47" s="441">
        <v>66</v>
      </c>
      <c r="AC47" s="441">
        <v>66</v>
      </c>
      <c r="AD47" s="441">
        <v>60</v>
      </c>
      <c r="AE47" s="441">
        <v>66</v>
      </c>
      <c r="AF47" s="441">
        <v>3</v>
      </c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</row>
    <row r="48" spans="1:64" ht="12.75">
      <c r="A48" s="488" t="s">
        <v>391</v>
      </c>
      <c r="B48" s="490" t="s">
        <v>411</v>
      </c>
      <c r="C48" s="441"/>
      <c r="D48" s="475">
        <f t="shared" si="6"/>
        <v>861</v>
      </c>
      <c r="E48" s="500">
        <f t="shared" si="7"/>
        <v>6</v>
      </c>
      <c r="F48" s="488">
        <v>6</v>
      </c>
      <c r="G48" s="489"/>
      <c r="H48" s="489"/>
      <c r="I48" s="489"/>
      <c r="J48" s="490"/>
      <c r="K48" s="488"/>
      <c r="L48" s="489"/>
      <c r="M48" s="489"/>
      <c r="N48" s="489">
        <v>28</v>
      </c>
      <c r="O48" s="489">
        <v>27</v>
      </c>
      <c r="P48" s="489">
        <v>27</v>
      </c>
      <c r="Q48" s="489">
        <v>28</v>
      </c>
      <c r="R48" s="489">
        <v>27</v>
      </c>
      <c r="S48" s="489">
        <v>48</v>
      </c>
      <c r="T48" s="489">
        <v>31</v>
      </c>
      <c r="U48" s="489">
        <v>47</v>
      </c>
      <c r="V48" s="490">
        <v>58</v>
      </c>
      <c r="W48" s="441">
        <v>77</v>
      </c>
      <c r="X48" s="441">
        <v>61</v>
      </c>
      <c r="Y48" s="441">
        <v>53</v>
      </c>
      <c r="Z48" s="441">
        <v>26</v>
      </c>
      <c r="AA48" s="441">
        <v>20</v>
      </c>
      <c r="AB48" s="441">
        <v>23</v>
      </c>
      <c r="AC48" s="441">
        <v>23</v>
      </c>
      <c r="AD48" s="441">
        <v>20</v>
      </c>
      <c r="AE48" s="441">
        <v>23</v>
      </c>
      <c r="AF48" s="441">
        <v>23</v>
      </c>
      <c r="AG48" s="441">
        <v>21</v>
      </c>
      <c r="AH48" s="441">
        <v>4</v>
      </c>
      <c r="AI48" s="441">
        <v>42</v>
      </c>
      <c r="AJ48" s="441">
        <v>42</v>
      </c>
      <c r="AK48" s="441">
        <v>39</v>
      </c>
      <c r="AL48" s="441">
        <v>34</v>
      </c>
      <c r="AM48" s="441">
        <v>3</v>
      </c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1"/>
    </row>
    <row r="49" spans="1:64" ht="12.75">
      <c r="A49" s="488" t="s">
        <v>391</v>
      </c>
      <c r="B49" s="490" t="s">
        <v>406</v>
      </c>
      <c r="C49" s="441"/>
      <c r="D49" s="475">
        <f t="shared" si="6"/>
        <v>207</v>
      </c>
      <c r="E49" s="500">
        <f t="shared" si="7"/>
        <v>0</v>
      </c>
      <c r="F49" s="488"/>
      <c r="G49" s="489"/>
      <c r="H49" s="489"/>
      <c r="I49" s="489"/>
      <c r="J49" s="490"/>
      <c r="K49" s="488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90"/>
      <c r="W49" s="441">
        <v>6</v>
      </c>
      <c r="X49" s="441">
        <v>4</v>
      </c>
      <c r="Y49" s="441">
        <v>4</v>
      </c>
      <c r="Z49" s="441">
        <v>10</v>
      </c>
      <c r="AA49" s="441">
        <v>22</v>
      </c>
      <c r="AB49" s="441">
        <v>43</v>
      </c>
      <c r="AC49" s="441">
        <v>44</v>
      </c>
      <c r="AD49" s="441">
        <v>21</v>
      </c>
      <c r="AE49" s="441">
        <v>23</v>
      </c>
      <c r="AF49" s="441">
        <v>23</v>
      </c>
      <c r="AG49" s="441">
        <v>7</v>
      </c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</row>
    <row r="50" spans="1:64" ht="12.75">
      <c r="A50" s="488" t="s">
        <v>391</v>
      </c>
      <c r="B50" s="490" t="s">
        <v>404</v>
      </c>
      <c r="C50" s="441"/>
      <c r="D50" s="475">
        <f t="shared" si="6"/>
        <v>164</v>
      </c>
      <c r="E50" s="500">
        <f t="shared" si="7"/>
        <v>79</v>
      </c>
      <c r="F50" s="488"/>
      <c r="G50" s="489"/>
      <c r="H50" s="489"/>
      <c r="I50" s="489"/>
      <c r="J50" s="490"/>
      <c r="K50" s="488">
        <v>43</v>
      </c>
      <c r="L50" s="489">
        <v>36</v>
      </c>
      <c r="M50" s="489">
        <v>28</v>
      </c>
      <c r="N50" s="489">
        <v>41</v>
      </c>
      <c r="O50" s="489">
        <v>15</v>
      </c>
      <c r="P50" s="489">
        <v>1</v>
      </c>
      <c r="Q50" s="489"/>
      <c r="R50" s="489"/>
      <c r="S50" s="489"/>
      <c r="T50" s="489"/>
      <c r="U50" s="489"/>
      <c r="V50" s="490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</row>
    <row r="51" spans="1:64" ht="12.75">
      <c r="A51" s="488" t="s">
        <v>391</v>
      </c>
      <c r="B51" s="490" t="s">
        <v>407</v>
      </c>
      <c r="C51" s="441"/>
      <c r="D51" s="475">
        <f t="shared" si="6"/>
        <v>325</v>
      </c>
      <c r="E51" s="500">
        <f t="shared" si="7"/>
        <v>0</v>
      </c>
      <c r="F51" s="488"/>
      <c r="G51" s="489"/>
      <c r="H51" s="489"/>
      <c r="I51" s="489"/>
      <c r="J51" s="490"/>
      <c r="K51" s="488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90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>
        <v>74</v>
      </c>
      <c r="AJ51" s="441">
        <v>64</v>
      </c>
      <c r="AK51" s="441">
        <v>54</v>
      </c>
      <c r="AL51" s="441">
        <v>52</v>
      </c>
      <c r="AM51" s="441">
        <v>36</v>
      </c>
      <c r="AN51" s="441">
        <v>31</v>
      </c>
      <c r="AO51" s="441">
        <v>14</v>
      </c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  <c r="BH51" s="441"/>
      <c r="BI51" s="441"/>
      <c r="BJ51" s="441"/>
      <c r="BK51" s="441"/>
      <c r="BL51" s="441"/>
    </row>
    <row r="52" spans="1:64" ht="12.75">
      <c r="A52" s="488" t="s">
        <v>391</v>
      </c>
      <c r="B52" s="490" t="s">
        <v>405</v>
      </c>
      <c r="C52" s="441"/>
      <c r="D52" s="475">
        <f t="shared" si="6"/>
        <v>91</v>
      </c>
      <c r="E52" s="500">
        <f t="shared" si="7"/>
        <v>0</v>
      </c>
      <c r="F52" s="488"/>
      <c r="G52" s="489"/>
      <c r="H52" s="489"/>
      <c r="I52" s="489"/>
      <c r="J52" s="490"/>
      <c r="K52" s="488"/>
      <c r="L52" s="489"/>
      <c r="M52" s="489"/>
      <c r="N52" s="489"/>
      <c r="O52" s="489"/>
      <c r="P52" s="489">
        <v>1</v>
      </c>
      <c r="Q52" s="489">
        <v>1</v>
      </c>
      <c r="R52" s="489">
        <v>1</v>
      </c>
      <c r="S52" s="489">
        <v>6</v>
      </c>
      <c r="T52" s="489">
        <v>18</v>
      </c>
      <c r="U52" s="489">
        <v>17</v>
      </c>
      <c r="V52" s="490">
        <v>18</v>
      </c>
      <c r="W52" s="441">
        <v>20</v>
      </c>
      <c r="X52" s="441">
        <v>6</v>
      </c>
      <c r="Y52" s="441">
        <v>1</v>
      </c>
      <c r="Z52" s="441">
        <v>1</v>
      </c>
      <c r="AA52" s="441">
        <v>1</v>
      </c>
      <c r="AB52" s="441">
        <v>0</v>
      </c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  <c r="BH52" s="441"/>
      <c r="BI52" s="441"/>
      <c r="BJ52" s="441"/>
      <c r="BK52" s="441"/>
      <c r="BL52" s="441"/>
    </row>
    <row r="53" spans="1:64" ht="12.75">
      <c r="A53" s="488" t="s">
        <v>391</v>
      </c>
      <c r="B53" s="490" t="s">
        <v>408</v>
      </c>
      <c r="C53" s="441"/>
      <c r="D53" s="475">
        <f t="shared" si="6"/>
        <v>517</v>
      </c>
      <c r="E53" s="500">
        <f t="shared" si="7"/>
        <v>139</v>
      </c>
      <c r="F53" s="488">
        <v>9</v>
      </c>
      <c r="G53" s="489">
        <v>15</v>
      </c>
      <c r="H53" s="489">
        <v>17</v>
      </c>
      <c r="I53" s="489">
        <v>26</v>
      </c>
      <c r="J53" s="490">
        <v>25</v>
      </c>
      <c r="K53" s="488">
        <v>28</v>
      </c>
      <c r="L53" s="489">
        <v>19</v>
      </c>
      <c r="M53" s="489">
        <v>25</v>
      </c>
      <c r="N53" s="489">
        <v>37</v>
      </c>
      <c r="O53" s="489">
        <v>35</v>
      </c>
      <c r="P53" s="489">
        <v>35</v>
      </c>
      <c r="Q53" s="489">
        <v>36</v>
      </c>
      <c r="R53" s="489">
        <v>32</v>
      </c>
      <c r="S53" s="489">
        <v>32</v>
      </c>
      <c r="T53" s="489">
        <v>33</v>
      </c>
      <c r="U53" s="489">
        <v>34</v>
      </c>
      <c r="V53" s="490">
        <v>39</v>
      </c>
      <c r="W53" s="441">
        <v>19</v>
      </c>
      <c r="X53" s="441">
        <v>7</v>
      </c>
      <c r="Y53" s="441">
        <v>7</v>
      </c>
      <c r="Z53" s="441">
        <v>7</v>
      </c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  <c r="BH53" s="441"/>
      <c r="BI53" s="441"/>
      <c r="BJ53" s="441"/>
      <c r="BK53" s="441"/>
      <c r="BL53" s="441"/>
    </row>
    <row r="54" spans="1:64" ht="12.75">
      <c r="A54" s="488" t="s">
        <v>391</v>
      </c>
      <c r="B54" s="490" t="s">
        <v>412</v>
      </c>
      <c r="C54" s="441"/>
      <c r="D54" s="475">
        <f t="shared" si="6"/>
        <v>1618</v>
      </c>
      <c r="E54" s="500">
        <f t="shared" si="7"/>
        <v>233</v>
      </c>
      <c r="F54" s="488">
        <v>34</v>
      </c>
      <c r="G54" s="489">
        <v>32</v>
      </c>
      <c r="H54" s="489">
        <v>32</v>
      </c>
      <c r="I54" s="489">
        <v>35</v>
      </c>
      <c r="J54" s="490">
        <v>29</v>
      </c>
      <c r="K54" s="488">
        <v>38</v>
      </c>
      <c r="L54" s="489">
        <v>33</v>
      </c>
      <c r="M54" s="489">
        <v>25</v>
      </c>
      <c r="N54" s="489">
        <v>36</v>
      </c>
      <c r="O54" s="489">
        <v>34</v>
      </c>
      <c r="P54" s="489">
        <v>34</v>
      </c>
      <c r="Q54" s="489">
        <v>36</v>
      </c>
      <c r="R54" s="489">
        <v>34</v>
      </c>
      <c r="S54" s="489">
        <v>34</v>
      </c>
      <c r="T54" s="489">
        <v>36</v>
      </c>
      <c r="U54" s="489">
        <v>34</v>
      </c>
      <c r="V54" s="490">
        <v>33</v>
      </c>
      <c r="W54" s="441">
        <v>40</v>
      </c>
      <c r="X54" s="441">
        <v>31</v>
      </c>
      <c r="Y54" s="441">
        <v>30</v>
      </c>
      <c r="Z54" s="441">
        <v>37</v>
      </c>
      <c r="AA54" s="441">
        <v>35</v>
      </c>
      <c r="AB54" s="441">
        <v>38</v>
      </c>
      <c r="AC54" s="441">
        <v>38</v>
      </c>
      <c r="AD54" s="441">
        <v>35</v>
      </c>
      <c r="AE54" s="441">
        <v>38</v>
      </c>
      <c r="AF54" s="441">
        <v>38</v>
      </c>
      <c r="AG54" s="441">
        <v>37</v>
      </c>
      <c r="AH54" s="441">
        <v>33</v>
      </c>
      <c r="AI54" s="441">
        <v>40</v>
      </c>
      <c r="AJ54" s="441">
        <v>34</v>
      </c>
      <c r="AK54" s="441">
        <v>29</v>
      </c>
      <c r="AL54" s="441">
        <v>36</v>
      </c>
      <c r="AM54" s="441">
        <v>36</v>
      </c>
      <c r="AN54" s="441">
        <v>42</v>
      </c>
      <c r="AO54" s="441">
        <v>40</v>
      </c>
      <c r="AP54" s="441">
        <v>36</v>
      </c>
      <c r="AQ54" s="441">
        <v>40</v>
      </c>
      <c r="AR54" s="441">
        <v>38</v>
      </c>
      <c r="AS54" s="441">
        <v>40</v>
      </c>
      <c r="AT54" s="441">
        <v>38</v>
      </c>
      <c r="AU54" s="441">
        <v>45</v>
      </c>
      <c r="AV54" s="441">
        <v>43</v>
      </c>
      <c r="AW54" s="441">
        <v>37</v>
      </c>
      <c r="AX54" s="441">
        <v>45</v>
      </c>
      <c r="AY54" s="441"/>
      <c r="AZ54" s="441"/>
      <c r="BA54" s="441"/>
      <c r="BB54" s="441"/>
      <c r="BC54" s="441"/>
      <c r="BD54" s="441"/>
      <c r="BE54" s="441"/>
      <c r="BF54" s="441"/>
      <c r="BG54" s="441"/>
      <c r="BH54" s="441"/>
      <c r="BI54" s="441"/>
      <c r="BJ54" s="441"/>
      <c r="BK54" s="441"/>
      <c r="BL54" s="441"/>
    </row>
    <row r="55" spans="1:64" ht="12.75">
      <c r="A55" s="488" t="s">
        <v>391</v>
      </c>
      <c r="B55" s="490" t="s">
        <v>413</v>
      </c>
      <c r="C55" s="441"/>
      <c r="D55" s="475">
        <f t="shared" si="6"/>
        <v>2519</v>
      </c>
      <c r="E55" s="500">
        <f t="shared" si="7"/>
        <v>457</v>
      </c>
      <c r="F55" s="494">
        <v>82</v>
      </c>
      <c r="G55" s="495">
        <v>76</v>
      </c>
      <c r="H55" s="495">
        <v>63</v>
      </c>
      <c r="I55" s="495">
        <v>69</v>
      </c>
      <c r="J55" s="496">
        <v>53</v>
      </c>
      <c r="K55" s="488">
        <v>61</v>
      </c>
      <c r="L55" s="489">
        <v>53</v>
      </c>
      <c r="M55" s="489">
        <v>40</v>
      </c>
      <c r="N55" s="489">
        <v>59</v>
      </c>
      <c r="O55" s="489">
        <v>56</v>
      </c>
      <c r="P55" s="489">
        <v>56</v>
      </c>
      <c r="Q55" s="489">
        <v>59</v>
      </c>
      <c r="R55" s="489">
        <v>56</v>
      </c>
      <c r="S55" s="489">
        <v>56</v>
      </c>
      <c r="T55" s="489">
        <v>59</v>
      </c>
      <c r="U55" s="489">
        <v>56</v>
      </c>
      <c r="V55" s="490">
        <v>56</v>
      </c>
      <c r="W55" s="441">
        <v>61</v>
      </c>
      <c r="X55" s="441">
        <v>48</v>
      </c>
      <c r="Y55" s="441">
        <v>45</v>
      </c>
      <c r="Z55" s="441">
        <v>56</v>
      </c>
      <c r="AA55" s="441">
        <v>53</v>
      </c>
      <c r="AB55" s="441">
        <v>59</v>
      </c>
      <c r="AC55" s="441">
        <v>59</v>
      </c>
      <c r="AD55" s="441">
        <v>53</v>
      </c>
      <c r="AE55" s="441">
        <v>59</v>
      </c>
      <c r="AF55" s="441">
        <v>59</v>
      </c>
      <c r="AG55" s="441">
        <v>56</v>
      </c>
      <c r="AH55" s="441">
        <v>56</v>
      </c>
      <c r="AI55" s="441">
        <v>59</v>
      </c>
      <c r="AJ55" s="441">
        <v>51</v>
      </c>
      <c r="AK55" s="441">
        <v>43</v>
      </c>
      <c r="AL55" s="441">
        <v>53</v>
      </c>
      <c r="AM55" s="441">
        <v>53</v>
      </c>
      <c r="AN55" s="441">
        <v>61</v>
      </c>
      <c r="AO55" s="441">
        <v>59</v>
      </c>
      <c r="AP55" s="441">
        <v>53</v>
      </c>
      <c r="AQ55" s="441">
        <v>59</v>
      </c>
      <c r="AR55" s="441">
        <v>56</v>
      </c>
      <c r="AS55" s="441">
        <v>59</v>
      </c>
      <c r="AT55" s="441">
        <v>56</v>
      </c>
      <c r="AU55" s="441">
        <v>48</v>
      </c>
      <c r="AV55" s="441">
        <v>46</v>
      </c>
      <c r="AW55" s="441">
        <v>39</v>
      </c>
      <c r="AX55" s="441">
        <v>48</v>
      </c>
      <c r="AY55" s="441">
        <v>2</v>
      </c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</row>
    <row r="56" spans="1:64" ht="12.75">
      <c r="A56" s="488" t="s">
        <v>391</v>
      </c>
      <c r="B56" s="490" t="s">
        <v>414</v>
      </c>
      <c r="C56" s="441"/>
      <c r="D56" s="475">
        <f t="shared" si="6"/>
        <v>1412</v>
      </c>
      <c r="E56" s="500">
        <f t="shared" si="7"/>
        <v>226</v>
      </c>
      <c r="F56" s="488">
        <v>33</v>
      </c>
      <c r="G56" s="489">
        <v>32</v>
      </c>
      <c r="H56" s="489">
        <v>32</v>
      </c>
      <c r="I56" s="489">
        <v>35</v>
      </c>
      <c r="J56" s="490">
        <v>29</v>
      </c>
      <c r="K56" s="488">
        <v>35</v>
      </c>
      <c r="L56" s="489">
        <v>30</v>
      </c>
      <c r="M56" s="489">
        <v>23</v>
      </c>
      <c r="N56" s="489">
        <v>33</v>
      </c>
      <c r="O56" s="489">
        <v>32</v>
      </c>
      <c r="P56" s="489">
        <v>32</v>
      </c>
      <c r="Q56" s="489">
        <v>33</v>
      </c>
      <c r="R56" s="489">
        <v>32</v>
      </c>
      <c r="S56" s="489">
        <v>32</v>
      </c>
      <c r="T56" s="489">
        <v>33</v>
      </c>
      <c r="U56" s="489">
        <v>32</v>
      </c>
      <c r="V56" s="490">
        <v>32</v>
      </c>
      <c r="W56" s="441">
        <v>35</v>
      </c>
      <c r="X56" s="441">
        <v>27</v>
      </c>
      <c r="Y56" s="441">
        <v>26</v>
      </c>
      <c r="Z56" s="441">
        <v>32</v>
      </c>
      <c r="AA56" s="441">
        <v>30</v>
      </c>
      <c r="AB56" s="441">
        <v>33</v>
      </c>
      <c r="AC56" s="441">
        <v>33</v>
      </c>
      <c r="AD56" s="441">
        <v>30</v>
      </c>
      <c r="AE56" s="441">
        <v>33</v>
      </c>
      <c r="AF56" s="441">
        <v>33</v>
      </c>
      <c r="AG56" s="441">
        <v>32</v>
      </c>
      <c r="AH56" s="441">
        <v>32</v>
      </c>
      <c r="AI56" s="441">
        <v>33</v>
      </c>
      <c r="AJ56" s="441">
        <v>29</v>
      </c>
      <c r="AK56" s="441">
        <v>24</v>
      </c>
      <c r="AL56" s="441">
        <v>30</v>
      </c>
      <c r="AM56" s="441">
        <v>30</v>
      </c>
      <c r="AN56" s="441">
        <v>35</v>
      </c>
      <c r="AO56" s="441">
        <v>33</v>
      </c>
      <c r="AP56" s="441">
        <v>30</v>
      </c>
      <c r="AQ56" s="441">
        <v>33</v>
      </c>
      <c r="AR56" s="441">
        <v>32</v>
      </c>
      <c r="AS56" s="441">
        <v>33</v>
      </c>
      <c r="AT56" s="441">
        <v>32</v>
      </c>
      <c r="AU56" s="441">
        <v>32</v>
      </c>
      <c r="AV56" s="441">
        <v>30</v>
      </c>
      <c r="AW56" s="441">
        <v>26</v>
      </c>
      <c r="AX56" s="441">
        <v>32</v>
      </c>
      <c r="AY56" s="441">
        <v>2</v>
      </c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</row>
    <row r="57" spans="1:64" ht="12.75">
      <c r="A57" s="488" t="s">
        <v>391</v>
      </c>
      <c r="B57" s="490" t="s">
        <v>415</v>
      </c>
      <c r="C57" s="441"/>
      <c r="D57" s="475">
        <f t="shared" si="6"/>
        <v>1160</v>
      </c>
      <c r="E57" s="500">
        <f t="shared" si="7"/>
        <v>231</v>
      </c>
      <c r="F57" s="488">
        <v>37</v>
      </c>
      <c r="G57" s="489">
        <v>36</v>
      </c>
      <c r="H57" s="489">
        <v>36</v>
      </c>
      <c r="I57" s="489">
        <v>39</v>
      </c>
      <c r="J57" s="490">
        <v>32</v>
      </c>
      <c r="K57" s="488">
        <v>27</v>
      </c>
      <c r="L57" s="489">
        <v>24</v>
      </c>
      <c r="M57" s="489">
        <v>18</v>
      </c>
      <c r="N57" s="489">
        <v>26</v>
      </c>
      <c r="O57" s="489">
        <v>25</v>
      </c>
      <c r="P57" s="489">
        <v>25</v>
      </c>
      <c r="Q57" s="489">
        <v>26</v>
      </c>
      <c r="R57" s="489">
        <v>25</v>
      </c>
      <c r="S57" s="489">
        <v>25</v>
      </c>
      <c r="T57" s="489">
        <v>26</v>
      </c>
      <c r="U57" s="489">
        <v>25</v>
      </c>
      <c r="V57" s="490">
        <v>25</v>
      </c>
      <c r="W57" s="441">
        <v>27</v>
      </c>
      <c r="X57" s="441">
        <v>21</v>
      </c>
      <c r="Y57" s="441">
        <v>20</v>
      </c>
      <c r="Z57" s="441">
        <v>25</v>
      </c>
      <c r="AA57" s="441">
        <v>24</v>
      </c>
      <c r="AB57" s="441">
        <v>26</v>
      </c>
      <c r="AC57" s="441">
        <v>26</v>
      </c>
      <c r="AD57" s="441">
        <v>24</v>
      </c>
      <c r="AE57" s="441">
        <v>26</v>
      </c>
      <c r="AF57" s="441">
        <v>26</v>
      </c>
      <c r="AG57" s="441">
        <v>25</v>
      </c>
      <c r="AH57" s="441">
        <v>25</v>
      </c>
      <c r="AI57" s="441">
        <v>26</v>
      </c>
      <c r="AJ57" s="441">
        <v>22</v>
      </c>
      <c r="AK57" s="441">
        <v>19</v>
      </c>
      <c r="AL57" s="441">
        <v>24</v>
      </c>
      <c r="AM57" s="441">
        <v>24</v>
      </c>
      <c r="AN57" s="441">
        <v>27</v>
      </c>
      <c r="AO57" s="441">
        <v>26</v>
      </c>
      <c r="AP57" s="441">
        <v>24</v>
      </c>
      <c r="AQ57" s="441">
        <v>26</v>
      </c>
      <c r="AR57" s="441">
        <v>25</v>
      </c>
      <c r="AS57" s="441">
        <v>26</v>
      </c>
      <c r="AT57" s="441">
        <v>25</v>
      </c>
      <c r="AU57" s="441">
        <v>25</v>
      </c>
      <c r="AV57" s="441">
        <v>24</v>
      </c>
      <c r="AW57" s="441">
        <v>20</v>
      </c>
      <c r="AX57" s="441">
        <v>25</v>
      </c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</row>
    <row r="58" spans="1:64" ht="12.75">
      <c r="A58" s="488" t="s">
        <v>391</v>
      </c>
      <c r="B58" s="490" t="s">
        <v>416</v>
      </c>
      <c r="C58" s="441"/>
      <c r="D58" s="475">
        <f t="shared" si="6"/>
        <v>592</v>
      </c>
      <c r="E58" s="500">
        <f t="shared" si="7"/>
        <v>143</v>
      </c>
      <c r="F58" s="488"/>
      <c r="G58" s="489">
        <v>27</v>
      </c>
      <c r="H58" s="489">
        <v>27</v>
      </c>
      <c r="I58" s="489">
        <v>30</v>
      </c>
      <c r="J58" s="490">
        <v>18</v>
      </c>
      <c r="K58" s="488">
        <v>21</v>
      </c>
      <c r="L58" s="489">
        <v>20</v>
      </c>
      <c r="M58" s="489">
        <v>15</v>
      </c>
      <c r="N58" s="489">
        <v>22</v>
      </c>
      <c r="O58" s="489">
        <v>25</v>
      </c>
      <c r="P58" s="489">
        <v>35</v>
      </c>
      <c r="Q58" s="489">
        <v>37</v>
      </c>
      <c r="R58" s="489">
        <v>35</v>
      </c>
      <c r="S58" s="489">
        <v>18</v>
      </c>
      <c r="T58" s="489">
        <v>12</v>
      </c>
      <c r="U58" s="489">
        <v>12</v>
      </c>
      <c r="V58" s="490">
        <v>12</v>
      </c>
      <c r="W58" s="441">
        <v>13</v>
      </c>
      <c r="X58" s="441">
        <v>14</v>
      </c>
      <c r="Y58" s="441">
        <v>14</v>
      </c>
      <c r="Z58" s="441">
        <v>18</v>
      </c>
      <c r="AA58" s="441">
        <v>18</v>
      </c>
      <c r="AB58" s="441">
        <v>16</v>
      </c>
      <c r="AC58" s="441">
        <v>16</v>
      </c>
      <c r="AD58" s="441">
        <v>14</v>
      </c>
      <c r="AE58" s="441">
        <v>11</v>
      </c>
      <c r="AF58" s="441">
        <v>9</v>
      </c>
      <c r="AG58" s="441">
        <v>9</v>
      </c>
      <c r="AH58" s="441">
        <v>9</v>
      </c>
      <c r="AI58" s="441">
        <v>9</v>
      </c>
      <c r="AJ58" s="441">
        <v>6</v>
      </c>
      <c r="AK58" s="441">
        <v>3</v>
      </c>
      <c r="AL58" s="441">
        <v>4</v>
      </c>
      <c r="AM58" s="441">
        <v>4</v>
      </c>
      <c r="AN58" s="441">
        <v>4</v>
      </c>
      <c r="AO58" s="441">
        <v>4</v>
      </c>
      <c r="AP58" s="441">
        <v>4</v>
      </c>
      <c r="AQ58" s="441">
        <v>4</v>
      </c>
      <c r="AR58" s="441">
        <v>4</v>
      </c>
      <c r="AS58" s="441">
        <v>4</v>
      </c>
      <c r="AT58" s="441">
        <v>4</v>
      </c>
      <c r="AU58" s="441">
        <v>4</v>
      </c>
      <c r="AV58" s="441">
        <v>4</v>
      </c>
      <c r="AW58" s="441">
        <v>3</v>
      </c>
      <c r="AX58" s="441">
        <v>0</v>
      </c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  <c r="BI58" s="441"/>
      <c r="BJ58" s="441"/>
      <c r="BK58" s="441"/>
      <c r="BL58" s="441"/>
    </row>
    <row r="59" spans="1:64" ht="12.75">
      <c r="A59" s="488" t="s">
        <v>391</v>
      </c>
      <c r="B59" s="490" t="s">
        <v>417</v>
      </c>
      <c r="C59" s="441"/>
      <c r="D59" s="475">
        <f t="shared" si="6"/>
        <v>18.8</v>
      </c>
      <c r="E59" s="500">
        <f t="shared" si="7"/>
        <v>18.8</v>
      </c>
      <c r="F59" s="488">
        <v>14.8</v>
      </c>
      <c r="G59" s="489">
        <v>4</v>
      </c>
      <c r="H59" s="489"/>
      <c r="I59" s="489"/>
      <c r="J59" s="490"/>
      <c r="K59" s="488"/>
      <c r="L59" s="489"/>
      <c r="M59" s="489"/>
      <c r="N59" s="489"/>
      <c r="O59" s="489"/>
      <c r="P59" s="489"/>
      <c r="Q59" s="489"/>
      <c r="R59" s="489"/>
      <c r="S59" s="489"/>
      <c r="T59" s="489"/>
      <c r="U59" s="489"/>
      <c r="V59" s="490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/>
      <c r="AV59" s="441"/>
      <c r="AW59" s="441"/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</row>
    <row r="60" spans="1:64" ht="13.5" thickBot="1">
      <c r="A60" s="492" t="s">
        <v>391</v>
      </c>
      <c r="B60" s="434" t="s">
        <v>418</v>
      </c>
      <c r="C60" s="441"/>
      <c r="D60" s="475">
        <f t="shared" si="6"/>
        <v>129</v>
      </c>
      <c r="E60" s="503">
        <f t="shared" si="7"/>
        <v>21</v>
      </c>
      <c r="F60" s="432"/>
      <c r="G60" s="497"/>
      <c r="H60" s="497"/>
      <c r="I60" s="497">
        <v>8</v>
      </c>
      <c r="J60" s="498">
        <v>7</v>
      </c>
      <c r="K60" s="432">
        <v>3</v>
      </c>
      <c r="L60" s="497">
        <v>3</v>
      </c>
      <c r="M60" s="497">
        <v>2</v>
      </c>
      <c r="N60" s="497">
        <v>3</v>
      </c>
      <c r="O60" s="497">
        <v>3</v>
      </c>
      <c r="P60" s="497">
        <v>3</v>
      </c>
      <c r="Q60" s="497">
        <v>3</v>
      </c>
      <c r="R60" s="497">
        <v>3</v>
      </c>
      <c r="S60" s="497">
        <v>3</v>
      </c>
      <c r="T60" s="497">
        <v>3</v>
      </c>
      <c r="U60" s="497">
        <v>3</v>
      </c>
      <c r="V60" s="498">
        <v>3</v>
      </c>
      <c r="W60" s="441">
        <v>3</v>
      </c>
      <c r="X60" s="441">
        <v>2</v>
      </c>
      <c r="Y60" s="441">
        <v>2</v>
      </c>
      <c r="Z60" s="441">
        <v>3</v>
      </c>
      <c r="AA60" s="441">
        <v>3</v>
      </c>
      <c r="AB60" s="441">
        <v>3</v>
      </c>
      <c r="AC60" s="441">
        <v>3</v>
      </c>
      <c r="AD60" s="441">
        <v>3</v>
      </c>
      <c r="AE60" s="441">
        <v>3</v>
      </c>
      <c r="AF60" s="441">
        <v>3</v>
      </c>
      <c r="AG60" s="441">
        <v>3</v>
      </c>
      <c r="AH60" s="441">
        <v>3</v>
      </c>
      <c r="AI60" s="441">
        <v>3</v>
      </c>
      <c r="AJ60" s="441">
        <v>2</v>
      </c>
      <c r="AK60" s="441">
        <v>2</v>
      </c>
      <c r="AL60" s="441">
        <v>3</v>
      </c>
      <c r="AM60" s="441">
        <v>3</v>
      </c>
      <c r="AN60" s="441">
        <v>3</v>
      </c>
      <c r="AO60" s="441">
        <v>3</v>
      </c>
      <c r="AP60" s="441">
        <v>3</v>
      </c>
      <c r="AQ60" s="441">
        <v>3</v>
      </c>
      <c r="AR60" s="441">
        <v>3</v>
      </c>
      <c r="AS60" s="441">
        <v>3</v>
      </c>
      <c r="AT60" s="441">
        <v>3</v>
      </c>
      <c r="AU60" s="441">
        <v>3</v>
      </c>
      <c r="AV60" s="441">
        <v>3</v>
      </c>
      <c r="AW60" s="441">
        <v>2</v>
      </c>
      <c r="AX60" s="441">
        <v>3</v>
      </c>
      <c r="AY60" s="441"/>
      <c r="AZ60" s="441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</row>
    <row r="61" spans="1:64" ht="13.5" thickBot="1">
      <c r="A61" s="441"/>
      <c r="B61" s="422" t="s">
        <v>692</v>
      </c>
      <c r="C61" s="374"/>
      <c r="D61" s="344">
        <f aca="true" t="shared" si="8" ref="D61:AI61">SUM(D35:D60)</f>
        <v>17530.5</v>
      </c>
      <c r="E61" s="386">
        <f t="shared" si="8"/>
        <v>3601.4</v>
      </c>
      <c r="F61" s="358">
        <f t="shared" si="8"/>
        <v>423.8</v>
      </c>
      <c r="G61" s="359">
        <f t="shared" si="8"/>
        <v>618</v>
      </c>
      <c r="H61" s="359">
        <f t="shared" si="8"/>
        <v>608</v>
      </c>
      <c r="I61" s="359">
        <f t="shared" si="8"/>
        <v>497</v>
      </c>
      <c r="J61" s="360">
        <f t="shared" si="8"/>
        <v>433</v>
      </c>
      <c r="K61" s="358">
        <f t="shared" si="8"/>
        <v>608</v>
      </c>
      <c r="L61" s="359">
        <f t="shared" si="8"/>
        <v>413.6</v>
      </c>
      <c r="M61" s="359">
        <f t="shared" si="8"/>
        <v>344.9</v>
      </c>
      <c r="N61" s="359">
        <f t="shared" si="8"/>
        <v>505.2</v>
      </c>
      <c r="O61" s="359">
        <f t="shared" si="8"/>
        <v>417.8</v>
      </c>
      <c r="P61" s="359">
        <f t="shared" si="8"/>
        <v>461.8</v>
      </c>
      <c r="Q61" s="359">
        <f t="shared" si="8"/>
        <v>418.7</v>
      </c>
      <c r="R61" s="359">
        <f t="shared" si="8"/>
        <v>375.5</v>
      </c>
      <c r="S61" s="359">
        <f t="shared" si="8"/>
        <v>644.8</v>
      </c>
      <c r="T61" s="359">
        <f t="shared" si="8"/>
        <v>856.7</v>
      </c>
      <c r="U61" s="359">
        <f t="shared" si="8"/>
        <v>999.1</v>
      </c>
      <c r="V61" s="360">
        <f t="shared" si="8"/>
        <v>943.7</v>
      </c>
      <c r="W61" s="21">
        <f t="shared" si="8"/>
        <v>810.4</v>
      </c>
      <c r="X61" s="21">
        <f t="shared" si="8"/>
        <v>517</v>
      </c>
      <c r="Y61" s="21">
        <f t="shared" si="8"/>
        <v>369.6</v>
      </c>
      <c r="Z61" s="21">
        <f t="shared" si="8"/>
        <v>442.4</v>
      </c>
      <c r="AA61" s="21">
        <f t="shared" si="8"/>
        <v>422.3</v>
      </c>
      <c r="AB61" s="21">
        <f t="shared" si="8"/>
        <v>412.7</v>
      </c>
      <c r="AC61" s="21">
        <f t="shared" si="8"/>
        <v>404.6</v>
      </c>
      <c r="AD61" s="21">
        <f t="shared" si="8"/>
        <v>301.5</v>
      </c>
      <c r="AE61" s="21">
        <f t="shared" si="8"/>
        <v>362.7</v>
      </c>
      <c r="AF61" s="21">
        <f t="shared" si="8"/>
        <v>283.7</v>
      </c>
      <c r="AG61" s="21">
        <f t="shared" si="8"/>
        <v>192</v>
      </c>
      <c r="AH61" s="21">
        <f t="shared" si="8"/>
        <v>209</v>
      </c>
      <c r="AI61" s="21">
        <f t="shared" si="8"/>
        <v>338</v>
      </c>
      <c r="AJ61" s="21">
        <f aca="true" t="shared" si="9" ref="AJ61:BD61">SUM(AJ35:AJ60)</f>
        <v>295</v>
      </c>
      <c r="AK61" s="21">
        <f t="shared" si="9"/>
        <v>251</v>
      </c>
      <c r="AL61" s="21">
        <f t="shared" si="9"/>
        <v>283</v>
      </c>
      <c r="AM61" s="21">
        <f t="shared" si="9"/>
        <v>238</v>
      </c>
      <c r="AN61" s="21">
        <f t="shared" si="9"/>
        <v>248</v>
      </c>
      <c r="AO61" s="21">
        <f t="shared" si="9"/>
        <v>193</v>
      </c>
      <c r="AP61" s="21">
        <f t="shared" si="9"/>
        <v>150</v>
      </c>
      <c r="AQ61" s="21">
        <f t="shared" si="9"/>
        <v>165</v>
      </c>
      <c r="AR61" s="21">
        <f t="shared" si="9"/>
        <v>158</v>
      </c>
      <c r="AS61" s="21">
        <f t="shared" si="9"/>
        <v>165</v>
      </c>
      <c r="AT61" s="21">
        <f t="shared" si="9"/>
        <v>158</v>
      </c>
      <c r="AU61" s="21">
        <f t="shared" si="9"/>
        <v>157</v>
      </c>
      <c r="AV61" s="21">
        <f t="shared" si="9"/>
        <v>150</v>
      </c>
      <c r="AW61" s="21">
        <f t="shared" si="9"/>
        <v>127</v>
      </c>
      <c r="AX61" s="21">
        <f t="shared" si="9"/>
        <v>153</v>
      </c>
      <c r="AY61" s="21">
        <f t="shared" si="9"/>
        <v>4</v>
      </c>
      <c r="AZ61" s="21">
        <f t="shared" si="9"/>
        <v>0</v>
      </c>
      <c r="BA61" s="21">
        <f t="shared" si="9"/>
        <v>0</v>
      </c>
      <c r="BB61" s="21">
        <f t="shared" si="9"/>
        <v>0</v>
      </c>
      <c r="BC61" s="21">
        <f t="shared" si="9"/>
        <v>0</v>
      </c>
      <c r="BD61" s="21">
        <f t="shared" si="9"/>
        <v>0</v>
      </c>
      <c r="BE61" s="441"/>
      <c r="BF61" s="441"/>
      <c r="BG61" s="441"/>
      <c r="BH61" s="441"/>
      <c r="BI61" s="441"/>
      <c r="BJ61" s="441"/>
      <c r="BK61" s="441"/>
      <c r="BL61" s="441"/>
    </row>
    <row r="62" spans="1:64" ht="6.75" customHeight="1" thickBot="1">
      <c r="A62" s="441"/>
      <c r="B62" s="441"/>
      <c r="C62" s="441"/>
      <c r="D62" s="475"/>
      <c r="E62" s="476"/>
      <c r="F62" s="429"/>
      <c r="G62" s="429"/>
      <c r="H62" s="429"/>
      <c r="I62" s="429"/>
      <c r="J62" s="429"/>
      <c r="K62" s="429"/>
      <c r="L62" s="429"/>
      <c r="M62" s="429"/>
      <c r="N62" s="429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/>
      <c r="AV62" s="441"/>
      <c r="AW62" s="441"/>
      <c r="AX62" s="441"/>
      <c r="AY62" s="441"/>
      <c r="AZ62" s="441"/>
      <c r="BA62" s="441"/>
      <c r="BB62" s="441"/>
      <c r="BC62" s="441"/>
      <c r="BD62" s="441"/>
      <c r="BE62" s="441"/>
      <c r="BF62" s="441"/>
      <c r="BG62" s="441"/>
      <c r="BH62" s="441"/>
      <c r="BI62" s="441"/>
      <c r="BJ62" s="441"/>
      <c r="BK62" s="441"/>
      <c r="BL62" s="441"/>
    </row>
    <row r="63" spans="1:64" ht="12.75">
      <c r="A63" s="430" t="s">
        <v>392</v>
      </c>
      <c r="B63" s="431" t="s">
        <v>444</v>
      </c>
      <c r="C63" s="441"/>
      <c r="D63" s="475">
        <f aca="true" t="shared" si="10" ref="D63:D74">SUM(F63:BO63)</f>
        <v>52</v>
      </c>
      <c r="E63" s="504">
        <f aca="true" t="shared" si="11" ref="E63:E74">SUM(F63:L63)</f>
        <v>-104</v>
      </c>
      <c r="F63" s="430">
        <v>-104</v>
      </c>
      <c r="G63" s="491"/>
      <c r="H63" s="491"/>
      <c r="I63" s="491"/>
      <c r="J63" s="431"/>
      <c r="K63" s="430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31"/>
      <c r="W63" s="441">
        <v>0</v>
      </c>
      <c r="X63" s="441">
        <v>0</v>
      </c>
      <c r="Y63" s="441">
        <v>0</v>
      </c>
      <c r="Z63" s="441">
        <v>12</v>
      </c>
      <c r="AA63" s="441">
        <v>11</v>
      </c>
      <c r="AB63" s="441">
        <v>14</v>
      </c>
      <c r="AC63" s="441">
        <v>4</v>
      </c>
      <c r="AD63" s="441">
        <v>3</v>
      </c>
      <c r="AE63" s="441">
        <v>1</v>
      </c>
      <c r="AF63" s="441">
        <v>1</v>
      </c>
      <c r="AG63" s="441">
        <v>3</v>
      </c>
      <c r="AH63" s="441">
        <v>6</v>
      </c>
      <c r="AI63" s="441">
        <v>6</v>
      </c>
      <c r="AJ63" s="441">
        <v>4</v>
      </c>
      <c r="AK63" s="441">
        <v>3</v>
      </c>
      <c r="AL63" s="441">
        <v>8</v>
      </c>
      <c r="AM63" s="441">
        <v>27</v>
      </c>
      <c r="AN63" s="441">
        <v>29</v>
      </c>
      <c r="AO63" s="441">
        <v>15</v>
      </c>
      <c r="AP63" s="441">
        <v>6</v>
      </c>
      <c r="AQ63" s="441">
        <v>3</v>
      </c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</row>
    <row r="64" spans="1:64" ht="12.75">
      <c r="A64" s="488" t="s">
        <v>392</v>
      </c>
      <c r="B64" s="490" t="s">
        <v>445</v>
      </c>
      <c r="C64" s="441"/>
      <c r="D64" s="475">
        <f t="shared" si="10"/>
        <v>604</v>
      </c>
      <c r="E64" s="500">
        <f t="shared" si="11"/>
        <v>2</v>
      </c>
      <c r="F64" s="488"/>
      <c r="G64" s="489"/>
      <c r="H64" s="489"/>
      <c r="I64" s="489"/>
      <c r="J64" s="490"/>
      <c r="K64" s="488">
        <v>1</v>
      </c>
      <c r="L64" s="489">
        <v>1</v>
      </c>
      <c r="M64" s="489">
        <v>1</v>
      </c>
      <c r="N64" s="489">
        <v>1</v>
      </c>
      <c r="O64" s="489">
        <v>1</v>
      </c>
      <c r="P64" s="489">
        <v>1</v>
      </c>
      <c r="Q64" s="489">
        <v>1</v>
      </c>
      <c r="R64" s="489">
        <v>1</v>
      </c>
      <c r="S64" s="489">
        <v>1</v>
      </c>
      <c r="T64" s="489">
        <v>1</v>
      </c>
      <c r="U64" s="489">
        <v>1</v>
      </c>
      <c r="V64" s="490">
        <v>1</v>
      </c>
      <c r="W64" s="441">
        <v>38</v>
      </c>
      <c r="X64" s="441">
        <v>31</v>
      </c>
      <c r="Y64" s="441">
        <v>41</v>
      </c>
      <c r="Z64" s="441">
        <v>53</v>
      </c>
      <c r="AA64" s="441">
        <v>18</v>
      </c>
      <c r="AB64" s="441">
        <v>1</v>
      </c>
      <c r="AC64" s="441">
        <v>1</v>
      </c>
      <c r="AD64" s="441">
        <v>1</v>
      </c>
      <c r="AE64" s="441">
        <v>1</v>
      </c>
      <c r="AF64" s="441">
        <v>14</v>
      </c>
      <c r="AG64" s="441">
        <v>74</v>
      </c>
      <c r="AH64" s="441">
        <v>1</v>
      </c>
      <c r="AI64" s="441">
        <v>0</v>
      </c>
      <c r="AJ64" s="441">
        <v>62</v>
      </c>
      <c r="AK64" s="441">
        <v>52</v>
      </c>
      <c r="AL64" s="441">
        <v>66</v>
      </c>
      <c r="AM64" s="441">
        <v>66</v>
      </c>
      <c r="AN64" s="441">
        <v>72</v>
      </c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1"/>
      <c r="BK64" s="441"/>
      <c r="BL64" s="441"/>
    </row>
    <row r="65" spans="1:64" ht="12.75">
      <c r="A65" s="488" t="s">
        <v>392</v>
      </c>
      <c r="B65" s="490" t="s">
        <v>446</v>
      </c>
      <c r="C65" s="441"/>
      <c r="D65" s="475">
        <f t="shared" si="10"/>
        <v>1084</v>
      </c>
      <c r="E65" s="500">
        <f t="shared" si="11"/>
        <v>0</v>
      </c>
      <c r="F65" s="488"/>
      <c r="G65" s="489"/>
      <c r="H65" s="489"/>
      <c r="I65" s="489"/>
      <c r="J65" s="490"/>
      <c r="K65" s="488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90"/>
      <c r="W65" s="441"/>
      <c r="X65" s="441"/>
      <c r="Y65" s="441"/>
      <c r="Z65" s="441"/>
      <c r="AA65" s="441">
        <v>11</v>
      </c>
      <c r="AB65" s="441">
        <v>26</v>
      </c>
      <c r="AC65" s="441">
        <v>33</v>
      </c>
      <c r="AD65" s="441">
        <v>32</v>
      </c>
      <c r="AE65" s="441">
        <v>41</v>
      </c>
      <c r="AF65" s="441">
        <v>42</v>
      </c>
      <c r="AG65" s="441">
        <v>60</v>
      </c>
      <c r="AH65" s="441">
        <v>69</v>
      </c>
      <c r="AI65" s="441">
        <v>103</v>
      </c>
      <c r="AJ65" s="441">
        <v>73</v>
      </c>
      <c r="AK65" s="441">
        <v>55</v>
      </c>
      <c r="AL65" s="441">
        <v>67</v>
      </c>
      <c r="AM65" s="441">
        <v>75</v>
      </c>
      <c r="AN65" s="441">
        <v>111</v>
      </c>
      <c r="AO65" s="441">
        <v>97</v>
      </c>
      <c r="AP65" s="441">
        <v>91</v>
      </c>
      <c r="AQ65" s="441">
        <v>56</v>
      </c>
      <c r="AR65" s="441">
        <v>31</v>
      </c>
      <c r="AS65" s="441">
        <v>10</v>
      </c>
      <c r="AT65" s="441">
        <v>1</v>
      </c>
      <c r="AU65" s="441"/>
      <c r="AV65" s="441"/>
      <c r="AW65" s="441"/>
      <c r="AX65" s="441"/>
      <c r="AY65" s="441"/>
      <c r="AZ65" s="441"/>
      <c r="BA65" s="441"/>
      <c r="BB65" s="441"/>
      <c r="BC65" s="441"/>
      <c r="BD65" s="441"/>
      <c r="BE65" s="441"/>
      <c r="BF65" s="441"/>
      <c r="BG65" s="441"/>
      <c r="BH65" s="441"/>
      <c r="BI65" s="441"/>
      <c r="BJ65" s="441"/>
      <c r="BK65" s="441"/>
      <c r="BL65" s="441"/>
    </row>
    <row r="66" spans="1:64" ht="12.75">
      <c r="A66" s="488" t="s">
        <v>392</v>
      </c>
      <c r="B66" s="490" t="s">
        <v>447</v>
      </c>
      <c r="C66" s="441"/>
      <c r="D66" s="475">
        <f t="shared" si="10"/>
        <v>682</v>
      </c>
      <c r="E66" s="500">
        <f t="shared" si="11"/>
        <v>0</v>
      </c>
      <c r="F66" s="488"/>
      <c r="G66" s="489"/>
      <c r="H66" s="489"/>
      <c r="I66" s="489"/>
      <c r="J66" s="490"/>
      <c r="K66" s="488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90"/>
      <c r="W66" s="441">
        <v>21</v>
      </c>
      <c r="X66" s="441">
        <v>23</v>
      </c>
      <c r="Y66" s="441">
        <v>20</v>
      </c>
      <c r="Z66" s="441">
        <v>18</v>
      </c>
      <c r="AA66" s="441">
        <v>17</v>
      </c>
      <c r="AB66" s="441">
        <v>37</v>
      </c>
      <c r="AC66" s="441">
        <v>34</v>
      </c>
      <c r="AD66" s="441">
        <v>29</v>
      </c>
      <c r="AE66" s="441">
        <v>37</v>
      </c>
      <c r="AF66" s="441">
        <v>43</v>
      </c>
      <c r="AG66" s="441">
        <v>40</v>
      </c>
      <c r="AH66" s="441">
        <v>37</v>
      </c>
      <c r="AI66" s="441">
        <v>39</v>
      </c>
      <c r="AJ66" s="441">
        <v>22</v>
      </c>
      <c r="AK66" s="441">
        <v>18</v>
      </c>
      <c r="AL66" s="441">
        <v>19</v>
      </c>
      <c r="AM66" s="441">
        <v>13</v>
      </c>
      <c r="AN66" s="441"/>
      <c r="AO66" s="441"/>
      <c r="AP66" s="441">
        <v>3</v>
      </c>
      <c r="AQ66" s="441">
        <v>35</v>
      </c>
      <c r="AR66" s="441">
        <v>33</v>
      </c>
      <c r="AS66" s="441">
        <v>35</v>
      </c>
      <c r="AT66" s="441">
        <v>56</v>
      </c>
      <c r="AU66" s="441">
        <v>53</v>
      </c>
      <c r="AV66" s="441"/>
      <c r="AW66" s="441"/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  <c r="BJ66" s="441"/>
      <c r="BK66" s="441"/>
      <c r="BL66" s="441"/>
    </row>
    <row r="67" spans="1:64" ht="12.75">
      <c r="A67" s="488" t="s">
        <v>392</v>
      </c>
      <c r="B67" s="490" t="s">
        <v>448</v>
      </c>
      <c r="C67" s="441"/>
      <c r="D67" s="475">
        <f t="shared" si="10"/>
        <v>151</v>
      </c>
      <c r="E67" s="500">
        <f t="shared" si="11"/>
        <v>0</v>
      </c>
      <c r="F67" s="488"/>
      <c r="G67" s="489"/>
      <c r="H67" s="489"/>
      <c r="I67" s="489"/>
      <c r="J67" s="490"/>
      <c r="K67" s="488"/>
      <c r="L67" s="489"/>
      <c r="M67" s="489"/>
      <c r="N67" s="489"/>
      <c r="O67" s="489"/>
      <c r="P67" s="489"/>
      <c r="Q67" s="489"/>
      <c r="R67" s="489"/>
      <c r="S67" s="489"/>
      <c r="T67" s="489"/>
      <c r="U67" s="489"/>
      <c r="V67" s="490"/>
      <c r="W67" s="441"/>
      <c r="X67" s="441"/>
      <c r="Y67" s="441"/>
      <c r="Z67" s="441"/>
      <c r="AA67" s="441"/>
      <c r="AB67" s="441"/>
      <c r="AC67" s="441"/>
      <c r="AD67" s="441"/>
      <c r="AE67" s="441"/>
      <c r="AF67" s="441">
        <v>3</v>
      </c>
      <c r="AG67" s="441">
        <v>2</v>
      </c>
      <c r="AH67" s="441">
        <v>2</v>
      </c>
      <c r="AI67" s="441">
        <v>2</v>
      </c>
      <c r="AJ67" s="441">
        <v>14</v>
      </c>
      <c r="AK67" s="441">
        <v>14</v>
      </c>
      <c r="AL67" s="441">
        <v>18</v>
      </c>
      <c r="AM67" s="441">
        <v>23</v>
      </c>
      <c r="AN67" s="441">
        <v>32</v>
      </c>
      <c r="AO67" s="441">
        <v>31</v>
      </c>
      <c r="AP67" s="441">
        <v>10</v>
      </c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41"/>
      <c r="BD67" s="441"/>
      <c r="BE67" s="441"/>
      <c r="BF67" s="441"/>
      <c r="BG67" s="441"/>
      <c r="BH67" s="441"/>
      <c r="BI67" s="441"/>
      <c r="BJ67" s="441"/>
      <c r="BK67" s="441"/>
      <c r="BL67" s="441"/>
    </row>
    <row r="68" spans="1:64" ht="12.75">
      <c r="A68" s="488" t="s">
        <v>392</v>
      </c>
      <c r="B68" s="490" t="s">
        <v>449</v>
      </c>
      <c r="C68" s="441"/>
      <c r="D68" s="475">
        <f t="shared" si="10"/>
        <v>197</v>
      </c>
      <c r="E68" s="500">
        <f t="shared" si="11"/>
        <v>0</v>
      </c>
      <c r="F68" s="488"/>
      <c r="G68" s="489"/>
      <c r="H68" s="489"/>
      <c r="I68" s="489"/>
      <c r="J68" s="490"/>
      <c r="K68" s="488"/>
      <c r="L68" s="489"/>
      <c r="M68" s="489"/>
      <c r="N68" s="489"/>
      <c r="O68" s="489"/>
      <c r="P68" s="489"/>
      <c r="Q68" s="489"/>
      <c r="R68" s="489"/>
      <c r="S68" s="489"/>
      <c r="T68" s="489"/>
      <c r="U68" s="489"/>
      <c r="V68" s="490"/>
      <c r="W68" s="441"/>
      <c r="X68" s="441"/>
      <c r="Y68" s="441"/>
      <c r="Z68" s="441"/>
      <c r="AA68" s="441"/>
      <c r="AB68" s="441">
        <v>5</v>
      </c>
      <c r="AC68" s="441">
        <v>3</v>
      </c>
      <c r="AD68" s="441">
        <v>2</v>
      </c>
      <c r="AE68" s="441">
        <v>2</v>
      </c>
      <c r="AF68" s="441">
        <v>21</v>
      </c>
      <c r="AG68" s="441">
        <v>25</v>
      </c>
      <c r="AH68" s="441">
        <v>24</v>
      </c>
      <c r="AI68" s="441">
        <v>15</v>
      </c>
      <c r="AJ68" s="441">
        <v>6</v>
      </c>
      <c r="AK68" s="441">
        <v>5</v>
      </c>
      <c r="AL68" s="441">
        <v>7</v>
      </c>
      <c r="AM68" s="441">
        <v>9</v>
      </c>
      <c r="AN68" s="441">
        <v>5</v>
      </c>
      <c r="AO68" s="441">
        <v>14</v>
      </c>
      <c r="AP68" s="441">
        <v>20</v>
      </c>
      <c r="AQ68" s="441">
        <v>22</v>
      </c>
      <c r="AR68" s="441">
        <v>12</v>
      </c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41"/>
      <c r="BE68" s="441"/>
      <c r="BF68" s="441"/>
      <c r="BG68" s="441"/>
      <c r="BH68" s="441"/>
      <c r="BI68" s="441"/>
      <c r="BJ68" s="441"/>
      <c r="BK68" s="441"/>
      <c r="BL68" s="441"/>
    </row>
    <row r="69" spans="1:64" ht="12.75">
      <c r="A69" s="488" t="s">
        <v>392</v>
      </c>
      <c r="B69" s="490" t="s">
        <v>450</v>
      </c>
      <c r="C69" s="441"/>
      <c r="D69" s="475">
        <f t="shared" si="10"/>
        <v>165</v>
      </c>
      <c r="E69" s="500">
        <f t="shared" si="11"/>
        <v>0</v>
      </c>
      <c r="F69" s="488"/>
      <c r="G69" s="489"/>
      <c r="H69" s="489"/>
      <c r="I69" s="489"/>
      <c r="J69" s="490"/>
      <c r="K69" s="488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90"/>
      <c r="W69" s="441"/>
      <c r="X69" s="441"/>
      <c r="Y69" s="441"/>
      <c r="Z69" s="441"/>
      <c r="AA69" s="441"/>
      <c r="AB69" s="441"/>
      <c r="AC69" s="441"/>
      <c r="AD69" s="441">
        <v>4</v>
      </c>
      <c r="AE69" s="441">
        <v>7</v>
      </c>
      <c r="AF69" s="441">
        <v>11</v>
      </c>
      <c r="AG69" s="441">
        <v>21</v>
      </c>
      <c r="AH69" s="441">
        <v>7</v>
      </c>
      <c r="AI69" s="441">
        <v>7</v>
      </c>
      <c r="AJ69" s="441">
        <v>12</v>
      </c>
      <c r="AK69" s="441">
        <v>10</v>
      </c>
      <c r="AL69" s="441">
        <v>12</v>
      </c>
      <c r="AM69" s="441">
        <v>9</v>
      </c>
      <c r="AN69" s="441">
        <v>10</v>
      </c>
      <c r="AO69" s="441">
        <v>13</v>
      </c>
      <c r="AP69" s="441">
        <v>17</v>
      </c>
      <c r="AQ69" s="441">
        <v>15</v>
      </c>
      <c r="AR69" s="441">
        <v>10</v>
      </c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41"/>
      <c r="BE69" s="441"/>
      <c r="BF69" s="441"/>
      <c r="BG69" s="441"/>
      <c r="BH69" s="441"/>
      <c r="BI69" s="441"/>
      <c r="BJ69" s="441"/>
      <c r="BK69" s="441"/>
      <c r="BL69" s="441"/>
    </row>
    <row r="70" spans="1:64" ht="12.75">
      <c r="A70" s="488" t="s">
        <v>392</v>
      </c>
      <c r="B70" s="490" t="s">
        <v>451</v>
      </c>
      <c r="C70" s="441"/>
      <c r="D70" s="475">
        <f t="shared" si="10"/>
        <v>204</v>
      </c>
      <c r="E70" s="500">
        <f t="shared" si="11"/>
        <v>0</v>
      </c>
      <c r="F70" s="488"/>
      <c r="G70" s="489"/>
      <c r="H70" s="489"/>
      <c r="I70" s="489"/>
      <c r="J70" s="490"/>
      <c r="K70" s="488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90"/>
      <c r="W70" s="441"/>
      <c r="X70" s="441"/>
      <c r="Y70" s="441"/>
      <c r="Z70" s="441"/>
      <c r="AA70" s="441"/>
      <c r="AB70" s="441"/>
      <c r="AC70" s="441"/>
      <c r="AD70" s="441"/>
      <c r="AE70" s="441"/>
      <c r="AF70" s="441">
        <v>5</v>
      </c>
      <c r="AG70" s="441">
        <v>4</v>
      </c>
      <c r="AH70" s="441">
        <v>3</v>
      </c>
      <c r="AI70" s="441">
        <v>16</v>
      </c>
      <c r="AJ70" s="441">
        <v>25</v>
      </c>
      <c r="AK70" s="441">
        <v>24</v>
      </c>
      <c r="AL70" s="441">
        <v>15</v>
      </c>
      <c r="AM70" s="441">
        <v>16</v>
      </c>
      <c r="AN70" s="441">
        <v>32</v>
      </c>
      <c r="AO70" s="441">
        <v>24</v>
      </c>
      <c r="AP70" s="441">
        <v>10</v>
      </c>
      <c r="AQ70" s="441">
        <v>15</v>
      </c>
      <c r="AR70" s="441">
        <v>12</v>
      </c>
      <c r="AS70" s="441">
        <v>3</v>
      </c>
      <c r="AT70" s="441"/>
      <c r="AU70" s="441"/>
      <c r="AV70" s="441"/>
      <c r="AW70" s="441"/>
      <c r="AX70" s="441"/>
      <c r="AY70" s="441"/>
      <c r="AZ70" s="441"/>
      <c r="BA70" s="441"/>
      <c r="BB70" s="441"/>
      <c r="BC70" s="441"/>
      <c r="BD70" s="441"/>
      <c r="BE70" s="441"/>
      <c r="BF70" s="441"/>
      <c r="BG70" s="441"/>
      <c r="BH70" s="441"/>
      <c r="BI70" s="441"/>
      <c r="BJ70" s="441"/>
      <c r="BK70" s="441"/>
      <c r="BL70" s="441"/>
    </row>
    <row r="71" spans="1:64" ht="12.75">
      <c r="A71" s="488" t="s">
        <v>392</v>
      </c>
      <c r="B71" s="490" t="s">
        <v>452</v>
      </c>
      <c r="C71" s="441"/>
      <c r="D71" s="475">
        <f t="shared" si="10"/>
        <v>131</v>
      </c>
      <c r="E71" s="500">
        <f t="shared" si="11"/>
        <v>0</v>
      </c>
      <c r="F71" s="488"/>
      <c r="G71" s="489"/>
      <c r="H71" s="489"/>
      <c r="I71" s="489"/>
      <c r="J71" s="490"/>
      <c r="K71" s="488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90"/>
      <c r="W71" s="441"/>
      <c r="X71" s="441"/>
      <c r="Y71" s="441"/>
      <c r="Z71" s="441"/>
      <c r="AA71" s="441"/>
      <c r="AB71" s="441"/>
      <c r="AC71" s="441"/>
      <c r="AD71" s="441"/>
      <c r="AE71" s="441"/>
      <c r="AF71" s="441">
        <v>5</v>
      </c>
      <c r="AG71" s="441">
        <v>7</v>
      </c>
      <c r="AH71" s="441">
        <v>6</v>
      </c>
      <c r="AI71" s="441">
        <v>6</v>
      </c>
      <c r="AJ71" s="441">
        <v>8</v>
      </c>
      <c r="AK71" s="441">
        <v>7</v>
      </c>
      <c r="AL71" s="441">
        <v>9</v>
      </c>
      <c r="AM71" s="441">
        <v>14</v>
      </c>
      <c r="AN71" s="441">
        <v>21</v>
      </c>
      <c r="AO71" s="441">
        <v>25</v>
      </c>
      <c r="AP71" s="441">
        <v>9</v>
      </c>
      <c r="AQ71" s="441">
        <v>13</v>
      </c>
      <c r="AR71" s="441">
        <v>1</v>
      </c>
      <c r="AS71" s="441"/>
      <c r="AT71" s="441"/>
      <c r="AU71" s="441"/>
      <c r="AV71" s="441"/>
      <c r="AW71" s="441"/>
      <c r="AX71" s="441"/>
      <c r="AY71" s="441"/>
      <c r="AZ71" s="441"/>
      <c r="BA71" s="441"/>
      <c r="BB71" s="441"/>
      <c r="BC71" s="441"/>
      <c r="BD71" s="441"/>
      <c r="BE71" s="441"/>
      <c r="BF71" s="441"/>
      <c r="BG71" s="441"/>
      <c r="BH71" s="441"/>
      <c r="BI71" s="441"/>
      <c r="BJ71" s="441"/>
      <c r="BK71" s="441"/>
      <c r="BL71" s="441"/>
    </row>
    <row r="72" spans="1:64" ht="12.75">
      <c r="A72" s="488" t="s">
        <v>392</v>
      </c>
      <c r="B72" s="490" t="s">
        <v>453</v>
      </c>
      <c r="C72" s="441"/>
      <c r="D72" s="475">
        <f t="shared" si="10"/>
        <v>221</v>
      </c>
      <c r="E72" s="500">
        <f t="shared" si="11"/>
        <v>0</v>
      </c>
      <c r="F72" s="488"/>
      <c r="G72" s="489"/>
      <c r="H72" s="489"/>
      <c r="I72" s="489"/>
      <c r="J72" s="490"/>
      <c r="K72" s="488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90"/>
      <c r="W72" s="441"/>
      <c r="X72" s="441"/>
      <c r="Y72" s="441"/>
      <c r="Z72" s="441"/>
      <c r="AA72" s="441"/>
      <c r="AB72" s="441"/>
      <c r="AC72" s="441"/>
      <c r="AD72" s="441"/>
      <c r="AE72" s="441">
        <v>2</v>
      </c>
      <c r="AF72" s="441">
        <v>2</v>
      </c>
      <c r="AG72" s="441">
        <v>3</v>
      </c>
      <c r="AH72" s="441">
        <v>4</v>
      </c>
      <c r="AI72" s="441">
        <v>19</v>
      </c>
      <c r="AJ72" s="441">
        <v>20</v>
      </c>
      <c r="AK72" s="441">
        <v>17</v>
      </c>
      <c r="AL72" s="441">
        <v>18</v>
      </c>
      <c r="AM72" s="441">
        <v>18</v>
      </c>
      <c r="AN72" s="441">
        <v>34</v>
      </c>
      <c r="AO72" s="441">
        <v>32</v>
      </c>
      <c r="AP72" s="441">
        <v>29</v>
      </c>
      <c r="AQ72" s="441">
        <v>7</v>
      </c>
      <c r="AR72" s="441">
        <v>11</v>
      </c>
      <c r="AS72" s="441">
        <v>5</v>
      </c>
      <c r="AT72" s="441"/>
      <c r="AU72" s="441"/>
      <c r="AV72" s="441"/>
      <c r="AW72" s="441"/>
      <c r="AX72" s="441"/>
      <c r="AY72" s="441"/>
      <c r="AZ72" s="441"/>
      <c r="BA72" s="441"/>
      <c r="BB72" s="441"/>
      <c r="BC72" s="441"/>
      <c r="BD72" s="441"/>
      <c r="BE72" s="441"/>
      <c r="BF72" s="441"/>
      <c r="BG72" s="441"/>
      <c r="BH72" s="441"/>
      <c r="BI72" s="441"/>
      <c r="BJ72" s="441"/>
      <c r="BK72" s="441"/>
      <c r="BL72" s="441"/>
    </row>
    <row r="73" spans="1:64" ht="12.75">
      <c r="A73" s="488" t="s">
        <v>392</v>
      </c>
      <c r="B73" s="490" t="s">
        <v>454</v>
      </c>
      <c r="C73" s="441"/>
      <c r="D73" s="475">
        <f t="shared" si="10"/>
        <v>72.2</v>
      </c>
      <c r="E73" s="500">
        <f t="shared" si="11"/>
        <v>11.2</v>
      </c>
      <c r="F73" s="488">
        <v>1.2</v>
      </c>
      <c r="G73" s="489">
        <v>1.2</v>
      </c>
      <c r="H73" s="489">
        <v>1.3</v>
      </c>
      <c r="I73" s="489">
        <v>2</v>
      </c>
      <c r="J73" s="490">
        <v>1.3</v>
      </c>
      <c r="K73" s="488">
        <v>2.1</v>
      </c>
      <c r="L73" s="489">
        <v>2.1</v>
      </c>
      <c r="M73" s="489">
        <v>1</v>
      </c>
      <c r="N73" s="489">
        <v>2</v>
      </c>
      <c r="O73" s="489">
        <v>2</v>
      </c>
      <c r="P73" s="489">
        <v>2</v>
      </c>
      <c r="Q73" s="489">
        <v>2</v>
      </c>
      <c r="R73" s="489">
        <v>2</v>
      </c>
      <c r="S73" s="489">
        <v>2</v>
      </c>
      <c r="T73" s="489">
        <v>2</v>
      </c>
      <c r="U73" s="489">
        <v>2</v>
      </c>
      <c r="V73" s="490">
        <v>2</v>
      </c>
      <c r="W73" s="441">
        <v>2</v>
      </c>
      <c r="X73" s="441">
        <v>1</v>
      </c>
      <c r="Y73" s="441">
        <v>1</v>
      </c>
      <c r="Z73" s="441">
        <v>2</v>
      </c>
      <c r="AA73" s="441">
        <v>1</v>
      </c>
      <c r="AB73" s="441">
        <v>2</v>
      </c>
      <c r="AC73" s="441">
        <v>2</v>
      </c>
      <c r="AD73" s="441">
        <v>1</v>
      </c>
      <c r="AE73" s="441">
        <v>2</v>
      </c>
      <c r="AF73" s="441">
        <v>2</v>
      </c>
      <c r="AG73" s="441">
        <v>2</v>
      </c>
      <c r="AH73" s="441">
        <v>2</v>
      </c>
      <c r="AI73" s="441">
        <v>2</v>
      </c>
      <c r="AJ73" s="441">
        <v>1</v>
      </c>
      <c r="AK73" s="441">
        <v>1</v>
      </c>
      <c r="AL73" s="441">
        <v>2</v>
      </c>
      <c r="AM73" s="441">
        <v>2</v>
      </c>
      <c r="AN73" s="441">
        <v>2</v>
      </c>
      <c r="AO73" s="441">
        <v>2</v>
      </c>
      <c r="AP73" s="441">
        <v>2</v>
      </c>
      <c r="AQ73" s="441">
        <v>2</v>
      </c>
      <c r="AR73" s="441">
        <v>2</v>
      </c>
      <c r="AS73" s="441">
        <v>2</v>
      </c>
      <c r="AT73" s="441">
        <v>2</v>
      </c>
      <c r="AU73" s="441"/>
      <c r="AV73" s="441"/>
      <c r="AW73" s="441"/>
      <c r="AX73" s="441"/>
      <c r="AY73" s="441"/>
      <c r="AZ73" s="441"/>
      <c r="BA73" s="441"/>
      <c r="BB73" s="441"/>
      <c r="BC73" s="441"/>
      <c r="BD73" s="441"/>
      <c r="BE73" s="441"/>
      <c r="BF73" s="441"/>
      <c r="BG73" s="441"/>
      <c r="BH73" s="441"/>
      <c r="BI73" s="441"/>
      <c r="BJ73" s="441"/>
      <c r="BK73" s="441"/>
      <c r="BL73" s="441"/>
    </row>
    <row r="74" spans="1:64" ht="13.5" thickBot="1">
      <c r="A74" s="492" t="s">
        <v>392</v>
      </c>
      <c r="B74" s="434" t="s">
        <v>455</v>
      </c>
      <c r="C74" s="441"/>
      <c r="D74" s="475">
        <f t="shared" si="10"/>
        <v>767</v>
      </c>
      <c r="E74" s="500">
        <f t="shared" si="11"/>
        <v>0</v>
      </c>
      <c r="F74" s="432"/>
      <c r="G74" s="497"/>
      <c r="H74" s="497"/>
      <c r="I74" s="497"/>
      <c r="J74" s="498"/>
      <c r="K74" s="432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8"/>
      <c r="W74" s="441"/>
      <c r="X74" s="441">
        <v>22</v>
      </c>
      <c r="Y74" s="441">
        <v>32</v>
      </c>
      <c r="Z74" s="441">
        <v>29</v>
      </c>
      <c r="AA74" s="441">
        <v>24</v>
      </c>
      <c r="AB74" s="441">
        <v>21</v>
      </c>
      <c r="AC74" s="441">
        <v>27</v>
      </c>
      <c r="AD74" s="441">
        <v>24</v>
      </c>
      <c r="AE74" s="441">
        <v>27</v>
      </c>
      <c r="AF74" s="441">
        <v>24</v>
      </c>
      <c r="AG74" s="441">
        <v>22</v>
      </c>
      <c r="AH74" s="441">
        <v>26</v>
      </c>
      <c r="AI74" s="441">
        <v>27</v>
      </c>
      <c r="AJ74" s="441">
        <v>14</v>
      </c>
      <c r="AK74" s="441">
        <v>20</v>
      </c>
      <c r="AL74" s="441">
        <v>9</v>
      </c>
      <c r="AM74" s="441"/>
      <c r="AN74" s="441"/>
      <c r="AO74" s="441"/>
      <c r="AP74" s="441"/>
      <c r="AQ74" s="441"/>
      <c r="AR74" s="441"/>
      <c r="AS74" s="441"/>
      <c r="AT74" s="441"/>
      <c r="AU74" s="441">
        <v>116</v>
      </c>
      <c r="AV74" s="441">
        <v>110</v>
      </c>
      <c r="AW74" s="441">
        <v>94</v>
      </c>
      <c r="AX74" s="441">
        <v>99</v>
      </c>
      <c r="AY74" s="441"/>
      <c r="AZ74" s="441"/>
      <c r="BA74" s="441"/>
      <c r="BB74" s="441"/>
      <c r="BC74" s="441"/>
      <c r="BD74" s="441"/>
      <c r="BE74" s="441"/>
      <c r="BF74" s="441"/>
      <c r="BG74" s="441"/>
      <c r="BH74" s="441"/>
      <c r="BI74" s="441"/>
      <c r="BJ74" s="441"/>
      <c r="BK74" s="441"/>
      <c r="BL74" s="441"/>
    </row>
    <row r="75" spans="1:56" ht="13.5" thickBot="1">
      <c r="A75" s="441"/>
      <c r="B75" s="422" t="s">
        <v>693</v>
      </c>
      <c r="C75" s="374"/>
      <c r="D75" s="344">
        <f aca="true" t="shared" si="12" ref="D75:AI75">SUM(D63:D74)</f>
        <v>4330.2</v>
      </c>
      <c r="E75" s="501">
        <f t="shared" si="12"/>
        <v>-90.8</v>
      </c>
      <c r="F75" s="358">
        <f t="shared" si="12"/>
        <v>-102.8</v>
      </c>
      <c r="G75" s="359">
        <f t="shared" si="12"/>
        <v>1.2</v>
      </c>
      <c r="H75" s="359">
        <f t="shared" si="12"/>
        <v>1.3</v>
      </c>
      <c r="I75" s="359">
        <f t="shared" si="12"/>
        <v>2</v>
      </c>
      <c r="J75" s="360">
        <f t="shared" si="12"/>
        <v>1.3</v>
      </c>
      <c r="K75" s="358">
        <f t="shared" si="12"/>
        <v>3.1</v>
      </c>
      <c r="L75" s="359">
        <f t="shared" si="12"/>
        <v>3.1</v>
      </c>
      <c r="M75" s="359">
        <f t="shared" si="12"/>
        <v>2</v>
      </c>
      <c r="N75" s="359">
        <f t="shared" si="12"/>
        <v>3</v>
      </c>
      <c r="O75" s="359">
        <f t="shared" si="12"/>
        <v>3</v>
      </c>
      <c r="P75" s="359">
        <f t="shared" si="12"/>
        <v>3</v>
      </c>
      <c r="Q75" s="359">
        <f t="shared" si="12"/>
        <v>3</v>
      </c>
      <c r="R75" s="359">
        <f t="shared" si="12"/>
        <v>3</v>
      </c>
      <c r="S75" s="359">
        <f t="shared" si="12"/>
        <v>3</v>
      </c>
      <c r="T75" s="359">
        <f t="shared" si="12"/>
        <v>3</v>
      </c>
      <c r="U75" s="359">
        <f t="shared" si="12"/>
        <v>3</v>
      </c>
      <c r="V75" s="360">
        <f t="shared" si="12"/>
        <v>3</v>
      </c>
      <c r="W75" s="21">
        <f t="shared" si="12"/>
        <v>61</v>
      </c>
      <c r="X75" s="21">
        <f t="shared" si="12"/>
        <v>77</v>
      </c>
      <c r="Y75" s="21">
        <f t="shared" si="12"/>
        <v>94</v>
      </c>
      <c r="Z75" s="21">
        <f t="shared" si="12"/>
        <v>114</v>
      </c>
      <c r="AA75" s="21">
        <f t="shared" si="12"/>
        <v>82</v>
      </c>
      <c r="AB75" s="21">
        <f t="shared" si="12"/>
        <v>106</v>
      </c>
      <c r="AC75" s="21">
        <f t="shared" si="12"/>
        <v>104</v>
      </c>
      <c r="AD75" s="21">
        <f t="shared" si="12"/>
        <v>96</v>
      </c>
      <c r="AE75" s="21">
        <f t="shared" si="12"/>
        <v>120</v>
      </c>
      <c r="AF75" s="21">
        <f t="shared" si="12"/>
        <v>173</v>
      </c>
      <c r="AG75" s="21">
        <f t="shared" si="12"/>
        <v>263</v>
      </c>
      <c r="AH75" s="21">
        <f t="shared" si="12"/>
        <v>187</v>
      </c>
      <c r="AI75" s="21">
        <f t="shared" si="12"/>
        <v>242</v>
      </c>
      <c r="AJ75" s="21">
        <f aca="true" t="shared" si="13" ref="AJ75:BD75">SUM(AJ63:AJ74)</f>
        <v>261</v>
      </c>
      <c r="AK75" s="21">
        <f t="shared" si="13"/>
        <v>226</v>
      </c>
      <c r="AL75" s="21">
        <f t="shared" si="13"/>
        <v>250</v>
      </c>
      <c r="AM75" s="21">
        <f t="shared" si="13"/>
        <v>272</v>
      </c>
      <c r="AN75" s="21">
        <f t="shared" si="13"/>
        <v>348</v>
      </c>
      <c r="AO75" s="21">
        <f t="shared" si="13"/>
        <v>253</v>
      </c>
      <c r="AP75" s="21">
        <f t="shared" si="13"/>
        <v>197</v>
      </c>
      <c r="AQ75" s="21">
        <f t="shared" si="13"/>
        <v>168</v>
      </c>
      <c r="AR75" s="21">
        <f t="shared" si="13"/>
        <v>112</v>
      </c>
      <c r="AS75" s="21">
        <f t="shared" si="13"/>
        <v>55</v>
      </c>
      <c r="AT75" s="21">
        <f t="shared" si="13"/>
        <v>59</v>
      </c>
      <c r="AU75" s="21">
        <f t="shared" si="13"/>
        <v>169</v>
      </c>
      <c r="AV75" s="21">
        <f t="shared" si="13"/>
        <v>110</v>
      </c>
      <c r="AW75" s="21">
        <f t="shared" si="13"/>
        <v>94</v>
      </c>
      <c r="AX75" s="21">
        <f t="shared" si="13"/>
        <v>99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B75" s="21">
        <f t="shared" si="13"/>
        <v>0</v>
      </c>
      <c r="BC75" s="21">
        <f t="shared" si="13"/>
        <v>0</v>
      </c>
      <c r="BD75" s="21">
        <f t="shared" si="13"/>
        <v>0</v>
      </c>
    </row>
    <row r="76" spans="1:56" ht="5.25" customHeight="1" thickBot="1">
      <c r="A76" s="441"/>
      <c r="B76" s="441"/>
      <c r="C76" s="441"/>
      <c r="D76" s="475"/>
      <c r="E76" s="476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441"/>
      <c r="AZ76" s="1"/>
      <c r="BA76" s="1"/>
      <c r="BB76" s="1"/>
      <c r="BC76" s="1"/>
      <c r="BD76" s="1"/>
    </row>
    <row r="77" spans="1:56" ht="13.5" thickBot="1">
      <c r="A77" s="441"/>
      <c r="B77" s="441"/>
      <c r="C77" s="441"/>
      <c r="D77" s="475">
        <f aca="true" t="shared" si="14" ref="D77:AX77">SUM(D75,D61,D33,D6)</f>
        <v>52348.259999999995</v>
      </c>
      <c r="E77" s="387">
        <f t="shared" si="14"/>
        <v>8924.88</v>
      </c>
      <c r="F77" s="388">
        <f t="shared" si="14"/>
        <v>621.5699999999999</v>
      </c>
      <c r="G77" s="389">
        <f t="shared" si="14"/>
        <v>1208.39</v>
      </c>
      <c r="H77" s="389">
        <f t="shared" si="14"/>
        <v>1552.27</v>
      </c>
      <c r="I77" s="389">
        <f t="shared" si="14"/>
        <v>1328.4</v>
      </c>
      <c r="J77" s="390">
        <f t="shared" si="14"/>
        <v>1068.07</v>
      </c>
      <c r="K77" s="388">
        <f t="shared" si="14"/>
        <v>1960.71</v>
      </c>
      <c r="L77" s="389">
        <f t="shared" si="14"/>
        <v>1185.47</v>
      </c>
      <c r="M77" s="389">
        <f t="shared" si="14"/>
        <v>932.89</v>
      </c>
      <c r="N77" s="389">
        <f t="shared" si="14"/>
        <v>1380.38</v>
      </c>
      <c r="O77" s="389">
        <f t="shared" si="14"/>
        <v>1167.81</v>
      </c>
      <c r="P77" s="389">
        <f t="shared" si="14"/>
        <v>1196.06</v>
      </c>
      <c r="Q77" s="389">
        <f t="shared" si="14"/>
        <v>1126.44</v>
      </c>
      <c r="R77" s="389">
        <f t="shared" si="14"/>
        <v>1030.77</v>
      </c>
      <c r="S77" s="389">
        <f t="shared" si="14"/>
        <v>1221.27</v>
      </c>
      <c r="T77" s="389">
        <f t="shared" si="14"/>
        <v>1565.95</v>
      </c>
      <c r="U77" s="389">
        <f t="shared" si="14"/>
        <v>1517</v>
      </c>
      <c r="V77" s="390">
        <f t="shared" si="14"/>
        <v>1446.52</v>
      </c>
      <c r="W77" s="23">
        <f t="shared" si="14"/>
        <v>1497.6799999999998</v>
      </c>
      <c r="X77" s="23">
        <f t="shared" si="14"/>
        <v>1219.05</v>
      </c>
      <c r="Y77" s="23">
        <f t="shared" si="14"/>
        <v>1281.73</v>
      </c>
      <c r="Z77" s="23">
        <f t="shared" si="14"/>
        <v>1572.54</v>
      </c>
      <c r="AA77" s="23">
        <f t="shared" si="14"/>
        <v>1352.99</v>
      </c>
      <c r="AB77" s="23">
        <f t="shared" si="14"/>
        <v>1412.93</v>
      </c>
      <c r="AC77" s="23">
        <f t="shared" si="14"/>
        <v>1313.8400000000001</v>
      </c>
      <c r="AD77" s="23">
        <f t="shared" si="14"/>
        <v>1194.24</v>
      </c>
      <c r="AE77" s="23">
        <f t="shared" si="14"/>
        <v>1304.1</v>
      </c>
      <c r="AF77" s="23">
        <f t="shared" si="14"/>
        <v>1198.02</v>
      </c>
      <c r="AG77" s="23">
        <f t="shared" si="14"/>
        <v>1146.17</v>
      </c>
      <c r="AH77" s="23">
        <f t="shared" si="14"/>
        <v>1148.17</v>
      </c>
      <c r="AI77" s="23">
        <f t="shared" si="14"/>
        <v>1552.32</v>
      </c>
      <c r="AJ77" s="23">
        <f t="shared" si="14"/>
        <v>1252.51</v>
      </c>
      <c r="AK77" s="23">
        <f t="shared" si="14"/>
        <v>998</v>
      </c>
      <c r="AL77" s="23">
        <f t="shared" si="14"/>
        <v>1207</v>
      </c>
      <c r="AM77" s="23">
        <f t="shared" si="14"/>
        <v>1029</v>
      </c>
      <c r="AN77" s="23">
        <f t="shared" si="14"/>
        <v>1307</v>
      </c>
      <c r="AO77" s="23">
        <f t="shared" si="14"/>
        <v>1207</v>
      </c>
      <c r="AP77" s="23">
        <f t="shared" si="14"/>
        <v>959</v>
      </c>
      <c r="AQ77" s="23">
        <f t="shared" si="14"/>
        <v>903</v>
      </c>
      <c r="AR77" s="23">
        <f t="shared" si="14"/>
        <v>764</v>
      </c>
      <c r="AS77" s="23">
        <f t="shared" si="14"/>
        <v>737</v>
      </c>
      <c r="AT77" s="23">
        <f t="shared" si="14"/>
        <v>677</v>
      </c>
      <c r="AU77" s="23">
        <f t="shared" si="14"/>
        <v>844</v>
      </c>
      <c r="AV77" s="23">
        <f t="shared" si="14"/>
        <v>738</v>
      </c>
      <c r="AW77" s="23">
        <f t="shared" si="14"/>
        <v>626</v>
      </c>
      <c r="AX77" s="23">
        <f t="shared" si="14"/>
        <v>391</v>
      </c>
      <c r="AY77" s="441"/>
      <c r="AZ77" s="1"/>
      <c r="BA77" s="1"/>
      <c r="BB77" s="1"/>
      <c r="BC77" s="1"/>
      <c r="BD77" s="1"/>
    </row>
    <row r="78" spans="1:56" ht="12.75">
      <c r="A78" s="441"/>
      <c r="B78" s="441"/>
      <c r="C78" s="441"/>
      <c r="D78" s="475"/>
      <c r="E78" s="476">
        <f>SUM(F77:W77)</f>
        <v>23007.649999999998</v>
      </c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338"/>
      <c r="AR78" s="2"/>
      <c r="AV78" s="1"/>
      <c r="AW78" s="1"/>
      <c r="AX78" s="1"/>
      <c r="AY78" s="1"/>
      <c r="AZ78" s="1"/>
      <c r="BA78" s="1"/>
      <c r="BB78" s="1"/>
      <c r="BC78" s="1"/>
      <c r="BD78" s="1"/>
    </row>
    <row r="79" spans="2:3" ht="6" customHeight="1">
      <c r="B79" s="477"/>
      <c r="C79" s="477"/>
    </row>
    <row r="80" ht="11.25">
      <c r="M80" s="24">
        <f>SUM(F77:M77)</f>
        <v>9857.769999999999</v>
      </c>
    </row>
    <row r="246" spans="2:56" ht="12.75">
      <c r="B246" s="477"/>
      <c r="C246" s="477"/>
      <c r="F246" s="338"/>
      <c r="G246" s="338"/>
      <c r="H246" s="338"/>
      <c r="I246" s="33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477"/>
      <c r="C247" s="477"/>
      <c r="F247" s="338"/>
      <c r="G247" s="338"/>
      <c r="H247" s="338"/>
      <c r="I247" s="33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477"/>
      <c r="C248" s="477"/>
      <c r="F248" s="338"/>
      <c r="G248" s="338"/>
      <c r="H248" s="338"/>
      <c r="I248" s="33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477"/>
      <c r="C249" s="477"/>
      <c r="F249" s="338"/>
      <c r="G249" s="338"/>
      <c r="H249" s="338"/>
      <c r="I249" s="33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477"/>
      <c r="C250" s="477"/>
      <c r="F250" s="338"/>
      <c r="G250" s="338"/>
      <c r="H250" s="338"/>
      <c r="I250" s="33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477"/>
      <c r="C251" s="477"/>
      <c r="F251" s="338"/>
      <c r="G251" s="338"/>
      <c r="H251" s="338"/>
      <c r="I251" s="33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477"/>
      <c r="C252" s="477"/>
      <c r="F252" s="338"/>
      <c r="G252" s="338"/>
      <c r="H252" s="338"/>
      <c r="I252" s="33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477"/>
      <c r="C253" s="477"/>
      <c r="F253" s="338"/>
      <c r="G253" s="338"/>
      <c r="H253" s="338"/>
      <c r="I253" s="33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477"/>
      <c r="C254" s="477"/>
      <c r="F254" s="338"/>
      <c r="G254" s="338"/>
      <c r="H254" s="338"/>
      <c r="I254" s="33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477"/>
      <c r="C255" s="477"/>
      <c r="F255" s="338"/>
      <c r="G255" s="338"/>
      <c r="H255" s="338"/>
      <c r="I255" s="33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477"/>
      <c r="C256" s="477"/>
      <c r="F256" s="338"/>
      <c r="G256" s="338"/>
      <c r="H256" s="338"/>
      <c r="I256" s="33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477"/>
      <c r="C257" s="477"/>
      <c r="F257" s="338"/>
      <c r="G257" s="338"/>
      <c r="H257" s="338"/>
      <c r="I257" s="33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477"/>
      <c r="C258" s="477"/>
      <c r="F258" s="338"/>
      <c r="G258" s="338"/>
      <c r="H258" s="338"/>
      <c r="I258" s="33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477"/>
      <c r="C259" s="477"/>
      <c r="F259" s="338"/>
      <c r="G259" s="338"/>
      <c r="H259" s="338"/>
      <c r="I259" s="33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477"/>
      <c r="C260" s="477"/>
      <c r="F260" s="338"/>
      <c r="G260" s="338"/>
      <c r="H260" s="338"/>
      <c r="I260" s="33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477"/>
      <c r="C261" s="477"/>
      <c r="F261" s="338"/>
      <c r="G261" s="338"/>
      <c r="H261" s="338"/>
      <c r="I261" s="33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477"/>
      <c r="C262" s="477"/>
      <c r="F262" s="338"/>
      <c r="G262" s="338"/>
      <c r="H262" s="338"/>
      <c r="I262" s="33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477"/>
      <c r="C263" s="477"/>
      <c r="F263" s="338"/>
      <c r="G263" s="338"/>
      <c r="H263" s="338"/>
      <c r="I263" s="33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477"/>
      <c r="C264" s="477"/>
      <c r="F264" s="338"/>
      <c r="G264" s="338"/>
      <c r="H264" s="338"/>
      <c r="I264" s="33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477"/>
      <c r="C265" s="477"/>
      <c r="F265" s="338"/>
      <c r="G265" s="338"/>
      <c r="H265" s="338"/>
      <c r="I265" s="33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477"/>
      <c r="C266" s="477"/>
      <c r="F266" s="338"/>
      <c r="G266" s="338"/>
      <c r="H266" s="338"/>
      <c r="I266" s="33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477"/>
      <c r="C267" s="477"/>
      <c r="F267" s="338"/>
      <c r="G267" s="338"/>
      <c r="H267" s="338"/>
      <c r="I267" s="33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477"/>
      <c r="C268" s="477"/>
      <c r="F268" s="338"/>
      <c r="G268" s="338"/>
      <c r="H268" s="338"/>
      <c r="I268" s="33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477"/>
      <c r="C269" s="477"/>
      <c r="F269" s="338"/>
      <c r="G269" s="338"/>
      <c r="H269" s="338"/>
      <c r="I269" s="33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477"/>
      <c r="C270" s="477"/>
      <c r="F270" s="338"/>
      <c r="G270" s="338"/>
      <c r="H270" s="338"/>
      <c r="I270" s="33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477"/>
      <c r="C271" s="477"/>
      <c r="F271" s="338"/>
      <c r="G271" s="338"/>
      <c r="H271" s="338"/>
      <c r="I271" s="33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477"/>
      <c r="C272" s="477"/>
      <c r="F272" s="338"/>
      <c r="G272" s="338"/>
      <c r="H272" s="338"/>
      <c r="I272" s="33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477"/>
      <c r="C273" s="477"/>
      <c r="F273" s="338"/>
      <c r="G273" s="338"/>
      <c r="H273" s="338"/>
      <c r="I273" s="33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477"/>
      <c r="C274" s="477"/>
      <c r="F274" s="338"/>
      <c r="G274" s="338"/>
      <c r="H274" s="338"/>
      <c r="I274" s="33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477"/>
      <c r="C275" s="477"/>
      <c r="F275" s="338"/>
      <c r="G275" s="338"/>
      <c r="H275" s="338"/>
      <c r="I275" s="33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477"/>
      <c r="C276" s="477"/>
      <c r="F276" s="338"/>
      <c r="G276" s="338"/>
      <c r="H276" s="338"/>
      <c r="I276" s="33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477"/>
      <c r="C277" s="477"/>
      <c r="F277" s="338"/>
      <c r="G277" s="338"/>
      <c r="H277" s="338"/>
      <c r="I277" s="33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9" ht="12.75">
      <c r="B278" s="477"/>
      <c r="C278" s="477"/>
      <c r="F278" s="2"/>
      <c r="I278" s="2"/>
    </row>
    <row r="279" spans="2:9" ht="12.75">
      <c r="B279" s="477"/>
      <c r="C279" s="477"/>
      <c r="F279" s="2"/>
      <c r="I279" s="2"/>
    </row>
    <row r="280" spans="2:9" ht="12.75">
      <c r="B280" s="477"/>
      <c r="C280" s="477"/>
      <c r="F280" s="2"/>
      <c r="I280" s="2"/>
    </row>
    <row r="281" spans="2:9" ht="12.75">
      <c r="B281" s="477"/>
      <c r="C281" s="477"/>
      <c r="F281" s="2"/>
      <c r="I281" s="2"/>
    </row>
    <row r="282" spans="2:9" ht="12.75">
      <c r="B282" s="477"/>
      <c r="C282" s="477"/>
      <c r="F282" s="2"/>
      <c r="I282" s="2"/>
    </row>
    <row r="283" spans="2:9" ht="12.75">
      <c r="B283" s="477"/>
      <c r="C283" s="477"/>
      <c r="F283" s="2"/>
      <c r="I283" s="2"/>
    </row>
    <row r="284" spans="2:9" ht="12.75">
      <c r="B284" s="477"/>
      <c r="C284" s="477"/>
      <c r="F284" s="2"/>
      <c r="I284" s="2"/>
    </row>
    <row r="285" spans="2:9" ht="12.75">
      <c r="B285" s="477"/>
      <c r="C285" s="477"/>
      <c r="F285" s="2"/>
      <c r="I285" s="2"/>
    </row>
    <row r="286" spans="2:9" ht="12.75">
      <c r="B286" s="477"/>
      <c r="C286" s="477"/>
      <c r="F286" s="2"/>
      <c r="I286" s="2"/>
    </row>
    <row r="287" spans="2:9" ht="12.75">
      <c r="B287" s="477"/>
      <c r="C287" s="477"/>
      <c r="F287" s="2"/>
      <c r="I287" s="2"/>
    </row>
    <row r="288" spans="2:9" ht="12.75">
      <c r="B288" s="477"/>
      <c r="C288" s="477"/>
      <c r="F288" s="2"/>
      <c r="I288" s="2"/>
    </row>
    <row r="289" spans="2:9" ht="12.75">
      <c r="B289" s="477"/>
      <c r="C289" s="477"/>
      <c r="F289" s="2"/>
      <c r="I289" s="2"/>
    </row>
    <row r="290" spans="2:9" ht="12.75">
      <c r="B290" s="477"/>
      <c r="C290" s="477"/>
      <c r="F290" s="2"/>
      <c r="I290" s="2"/>
    </row>
    <row r="291" spans="2:9" ht="12.75">
      <c r="B291" s="477"/>
      <c r="C291" s="477"/>
      <c r="F291" s="2"/>
      <c r="I291" s="2"/>
    </row>
    <row r="292" spans="2:9" ht="12.75">
      <c r="B292" s="477"/>
      <c r="C292" s="477"/>
      <c r="F292" s="2"/>
      <c r="I292" s="2"/>
    </row>
    <row r="293" spans="2:9" ht="12.75">
      <c r="B293" s="477"/>
      <c r="C293" s="477"/>
      <c r="F293" s="2"/>
      <c r="I293" s="2"/>
    </row>
    <row r="294" spans="2:9" ht="12.75">
      <c r="B294" s="477"/>
      <c r="C294" s="477"/>
      <c r="F294" s="2"/>
      <c r="I294" s="2"/>
    </row>
    <row r="295" spans="2:9" ht="12.75">
      <c r="B295" s="477"/>
      <c r="C295" s="477"/>
      <c r="F295" s="2"/>
      <c r="I295" s="2"/>
    </row>
    <row r="296" spans="2:9" ht="12.75">
      <c r="B296" s="477"/>
      <c r="C296" s="477"/>
      <c r="F296" s="2"/>
      <c r="I296" s="2"/>
    </row>
    <row r="297" spans="2:9" ht="12.75">
      <c r="B297" s="477"/>
      <c r="C297" s="477"/>
      <c r="F297" s="2"/>
      <c r="I297" s="2"/>
    </row>
    <row r="298" spans="2:6" ht="12.75">
      <c r="B298" s="477"/>
      <c r="C298" s="477"/>
      <c r="F298" s="12"/>
    </row>
    <row r="299" spans="2:6" ht="12.75">
      <c r="B299" s="477"/>
      <c r="C299" s="477"/>
      <c r="F299" s="12"/>
    </row>
    <row r="300" spans="2:6" ht="12.75">
      <c r="B300" s="477"/>
      <c r="C300" s="477"/>
      <c r="F300" s="12"/>
    </row>
  </sheetData>
  <mergeCells count="5">
    <mergeCell ref="AU1:AZ1"/>
    <mergeCell ref="F1:J1"/>
    <mergeCell ref="K1:V1"/>
    <mergeCell ref="W1:AH1"/>
    <mergeCell ref="AI1:AT1"/>
  </mergeCells>
  <printOptions gridLines="1" headings="1"/>
  <pageMargins left="0.1" right="0.12" top="0.2" bottom="0.17" header="0.17" footer="0.18"/>
  <pageSetup horizontalDpi="600" verticalDpi="600" orientation="portrait" paperSize="218" r:id="rId2"/>
  <headerFooter alignWithMargins="0">
    <oddFooter>&amp;R&amp;F    &amp;A    &amp;D    &amp;T</oddFooter>
  </headerFooter>
  <ignoredErrors>
    <ignoredError sqref="F75:N75 E33:E34 E61:E62 E75:E79" formulaRange="1"/>
    <ignoredError sqref="I246:I252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workbookViewId="0" topLeftCell="A1">
      <selection activeCell="O23" sqref="O23"/>
    </sheetView>
  </sheetViews>
  <sheetFormatPr defaultColWidth="9.140625" defaultRowHeight="12.75"/>
  <cols>
    <col min="2" max="2" width="2.421875" style="0" customWidth="1"/>
    <col min="3" max="3" width="7.7109375" style="0" customWidth="1"/>
    <col min="4" max="4" width="33.28125" style="0" customWidth="1"/>
    <col min="5" max="5" width="1.421875" style="0" customWidth="1"/>
    <col min="6" max="6" width="7.7109375" style="0" customWidth="1"/>
    <col min="7" max="7" width="28.57421875" style="0" customWidth="1"/>
    <col min="8" max="8" width="2.140625" style="0" customWidth="1"/>
    <col min="9" max="9" width="2.8515625" style="0" customWidth="1"/>
    <col min="10" max="10" width="7.7109375" style="0" customWidth="1"/>
    <col min="11" max="11" width="30.28125" style="0" customWidth="1"/>
    <col min="12" max="12" width="7.00390625" style="0" customWidth="1"/>
    <col min="13" max="13" width="28.7109375" style="0" customWidth="1"/>
    <col min="15" max="15" width="11.00390625" style="0" customWidth="1"/>
  </cols>
  <sheetData>
    <row r="1" spans="2:13" ht="26.25">
      <c r="B1" s="1363" t="s">
        <v>1152</v>
      </c>
      <c r="C1" s="1361"/>
      <c r="D1" s="1361"/>
      <c r="E1" s="1361"/>
      <c r="F1" s="1362"/>
      <c r="G1" s="1361"/>
      <c r="H1" s="1361"/>
      <c r="I1" s="1361"/>
      <c r="J1" s="1361"/>
      <c r="K1" s="1361"/>
      <c r="L1" s="1356"/>
      <c r="M1" s="1356"/>
    </row>
    <row r="2" ht="12.75">
      <c r="F2" s="1347"/>
    </row>
    <row r="3" spans="2:10" ht="17.25" customHeight="1">
      <c r="B3" s="324" t="s">
        <v>1116</v>
      </c>
      <c r="C3" s="1364"/>
      <c r="D3" s="1364"/>
      <c r="E3" s="324" t="s">
        <v>18</v>
      </c>
      <c r="F3" s="1365"/>
      <c r="G3" s="1364"/>
      <c r="H3" s="324" t="s">
        <v>1150</v>
      </c>
      <c r="I3" s="1364"/>
      <c r="J3" s="1364"/>
    </row>
    <row r="4" spans="3:10" ht="13.5" thickBot="1">
      <c r="C4" s="1347">
        <v>15.9</v>
      </c>
      <c r="D4" t="s">
        <v>1111</v>
      </c>
      <c r="F4" s="1347">
        <v>1.96</v>
      </c>
      <c r="G4" t="s">
        <v>1117</v>
      </c>
      <c r="I4" s="1350" t="s">
        <v>1149</v>
      </c>
      <c r="J4" s="1347"/>
    </row>
    <row r="5" spans="3:13" ht="25.5">
      <c r="C5" s="1347">
        <v>1.777</v>
      </c>
      <c r="D5" t="s">
        <v>1112</v>
      </c>
      <c r="F5" s="1347">
        <v>13.515</v>
      </c>
      <c r="G5" t="s">
        <v>1118</v>
      </c>
      <c r="I5" s="1349"/>
      <c r="J5" s="1347">
        <v>0.069</v>
      </c>
      <c r="K5" t="s">
        <v>1129</v>
      </c>
      <c r="L5" s="1589" t="s">
        <v>6</v>
      </c>
      <c r="M5" s="1590"/>
    </row>
    <row r="6" spans="3:13" ht="17.25" customHeight="1">
      <c r="C6" s="1347">
        <f>SUM(C4:C5)</f>
        <v>17.677</v>
      </c>
      <c r="D6" t="s">
        <v>1114</v>
      </c>
      <c r="F6" s="1347"/>
      <c r="I6" s="1349"/>
      <c r="J6" s="1347">
        <v>0.028</v>
      </c>
      <c r="K6" t="s">
        <v>1158</v>
      </c>
      <c r="L6" s="1591">
        <v>7</v>
      </c>
      <c r="M6" s="1592" t="s">
        <v>1153</v>
      </c>
    </row>
    <row r="7" spans="3:13" ht="17.25" customHeight="1">
      <c r="C7" s="1347">
        <v>3</v>
      </c>
      <c r="D7" t="s">
        <v>1113</v>
      </c>
      <c r="F7" s="1347"/>
      <c r="I7" s="1349"/>
      <c r="J7" s="1347">
        <v>0.352</v>
      </c>
      <c r="K7" t="s">
        <v>1130</v>
      </c>
      <c r="L7" s="1591">
        <v>21.4</v>
      </c>
      <c r="M7" s="1592" t="s">
        <v>8</v>
      </c>
    </row>
    <row r="8" spans="3:13" ht="17.25" customHeight="1" thickBot="1">
      <c r="C8" s="1351">
        <f>SUM(C6:C7)</f>
        <v>20.677</v>
      </c>
      <c r="D8" t="s">
        <v>1115</v>
      </c>
      <c r="F8" s="1351">
        <f>SUM(F4:F7)</f>
        <v>15.475000000000001</v>
      </c>
      <c r="I8" s="1349"/>
      <c r="J8" s="1347">
        <v>0.207</v>
      </c>
      <c r="K8" t="s">
        <v>1131</v>
      </c>
      <c r="L8" s="1591">
        <v>6.2</v>
      </c>
      <c r="M8" s="1592" t="s">
        <v>9</v>
      </c>
    </row>
    <row r="9" spans="6:13" ht="17.25" customHeight="1">
      <c r="F9" s="1347"/>
      <c r="I9" s="1349"/>
      <c r="J9" s="1347">
        <v>0.198</v>
      </c>
      <c r="K9" t="s">
        <v>1132</v>
      </c>
      <c r="L9" s="1591">
        <v>10.5</v>
      </c>
      <c r="M9" s="1592" t="s">
        <v>10</v>
      </c>
    </row>
    <row r="10" spans="5:13" ht="17.25" customHeight="1">
      <c r="E10" s="1352" t="s">
        <v>1144</v>
      </c>
      <c r="F10" s="1353">
        <f>+C8-F8</f>
        <v>5.201999999999998</v>
      </c>
      <c r="I10" s="1349"/>
      <c r="J10" s="1347">
        <v>0.109</v>
      </c>
      <c r="K10" t="s">
        <v>1133</v>
      </c>
      <c r="L10" s="1595">
        <v>3</v>
      </c>
      <c r="M10" s="1596" t="s">
        <v>5</v>
      </c>
    </row>
    <row r="11" spans="6:13" ht="17.25" customHeight="1" thickBot="1">
      <c r="F11" s="1347"/>
      <c r="I11" s="1349"/>
      <c r="J11" s="1347">
        <v>0.213</v>
      </c>
      <c r="K11" t="s">
        <v>1134</v>
      </c>
      <c r="L11" s="1593">
        <v>17.1</v>
      </c>
      <c r="M11" s="1594" t="s">
        <v>11</v>
      </c>
    </row>
    <row r="12" spans="5:11" ht="17.25" customHeight="1">
      <c r="E12" s="1349" t="s">
        <v>17</v>
      </c>
      <c r="F12" s="1347"/>
      <c r="I12" s="1349"/>
      <c r="J12" s="1347">
        <v>0.025</v>
      </c>
      <c r="K12" t="s">
        <v>1135</v>
      </c>
    </row>
    <row r="13" spans="5:11" ht="17.25" customHeight="1">
      <c r="E13" s="1349"/>
      <c r="F13" s="1347">
        <v>-0.4</v>
      </c>
      <c r="G13" t="s">
        <v>1119</v>
      </c>
      <c r="I13" s="1349"/>
      <c r="J13" s="1347">
        <v>0.138</v>
      </c>
      <c r="K13" t="s">
        <v>1136</v>
      </c>
    </row>
    <row r="14" spans="5:11" ht="17.25" customHeight="1">
      <c r="E14" s="1349"/>
      <c r="F14" s="1347">
        <v>0.2</v>
      </c>
      <c r="G14" t="s">
        <v>1121</v>
      </c>
      <c r="J14" s="1347">
        <v>0.065</v>
      </c>
      <c r="K14" t="s">
        <v>4</v>
      </c>
    </row>
    <row r="15" spans="5:11" ht="17.25" customHeight="1">
      <c r="E15" s="1349"/>
      <c r="F15" s="1347">
        <v>0.1</v>
      </c>
      <c r="G15" t="s">
        <v>1120</v>
      </c>
      <c r="I15" s="1349"/>
      <c r="J15" s="1347">
        <v>0.215</v>
      </c>
      <c r="K15" t="s">
        <v>1137</v>
      </c>
    </row>
    <row r="16" spans="5:10" ht="17.25" customHeight="1" thickBot="1">
      <c r="E16" s="1349"/>
      <c r="F16" s="1347">
        <v>0.137</v>
      </c>
      <c r="G16" t="s">
        <v>1122</v>
      </c>
      <c r="I16" s="1349"/>
      <c r="J16" s="1348">
        <f>SUM(J5:J15)</f>
        <v>1.619</v>
      </c>
    </row>
    <row r="17" spans="5:10" ht="17.25" customHeight="1">
      <c r="E17" s="1349"/>
      <c r="F17" s="1347">
        <v>0.037</v>
      </c>
      <c r="G17" t="s">
        <v>1123</v>
      </c>
      <c r="I17" s="1349"/>
      <c r="J17" s="1354"/>
    </row>
    <row r="18" spans="5:9" ht="17.25" customHeight="1">
      <c r="E18" s="1349"/>
      <c r="F18" s="1347">
        <v>-0.2</v>
      </c>
      <c r="G18" t="s">
        <v>1124</v>
      </c>
      <c r="I18" s="1350" t="s">
        <v>12</v>
      </c>
    </row>
    <row r="19" spans="5:11" ht="17.25" customHeight="1" thickBot="1">
      <c r="E19" s="1349"/>
      <c r="F19" s="1347">
        <v>0.15</v>
      </c>
      <c r="G19" t="s">
        <v>1125</v>
      </c>
      <c r="I19" s="1349"/>
      <c r="J19" s="1347">
        <v>0.342</v>
      </c>
      <c r="K19" t="s">
        <v>1126</v>
      </c>
    </row>
    <row r="20" spans="4:11" ht="17.25" customHeight="1" thickBot="1">
      <c r="D20" s="1358"/>
      <c r="E20" s="1359" t="s">
        <v>1148</v>
      </c>
      <c r="F20" s="1360">
        <f>SUM(F10:F19)</f>
        <v>5.225999999999997</v>
      </c>
      <c r="I20" s="1349"/>
      <c r="J20" s="1347">
        <v>0.472</v>
      </c>
      <c r="K20" t="s">
        <v>1127</v>
      </c>
    </row>
    <row r="21" spans="9:11" ht="17.25" customHeight="1">
      <c r="I21" s="1349"/>
      <c r="J21" s="1347">
        <v>0.55</v>
      </c>
      <c r="K21" t="s">
        <v>1128</v>
      </c>
    </row>
    <row r="22" spans="5:11" ht="17.25" customHeight="1">
      <c r="E22" s="1349"/>
      <c r="F22" s="1347"/>
      <c r="I22" s="1349"/>
      <c r="J22" s="1347">
        <v>0.055</v>
      </c>
      <c r="K22" t="s">
        <v>1140</v>
      </c>
    </row>
    <row r="23" spans="5:10" ht="17.25" customHeight="1" thickBot="1">
      <c r="E23" s="1349"/>
      <c r="F23" s="1347"/>
      <c r="I23" s="1349"/>
      <c r="J23" s="1348">
        <f>SUM(J19:J22)</f>
        <v>1.419</v>
      </c>
    </row>
    <row r="24" spans="9:10" ht="17.25" customHeight="1" hidden="1">
      <c r="I24" s="1349"/>
      <c r="J24" s="1354"/>
    </row>
    <row r="25" spans="9:13" ht="25.5">
      <c r="I25" s="1350" t="s">
        <v>19</v>
      </c>
      <c r="J25" s="1347"/>
      <c r="L25" s="1589" t="s">
        <v>7</v>
      </c>
      <c r="M25" s="1590"/>
    </row>
    <row r="26" spans="10:13" ht="17.25" customHeight="1">
      <c r="J26" s="1347">
        <v>0.1</v>
      </c>
      <c r="K26" t="s">
        <v>1138</v>
      </c>
      <c r="L26" s="1591">
        <v>1</v>
      </c>
      <c r="M26" s="1592" t="s">
        <v>8</v>
      </c>
    </row>
    <row r="27" spans="10:13" ht="17.25" customHeight="1">
      <c r="J27" s="1347">
        <v>0.1</v>
      </c>
      <c r="K27" t="s">
        <v>1145</v>
      </c>
      <c r="L27" s="1591">
        <v>2.3</v>
      </c>
      <c r="M27" s="1592" t="s">
        <v>9</v>
      </c>
    </row>
    <row r="28" spans="10:13" ht="17.25" customHeight="1">
      <c r="J28" s="1347">
        <v>0.2</v>
      </c>
      <c r="K28" t="s">
        <v>1139</v>
      </c>
      <c r="L28" s="1591">
        <v>4.7</v>
      </c>
      <c r="M28" s="1592" t="s">
        <v>10</v>
      </c>
    </row>
    <row r="29" spans="10:13" ht="17.25" customHeight="1">
      <c r="J29" s="1347">
        <v>0.444</v>
      </c>
      <c r="K29" t="s">
        <v>1146</v>
      </c>
      <c r="L29" s="1591">
        <v>4</v>
      </c>
      <c r="M29" s="1592" t="s">
        <v>13</v>
      </c>
    </row>
    <row r="30" spans="10:13" ht="17.25" customHeight="1">
      <c r="J30" s="1347">
        <v>0.168</v>
      </c>
      <c r="K30" t="s">
        <v>1147</v>
      </c>
      <c r="L30" s="1591">
        <v>2.2</v>
      </c>
      <c r="M30" s="1592" t="s">
        <v>14</v>
      </c>
    </row>
    <row r="31" spans="10:13" ht="17.25" customHeight="1" thickBot="1">
      <c r="J31" s="1348">
        <f>SUM(J26:J30)</f>
        <v>1.012</v>
      </c>
      <c r="L31" s="1593" t="s">
        <v>16</v>
      </c>
      <c r="M31" s="1594" t="s">
        <v>15</v>
      </c>
    </row>
    <row r="32" ht="17.25" customHeight="1" hidden="1"/>
    <row r="33" spans="6:10" ht="17.25" customHeight="1">
      <c r="F33" s="1366"/>
      <c r="G33" s="1367"/>
      <c r="H33" s="1367"/>
      <c r="I33" s="1368" t="s">
        <v>1151</v>
      </c>
      <c r="J33" s="1369">
        <f>+F20-J16-J23-J31</f>
        <v>1.1759999999999975</v>
      </c>
    </row>
    <row r="34" ht="17.25" customHeight="1">
      <c r="J34" s="1347"/>
    </row>
    <row r="35" ht="17.25" customHeight="1">
      <c r="I35" s="1355" t="s">
        <v>1143</v>
      </c>
    </row>
    <row r="36" spans="9:10" ht="17.25" customHeight="1">
      <c r="I36" t="s">
        <v>1141</v>
      </c>
      <c r="J36" s="1347"/>
    </row>
    <row r="37" spans="10:11" ht="17.25" customHeight="1">
      <c r="J37" s="1347"/>
      <c r="K37" t="s">
        <v>23</v>
      </c>
    </row>
    <row r="38" spans="10:11" ht="17.25" customHeight="1">
      <c r="J38" s="5">
        <v>1600</v>
      </c>
      <c r="K38" s="1357" t="s">
        <v>20</v>
      </c>
    </row>
    <row r="39" spans="10:11" ht="17.25" customHeight="1">
      <c r="J39" s="5"/>
      <c r="K39" s="1357" t="s">
        <v>21</v>
      </c>
    </row>
    <row r="40" spans="10:11" ht="17.25" customHeight="1">
      <c r="J40" s="5"/>
      <c r="K40" s="1357" t="s">
        <v>22</v>
      </c>
    </row>
    <row r="41" spans="10:11" ht="17.25" customHeight="1">
      <c r="J41" s="5">
        <v>1206</v>
      </c>
      <c r="K41" t="s">
        <v>1142</v>
      </c>
    </row>
  </sheetData>
  <printOptions gridLines="1" headings="1"/>
  <pageMargins left="0.21" right="0.18" top="0.28" bottom="0.32" header="0.26" footer="0.17"/>
  <pageSetup fitToHeight="1" fitToWidth="1" horizontalDpi="600" verticalDpi="600" orientation="landscape" scale="83" r:id="rId2"/>
  <headerFooter alignWithMargins="0">
    <oddFooter>&amp;C&amp;F                       &amp;A&amp;R&amp;D           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0"/>
  <sheetViews>
    <sheetView zoomScale="85" zoomScaleNormal="85" workbookViewId="0" topLeftCell="A31">
      <selection activeCell="K80" sqref="K80"/>
    </sheetView>
  </sheetViews>
  <sheetFormatPr defaultColWidth="9.140625" defaultRowHeight="12.75"/>
  <cols>
    <col min="1" max="1" width="19.421875" style="414" bestFit="1" customWidth="1"/>
    <col min="2" max="2" width="48.8515625" style="414" bestFit="1" customWidth="1"/>
    <col min="3" max="3" width="11.140625" style="414" customWidth="1"/>
    <col min="4" max="4" width="7.28125" style="731" customWidth="1"/>
    <col min="5" max="5" width="8.57421875" style="414" customWidth="1"/>
    <col min="6" max="6" width="9.8515625" style="414" customWidth="1"/>
    <col min="7" max="7" width="9.28125" style="414" customWidth="1"/>
    <col min="8" max="8" width="9.140625" style="414" customWidth="1"/>
    <col min="9" max="9" width="9.140625" style="415" customWidth="1"/>
    <col min="10" max="10" width="9.00390625" style="415" bestFit="1" customWidth="1"/>
    <col min="11" max="11" width="10.00390625" style="414" bestFit="1" customWidth="1"/>
    <col min="12" max="12" width="9.8515625" style="414" bestFit="1" customWidth="1"/>
    <col min="13" max="13" width="9.57421875" style="414" bestFit="1" customWidth="1"/>
    <col min="14" max="14" width="9.7109375" style="414" bestFit="1" customWidth="1"/>
    <col min="15" max="15" width="9.8515625" style="414" bestFit="1" customWidth="1"/>
    <col min="16" max="16" width="9.57421875" style="414" bestFit="1" customWidth="1"/>
    <col min="17" max="17" width="10.00390625" style="414" bestFit="1" customWidth="1"/>
    <col min="18" max="18" width="9.57421875" style="414" bestFit="1" customWidth="1"/>
    <col min="19" max="19" width="9.00390625" style="414" bestFit="1" customWidth="1"/>
    <col min="20" max="20" width="9.8515625" style="414" bestFit="1" customWidth="1"/>
    <col min="21" max="21" width="9.7109375" style="414" bestFit="1" customWidth="1"/>
    <col min="22" max="22" width="9.57421875" style="414" bestFit="1" customWidth="1"/>
    <col min="23" max="23" width="10.00390625" style="414" bestFit="1" customWidth="1"/>
    <col min="24" max="24" width="9.8515625" style="414" bestFit="1" customWidth="1"/>
    <col min="25" max="25" width="9.57421875" style="414" bestFit="1" customWidth="1"/>
    <col min="26" max="26" width="9.7109375" style="414" bestFit="1" customWidth="1"/>
    <col min="27" max="27" width="9.8515625" style="414" bestFit="1" customWidth="1"/>
    <col min="28" max="28" width="9.57421875" style="414" bestFit="1" customWidth="1"/>
    <col min="29" max="29" width="10.00390625" style="414" bestFit="1" customWidth="1"/>
    <col min="30" max="30" width="9.57421875" style="414" bestFit="1" customWidth="1"/>
    <col min="31" max="31" width="9.00390625" style="414" bestFit="1" customWidth="1"/>
    <col min="32" max="32" width="9.8515625" style="414" bestFit="1" customWidth="1"/>
    <col min="33" max="33" width="9.7109375" style="414" bestFit="1" customWidth="1"/>
    <col min="34" max="34" width="9.28125" style="414" bestFit="1" customWidth="1"/>
    <col min="35" max="35" width="9.7109375" style="414" bestFit="1" customWidth="1"/>
    <col min="36" max="36" width="9.57421875" style="414" bestFit="1" customWidth="1"/>
    <col min="37" max="37" width="9.28125" style="414" bestFit="1" customWidth="1"/>
    <col min="38" max="38" width="9.421875" style="414" bestFit="1" customWidth="1"/>
    <col min="39" max="39" width="9.57421875" style="414" bestFit="1" customWidth="1"/>
    <col min="40" max="40" width="9.28125" style="414" bestFit="1" customWidth="1"/>
    <col min="41" max="41" width="9.7109375" style="414" bestFit="1" customWidth="1"/>
    <col min="42" max="42" width="9.28125" style="414" bestFit="1" customWidth="1"/>
    <col min="43" max="43" width="8.7109375" style="414" bestFit="1" customWidth="1"/>
    <col min="44" max="44" width="9.57421875" style="414" bestFit="1" customWidth="1"/>
    <col min="45" max="45" width="9.421875" style="414" bestFit="1" customWidth="1"/>
    <col min="46" max="46" width="8.8515625" style="414" bestFit="1" customWidth="1"/>
    <col min="47" max="47" width="9.421875" style="414" bestFit="1" customWidth="1"/>
    <col min="48" max="48" width="9.28125" style="414" bestFit="1" customWidth="1"/>
    <col min="49" max="49" width="8.8515625" style="414" bestFit="1" customWidth="1"/>
    <col min="50" max="50" width="9.00390625" style="414" bestFit="1" customWidth="1"/>
    <col min="51" max="51" width="9.28125" style="414" bestFit="1" customWidth="1"/>
    <col min="52" max="52" width="9.8515625" style="414" bestFit="1" customWidth="1"/>
    <col min="53" max="53" width="10.00390625" style="414" bestFit="1" customWidth="1"/>
    <col min="54" max="54" width="9.421875" style="414" bestFit="1" customWidth="1"/>
    <col min="55" max="55" width="9.00390625" style="414" bestFit="1" customWidth="1"/>
    <col min="56" max="56" width="9.7109375" style="414" bestFit="1" customWidth="1"/>
    <col min="57" max="57" width="9.57421875" style="414" bestFit="1" customWidth="1"/>
    <col min="58" max="60" width="10.00390625" style="414" bestFit="1" customWidth="1"/>
    <col min="61" max="62" width="9.8515625" style="414" bestFit="1" customWidth="1"/>
    <col min="63" max="63" width="10.57421875" style="414" bestFit="1" customWidth="1"/>
    <col min="64" max="64" width="10.28125" style="414" bestFit="1" customWidth="1"/>
    <col min="65" max="65" width="10.421875" style="414" bestFit="1" customWidth="1"/>
    <col min="66" max="66" width="9.7109375" style="414" bestFit="1" customWidth="1"/>
    <col min="67" max="67" width="9.421875" style="414" bestFit="1" customWidth="1"/>
    <col min="68" max="68" width="10.00390625" style="414" bestFit="1" customWidth="1"/>
    <col min="69" max="69" width="9.8515625" style="414" bestFit="1" customWidth="1"/>
    <col min="70" max="16384" width="9.140625" style="414" customWidth="1"/>
  </cols>
  <sheetData>
    <row r="1" spans="1:21" s="391" customFormat="1" ht="15.75" thickBot="1">
      <c r="A1" s="391" t="s">
        <v>232</v>
      </c>
      <c r="D1" s="727"/>
      <c r="E1" s="1396" t="s">
        <v>753</v>
      </c>
      <c r="F1" s="1397"/>
      <c r="G1" s="1397"/>
      <c r="H1" s="1397"/>
      <c r="I1" s="1398"/>
      <c r="J1" s="1396" t="s">
        <v>753</v>
      </c>
      <c r="K1" s="1397"/>
      <c r="L1" s="1397"/>
      <c r="M1" s="1397"/>
      <c r="N1" s="1397"/>
      <c r="O1" s="1397"/>
      <c r="P1" s="1397"/>
      <c r="Q1" s="1397"/>
      <c r="R1" s="1397"/>
      <c r="S1" s="1397"/>
      <c r="T1" s="1397"/>
      <c r="U1" s="1398"/>
    </row>
    <row r="2" spans="1:69" s="586" customFormat="1" ht="36.75" customHeight="1" thickBot="1">
      <c r="A2" s="584" t="s">
        <v>532</v>
      </c>
      <c r="B2" s="584" t="s">
        <v>298</v>
      </c>
      <c r="C2" s="585" t="s">
        <v>995</v>
      </c>
      <c r="D2" s="732"/>
      <c r="E2" s="578" t="s">
        <v>700</v>
      </c>
      <c r="F2" s="579" t="s">
        <v>704</v>
      </c>
      <c r="G2" s="579" t="s">
        <v>705</v>
      </c>
      <c r="H2" s="579" t="s">
        <v>707</v>
      </c>
      <c r="I2" s="580" t="s">
        <v>708</v>
      </c>
      <c r="J2" s="595" t="s">
        <v>709</v>
      </c>
      <c r="K2" s="581" t="s">
        <v>710</v>
      </c>
      <c r="L2" s="581" t="s">
        <v>711</v>
      </c>
      <c r="M2" s="581" t="s">
        <v>712</v>
      </c>
      <c r="N2" s="581" t="s">
        <v>713</v>
      </c>
      <c r="O2" s="581" t="s">
        <v>714</v>
      </c>
      <c r="P2" s="581" t="s">
        <v>715</v>
      </c>
      <c r="Q2" s="581" t="s">
        <v>701</v>
      </c>
      <c r="R2" s="581" t="s">
        <v>716</v>
      </c>
      <c r="S2" s="581" t="s">
        <v>717</v>
      </c>
      <c r="T2" s="581" t="s">
        <v>718</v>
      </c>
      <c r="U2" s="575" t="s">
        <v>719</v>
      </c>
      <c r="V2" s="574" t="s">
        <v>720</v>
      </c>
      <c r="W2" s="581" t="s">
        <v>721</v>
      </c>
      <c r="X2" s="581" t="s">
        <v>722</v>
      </c>
      <c r="Y2" s="581" t="s">
        <v>723</v>
      </c>
      <c r="Z2" s="581" t="s">
        <v>724</v>
      </c>
      <c r="AA2" s="581" t="s">
        <v>725</v>
      </c>
      <c r="AB2" s="581" t="s">
        <v>726</v>
      </c>
      <c r="AC2" s="581" t="s">
        <v>702</v>
      </c>
      <c r="AD2" s="581" t="s">
        <v>727</v>
      </c>
      <c r="AE2" s="581" t="s">
        <v>728</v>
      </c>
      <c r="AF2" s="581" t="s">
        <v>729</v>
      </c>
      <c r="AG2" s="575" t="s">
        <v>730</v>
      </c>
      <c r="AH2" s="574" t="s">
        <v>731</v>
      </c>
      <c r="AI2" s="581" t="s">
        <v>732</v>
      </c>
      <c r="AJ2" s="581" t="s">
        <v>733</v>
      </c>
      <c r="AK2" s="581" t="s">
        <v>734</v>
      </c>
      <c r="AL2" s="581" t="s">
        <v>735</v>
      </c>
      <c r="AM2" s="581" t="s">
        <v>736</v>
      </c>
      <c r="AN2" s="581" t="s">
        <v>737</v>
      </c>
      <c r="AO2" s="581" t="s">
        <v>703</v>
      </c>
      <c r="AP2" s="581" t="s">
        <v>738</v>
      </c>
      <c r="AQ2" s="581" t="s">
        <v>739</v>
      </c>
      <c r="AR2" s="581" t="s">
        <v>740</v>
      </c>
      <c r="AS2" s="575" t="s">
        <v>741</v>
      </c>
      <c r="AT2" s="574" t="s">
        <v>742</v>
      </c>
      <c r="AU2" s="581" t="s">
        <v>743</v>
      </c>
      <c r="AV2" s="581" t="s">
        <v>744</v>
      </c>
      <c r="AW2" s="581" t="s">
        <v>745</v>
      </c>
      <c r="AX2" s="581" t="s">
        <v>746</v>
      </c>
      <c r="AY2" s="575" t="s">
        <v>747</v>
      </c>
      <c r="AZ2" s="584" t="s">
        <v>375</v>
      </c>
      <c r="BA2" s="584" t="s">
        <v>376</v>
      </c>
      <c r="BB2" s="584" t="s">
        <v>377</v>
      </c>
      <c r="BC2" s="584" t="s">
        <v>378</v>
      </c>
      <c r="BD2" s="584" t="s">
        <v>355</v>
      </c>
      <c r="BE2" s="584" t="s">
        <v>356</v>
      </c>
      <c r="BF2" s="584" t="s">
        <v>379</v>
      </c>
      <c r="BG2" s="584" t="s">
        <v>380</v>
      </c>
      <c r="BH2" s="584" t="s">
        <v>381</v>
      </c>
      <c r="BI2" s="584" t="s">
        <v>382</v>
      </c>
      <c r="BJ2" s="584" t="s">
        <v>383</v>
      </c>
      <c r="BK2" s="584" t="s">
        <v>384</v>
      </c>
      <c r="BL2" s="584" t="s">
        <v>385</v>
      </c>
      <c r="BM2" s="584" t="s">
        <v>386</v>
      </c>
      <c r="BN2" s="584" t="s">
        <v>387</v>
      </c>
      <c r="BO2" s="584" t="s">
        <v>388</v>
      </c>
      <c r="BP2" s="584" t="s">
        <v>357</v>
      </c>
      <c r="BQ2" s="584" t="s">
        <v>358</v>
      </c>
    </row>
    <row r="3" spans="1:63" s="15" customFormat="1" ht="12.75">
      <c r="A3" s="697" t="s">
        <v>389</v>
      </c>
      <c r="B3" s="698" t="s">
        <v>456</v>
      </c>
      <c r="C3" s="734">
        <f>SUM(E3:K3)</f>
        <v>392.3228102088415</v>
      </c>
      <c r="D3" s="735">
        <v>8101</v>
      </c>
      <c r="E3" s="736">
        <v>55.877660000000006</v>
      </c>
      <c r="F3" s="737">
        <v>58.94187</v>
      </c>
      <c r="G3" s="737">
        <v>48.73328020884151</v>
      </c>
      <c r="H3" s="737">
        <v>48.726</v>
      </c>
      <c r="I3" s="738">
        <v>80</v>
      </c>
      <c r="J3" s="736">
        <f>45.034+2.552</f>
        <v>47.586</v>
      </c>
      <c r="K3" s="408">
        <v>52.458</v>
      </c>
      <c r="L3" s="408"/>
      <c r="M3" s="408"/>
      <c r="N3" s="408"/>
      <c r="O3" s="408"/>
      <c r="P3" s="408"/>
      <c r="Q3" s="408"/>
      <c r="R3" s="408"/>
      <c r="S3" s="408"/>
      <c r="T3" s="408"/>
      <c r="U3" s="420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</row>
    <row r="4" spans="1:63" s="392" customFormat="1" ht="12.75">
      <c r="A4" s="396" t="s">
        <v>389</v>
      </c>
      <c r="B4" s="416" t="s">
        <v>457</v>
      </c>
      <c r="C4" s="739">
        <f>SUM(E4:K4)</f>
        <v>137.118</v>
      </c>
      <c r="D4" s="740">
        <v>8102</v>
      </c>
      <c r="E4" s="741">
        <v>30.964</v>
      </c>
      <c r="F4" s="742">
        <v>22.991</v>
      </c>
      <c r="G4" s="742">
        <v>13.862</v>
      </c>
      <c r="H4" s="742">
        <v>23.695</v>
      </c>
      <c r="I4" s="743">
        <v>17.316</v>
      </c>
      <c r="J4" s="744">
        <v>15.755</v>
      </c>
      <c r="K4" s="397">
        <v>12.535</v>
      </c>
      <c r="L4" s="397"/>
      <c r="M4" s="397"/>
      <c r="N4" s="397"/>
      <c r="O4" s="397"/>
      <c r="P4" s="397"/>
      <c r="Q4" s="397"/>
      <c r="R4" s="397"/>
      <c r="S4" s="397"/>
      <c r="T4" s="397"/>
      <c r="U4" s="416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</row>
    <row r="5" spans="1:63" s="15" customFormat="1" ht="13.5" thickBot="1">
      <c r="A5" s="403" t="s">
        <v>389</v>
      </c>
      <c r="B5" s="423" t="s">
        <v>458</v>
      </c>
      <c r="C5" s="734">
        <f>SUM(E5:K5)</f>
        <v>307.3977786597061</v>
      </c>
      <c r="D5" s="735">
        <v>8998</v>
      </c>
      <c r="E5" s="745">
        <v>24.87674</v>
      </c>
      <c r="F5" s="746">
        <v>24.99326</v>
      </c>
      <c r="G5" s="746">
        <v>28.357778659706103</v>
      </c>
      <c r="H5" s="747">
        <f>30.229+4.644</f>
        <v>34.873</v>
      </c>
      <c r="I5" s="748">
        <f>41.146+43.406-1.276</f>
        <v>83.276</v>
      </c>
      <c r="J5" s="749">
        <f>23.781+9.14</f>
        <v>32.921</v>
      </c>
      <c r="K5" s="399">
        <f>72.119+5.981</f>
        <v>78.1</v>
      </c>
      <c r="L5" s="399"/>
      <c r="M5" s="399"/>
      <c r="N5" s="399"/>
      <c r="O5" s="399"/>
      <c r="P5" s="399"/>
      <c r="Q5" s="399"/>
      <c r="R5" s="399"/>
      <c r="S5" s="399"/>
      <c r="T5" s="399"/>
      <c r="U5" s="417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</row>
    <row r="6" spans="1:69" s="15" customFormat="1" ht="13.5" thickBot="1">
      <c r="A6" s="369"/>
      <c r="B6" s="422" t="s">
        <v>690</v>
      </c>
      <c r="C6" s="410">
        <f aca="true" t="shared" si="0" ref="C6:BO6">SUM(C3:C5)</f>
        <v>836.8385888685475</v>
      </c>
      <c r="D6" s="730"/>
      <c r="E6" s="750">
        <f>SUM(E3:E5)</f>
        <v>111.7184</v>
      </c>
      <c r="F6" s="751">
        <f>SUM(F3:F5)</f>
        <v>106.92613</v>
      </c>
      <c r="G6" s="751">
        <f>SUM(G3:G5)</f>
        <v>90.95305886854761</v>
      </c>
      <c r="H6" s="751">
        <f t="shared" si="0"/>
        <v>107.29399999999998</v>
      </c>
      <c r="I6" s="752">
        <f t="shared" si="0"/>
        <v>180.59199999999998</v>
      </c>
      <c r="J6" s="753">
        <f t="shared" si="0"/>
        <v>96.262</v>
      </c>
      <c r="K6" s="401">
        <f t="shared" si="0"/>
        <v>143.093</v>
      </c>
      <c r="L6" s="401">
        <f t="shared" si="0"/>
        <v>0</v>
      </c>
      <c r="M6" s="401">
        <f t="shared" si="0"/>
        <v>0</v>
      </c>
      <c r="N6" s="401">
        <f t="shared" si="0"/>
        <v>0</v>
      </c>
      <c r="O6" s="401">
        <f t="shared" si="0"/>
        <v>0</v>
      </c>
      <c r="P6" s="401">
        <f t="shared" si="0"/>
        <v>0</v>
      </c>
      <c r="Q6" s="401">
        <f t="shared" si="0"/>
        <v>0</v>
      </c>
      <c r="R6" s="401">
        <f t="shared" si="0"/>
        <v>0</v>
      </c>
      <c r="S6" s="401">
        <f t="shared" si="0"/>
        <v>0</v>
      </c>
      <c r="T6" s="401">
        <f t="shared" si="0"/>
        <v>0</v>
      </c>
      <c r="U6" s="418">
        <f t="shared" si="0"/>
        <v>0</v>
      </c>
      <c r="V6" s="394">
        <f t="shared" si="0"/>
        <v>0</v>
      </c>
      <c r="W6" s="394">
        <f t="shared" si="0"/>
        <v>0</v>
      </c>
      <c r="X6" s="394">
        <f t="shared" si="0"/>
        <v>0</v>
      </c>
      <c r="Y6" s="394">
        <f t="shared" si="0"/>
        <v>0</v>
      </c>
      <c r="Z6" s="394">
        <f t="shared" si="0"/>
        <v>0</v>
      </c>
      <c r="AA6" s="394">
        <f t="shared" si="0"/>
        <v>0</v>
      </c>
      <c r="AB6" s="394">
        <f t="shared" si="0"/>
        <v>0</v>
      </c>
      <c r="AC6" s="394">
        <f t="shared" si="0"/>
        <v>0</v>
      </c>
      <c r="AD6" s="394">
        <f t="shared" si="0"/>
        <v>0</v>
      </c>
      <c r="AE6" s="394">
        <f t="shared" si="0"/>
        <v>0</v>
      </c>
      <c r="AF6" s="394">
        <f t="shared" si="0"/>
        <v>0</v>
      </c>
      <c r="AG6" s="394">
        <f t="shared" si="0"/>
        <v>0</v>
      </c>
      <c r="AH6" s="394">
        <f t="shared" si="0"/>
        <v>0</v>
      </c>
      <c r="AI6" s="394">
        <f t="shared" si="0"/>
        <v>0</v>
      </c>
      <c r="AJ6" s="394">
        <f t="shared" si="0"/>
        <v>0</v>
      </c>
      <c r="AK6" s="394">
        <f t="shared" si="0"/>
        <v>0</v>
      </c>
      <c r="AL6" s="394">
        <f t="shared" si="0"/>
        <v>0</v>
      </c>
      <c r="AM6" s="394">
        <f t="shared" si="0"/>
        <v>0</v>
      </c>
      <c r="AN6" s="394">
        <f t="shared" si="0"/>
        <v>0</v>
      </c>
      <c r="AO6" s="394">
        <f t="shared" si="0"/>
        <v>0</v>
      </c>
      <c r="AP6" s="394">
        <f t="shared" si="0"/>
        <v>0</v>
      </c>
      <c r="AQ6" s="394">
        <f t="shared" si="0"/>
        <v>0</v>
      </c>
      <c r="AR6" s="394">
        <f t="shared" si="0"/>
        <v>0</v>
      </c>
      <c r="AS6" s="394">
        <f t="shared" si="0"/>
        <v>0</v>
      </c>
      <c r="AT6" s="394">
        <f t="shared" si="0"/>
        <v>0</v>
      </c>
      <c r="AU6" s="394">
        <f t="shared" si="0"/>
        <v>0</v>
      </c>
      <c r="AV6" s="394">
        <f t="shared" si="0"/>
        <v>0</v>
      </c>
      <c r="AW6" s="394">
        <f t="shared" si="0"/>
        <v>0</v>
      </c>
      <c r="AX6" s="394">
        <f t="shared" si="0"/>
        <v>0</v>
      </c>
      <c r="AY6" s="394">
        <f t="shared" si="0"/>
        <v>0</v>
      </c>
      <c r="AZ6" s="394">
        <f t="shared" si="0"/>
        <v>0</v>
      </c>
      <c r="BA6" s="394">
        <f t="shared" si="0"/>
        <v>0</v>
      </c>
      <c r="BB6" s="394">
        <f t="shared" si="0"/>
        <v>0</v>
      </c>
      <c r="BC6" s="394">
        <f t="shared" si="0"/>
        <v>0</v>
      </c>
      <c r="BD6" s="394">
        <f t="shared" si="0"/>
        <v>0</v>
      </c>
      <c r="BE6" s="394">
        <f t="shared" si="0"/>
        <v>0</v>
      </c>
      <c r="BF6" s="394">
        <f t="shared" si="0"/>
        <v>0</v>
      </c>
      <c r="BG6" s="394">
        <f t="shared" si="0"/>
        <v>0</v>
      </c>
      <c r="BH6" s="394">
        <f t="shared" si="0"/>
        <v>0</v>
      </c>
      <c r="BI6" s="394">
        <f t="shared" si="0"/>
        <v>0</v>
      </c>
      <c r="BJ6" s="394">
        <f t="shared" si="0"/>
        <v>0</v>
      </c>
      <c r="BK6" s="394">
        <f t="shared" si="0"/>
        <v>0</v>
      </c>
      <c r="BL6" s="394">
        <f t="shared" si="0"/>
        <v>0</v>
      </c>
      <c r="BM6" s="394">
        <f t="shared" si="0"/>
        <v>0</v>
      </c>
      <c r="BN6" s="394">
        <f t="shared" si="0"/>
        <v>0</v>
      </c>
      <c r="BO6" s="394">
        <f t="shared" si="0"/>
        <v>0</v>
      </c>
      <c r="BP6" s="394">
        <f>SUM(BP3:BP5)</f>
        <v>0</v>
      </c>
      <c r="BQ6" s="394">
        <f>SUM(BQ3:BQ5)</f>
        <v>0</v>
      </c>
    </row>
    <row r="7" spans="1:63" s="15" customFormat="1" ht="8.25" customHeight="1" thickBot="1">
      <c r="A7" s="369"/>
      <c r="B7" s="369"/>
      <c r="C7" s="754"/>
      <c r="D7" s="733"/>
      <c r="E7" s="369"/>
      <c r="F7" s="369"/>
      <c r="G7" s="369"/>
      <c r="H7" s="369"/>
      <c r="I7" s="395"/>
      <c r="J7" s="395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</row>
    <row r="8" spans="1:63" s="15" customFormat="1" ht="12.75">
      <c r="A8" s="419" t="s">
        <v>390</v>
      </c>
      <c r="B8" s="420" t="s">
        <v>419</v>
      </c>
      <c r="C8" s="755">
        <f aca="true" t="shared" si="1" ref="C8:C32">SUM(E8:K8)</f>
        <v>185.37090615972355</v>
      </c>
      <c r="D8" s="729">
        <v>1204</v>
      </c>
      <c r="E8" s="406">
        <f>16.02091</f>
        <v>16.02091</v>
      </c>
      <c r="F8" s="407">
        <f>1.32607</f>
        <v>1.32607</v>
      </c>
      <c r="G8" s="407">
        <f>5.47692615972351</f>
        <v>5.47692615972351</v>
      </c>
      <c r="H8" s="408">
        <f>16.8</f>
        <v>16.8</v>
      </c>
      <c r="I8" s="409">
        <f>95.522+5.238</f>
        <v>100.76</v>
      </c>
      <c r="J8" s="406">
        <f>14.453+11.473</f>
        <v>25.926000000000002</v>
      </c>
      <c r="K8" s="408">
        <f>9.195+9.866</f>
        <v>19.061</v>
      </c>
      <c r="L8" s="408"/>
      <c r="M8" s="408"/>
      <c r="N8" s="408"/>
      <c r="O8" s="408"/>
      <c r="P8" s="408"/>
      <c r="Q8" s="408"/>
      <c r="R8" s="408"/>
      <c r="S8" s="408"/>
      <c r="T8" s="408"/>
      <c r="U8" s="420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69"/>
      <c r="BC8" s="369"/>
      <c r="BD8" s="369"/>
      <c r="BE8" s="369"/>
      <c r="BF8" s="369"/>
      <c r="BG8" s="369"/>
      <c r="BH8" s="369"/>
      <c r="BI8" s="369"/>
      <c r="BJ8" s="369"/>
      <c r="BK8" s="369"/>
    </row>
    <row r="9" spans="1:63" s="15" customFormat="1" ht="12.75">
      <c r="A9" s="396" t="s">
        <v>390</v>
      </c>
      <c r="B9" s="416" t="s">
        <v>420</v>
      </c>
      <c r="C9" s="756">
        <f t="shared" si="1"/>
        <v>-251.77029999848764</v>
      </c>
      <c r="D9" s="728">
        <v>1250</v>
      </c>
      <c r="E9" s="699">
        <v>-161.88002</v>
      </c>
      <c r="F9" s="700">
        <v>0</v>
      </c>
      <c r="G9" s="700">
        <v>-92.55727999848764</v>
      </c>
      <c r="H9" s="397"/>
      <c r="I9" s="393">
        <v>2.667</v>
      </c>
      <c r="J9" s="699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416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</row>
    <row r="10" spans="1:63" s="15" customFormat="1" ht="12.75">
      <c r="A10" s="396" t="s">
        <v>390</v>
      </c>
      <c r="B10" s="416" t="s">
        <v>421</v>
      </c>
      <c r="C10" s="756">
        <f t="shared" si="1"/>
        <v>116.83039687830606</v>
      </c>
      <c r="D10" s="728">
        <v>1408</v>
      </c>
      <c r="E10" s="699">
        <v>23.86787</v>
      </c>
      <c r="F10" s="700">
        <v>11.697629999999998</v>
      </c>
      <c r="G10" s="700">
        <v>31.198896878306066</v>
      </c>
      <c r="H10" s="700">
        <v>21.389</v>
      </c>
      <c r="I10" s="393">
        <v>8.337</v>
      </c>
      <c r="J10" s="699">
        <v>8.641</v>
      </c>
      <c r="K10" s="397">
        <v>11.699</v>
      </c>
      <c r="L10" s="397"/>
      <c r="M10" s="397"/>
      <c r="N10" s="397"/>
      <c r="O10" s="397"/>
      <c r="P10" s="397"/>
      <c r="Q10" s="397"/>
      <c r="R10" s="397"/>
      <c r="S10" s="397"/>
      <c r="T10" s="397"/>
      <c r="U10" s="416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</row>
    <row r="11" spans="1:63" s="15" customFormat="1" ht="12.75">
      <c r="A11" s="396" t="s">
        <v>390</v>
      </c>
      <c r="B11" s="416" t="s">
        <v>424</v>
      </c>
      <c r="C11" s="756">
        <f t="shared" si="1"/>
        <v>370.98188999999996</v>
      </c>
      <c r="D11" s="728">
        <v>1431</v>
      </c>
      <c r="E11" s="699">
        <v>144.28006</v>
      </c>
      <c r="F11" s="700">
        <v>0</v>
      </c>
      <c r="G11" s="700">
        <v>47.04283</v>
      </c>
      <c r="H11" s="397"/>
      <c r="I11" s="393">
        <v>96.358</v>
      </c>
      <c r="J11" s="699">
        <v>16.395</v>
      </c>
      <c r="K11" s="397">
        <v>66.906</v>
      </c>
      <c r="L11" s="397"/>
      <c r="M11" s="397"/>
      <c r="N11" s="397"/>
      <c r="O11" s="397"/>
      <c r="P11" s="397"/>
      <c r="Q11" s="397"/>
      <c r="R11" s="397"/>
      <c r="S11" s="397"/>
      <c r="T11" s="397"/>
      <c r="U11" s="416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</row>
    <row r="12" spans="1:63" s="15" customFormat="1" ht="12.75">
      <c r="A12" s="396" t="s">
        <v>390</v>
      </c>
      <c r="B12" s="416" t="s">
        <v>422</v>
      </c>
      <c r="C12" s="756">
        <f t="shared" si="1"/>
        <v>1436.403693632146</v>
      </c>
      <c r="D12" s="733">
        <v>1451</v>
      </c>
      <c r="E12" s="699">
        <f>282.5735+1.134</f>
        <v>283.70750000000004</v>
      </c>
      <c r="F12" s="700">
        <f>218.61055+0.185</f>
        <v>218.79555</v>
      </c>
      <c r="G12" s="700">
        <f>153.561643632146+3.726</f>
        <v>157.287643632146</v>
      </c>
      <c r="H12" s="397">
        <f>2.339+234.604+3.353</f>
        <v>240.29600000000002</v>
      </c>
      <c r="I12" s="393">
        <f>187.089+3.248</f>
        <v>190.337</v>
      </c>
      <c r="J12" s="699">
        <f>154.595+0</f>
        <v>154.595</v>
      </c>
      <c r="K12" s="397">
        <f>186.649+4.736</f>
        <v>191.385</v>
      </c>
      <c r="L12" s="397"/>
      <c r="M12" s="397"/>
      <c r="N12" s="397"/>
      <c r="O12" s="397"/>
      <c r="P12" s="397"/>
      <c r="Q12" s="397"/>
      <c r="R12" s="397"/>
      <c r="S12" s="397"/>
      <c r="T12" s="397"/>
      <c r="U12" s="416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</row>
    <row r="13" spans="1:63" s="15" customFormat="1" ht="12.75">
      <c r="A13" s="396" t="s">
        <v>390</v>
      </c>
      <c r="B13" s="416" t="s">
        <v>423</v>
      </c>
      <c r="C13" s="756">
        <f t="shared" si="1"/>
        <v>370.05299400262226</v>
      </c>
      <c r="D13" s="728">
        <v>1459</v>
      </c>
      <c r="E13" s="699">
        <v>42.20441</v>
      </c>
      <c r="F13" s="700">
        <v>55.27848</v>
      </c>
      <c r="G13" s="700">
        <v>51.7021040026223</v>
      </c>
      <c r="H13" s="700">
        <v>64.806</v>
      </c>
      <c r="I13" s="393">
        <f>75.759-0.297</f>
        <v>75.462</v>
      </c>
      <c r="J13" s="699">
        <v>49.777</v>
      </c>
      <c r="K13" s="397">
        <v>30.823</v>
      </c>
      <c r="L13" s="397"/>
      <c r="M13" s="397"/>
      <c r="N13" s="397"/>
      <c r="O13" s="397"/>
      <c r="P13" s="397"/>
      <c r="Q13" s="397"/>
      <c r="R13" s="397"/>
      <c r="S13" s="397"/>
      <c r="T13" s="397"/>
      <c r="U13" s="416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</row>
    <row r="14" spans="1:63" s="15" customFormat="1" ht="12.75">
      <c r="A14" s="396" t="s">
        <v>390</v>
      </c>
      <c r="B14" s="416" t="s">
        <v>426</v>
      </c>
      <c r="C14" s="756">
        <f t="shared" si="1"/>
        <v>432.1946887352712</v>
      </c>
      <c r="D14" s="728">
        <v>1802</v>
      </c>
      <c r="E14" s="699">
        <f>65.15038+19.228</f>
        <v>84.37837999999999</v>
      </c>
      <c r="F14" s="700">
        <f>43.79761+7.611</f>
        <v>51.408609999999996</v>
      </c>
      <c r="G14" s="700">
        <f>51.3106987352712+15.617</f>
        <v>66.9276987352712</v>
      </c>
      <c r="H14" s="700">
        <f>70.184+11.697</f>
        <v>81.881</v>
      </c>
      <c r="I14" s="393">
        <v>56.68</v>
      </c>
      <c r="J14" s="699">
        <v>34.76</v>
      </c>
      <c r="K14" s="397">
        <v>56.159</v>
      </c>
      <c r="L14" s="397"/>
      <c r="M14" s="397"/>
      <c r="N14" s="397"/>
      <c r="O14" s="397"/>
      <c r="P14" s="397"/>
      <c r="Q14" s="397"/>
      <c r="R14" s="397"/>
      <c r="S14" s="397"/>
      <c r="T14" s="397"/>
      <c r="U14" s="416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</row>
    <row r="15" spans="1:63" s="15" customFormat="1" ht="12.75">
      <c r="A15" s="396" t="s">
        <v>390</v>
      </c>
      <c r="B15" s="416" t="s">
        <v>425</v>
      </c>
      <c r="C15" s="756">
        <f t="shared" si="1"/>
        <v>179.87287303558023</v>
      </c>
      <c r="D15" s="728">
        <v>1803</v>
      </c>
      <c r="E15" s="699">
        <v>34.185010000000005</v>
      </c>
      <c r="F15" s="700">
        <v>34.00746</v>
      </c>
      <c r="G15" s="700">
        <v>22.49940303558024</v>
      </c>
      <c r="H15" s="700">
        <v>37.434</v>
      </c>
      <c r="I15" s="393">
        <f>14.012-0.151-0.773</f>
        <v>13.088000000000001</v>
      </c>
      <c r="J15" s="699">
        <v>15.582</v>
      </c>
      <c r="K15" s="397">
        <v>23.077</v>
      </c>
      <c r="L15" s="397"/>
      <c r="M15" s="397"/>
      <c r="N15" s="397"/>
      <c r="O15" s="397"/>
      <c r="P15" s="397"/>
      <c r="Q15" s="397"/>
      <c r="R15" s="397"/>
      <c r="S15" s="397"/>
      <c r="T15" s="397"/>
      <c r="U15" s="416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</row>
    <row r="16" spans="1:63" s="15" customFormat="1" ht="12.75">
      <c r="A16" s="396" t="s">
        <v>390</v>
      </c>
      <c r="B16" s="416" t="s">
        <v>427</v>
      </c>
      <c r="C16" s="756">
        <f t="shared" si="1"/>
        <v>1011.0580967437822</v>
      </c>
      <c r="D16" s="733">
        <v>1810</v>
      </c>
      <c r="E16" s="757">
        <v>106.90256</v>
      </c>
      <c r="F16" s="758">
        <v>120.89053</v>
      </c>
      <c r="G16" s="758">
        <v>140.88900674378235</v>
      </c>
      <c r="H16" s="700">
        <v>198.049</v>
      </c>
      <c r="I16" s="393">
        <f>168.206-1.094</f>
        <v>167.112</v>
      </c>
      <c r="J16" s="699">
        <v>116.848</v>
      </c>
      <c r="K16" s="397">
        <v>160.367</v>
      </c>
      <c r="L16" s="397"/>
      <c r="M16" s="397"/>
      <c r="N16" s="397"/>
      <c r="O16" s="397"/>
      <c r="P16" s="397"/>
      <c r="Q16" s="397"/>
      <c r="R16" s="397"/>
      <c r="S16" s="397"/>
      <c r="T16" s="397"/>
      <c r="U16" s="416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</row>
    <row r="17" spans="1:63" s="15" customFormat="1" ht="12.75">
      <c r="A17" s="396" t="s">
        <v>390</v>
      </c>
      <c r="B17" s="416" t="s">
        <v>428</v>
      </c>
      <c r="C17" s="756">
        <f t="shared" si="1"/>
        <v>0</v>
      </c>
      <c r="D17" s="733"/>
      <c r="E17" s="396"/>
      <c r="F17" s="397"/>
      <c r="G17" s="397"/>
      <c r="H17" s="397"/>
      <c r="I17" s="393"/>
      <c r="J17" s="699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416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</row>
    <row r="18" spans="1:63" s="15" customFormat="1" ht="12.75">
      <c r="A18" s="396" t="s">
        <v>390</v>
      </c>
      <c r="B18" s="416" t="s">
        <v>429</v>
      </c>
      <c r="C18" s="756">
        <f t="shared" si="1"/>
        <v>0</v>
      </c>
      <c r="D18" s="733"/>
      <c r="E18" s="396"/>
      <c r="F18" s="397"/>
      <c r="G18" s="397"/>
      <c r="H18" s="397"/>
      <c r="I18" s="393"/>
      <c r="J18" s="699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416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</row>
    <row r="19" spans="1:63" s="15" customFormat="1" ht="12.75">
      <c r="A19" s="396" t="s">
        <v>390</v>
      </c>
      <c r="B19" s="416" t="s">
        <v>430</v>
      </c>
      <c r="C19" s="756">
        <f t="shared" si="1"/>
        <v>0</v>
      </c>
      <c r="D19" s="733"/>
      <c r="E19" s="396"/>
      <c r="F19" s="397"/>
      <c r="G19" s="397"/>
      <c r="H19" s="397"/>
      <c r="I19" s="393"/>
      <c r="J19" s="699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416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</row>
    <row r="20" spans="1:63" s="15" customFormat="1" ht="12.75">
      <c r="A20" s="396" t="s">
        <v>390</v>
      </c>
      <c r="B20" s="416" t="s">
        <v>431</v>
      </c>
      <c r="C20" s="756">
        <f t="shared" si="1"/>
        <v>123.93862038441246</v>
      </c>
      <c r="D20" s="728">
        <v>3101</v>
      </c>
      <c r="E20" s="699">
        <v>27.06652</v>
      </c>
      <c r="F20" s="700">
        <v>15.88457</v>
      </c>
      <c r="G20" s="700">
        <v>38.18953038441244</v>
      </c>
      <c r="H20" s="700">
        <v>30.572</v>
      </c>
      <c r="I20" s="393">
        <v>9.403</v>
      </c>
      <c r="J20" s="699">
        <v>1.477</v>
      </c>
      <c r="K20" s="397">
        <v>1.346</v>
      </c>
      <c r="L20" s="397"/>
      <c r="M20" s="397"/>
      <c r="N20" s="397"/>
      <c r="O20" s="397"/>
      <c r="P20" s="397"/>
      <c r="Q20" s="397"/>
      <c r="R20" s="397"/>
      <c r="S20" s="397"/>
      <c r="T20" s="397"/>
      <c r="U20" s="416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</row>
    <row r="21" spans="1:63" s="15" customFormat="1" ht="12.75">
      <c r="A21" s="396" t="s">
        <v>390</v>
      </c>
      <c r="B21" s="416" t="s">
        <v>432</v>
      </c>
      <c r="C21" s="756">
        <f t="shared" si="1"/>
        <v>0</v>
      </c>
      <c r="D21" s="733"/>
      <c r="E21" s="396"/>
      <c r="F21" s="397"/>
      <c r="G21" s="397"/>
      <c r="H21" s="397"/>
      <c r="I21" s="393"/>
      <c r="J21" s="699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416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</row>
    <row r="22" spans="1:63" s="15" customFormat="1" ht="12.75">
      <c r="A22" s="396" t="s">
        <v>390</v>
      </c>
      <c r="B22" s="416" t="s">
        <v>433</v>
      </c>
      <c r="C22" s="756">
        <f t="shared" si="1"/>
        <v>0</v>
      </c>
      <c r="D22" s="733"/>
      <c r="E22" s="396"/>
      <c r="F22" s="397"/>
      <c r="G22" s="397"/>
      <c r="H22" s="397"/>
      <c r="I22" s="393"/>
      <c r="J22" s="699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416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</row>
    <row r="23" spans="1:63" s="15" customFormat="1" ht="12.75">
      <c r="A23" s="396" t="s">
        <v>390</v>
      </c>
      <c r="B23" s="416" t="s">
        <v>434</v>
      </c>
      <c r="C23" s="756">
        <f t="shared" si="1"/>
        <v>27.23221395875064</v>
      </c>
      <c r="D23" s="728">
        <v>3901</v>
      </c>
      <c r="E23" s="699">
        <v>2.62081</v>
      </c>
      <c r="F23" s="700">
        <v>4.20188</v>
      </c>
      <c r="G23" s="700">
        <v>6.720523958750641</v>
      </c>
      <c r="H23" s="700">
        <v>4.117</v>
      </c>
      <c r="I23" s="393">
        <v>2.396</v>
      </c>
      <c r="J23" s="699">
        <v>2.884</v>
      </c>
      <c r="K23" s="397">
        <v>4.292</v>
      </c>
      <c r="L23" s="397"/>
      <c r="M23" s="397"/>
      <c r="N23" s="397"/>
      <c r="O23" s="397"/>
      <c r="P23" s="397"/>
      <c r="Q23" s="397"/>
      <c r="R23" s="397"/>
      <c r="S23" s="397"/>
      <c r="T23" s="397"/>
      <c r="U23" s="416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</row>
    <row r="24" spans="1:63" s="15" customFormat="1" ht="12.75">
      <c r="A24" s="396" t="s">
        <v>390</v>
      </c>
      <c r="B24" s="416" t="s">
        <v>435</v>
      </c>
      <c r="C24" s="756">
        <f t="shared" si="1"/>
        <v>0</v>
      </c>
      <c r="D24" s="733"/>
      <c r="E24" s="396"/>
      <c r="F24" s="397"/>
      <c r="G24" s="397"/>
      <c r="H24" s="397"/>
      <c r="I24" s="393"/>
      <c r="J24" s="699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416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</row>
    <row r="25" spans="1:63" s="15" customFormat="1" ht="12.75">
      <c r="A25" s="396" t="s">
        <v>390</v>
      </c>
      <c r="B25" s="416" t="s">
        <v>436</v>
      </c>
      <c r="C25" s="756">
        <f t="shared" si="1"/>
        <v>0</v>
      </c>
      <c r="D25" s="733"/>
      <c r="E25" s="396"/>
      <c r="F25" s="397"/>
      <c r="G25" s="397"/>
      <c r="H25" s="397"/>
      <c r="I25" s="393"/>
      <c r="J25" s="699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416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</row>
    <row r="26" spans="1:63" s="15" customFormat="1" ht="12.75">
      <c r="A26" s="396" t="s">
        <v>390</v>
      </c>
      <c r="B26" s="416" t="s">
        <v>437</v>
      </c>
      <c r="C26" s="756">
        <f t="shared" si="1"/>
        <v>0</v>
      </c>
      <c r="D26" s="733"/>
      <c r="E26" s="396"/>
      <c r="F26" s="397"/>
      <c r="G26" s="397"/>
      <c r="H26" s="397"/>
      <c r="I26" s="393"/>
      <c r="J26" s="699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416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</row>
    <row r="27" spans="1:63" s="15" customFormat="1" ht="12.75">
      <c r="A27" s="396" t="s">
        <v>390</v>
      </c>
      <c r="B27" s="416" t="s">
        <v>438</v>
      </c>
      <c r="C27" s="756">
        <f t="shared" si="1"/>
        <v>0</v>
      </c>
      <c r="D27" s="733"/>
      <c r="E27" s="396"/>
      <c r="F27" s="397"/>
      <c r="G27" s="397"/>
      <c r="H27" s="397"/>
      <c r="I27" s="393"/>
      <c r="J27" s="699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416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</row>
    <row r="28" spans="1:63" s="15" customFormat="1" ht="12.75">
      <c r="A28" s="396" t="s">
        <v>390</v>
      </c>
      <c r="B28" s="416" t="s">
        <v>439</v>
      </c>
      <c r="C28" s="756">
        <f t="shared" si="1"/>
        <v>0</v>
      </c>
      <c r="D28" s="733"/>
      <c r="E28" s="396"/>
      <c r="F28" s="397"/>
      <c r="G28" s="397"/>
      <c r="H28" s="397"/>
      <c r="I28" s="393"/>
      <c r="J28" s="699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416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</row>
    <row r="29" spans="1:63" s="15" customFormat="1" ht="12.75">
      <c r="A29" s="396" t="s">
        <v>390</v>
      </c>
      <c r="B29" s="416" t="s">
        <v>440</v>
      </c>
      <c r="C29" s="756">
        <f t="shared" si="1"/>
        <v>-275.4782542977656</v>
      </c>
      <c r="D29" s="728">
        <v>7401</v>
      </c>
      <c r="E29" s="699">
        <v>-297.56103</v>
      </c>
      <c r="F29" s="700">
        <v>4.2205</v>
      </c>
      <c r="G29" s="700">
        <v>4.019275702234361</v>
      </c>
      <c r="H29" s="700">
        <v>6.749</v>
      </c>
      <c r="I29" s="393">
        <v>0.293</v>
      </c>
      <c r="J29" s="699">
        <v>0</v>
      </c>
      <c r="K29" s="397">
        <v>6.801</v>
      </c>
      <c r="L29" s="397"/>
      <c r="M29" s="397"/>
      <c r="N29" s="397"/>
      <c r="O29" s="397"/>
      <c r="P29" s="397"/>
      <c r="Q29" s="397"/>
      <c r="R29" s="397"/>
      <c r="S29" s="397"/>
      <c r="T29" s="397"/>
      <c r="U29" s="416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</row>
    <row r="30" spans="1:63" s="15" customFormat="1" ht="12.75">
      <c r="A30" s="396" t="s">
        <v>390</v>
      </c>
      <c r="B30" s="416" t="s">
        <v>441</v>
      </c>
      <c r="C30" s="756">
        <f t="shared" si="1"/>
        <v>0</v>
      </c>
      <c r="D30" s="733"/>
      <c r="E30" s="396"/>
      <c r="F30" s="397"/>
      <c r="G30" s="397"/>
      <c r="H30" s="397"/>
      <c r="I30" s="393"/>
      <c r="J30" s="699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416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</row>
    <row r="31" spans="1:63" s="15" customFormat="1" ht="12.75">
      <c r="A31" s="396" t="s">
        <v>390</v>
      </c>
      <c r="B31" s="416" t="s">
        <v>442</v>
      </c>
      <c r="C31" s="756">
        <f t="shared" si="1"/>
        <v>0</v>
      </c>
      <c r="D31" s="733"/>
      <c r="E31" s="396"/>
      <c r="F31" s="397"/>
      <c r="G31" s="397"/>
      <c r="H31" s="397"/>
      <c r="I31" s="393"/>
      <c r="J31" s="699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416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</row>
    <row r="32" spans="1:63" s="15" customFormat="1" ht="13.5" thickBot="1">
      <c r="A32" s="403" t="s">
        <v>390</v>
      </c>
      <c r="B32" s="423" t="s">
        <v>443</v>
      </c>
      <c r="C32" s="756">
        <f t="shared" si="1"/>
        <v>0</v>
      </c>
      <c r="D32" s="733"/>
      <c r="E32" s="398"/>
      <c r="F32" s="399"/>
      <c r="G32" s="399"/>
      <c r="H32" s="399"/>
      <c r="I32" s="400"/>
      <c r="J32" s="725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417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</row>
    <row r="33" spans="1:63" s="15" customFormat="1" ht="13.5" thickBot="1">
      <c r="A33" s="369"/>
      <c r="B33" s="422" t="s">
        <v>691</v>
      </c>
      <c r="C33" s="410">
        <f aca="true" t="shared" si="2" ref="C33:BC33">SUM(C8:C32)</f>
        <v>3726.687819234341</v>
      </c>
      <c r="D33" s="730"/>
      <c r="E33" s="411">
        <f>SUM(E8:E32)</f>
        <v>305.79298</v>
      </c>
      <c r="F33" s="412">
        <f>SUM(F8:F32)</f>
        <v>517.71128</v>
      </c>
      <c r="G33" s="412">
        <f>SUM(G8:G32)</f>
        <v>479.3965592343415</v>
      </c>
      <c r="H33" s="412">
        <f t="shared" si="2"/>
        <v>702.093</v>
      </c>
      <c r="I33" s="726">
        <f t="shared" si="2"/>
        <v>722.8929999999999</v>
      </c>
      <c r="J33" s="753">
        <f t="shared" si="2"/>
        <v>426.885</v>
      </c>
      <c r="K33" s="401">
        <f t="shared" si="2"/>
        <v>571.916</v>
      </c>
      <c r="L33" s="401">
        <f t="shared" si="2"/>
        <v>0</v>
      </c>
      <c r="M33" s="401">
        <f t="shared" si="2"/>
        <v>0</v>
      </c>
      <c r="N33" s="401">
        <f t="shared" si="2"/>
        <v>0</v>
      </c>
      <c r="O33" s="401">
        <f t="shared" si="2"/>
        <v>0</v>
      </c>
      <c r="P33" s="401">
        <f t="shared" si="2"/>
        <v>0</v>
      </c>
      <c r="Q33" s="401">
        <f t="shared" si="2"/>
        <v>0</v>
      </c>
      <c r="R33" s="401">
        <f t="shared" si="2"/>
        <v>0</v>
      </c>
      <c r="S33" s="401">
        <f t="shared" si="2"/>
        <v>0</v>
      </c>
      <c r="T33" s="401">
        <f t="shared" si="2"/>
        <v>0</v>
      </c>
      <c r="U33" s="418">
        <f t="shared" si="2"/>
        <v>0</v>
      </c>
      <c r="V33" s="394">
        <f t="shared" si="2"/>
        <v>0</v>
      </c>
      <c r="W33" s="394">
        <f t="shared" si="2"/>
        <v>0</v>
      </c>
      <c r="X33" s="394">
        <f t="shared" si="2"/>
        <v>0</v>
      </c>
      <c r="Y33" s="394">
        <f t="shared" si="2"/>
        <v>0</v>
      </c>
      <c r="Z33" s="394">
        <f t="shared" si="2"/>
        <v>0</v>
      </c>
      <c r="AA33" s="394">
        <f t="shared" si="2"/>
        <v>0</v>
      </c>
      <c r="AB33" s="394">
        <f t="shared" si="2"/>
        <v>0</v>
      </c>
      <c r="AC33" s="394">
        <f t="shared" si="2"/>
        <v>0</v>
      </c>
      <c r="AD33" s="394">
        <f t="shared" si="2"/>
        <v>0</v>
      </c>
      <c r="AE33" s="394">
        <f t="shared" si="2"/>
        <v>0</v>
      </c>
      <c r="AF33" s="394">
        <f t="shared" si="2"/>
        <v>0</v>
      </c>
      <c r="AG33" s="394">
        <f t="shared" si="2"/>
        <v>0</v>
      </c>
      <c r="AH33" s="394">
        <f t="shared" si="2"/>
        <v>0</v>
      </c>
      <c r="AI33" s="394">
        <f t="shared" si="2"/>
        <v>0</v>
      </c>
      <c r="AJ33" s="394">
        <f t="shared" si="2"/>
        <v>0</v>
      </c>
      <c r="AK33" s="394">
        <f t="shared" si="2"/>
        <v>0</v>
      </c>
      <c r="AL33" s="394">
        <f t="shared" si="2"/>
        <v>0</v>
      </c>
      <c r="AM33" s="394">
        <f t="shared" si="2"/>
        <v>0</v>
      </c>
      <c r="AN33" s="394">
        <f t="shared" si="2"/>
        <v>0</v>
      </c>
      <c r="AO33" s="394">
        <f t="shared" si="2"/>
        <v>0</v>
      </c>
      <c r="AP33" s="394">
        <f t="shared" si="2"/>
        <v>0</v>
      </c>
      <c r="AQ33" s="394">
        <f t="shared" si="2"/>
        <v>0</v>
      </c>
      <c r="AR33" s="394">
        <f t="shared" si="2"/>
        <v>0</v>
      </c>
      <c r="AS33" s="394">
        <f t="shared" si="2"/>
        <v>0</v>
      </c>
      <c r="AT33" s="394">
        <f t="shared" si="2"/>
        <v>0</v>
      </c>
      <c r="AU33" s="394">
        <f t="shared" si="2"/>
        <v>0</v>
      </c>
      <c r="AV33" s="394">
        <f t="shared" si="2"/>
        <v>0</v>
      </c>
      <c r="AW33" s="394">
        <f t="shared" si="2"/>
        <v>0</v>
      </c>
      <c r="AX33" s="394">
        <f t="shared" si="2"/>
        <v>0</v>
      </c>
      <c r="AY33" s="394">
        <f t="shared" si="2"/>
        <v>0</v>
      </c>
      <c r="AZ33" s="394">
        <f t="shared" si="2"/>
        <v>0</v>
      </c>
      <c r="BA33" s="394">
        <f t="shared" si="2"/>
        <v>0</v>
      </c>
      <c r="BB33" s="394">
        <f t="shared" si="2"/>
        <v>0</v>
      </c>
      <c r="BC33" s="394">
        <f t="shared" si="2"/>
        <v>0</v>
      </c>
      <c r="BD33" s="402"/>
      <c r="BE33" s="402"/>
      <c r="BF33" s="402"/>
      <c r="BG33" s="402"/>
      <c r="BH33" s="402"/>
      <c r="BI33" s="402"/>
      <c r="BJ33" s="402"/>
      <c r="BK33" s="402"/>
    </row>
    <row r="34" spans="1:63" s="15" customFormat="1" ht="6.75" customHeight="1" thickBot="1">
      <c r="A34" s="369"/>
      <c r="B34" s="369"/>
      <c r="C34" s="754"/>
      <c r="D34" s="733"/>
      <c r="E34" s="369"/>
      <c r="F34" s="369"/>
      <c r="G34" s="369"/>
      <c r="H34" s="369"/>
      <c r="I34" s="395"/>
      <c r="J34" s="395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</row>
    <row r="35" spans="1:63" s="15" customFormat="1" ht="12.75">
      <c r="A35" s="419" t="s">
        <v>391</v>
      </c>
      <c r="B35" s="420" t="s">
        <v>394</v>
      </c>
      <c r="C35" s="755">
        <f aca="true" t="shared" si="3" ref="C35:C60">SUM(E35:K35)</f>
        <v>55.34900320238492</v>
      </c>
      <c r="D35" s="733">
        <v>1302</v>
      </c>
      <c r="E35" s="701">
        <v>4.260039999999999</v>
      </c>
      <c r="F35" s="702">
        <v>1.54064</v>
      </c>
      <c r="G35" s="702">
        <v>1.405323202384924</v>
      </c>
      <c r="H35" s="702">
        <v>6.578</v>
      </c>
      <c r="I35" s="409">
        <f>31.248-0.647</f>
        <v>30.601000000000003</v>
      </c>
      <c r="J35" s="406">
        <v>3.217</v>
      </c>
      <c r="K35" s="408">
        <v>7.747</v>
      </c>
      <c r="L35" s="408"/>
      <c r="M35" s="408"/>
      <c r="N35" s="408"/>
      <c r="O35" s="408"/>
      <c r="P35" s="408"/>
      <c r="Q35" s="408"/>
      <c r="R35" s="408"/>
      <c r="S35" s="408"/>
      <c r="T35" s="408"/>
      <c r="U35" s="420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</row>
    <row r="36" spans="1:63" s="15" customFormat="1" ht="12.75">
      <c r="A36" s="396" t="s">
        <v>391</v>
      </c>
      <c r="B36" s="416" t="s">
        <v>395</v>
      </c>
      <c r="C36" s="756">
        <f t="shared" si="3"/>
        <v>0</v>
      </c>
      <c r="D36" s="733"/>
      <c r="E36" s="396"/>
      <c r="F36" s="397"/>
      <c r="G36" s="397"/>
      <c r="H36" s="397"/>
      <c r="I36" s="393"/>
      <c r="J36" s="699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416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</row>
    <row r="37" spans="1:63" s="15" customFormat="1" ht="12.75">
      <c r="A37" s="396" t="s">
        <v>391</v>
      </c>
      <c r="B37" s="416" t="s">
        <v>396</v>
      </c>
      <c r="C37" s="756">
        <f t="shared" si="3"/>
        <v>0</v>
      </c>
      <c r="D37" s="733"/>
      <c r="E37" s="396"/>
      <c r="F37" s="397"/>
      <c r="G37" s="397"/>
      <c r="H37" s="397"/>
      <c r="I37" s="393"/>
      <c r="J37" s="699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416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</row>
    <row r="38" spans="1:63" s="15" customFormat="1" ht="12.75">
      <c r="A38" s="396" t="s">
        <v>391</v>
      </c>
      <c r="B38" s="416" t="s">
        <v>397</v>
      </c>
      <c r="C38" s="756">
        <f t="shared" si="3"/>
        <v>18.073999999999998</v>
      </c>
      <c r="D38" s="733">
        <v>1354</v>
      </c>
      <c r="E38" s="396"/>
      <c r="F38" s="397"/>
      <c r="G38" s="397"/>
      <c r="H38" s="397"/>
      <c r="I38" s="393"/>
      <c r="J38" s="699">
        <v>9.652</v>
      </c>
      <c r="K38" s="397">
        <v>8.422</v>
      </c>
      <c r="L38" s="397"/>
      <c r="M38" s="397"/>
      <c r="N38" s="397"/>
      <c r="O38" s="397"/>
      <c r="P38" s="397"/>
      <c r="Q38" s="397"/>
      <c r="R38" s="397"/>
      <c r="S38" s="397"/>
      <c r="T38" s="397"/>
      <c r="U38" s="416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</row>
    <row r="39" spans="1:63" s="15" customFormat="1" ht="12.75">
      <c r="A39" s="396" t="s">
        <v>391</v>
      </c>
      <c r="B39" s="416" t="s">
        <v>398</v>
      </c>
      <c r="C39" s="756">
        <f t="shared" si="3"/>
        <v>0</v>
      </c>
      <c r="D39" s="733"/>
      <c r="E39" s="396"/>
      <c r="F39" s="397"/>
      <c r="G39" s="397"/>
      <c r="H39" s="397"/>
      <c r="I39" s="393"/>
      <c r="J39" s="699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416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</row>
    <row r="40" spans="1:63" s="15" customFormat="1" ht="12.75">
      <c r="A40" s="396" t="s">
        <v>391</v>
      </c>
      <c r="B40" s="416" t="s">
        <v>393</v>
      </c>
      <c r="C40" s="756">
        <f t="shared" si="3"/>
        <v>385.1965264827977</v>
      </c>
      <c r="D40" s="733">
        <v>1361</v>
      </c>
      <c r="E40" s="703">
        <v>-6.0157300000000085</v>
      </c>
      <c r="F40" s="704">
        <v>40.39497</v>
      </c>
      <c r="G40" s="704">
        <v>54.42828648279772</v>
      </c>
      <c r="H40" s="704">
        <v>96.543</v>
      </c>
      <c r="I40" s="393">
        <f>86.075-0.102</f>
        <v>85.973</v>
      </c>
      <c r="J40" s="699">
        <v>69.22</v>
      </c>
      <c r="K40" s="397">
        <v>44.653</v>
      </c>
      <c r="L40" s="397"/>
      <c r="M40" s="397"/>
      <c r="N40" s="397"/>
      <c r="O40" s="397"/>
      <c r="P40" s="397"/>
      <c r="Q40" s="397"/>
      <c r="R40" s="397"/>
      <c r="S40" s="397"/>
      <c r="T40" s="397"/>
      <c r="U40" s="416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</row>
    <row r="41" spans="1:63" s="15" customFormat="1" ht="12.75">
      <c r="A41" s="396" t="s">
        <v>391</v>
      </c>
      <c r="B41" s="416" t="s">
        <v>399</v>
      </c>
      <c r="C41" s="756">
        <f t="shared" si="3"/>
        <v>-34.947379999999995</v>
      </c>
      <c r="D41" s="728">
        <v>1404</v>
      </c>
      <c r="E41" s="699">
        <v>-35.938379999999995</v>
      </c>
      <c r="F41" s="700">
        <v>0</v>
      </c>
      <c r="G41" s="700">
        <v>0</v>
      </c>
      <c r="H41" s="700">
        <v>0.835</v>
      </c>
      <c r="I41" s="393">
        <v>0.156</v>
      </c>
      <c r="J41" s="699">
        <v>0</v>
      </c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416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</row>
    <row r="42" spans="1:63" s="705" customFormat="1" ht="12.75">
      <c r="A42" s="396" t="s">
        <v>391</v>
      </c>
      <c r="B42" s="416" t="s">
        <v>401</v>
      </c>
      <c r="C42" s="756">
        <f t="shared" si="3"/>
        <v>-65.11263713691103</v>
      </c>
      <c r="D42" s="728">
        <v>1411</v>
      </c>
      <c r="E42" s="699">
        <v>7.49498</v>
      </c>
      <c r="F42" s="700">
        <v>2.0635</v>
      </c>
      <c r="G42" s="700">
        <v>-92.77211713691104</v>
      </c>
      <c r="H42" s="397"/>
      <c r="I42" s="393">
        <f>0.403+17.698</f>
        <v>18.101</v>
      </c>
      <c r="J42" s="699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416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</row>
    <row r="43" spans="1:63" s="15" customFormat="1" ht="12.75">
      <c r="A43" s="706" t="s">
        <v>391</v>
      </c>
      <c r="B43" s="707" t="s">
        <v>400</v>
      </c>
      <c r="C43" s="756">
        <f t="shared" si="3"/>
        <v>122.05588</v>
      </c>
      <c r="D43" s="728">
        <v>1416</v>
      </c>
      <c r="E43" s="699">
        <f>-0.29512+12.613</f>
        <v>12.317879999999999</v>
      </c>
      <c r="F43" s="700">
        <v>9.522</v>
      </c>
      <c r="G43" s="700">
        <v>18.891</v>
      </c>
      <c r="H43" s="700">
        <v>27.345</v>
      </c>
      <c r="I43" s="393">
        <f>0.007-0.076</f>
        <v>-0.06899999999999999</v>
      </c>
      <c r="J43" s="699">
        <v>19.257</v>
      </c>
      <c r="K43" s="397">
        <v>34.792</v>
      </c>
      <c r="L43" s="397"/>
      <c r="M43" s="397"/>
      <c r="N43" s="397"/>
      <c r="O43" s="397"/>
      <c r="P43" s="397"/>
      <c r="Q43" s="397"/>
      <c r="R43" s="397"/>
      <c r="S43" s="397"/>
      <c r="T43" s="397"/>
      <c r="U43" s="416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</row>
    <row r="44" spans="1:63" s="15" customFormat="1" ht="12.75">
      <c r="A44" s="396" t="s">
        <v>391</v>
      </c>
      <c r="B44" s="416" t="s">
        <v>402</v>
      </c>
      <c r="C44" s="756">
        <f t="shared" si="3"/>
        <v>864.1527076727493</v>
      </c>
      <c r="D44" s="728">
        <v>1421</v>
      </c>
      <c r="E44" s="699">
        <f>13.57593+68.075</f>
        <v>81.65093</v>
      </c>
      <c r="F44" s="700">
        <f>12.58744+94.698</f>
        <v>107.28544</v>
      </c>
      <c r="G44" s="700">
        <f>43.3233376727493+66.033</f>
        <v>109.3563376727493</v>
      </c>
      <c r="H44" s="397">
        <f>114.5+139.323</f>
        <v>253.823</v>
      </c>
      <c r="I44" s="393">
        <f>25.03+97.637</f>
        <v>122.667</v>
      </c>
      <c r="J44" s="699">
        <f>37.615+57.235</f>
        <v>94.85</v>
      </c>
      <c r="K44" s="397">
        <f>50.671+43.849</f>
        <v>94.52</v>
      </c>
      <c r="L44" s="397"/>
      <c r="M44" s="397"/>
      <c r="N44" s="397"/>
      <c r="O44" s="397"/>
      <c r="P44" s="397"/>
      <c r="Q44" s="397"/>
      <c r="R44" s="397"/>
      <c r="S44" s="397"/>
      <c r="T44" s="397"/>
      <c r="U44" s="416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69"/>
      <c r="BK44" s="369"/>
    </row>
    <row r="45" spans="1:63" s="15" customFormat="1" ht="12.75">
      <c r="A45" s="396" t="s">
        <v>391</v>
      </c>
      <c r="B45" s="416" t="s">
        <v>403</v>
      </c>
      <c r="C45" s="756">
        <f t="shared" si="3"/>
        <v>86.9042157124458</v>
      </c>
      <c r="D45" s="728">
        <v>1429</v>
      </c>
      <c r="E45" s="699">
        <v>29.97252</v>
      </c>
      <c r="F45" s="700">
        <v>17.18628</v>
      </c>
      <c r="G45" s="700">
        <v>20.567415712445797</v>
      </c>
      <c r="H45" s="700">
        <v>12.911</v>
      </c>
      <c r="I45" s="393">
        <v>5.155</v>
      </c>
      <c r="J45" s="699">
        <v>0.441</v>
      </c>
      <c r="K45" s="397">
        <v>0.671</v>
      </c>
      <c r="L45" s="397"/>
      <c r="M45" s="397"/>
      <c r="N45" s="397"/>
      <c r="O45" s="397"/>
      <c r="P45" s="397"/>
      <c r="Q45" s="397"/>
      <c r="R45" s="397"/>
      <c r="S45" s="397"/>
      <c r="T45" s="397"/>
      <c r="U45" s="416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</row>
    <row r="46" spans="1:63" s="15" customFormat="1" ht="12.75">
      <c r="A46" s="396" t="s">
        <v>391</v>
      </c>
      <c r="B46" s="416" t="s">
        <v>409</v>
      </c>
      <c r="C46" s="756">
        <f t="shared" si="3"/>
        <v>183.08110540588652</v>
      </c>
      <c r="D46" s="728">
        <v>1501</v>
      </c>
      <c r="E46" s="699">
        <v>54.10057</v>
      </c>
      <c r="F46" s="700">
        <v>47.37486</v>
      </c>
      <c r="G46" s="700">
        <v>37.12067540588652</v>
      </c>
      <c r="H46" s="700">
        <v>36.056</v>
      </c>
      <c r="I46" s="393">
        <v>2.262</v>
      </c>
      <c r="J46" s="699">
        <v>-16.914</v>
      </c>
      <c r="K46" s="397">
        <v>23.081</v>
      </c>
      <c r="L46" s="397"/>
      <c r="M46" s="397"/>
      <c r="N46" s="397"/>
      <c r="O46" s="397"/>
      <c r="P46" s="397"/>
      <c r="Q46" s="397"/>
      <c r="R46" s="397"/>
      <c r="S46" s="397"/>
      <c r="T46" s="397"/>
      <c r="U46" s="416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</row>
    <row r="47" spans="1:63" s="15" customFormat="1" ht="12.75">
      <c r="A47" s="396" t="s">
        <v>391</v>
      </c>
      <c r="B47" s="416" t="s">
        <v>410</v>
      </c>
      <c r="C47" s="756">
        <f t="shared" si="3"/>
        <v>0</v>
      </c>
      <c r="D47" s="733">
        <v>1550</v>
      </c>
      <c r="E47" s="396"/>
      <c r="F47" s="397"/>
      <c r="G47" s="397"/>
      <c r="H47" s="397"/>
      <c r="I47" s="393"/>
      <c r="J47" s="699">
        <v>0</v>
      </c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416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</row>
    <row r="48" spans="1:63" s="15" customFormat="1" ht="12.75">
      <c r="A48" s="396" t="s">
        <v>391</v>
      </c>
      <c r="B48" s="416" t="s">
        <v>411</v>
      </c>
      <c r="C48" s="756">
        <f t="shared" si="3"/>
        <v>0</v>
      </c>
      <c r="D48" s="733"/>
      <c r="E48" s="396"/>
      <c r="F48" s="397"/>
      <c r="G48" s="397"/>
      <c r="H48" s="397"/>
      <c r="I48" s="393"/>
      <c r="J48" s="699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416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</row>
    <row r="49" spans="1:63" s="15" customFormat="1" ht="12.75">
      <c r="A49" s="396" t="s">
        <v>391</v>
      </c>
      <c r="B49" s="416" t="s">
        <v>406</v>
      </c>
      <c r="C49" s="756">
        <f t="shared" si="3"/>
        <v>5.233221401457453</v>
      </c>
      <c r="D49" s="728">
        <v>1701</v>
      </c>
      <c r="E49" s="699">
        <v>-0.23265</v>
      </c>
      <c r="F49" s="700">
        <v>3.0813</v>
      </c>
      <c r="G49" s="700">
        <v>1.4535714014574534</v>
      </c>
      <c r="H49" s="397"/>
      <c r="I49" s="393">
        <v>0.931</v>
      </c>
      <c r="J49" s="699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416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</row>
    <row r="50" spans="1:63" s="15" customFormat="1" ht="12.75">
      <c r="A50" s="396" t="s">
        <v>391</v>
      </c>
      <c r="B50" s="416" t="s">
        <v>404</v>
      </c>
      <c r="C50" s="756">
        <f t="shared" si="3"/>
        <v>31.743000000000002</v>
      </c>
      <c r="D50" s="733">
        <v>1702</v>
      </c>
      <c r="E50" s="396"/>
      <c r="F50" s="397"/>
      <c r="G50" s="397"/>
      <c r="H50" s="397"/>
      <c r="I50" s="393"/>
      <c r="J50" s="699">
        <v>32.6</v>
      </c>
      <c r="K50" s="397">
        <v>-0.857</v>
      </c>
      <c r="L50" s="397"/>
      <c r="M50" s="397"/>
      <c r="N50" s="397"/>
      <c r="O50" s="397"/>
      <c r="P50" s="397"/>
      <c r="Q50" s="397"/>
      <c r="R50" s="397"/>
      <c r="S50" s="397"/>
      <c r="T50" s="397"/>
      <c r="U50" s="416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</row>
    <row r="51" spans="1:63" s="15" customFormat="1" ht="12.75">
      <c r="A51" s="396" t="s">
        <v>391</v>
      </c>
      <c r="B51" s="416" t="s">
        <v>407</v>
      </c>
      <c r="C51" s="756">
        <f t="shared" si="3"/>
        <v>0</v>
      </c>
      <c r="D51" s="733"/>
      <c r="E51" s="396"/>
      <c r="F51" s="397"/>
      <c r="G51" s="397"/>
      <c r="H51" s="397"/>
      <c r="I51" s="393"/>
      <c r="J51" s="699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416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</row>
    <row r="52" spans="1:63" s="15" customFormat="1" ht="12.75">
      <c r="A52" s="396" t="s">
        <v>391</v>
      </c>
      <c r="B52" s="416" t="s">
        <v>405</v>
      </c>
      <c r="C52" s="756">
        <f t="shared" si="3"/>
        <v>0</v>
      </c>
      <c r="D52" s="733"/>
      <c r="E52" s="396"/>
      <c r="F52" s="397"/>
      <c r="G52" s="397"/>
      <c r="H52" s="397"/>
      <c r="I52" s="393"/>
      <c r="J52" s="699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416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</row>
    <row r="53" spans="1:63" s="15" customFormat="1" ht="12.75">
      <c r="A53" s="396" t="s">
        <v>391</v>
      </c>
      <c r="B53" s="416" t="s">
        <v>408</v>
      </c>
      <c r="C53" s="756">
        <f t="shared" si="3"/>
        <v>2.8899999999999997</v>
      </c>
      <c r="D53" s="733"/>
      <c r="E53" s="396"/>
      <c r="F53" s="397"/>
      <c r="G53" s="397">
        <v>-0.128</v>
      </c>
      <c r="H53" s="397">
        <v>2.135</v>
      </c>
      <c r="I53" s="393"/>
      <c r="J53" s="699"/>
      <c r="K53" s="397">
        <v>0.883</v>
      </c>
      <c r="L53" s="397"/>
      <c r="M53" s="397"/>
      <c r="N53" s="397"/>
      <c r="O53" s="397"/>
      <c r="P53" s="397"/>
      <c r="Q53" s="397"/>
      <c r="R53" s="397"/>
      <c r="S53" s="397"/>
      <c r="T53" s="397"/>
      <c r="U53" s="416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</row>
    <row r="54" spans="1:63" s="15" customFormat="1" ht="12.75">
      <c r="A54" s="396" t="s">
        <v>391</v>
      </c>
      <c r="B54" s="416" t="s">
        <v>412</v>
      </c>
      <c r="C54" s="756">
        <f t="shared" si="3"/>
        <v>130.754</v>
      </c>
      <c r="D54" s="733">
        <v>1901</v>
      </c>
      <c r="E54" s="396">
        <v>36.462</v>
      </c>
      <c r="F54" s="397">
        <v>17.472</v>
      </c>
      <c r="G54" s="397">
        <v>11.047</v>
      </c>
      <c r="H54" s="397">
        <v>31.667</v>
      </c>
      <c r="I54" s="393">
        <f>13.061</f>
        <v>13.061</v>
      </c>
      <c r="J54" s="699">
        <v>10.255</v>
      </c>
      <c r="K54" s="397">
        <v>10.79</v>
      </c>
      <c r="L54" s="397"/>
      <c r="M54" s="397"/>
      <c r="N54" s="397"/>
      <c r="O54" s="397"/>
      <c r="P54" s="397"/>
      <c r="Q54" s="397"/>
      <c r="R54" s="397"/>
      <c r="S54" s="397"/>
      <c r="T54" s="397"/>
      <c r="U54" s="416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69"/>
      <c r="BK54" s="369"/>
    </row>
    <row r="55" spans="1:63" s="15" customFormat="1" ht="12.75">
      <c r="A55" s="396" t="s">
        <v>391</v>
      </c>
      <c r="B55" s="416" t="s">
        <v>413</v>
      </c>
      <c r="C55" s="756">
        <f t="shared" si="3"/>
        <v>428.2570909085794</v>
      </c>
      <c r="D55" s="728">
        <v>8202</v>
      </c>
      <c r="E55" s="699">
        <v>59.59645</v>
      </c>
      <c r="F55" s="700">
        <v>58.63175</v>
      </c>
      <c r="G55" s="700">
        <v>58.60289090857951</v>
      </c>
      <c r="H55" s="700">
        <v>87.374</v>
      </c>
      <c r="I55" s="393">
        <v>54.224</v>
      </c>
      <c r="J55" s="699">
        <v>54.702</v>
      </c>
      <c r="K55" s="397">
        <v>55.126</v>
      </c>
      <c r="L55" s="397"/>
      <c r="M55" s="397"/>
      <c r="N55" s="397"/>
      <c r="O55" s="397"/>
      <c r="P55" s="397"/>
      <c r="Q55" s="397"/>
      <c r="R55" s="397"/>
      <c r="S55" s="397"/>
      <c r="T55" s="397"/>
      <c r="U55" s="416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</row>
    <row r="56" spans="1:63" s="15" customFormat="1" ht="12.75">
      <c r="A56" s="396" t="s">
        <v>391</v>
      </c>
      <c r="B56" s="416" t="s">
        <v>414</v>
      </c>
      <c r="C56" s="756">
        <f t="shared" si="3"/>
        <v>75.91599948702046</v>
      </c>
      <c r="D56" s="728">
        <v>8203</v>
      </c>
      <c r="E56" s="699">
        <v>5.07976</v>
      </c>
      <c r="F56" s="700">
        <v>5.2381899999999995</v>
      </c>
      <c r="G56" s="700">
        <v>1.641049487020459</v>
      </c>
      <c r="H56" s="700">
        <v>10.093</v>
      </c>
      <c r="I56" s="393">
        <v>14.509</v>
      </c>
      <c r="J56" s="699">
        <v>19.305</v>
      </c>
      <c r="K56" s="397">
        <v>20.05</v>
      </c>
      <c r="L56" s="397"/>
      <c r="M56" s="397"/>
      <c r="N56" s="397"/>
      <c r="O56" s="397"/>
      <c r="P56" s="397"/>
      <c r="Q56" s="397"/>
      <c r="R56" s="397"/>
      <c r="S56" s="397"/>
      <c r="T56" s="397"/>
      <c r="U56" s="416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</row>
    <row r="57" spans="1:63" s="15" customFormat="1" ht="12.75">
      <c r="A57" s="396" t="s">
        <v>391</v>
      </c>
      <c r="B57" s="416" t="s">
        <v>415</v>
      </c>
      <c r="C57" s="756">
        <f t="shared" si="3"/>
        <v>319.395298250104</v>
      </c>
      <c r="D57" s="728">
        <v>8204</v>
      </c>
      <c r="E57" s="699">
        <v>42.5836</v>
      </c>
      <c r="F57" s="700">
        <v>53.15228</v>
      </c>
      <c r="G57" s="700">
        <v>47.10841825010405</v>
      </c>
      <c r="H57" s="700">
        <v>50.469</v>
      </c>
      <c r="I57" s="393">
        <v>32.096</v>
      </c>
      <c r="J57" s="699">
        <v>46.654</v>
      </c>
      <c r="K57" s="397">
        <v>47.332</v>
      </c>
      <c r="L57" s="397"/>
      <c r="M57" s="397"/>
      <c r="N57" s="397"/>
      <c r="O57" s="397"/>
      <c r="P57" s="397"/>
      <c r="Q57" s="397"/>
      <c r="R57" s="397"/>
      <c r="S57" s="397"/>
      <c r="T57" s="397"/>
      <c r="U57" s="416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</row>
    <row r="58" spans="1:63" s="15" customFormat="1" ht="12.75">
      <c r="A58" s="396" t="s">
        <v>391</v>
      </c>
      <c r="B58" s="416" t="s">
        <v>416</v>
      </c>
      <c r="C58" s="756">
        <f t="shared" si="3"/>
        <v>113.31710772351457</v>
      </c>
      <c r="D58" s="728">
        <v>8205</v>
      </c>
      <c r="E58" s="699">
        <v>17.50684</v>
      </c>
      <c r="F58" s="700">
        <v>20.08307</v>
      </c>
      <c r="G58" s="700">
        <v>22.492197723514558</v>
      </c>
      <c r="H58" s="700">
        <v>21.472</v>
      </c>
      <c r="I58" s="393">
        <v>10.542</v>
      </c>
      <c r="J58" s="699">
        <v>4.038</v>
      </c>
      <c r="K58" s="397">
        <v>17.183</v>
      </c>
      <c r="L58" s="397"/>
      <c r="M58" s="397"/>
      <c r="N58" s="397"/>
      <c r="O58" s="397"/>
      <c r="P58" s="397"/>
      <c r="Q58" s="397"/>
      <c r="R58" s="397"/>
      <c r="S58" s="397"/>
      <c r="T58" s="397"/>
      <c r="U58" s="416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</row>
    <row r="59" spans="1:63" s="15" customFormat="1" ht="12.75">
      <c r="A59" s="396" t="s">
        <v>391</v>
      </c>
      <c r="B59" s="416" t="s">
        <v>417</v>
      </c>
      <c r="C59" s="756">
        <f t="shared" si="3"/>
        <v>54.08651420224432</v>
      </c>
      <c r="D59" s="728">
        <v>8210</v>
      </c>
      <c r="E59" s="699">
        <v>8.364180000000001</v>
      </c>
      <c r="F59" s="700">
        <v>4.8261400000000005</v>
      </c>
      <c r="G59" s="700">
        <v>9.591194202244317</v>
      </c>
      <c r="H59" s="700">
        <v>16.099</v>
      </c>
      <c r="I59" s="393">
        <v>6.371</v>
      </c>
      <c r="J59" s="699">
        <v>1.625</v>
      </c>
      <c r="K59" s="397">
        <v>7.21</v>
      </c>
      <c r="L59" s="397"/>
      <c r="M59" s="397"/>
      <c r="N59" s="397"/>
      <c r="O59" s="397"/>
      <c r="P59" s="397"/>
      <c r="Q59" s="397"/>
      <c r="R59" s="397"/>
      <c r="S59" s="397"/>
      <c r="T59" s="397"/>
      <c r="U59" s="416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369"/>
      <c r="BI59" s="369"/>
      <c r="BJ59" s="369"/>
      <c r="BK59" s="369"/>
    </row>
    <row r="60" spans="1:63" s="15" customFormat="1" ht="13.5" thickBot="1">
      <c r="A60" s="403" t="s">
        <v>391</v>
      </c>
      <c r="B60" s="423" t="s">
        <v>418</v>
      </c>
      <c r="C60" s="756">
        <f t="shared" si="3"/>
        <v>0</v>
      </c>
      <c r="D60" s="733"/>
      <c r="E60" s="403"/>
      <c r="F60" s="404"/>
      <c r="G60" s="404"/>
      <c r="H60" s="404"/>
      <c r="I60" s="405"/>
      <c r="J60" s="725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417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69"/>
      <c r="BK60" s="369"/>
    </row>
    <row r="61" spans="1:63" s="15" customFormat="1" ht="13.5" thickBot="1">
      <c r="A61" s="369"/>
      <c r="B61" s="422" t="s">
        <v>692</v>
      </c>
      <c r="C61" s="410">
        <f aca="true" t="shared" si="4" ref="C61:BC61">SUM(C35:C60)</f>
        <v>2776.345653312274</v>
      </c>
      <c r="D61" s="730"/>
      <c r="E61" s="750">
        <f t="shared" si="4"/>
        <v>317.20299</v>
      </c>
      <c r="F61" s="751">
        <f t="shared" si="4"/>
        <v>387.85242</v>
      </c>
      <c r="G61" s="751">
        <f t="shared" si="4"/>
        <v>300.8052433122736</v>
      </c>
      <c r="H61" s="751">
        <f t="shared" si="4"/>
        <v>653.4000000000001</v>
      </c>
      <c r="I61" s="752">
        <f t="shared" si="4"/>
        <v>396.5799999999999</v>
      </c>
      <c r="J61" s="753">
        <f t="shared" si="4"/>
        <v>348.902</v>
      </c>
      <c r="K61" s="401">
        <f t="shared" si="4"/>
        <v>371.60299999999995</v>
      </c>
      <c r="L61" s="401">
        <f t="shared" si="4"/>
        <v>0</v>
      </c>
      <c r="M61" s="401">
        <f t="shared" si="4"/>
        <v>0</v>
      </c>
      <c r="N61" s="401">
        <f t="shared" si="4"/>
        <v>0</v>
      </c>
      <c r="O61" s="401">
        <f t="shared" si="4"/>
        <v>0</v>
      </c>
      <c r="P61" s="401">
        <f t="shared" si="4"/>
        <v>0</v>
      </c>
      <c r="Q61" s="401">
        <f t="shared" si="4"/>
        <v>0</v>
      </c>
      <c r="R61" s="401">
        <f t="shared" si="4"/>
        <v>0</v>
      </c>
      <c r="S61" s="401">
        <f t="shared" si="4"/>
        <v>0</v>
      </c>
      <c r="T61" s="401">
        <f t="shared" si="4"/>
        <v>0</v>
      </c>
      <c r="U61" s="418">
        <f t="shared" si="4"/>
        <v>0</v>
      </c>
      <c r="V61" s="394">
        <f t="shared" si="4"/>
        <v>0</v>
      </c>
      <c r="W61" s="394">
        <f t="shared" si="4"/>
        <v>0</v>
      </c>
      <c r="X61" s="394">
        <f t="shared" si="4"/>
        <v>0</v>
      </c>
      <c r="Y61" s="394">
        <f t="shared" si="4"/>
        <v>0</v>
      </c>
      <c r="Z61" s="394">
        <f t="shared" si="4"/>
        <v>0</v>
      </c>
      <c r="AA61" s="394">
        <f t="shared" si="4"/>
        <v>0</v>
      </c>
      <c r="AB61" s="394">
        <f t="shared" si="4"/>
        <v>0</v>
      </c>
      <c r="AC61" s="394">
        <f t="shared" si="4"/>
        <v>0</v>
      </c>
      <c r="AD61" s="394">
        <f t="shared" si="4"/>
        <v>0</v>
      </c>
      <c r="AE61" s="394">
        <f t="shared" si="4"/>
        <v>0</v>
      </c>
      <c r="AF61" s="394">
        <f t="shared" si="4"/>
        <v>0</v>
      </c>
      <c r="AG61" s="394">
        <f t="shared" si="4"/>
        <v>0</v>
      </c>
      <c r="AH61" s="394">
        <f t="shared" si="4"/>
        <v>0</v>
      </c>
      <c r="AI61" s="394">
        <f t="shared" si="4"/>
        <v>0</v>
      </c>
      <c r="AJ61" s="394">
        <f t="shared" si="4"/>
        <v>0</v>
      </c>
      <c r="AK61" s="394">
        <f t="shared" si="4"/>
        <v>0</v>
      </c>
      <c r="AL61" s="394">
        <f t="shared" si="4"/>
        <v>0</v>
      </c>
      <c r="AM61" s="394">
        <f t="shared" si="4"/>
        <v>0</v>
      </c>
      <c r="AN61" s="394">
        <f t="shared" si="4"/>
        <v>0</v>
      </c>
      <c r="AO61" s="394">
        <f t="shared" si="4"/>
        <v>0</v>
      </c>
      <c r="AP61" s="394">
        <f t="shared" si="4"/>
        <v>0</v>
      </c>
      <c r="AQ61" s="394">
        <f t="shared" si="4"/>
        <v>0</v>
      </c>
      <c r="AR61" s="394">
        <f t="shared" si="4"/>
        <v>0</v>
      </c>
      <c r="AS61" s="394">
        <f t="shared" si="4"/>
        <v>0</v>
      </c>
      <c r="AT61" s="394">
        <f t="shared" si="4"/>
        <v>0</v>
      </c>
      <c r="AU61" s="394">
        <f t="shared" si="4"/>
        <v>0</v>
      </c>
      <c r="AV61" s="394">
        <f t="shared" si="4"/>
        <v>0</v>
      </c>
      <c r="AW61" s="394">
        <f t="shared" si="4"/>
        <v>0</v>
      </c>
      <c r="AX61" s="394">
        <f t="shared" si="4"/>
        <v>0</v>
      </c>
      <c r="AY61" s="394">
        <f t="shared" si="4"/>
        <v>0</v>
      </c>
      <c r="AZ61" s="394">
        <f t="shared" si="4"/>
        <v>0</v>
      </c>
      <c r="BA61" s="394">
        <f t="shared" si="4"/>
        <v>0</v>
      </c>
      <c r="BB61" s="394">
        <f t="shared" si="4"/>
        <v>0</v>
      </c>
      <c r="BC61" s="394">
        <f t="shared" si="4"/>
        <v>0</v>
      </c>
      <c r="BD61" s="402"/>
      <c r="BE61" s="402"/>
      <c r="BF61" s="402"/>
      <c r="BG61" s="402"/>
      <c r="BH61" s="402"/>
      <c r="BI61" s="402"/>
      <c r="BJ61" s="402"/>
      <c r="BK61" s="402"/>
    </row>
    <row r="62" spans="1:63" s="15" customFormat="1" ht="6.75" customHeight="1" thickBot="1">
      <c r="A62" s="369"/>
      <c r="B62" s="369"/>
      <c r="C62" s="754"/>
      <c r="D62" s="733"/>
      <c r="E62" s="369"/>
      <c r="F62" s="369"/>
      <c r="G62" s="369"/>
      <c r="H62" s="369"/>
      <c r="I62" s="395"/>
      <c r="J62" s="395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369"/>
      <c r="BI62" s="369"/>
      <c r="BJ62" s="369"/>
      <c r="BK62" s="369"/>
    </row>
    <row r="63" spans="1:63" s="15" customFormat="1" ht="12.75">
      <c r="A63" s="419" t="s">
        <v>392</v>
      </c>
      <c r="B63" s="420" t="s">
        <v>444</v>
      </c>
      <c r="C63" s="755">
        <f aca="true" t="shared" si="5" ref="C63:C74">SUM(E63:K63)</f>
        <v>-104.10269</v>
      </c>
      <c r="D63" s="728">
        <v>4101</v>
      </c>
      <c r="E63" s="406">
        <v>-104.10269</v>
      </c>
      <c r="F63" s="407">
        <v>0</v>
      </c>
      <c r="G63" s="407">
        <v>0</v>
      </c>
      <c r="H63" s="408"/>
      <c r="I63" s="409"/>
      <c r="J63" s="406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20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</row>
    <row r="64" spans="1:63" s="15" customFormat="1" ht="12.75">
      <c r="A64" s="396" t="s">
        <v>392</v>
      </c>
      <c r="B64" s="416" t="s">
        <v>445</v>
      </c>
      <c r="C64" s="756">
        <f t="shared" si="5"/>
        <v>0</v>
      </c>
      <c r="D64" s="728"/>
      <c r="E64" s="396"/>
      <c r="F64" s="397"/>
      <c r="G64" s="397"/>
      <c r="H64" s="397"/>
      <c r="I64" s="393"/>
      <c r="J64" s="699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416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</row>
    <row r="65" spans="1:63" s="15" customFormat="1" ht="12.75">
      <c r="A65" s="396" t="s">
        <v>392</v>
      </c>
      <c r="B65" s="416" t="s">
        <v>446</v>
      </c>
      <c r="C65" s="756">
        <f t="shared" si="5"/>
        <v>0</v>
      </c>
      <c r="D65" s="733"/>
      <c r="E65" s="396"/>
      <c r="F65" s="397"/>
      <c r="G65" s="397"/>
      <c r="H65" s="397"/>
      <c r="I65" s="393"/>
      <c r="J65" s="699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416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</row>
    <row r="66" spans="1:63" s="15" customFormat="1" ht="12.75">
      <c r="A66" s="396" t="s">
        <v>392</v>
      </c>
      <c r="B66" s="416" t="s">
        <v>447</v>
      </c>
      <c r="C66" s="756">
        <f t="shared" si="5"/>
        <v>-0.5558088800466068</v>
      </c>
      <c r="D66" s="728">
        <v>4501</v>
      </c>
      <c r="E66" s="699">
        <v>-0.15696000000000002</v>
      </c>
      <c r="F66" s="700">
        <v>0</v>
      </c>
      <c r="G66" s="700">
        <v>-0.04184888004660683</v>
      </c>
      <c r="H66" s="397"/>
      <c r="I66" s="393">
        <v>-0.357</v>
      </c>
      <c r="J66" s="699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416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/>
    </row>
    <row r="67" spans="1:63" s="15" customFormat="1" ht="12.75">
      <c r="A67" s="396" t="s">
        <v>392</v>
      </c>
      <c r="B67" s="416" t="s">
        <v>448</v>
      </c>
      <c r="C67" s="756">
        <f t="shared" si="5"/>
        <v>0</v>
      </c>
      <c r="D67" s="733"/>
      <c r="E67" s="396"/>
      <c r="F67" s="397"/>
      <c r="G67" s="397"/>
      <c r="H67" s="397"/>
      <c r="I67" s="393"/>
      <c r="J67" s="699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416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69"/>
      <c r="BK67" s="369"/>
    </row>
    <row r="68" spans="1:63" s="15" customFormat="1" ht="12.75">
      <c r="A68" s="396" t="s">
        <v>392</v>
      </c>
      <c r="B68" s="416" t="s">
        <v>449</v>
      </c>
      <c r="C68" s="756">
        <f t="shared" si="5"/>
        <v>0</v>
      </c>
      <c r="D68" s="733"/>
      <c r="E68" s="396"/>
      <c r="F68" s="397"/>
      <c r="G68" s="397"/>
      <c r="H68" s="397"/>
      <c r="I68" s="393"/>
      <c r="J68" s="699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416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</row>
    <row r="69" spans="1:63" s="15" customFormat="1" ht="12.75">
      <c r="A69" s="396" t="s">
        <v>392</v>
      </c>
      <c r="B69" s="416" t="s">
        <v>450</v>
      </c>
      <c r="C69" s="756">
        <f t="shared" si="5"/>
        <v>0</v>
      </c>
      <c r="D69" s="733"/>
      <c r="E69" s="396"/>
      <c r="F69" s="397"/>
      <c r="G69" s="397"/>
      <c r="H69" s="397"/>
      <c r="I69" s="393"/>
      <c r="J69" s="699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416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</row>
    <row r="70" spans="1:63" s="15" customFormat="1" ht="12.75">
      <c r="A70" s="396" t="s">
        <v>392</v>
      </c>
      <c r="B70" s="416" t="s">
        <v>451</v>
      </c>
      <c r="C70" s="756">
        <f t="shared" si="5"/>
        <v>0</v>
      </c>
      <c r="D70" s="733"/>
      <c r="E70" s="396"/>
      <c r="F70" s="397"/>
      <c r="G70" s="397"/>
      <c r="H70" s="397"/>
      <c r="I70" s="393"/>
      <c r="J70" s="699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416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69"/>
      <c r="BK70" s="369"/>
    </row>
    <row r="71" spans="1:63" s="15" customFormat="1" ht="12.75">
      <c r="A71" s="396" t="s">
        <v>392</v>
      </c>
      <c r="B71" s="416" t="s">
        <v>452</v>
      </c>
      <c r="C71" s="756">
        <f t="shared" si="5"/>
        <v>0</v>
      </c>
      <c r="D71" s="733"/>
      <c r="E71" s="396"/>
      <c r="F71" s="397"/>
      <c r="G71" s="397"/>
      <c r="H71" s="397"/>
      <c r="I71" s="393"/>
      <c r="J71" s="699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416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</row>
    <row r="72" spans="1:63" s="15" customFormat="1" ht="12.75">
      <c r="A72" s="396" t="s">
        <v>392</v>
      </c>
      <c r="B72" s="416" t="s">
        <v>453</v>
      </c>
      <c r="C72" s="756">
        <f t="shared" si="5"/>
        <v>0</v>
      </c>
      <c r="D72" s="733"/>
      <c r="E72" s="396"/>
      <c r="F72" s="397"/>
      <c r="G72" s="397"/>
      <c r="H72" s="397"/>
      <c r="I72" s="393"/>
      <c r="J72" s="699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416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  <c r="BC72" s="369"/>
      <c r="BD72" s="369"/>
      <c r="BE72" s="369"/>
      <c r="BF72" s="369"/>
      <c r="BG72" s="369"/>
      <c r="BH72" s="369"/>
      <c r="BI72" s="369"/>
      <c r="BJ72" s="369"/>
      <c r="BK72" s="369"/>
    </row>
    <row r="73" spans="1:63" s="15" customFormat="1" ht="12.75">
      <c r="A73" s="396" t="s">
        <v>392</v>
      </c>
      <c r="B73" s="416" t="s">
        <v>454</v>
      </c>
      <c r="C73" s="756">
        <f t="shared" si="5"/>
        <v>0</v>
      </c>
      <c r="D73" s="733"/>
      <c r="E73" s="396"/>
      <c r="F73" s="397"/>
      <c r="G73" s="397"/>
      <c r="H73" s="397"/>
      <c r="I73" s="393"/>
      <c r="J73" s="699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416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</row>
    <row r="74" spans="1:63" s="15" customFormat="1" ht="13.5" thickBot="1">
      <c r="A74" s="403" t="s">
        <v>392</v>
      </c>
      <c r="B74" s="423" t="s">
        <v>455</v>
      </c>
      <c r="C74" s="756">
        <f t="shared" si="5"/>
        <v>0</v>
      </c>
      <c r="D74" s="733"/>
      <c r="E74" s="403"/>
      <c r="F74" s="404"/>
      <c r="G74" s="404"/>
      <c r="H74" s="404"/>
      <c r="I74" s="405"/>
      <c r="J74" s="725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417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I74" s="369"/>
      <c r="BJ74" s="369"/>
      <c r="BK74" s="369"/>
    </row>
    <row r="75" spans="1:55" s="15" customFormat="1" ht="13.5" thickBot="1">
      <c r="A75" s="369"/>
      <c r="B75" s="422" t="s">
        <v>693</v>
      </c>
      <c r="C75" s="410">
        <f aca="true" t="shared" si="6" ref="C75:BC75">SUM(C63:C74)</f>
        <v>-104.65849888004661</v>
      </c>
      <c r="D75" s="730"/>
      <c r="E75" s="411">
        <f t="shared" si="6"/>
        <v>-104.25965</v>
      </c>
      <c r="F75" s="412">
        <f t="shared" si="6"/>
        <v>0</v>
      </c>
      <c r="G75" s="412">
        <f t="shared" si="6"/>
        <v>-0.04184888004660683</v>
      </c>
      <c r="H75" s="412">
        <f t="shared" si="6"/>
        <v>0</v>
      </c>
      <c r="I75" s="726">
        <f t="shared" si="6"/>
        <v>-0.357</v>
      </c>
      <c r="J75" s="753">
        <f t="shared" si="6"/>
        <v>0</v>
      </c>
      <c r="K75" s="401">
        <f t="shared" si="6"/>
        <v>0</v>
      </c>
      <c r="L75" s="401">
        <f t="shared" si="6"/>
        <v>0</v>
      </c>
      <c r="M75" s="401">
        <f t="shared" si="6"/>
        <v>0</v>
      </c>
      <c r="N75" s="401">
        <f t="shared" si="6"/>
        <v>0</v>
      </c>
      <c r="O75" s="401">
        <f t="shared" si="6"/>
        <v>0</v>
      </c>
      <c r="P75" s="401">
        <f t="shared" si="6"/>
        <v>0</v>
      </c>
      <c r="Q75" s="401">
        <f t="shared" si="6"/>
        <v>0</v>
      </c>
      <c r="R75" s="401">
        <f t="shared" si="6"/>
        <v>0</v>
      </c>
      <c r="S75" s="401">
        <f t="shared" si="6"/>
        <v>0</v>
      </c>
      <c r="T75" s="401">
        <f t="shared" si="6"/>
        <v>0</v>
      </c>
      <c r="U75" s="418">
        <f t="shared" si="6"/>
        <v>0</v>
      </c>
      <c r="V75" s="394">
        <f t="shared" si="6"/>
        <v>0</v>
      </c>
      <c r="W75" s="394">
        <f t="shared" si="6"/>
        <v>0</v>
      </c>
      <c r="X75" s="394">
        <f t="shared" si="6"/>
        <v>0</v>
      </c>
      <c r="Y75" s="394">
        <f t="shared" si="6"/>
        <v>0</v>
      </c>
      <c r="Z75" s="394">
        <f t="shared" si="6"/>
        <v>0</v>
      </c>
      <c r="AA75" s="394">
        <f t="shared" si="6"/>
        <v>0</v>
      </c>
      <c r="AB75" s="394">
        <f t="shared" si="6"/>
        <v>0</v>
      </c>
      <c r="AC75" s="394">
        <f t="shared" si="6"/>
        <v>0</v>
      </c>
      <c r="AD75" s="394">
        <f t="shared" si="6"/>
        <v>0</v>
      </c>
      <c r="AE75" s="394">
        <f t="shared" si="6"/>
        <v>0</v>
      </c>
      <c r="AF75" s="394">
        <f t="shared" si="6"/>
        <v>0</v>
      </c>
      <c r="AG75" s="394">
        <f t="shared" si="6"/>
        <v>0</v>
      </c>
      <c r="AH75" s="394">
        <f t="shared" si="6"/>
        <v>0</v>
      </c>
      <c r="AI75" s="394">
        <f t="shared" si="6"/>
        <v>0</v>
      </c>
      <c r="AJ75" s="394">
        <f t="shared" si="6"/>
        <v>0</v>
      </c>
      <c r="AK75" s="394">
        <f t="shared" si="6"/>
        <v>0</v>
      </c>
      <c r="AL75" s="394">
        <f t="shared" si="6"/>
        <v>0</v>
      </c>
      <c r="AM75" s="394">
        <f t="shared" si="6"/>
        <v>0</v>
      </c>
      <c r="AN75" s="394">
        <f t="shared" si="6"/>
        <v>0</v>
      </c>
      <c r="AO75" s="394">
        <f t="shared" si="6"/>
        <v>0</v>
      </c>
      <c r="AP75" s="394">
        <f t="shared" si="6"/>
        <v>0</v>
      </c>
      <c r="AQ75" s="394">
        <f t="shared" si="6"/>
        <v>0</v>
      </c>
      <c r="AR75" s="394">
        <f t="shared" si="6"/>
        <v>0</v>
      </c>
      <c r="AS75" s="394">
        <f t="shared" si="6"/>
        <v>0</v>
      </c>
      <c r="AT75" s="394">
        <f t="shared" si="6"/>
        <v>0</v>
      </c>
      <c r="AU75" s="394">
        <f t="shared" si="6"/>
        <v>0</v>
      </c>
      <c r="AV75" s="394">
        <f t="shared" si="6"/>
        <v>0</v>
      </c>
      <c r="AW75" s="394">
        <f t="shared" si="6"/>
        <v>0</v>
      </c>
      <c r="AX75" s="394">
        <f t="shared" si="6"/>
        <v>0</v>
      </c>
      <c r="AY75" s="394">
        <f t="shared" si="6"/>
        <v>0</v>
      </c>
      <c r="AZ75" s="394">
        <f t="shared" si="6"/>
        <v>0</v>
      </c>
      <c r="BA75" s="394">
        <f t="shared" si="6"/>
        <v>0</v>
      </c>
      <c r="BB75" s="394">
        <f t="shared" si="6"/>
        <v>0</v>
      </c>
      <c r="BC75" s="394">
        <f t="shared" si="6"/>
        <v>0</v>
      </c>
    </row>
    <row r="76" spans="1:50" s="15" customFormat="1" ht="13.5" thickBot="1">
      <c r="A76" s="369"/>
      <c r="B76" s="369"/>
      <c r="C76" s="754"/>
      <c r="D76" s="733"/>
      <c r="E76" s="369"/>
      <c r="F76" s="369"/>
      <c r="G76" s="369"/>
      <c r="H76" s="369"/>
      <c r="I76" s="395"/>
      <c r="J76" s="395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</row>
    <row r="77" spans="1:50" s="15" customFormat="1" ht="13.5" thickBot="1">
      <c r="A77" s="369"/>
      <c r="B77" s="422" t="s">
        <v>689</v>
      </c>
      <c r="C77" s="410">
        <f>SUM(C75,C61,C33,C6)</f>
        <v>7235.213562535117</v>
      </c>
      <c r="D77" s="730"/>
      <c r="E77" s="411">
        <f>SUM(E75,E61,E33,E6)</f>
        <v>630.45472</v>
      </c>
      <c r="F77" s="412">
        <f>SUM(F75,F61,F33,F6)</f>
        <v>1012.48983</v>
      </c>
      <c r="G77" s="412">
        <f>SUM(G75,G61,G33,G6)</f>
        <v>871.1130125351161</v>
      </c>
      <c r="H77" s="412">
        <f>SUM(H75,H61,H33,H6)</f>
        <v>1462.7869999999998</v>
      </c>
      <c r="I77" s="413">
        <f>SUM(I75,I61,I33,I6)</f>
        <v>1299.7079999999996</v>
      </c>
      <c r="J77" s="801">
        <f aca="true" t="shared" si="7" ref="J77:U77">SUM(J75,J61,J33,J6)</f>
        <v>872.049</v>
      </c>
      <c r="K77" s="1022">
        <f t="shared" si="7"/>
        <v>1086.612</v>
      </c>
      <c r="L77" s="412">
        <f t="shared" si="7"/>
        <v>0</v>
      </c>
      <c r="M77" s="412">
        <f t="shared" si="7"/>
        <v>0</v>
      </c>
      <c r="N77" s="412">
        <f t="shared" si="7"/>
        <v>0</v>
      </c>
      <c r="O77" s="412">
        <f t="shared" si="7"/>
        <v>0</v>
      </c>
      <c r="P77" s="412">
        <f t="shared" si="7"/>
        <v>0</v>
      </c>
      <c r="Q77" s="412">
        <f t="shared" si="7"/>
        <v>0</v>
      </c>
      <c r="R77" s="412">
        <f t="shared" si="7"/>
        <v>0</v>
      </c>
      <c r="S77" s="412">
        <f t="shared" si="7"/>
        <v>0</v>
      </c>
      <c r="T77" s="412">
        <f t="shared" si="7"/>
        <v>0</v>
      </c>
      <c r="U77" s="421">
        <f t="shared" si="7"/>
        <v>0</v>
      </c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</row>
    <row r="80" ht="12.75">
      <c r="K80" s="415">
        <f>SUM(J77:K77)</f>
        <v>1958.661</v>
      </c>
    </row>
  </sheetData>
  <mergeCells count="2">
    <mergeCell ref="E1:I1"/>
    <mergeCell ref="J1:U1"/>
  </mergeCells>
  <printOptions gridLines="1" headings="1"/>
  <pageMargins left="0.37" right="0.38" top="0.52" bottom="1" header="0.5" footer="0.5"/>
  <pageSetup fitToHeight="1" fitToWidth="1" horizontalDpi="600" verticalDpi="600" orientation="portrait" paperSize="218" scale="40" r:id="rId2"/>
  <ignoredErrors>
    <ignoredError sqref="C75:C360 C61:C62 C6:C7 C33:C3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2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DK42" sqref="DK42"/>
    </sheetView>
  </sheetViews>
  <sheetFormatPr defaultColWidth="9.140625" defaultRowHeight="12.75"/>
  <cols>
    <col min="1" max="1" width="21.421875" style="0" customWidth="1"/>
    <col min="2" max="2" width="48.7109375" style="0" customWidth="1"/>
    <col min="3" max="3" width="12.00390625" style="10" customWidth="1"/>
    <col min="5" max="5" width="8.140625" style="0" customWidth="1"/>
    <col min="6" max="6" width="7.57421875" style="0" customWidth="1"/>
    <col min="7" max="7" width="8.57421875" style="0" customWidth="1"/>
    <col min="8" max="8" width="8.2812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8.140625" style="0" hidden="1" customWidth="1"/>
    <col min="13" max="13" width="8.28125" style="0" hidden="1" customWidth="1"/>
    <col min="14" max="14" width="8.57421875" style="0" hidden="1" customWidth="1"/>
    <col min="15" max="15" width="8.140625" style="0" hidden="1" customWidth="1"/>
    <col min="16" max="16" width="8.7109375" style="0" hidden="1" customWidth="1"/>
    <col min="17" max="17" width="8.140625" style="0" hidden="1" customWidth="1"/>
    <col min="18" max="18" width="7.57421875" style="0" hidden="1" customWidth="1"/>
    <col min="19" max="19" width="8.57421875" style="0" hidden="1" customWidth="1"/>
    <col min="20" max="20" width="8.28125" style="0" hidden="1" customWidth="1"/>
    <col min="21" max="21" width="8.140625" style="0" hidden="1" customWidth="1"/>
    <col min="22" max="22" width="8.7109375" style="0" hidden="1" customWidth="1"/>
    <col min="23" max="23" width="8.57421875" style="0" hidden="1" customWidth="1"/>
    <col min="24" max="24" width="8.140625" style="0" hidden="1" customWidth="1"/>
    <col min="25" max="25" width="8.28125" style="0" hidden="1" customWidth="1"/>
    <col min="26" max="26" width="8.57421875" style="0" hidden="1" customWidth="1"/>
    <col min="27" max="27" width="8.140625" style="0" hidden="1" customWidth="1"/>
    <col min="28" max="28" width="8.7109375" style="0" hidden="1" customWidth="1"/>
    <col min="29" max="29" width="8.140625" style="0" hidden="1" customWidth="1"/>
    <col min="30" max="30" width="7.57421875" style="0" hidden="1" customWidth="1"/>
    <col min="31" max="31" width="8.57421875" style="0" hidden="1" customWidth="1"/>
    <col min="32" max="32" width="8.28125" style="0" hidden="1" customWidth="1"/>
    <col min="33" max="33" width="8.140625" style="0" hidden="1" customWidth="1"/>
    <col min="34" max="34" width="8.7109375" style="0" hidden="1" customWidth="1"/>
    <col min="35" max="35" width="8.57421875" style="0" hidden="1" customWidth="1"/>
    <col min="36" max="36" width="7.7109375" style="0" hidden="1" customWidth="1"/>
    <col min="37" max="37" width="8.00390625" style="0" hidden="1" customWidth="1"/>
    <col min="38" max="38" width="8.140625" style="0" hidden="1" customWidth="1"/>
    <col min="39" max="39" width="7.7109375" style="0" hidden="1" customWidth="1"/>
    <col min="40" max="40" width="8.28125" style="0" hidden="1" customWidth="1"/>
    <col min="41" max="41" width="7.7109375" style="0" hidden="1" customWidth="1"/>
    <col min="42" max="42" width="7.140625" style="0" hidden="1" customWidth="1"/>
    <col min="43" max="43" width="8.140625" style="0" hidden="1" customWidth="1"/>
    <col min="44" max="44" width="8.00390625" style="0" hidden="1" customWidth="1"/>
    <col min="45" max="45" width="7.7109375" style="0" hidden="1" customWidth="1"/>
    <col min="46" max="46" width="8.28125" style="0" hidden="1" customWidth="1"/>
    <col min="47" max="47" width="8.140625" style="0" hidden="1" customWidth="1"/>
    <col min="48" max="48" width="7.421875" style="0" hidden="1" customWidth="1"/>
    <col min="49" max="49" width="7.57421875" style="0" hidden="1" customWidth="1"/>
    <col min="50" max="50" width="7.7109375" style="0" hidden="1" customWidth="1"/>
    <col min="51" max="51" width="7.421875" style="0" hidden="1" customWidth="1"/>
    <col min="52" max="52" width="8.00390625" style="0" hidden="1" customWidth="1"/>
    <col min="53" max="53" width="7.421875" style="0" hidden="1" customWidth="1"/>
    <col min="54" max="54" width="6.8515625" style="0" hidden="1" customWidth="1"/>
    <col min="55" max="55" width="7.7109375" style="0" hidden="1" customWidth="1"/>
    <col min="56" max="56" width="7.57421875" style="0" hidden="1" customWidth="1"/>
    <col min="57" max="57" width="7.421875" style="0" hidden="1" customWidth="1"/>
    <col min="58" max="58" width="8.00390625" style="0" hidden="1" customWidth="1"/>
    <col min="59" max="60" width="7.7109375" style="0" hidden="1" customWidth="1"/>
    <col min="61" max="61" width="8.00390625" style="0" hidden="1" customWidth="1"/>
    <col min="62" max="62" width="8.140625" style="0" hidden="1" customWidth="1"/>
    <col min="63" max="63" width="7.7109375" style="0" hidden="1" customWidth="1"/>
    <col min="64" max="64" width="8.28125" style="0" hidden="1" customWidth="1"/>
    <col min="65" max="65" width="7.7109375" style="0" hidden="1" customWidth="1"/>
    <col min="66" max="66" width="7.140625" style="0" hidden="1" customWidth="1"/>
    <col min="67" max="67" width="8.140625" style="0" hidden="1" customWidth="1"/>
    <col min="68" max="68" width="0.9921875" style="0" customWidth="1"/>
    <col min="69" max="69" width="7.7109375" style="0" customWidth="1"/>
    <col min="70" max="70" width="8.7109375" style="0" customWidth="1"/>
    <col min="72" max="72" width="9.57421875" style="0" bestFit="1" customWidth="1"/>
    <col min="73" max="73" width="10.00390625" style="0" bestFit="1" customWidth="1"/>
    <col min="74" max="74" width="9.8515625" style="0" hidden="1" customWidth="1"/>
    <col min="75" max="75" width="9.57421875" style="0" hidden="1" customWidth="1"/>
    <col min="76" max="76" width="9.7109375" style="0" hidden="1" customWidth="1"/>
    <col min="77" max="77" width="9.8515625" style="0" hidden="1" customWidth="1"/>
    <col min="78" max="78" width="9.57421875" style="0" hidden="1" customWidth="1"/>
    <col min="79" max="79" width="10.00390625" style="0" hidden="1" customWidth="1"/>
    <col min="80" max="80" width="9.57421875" style="0" hidden="1" customWidth="1"/>
    <col min="81" max="81" width="9.00390625" style="0" hidden="1" customWidth="1"/>
    <col min="82" max="82" width="9.8515625" style="0" hidden="1" customWidth="1"/>
    <col min="83" max="83" width="9.7109375" style="0" hidden="1" customWidth="1"/>
    <col min="84" max="84" width="9.57421875" style="0" hidden="1" customWidth="1"/>
    <col min="85" max="85" width="10.00390625" style="0" hidden="1" customWidth="1"/>
    <col min="86" max="86" width="9.8515625" style="0" hidden="1" customWidth="1"/>
    <col min="87" max="87" width="9.57421875" style="0" hidden="1" customWidth="1"/>
    <col min="88" max="88" width="9.7109375" style="0" hidden="1" customWidth="1"/>
    <col min="89" max="89" width="9.8515625" style="0" hidden="1" customWidth="1"/>
    <col min="90" max="90" width="9.57421875" style="0" hidden="1" customWidth="1"/>
    <col min="91" max="91" width="10.00390625" style="0" hidden="1" customWidth="1"/>
    <col min="92" max="92" width="9.57421875" style="0" hidden="1" customWidth="1"/>
    <col min="93" max="93" width="9.00390625" style="0" hidden="1" customWidth="1"/>
    <col min="94" max="94" width="9.8515625" style="0" hidden="1" customWidth="1"/>
    <col min="95" max="95" width="9.7109375" style="0" hidden="1" customWidth="1"/>
    <col min="96" max="96" width="9.28125" style="0" hidden="1" customWidth="1"/>
    <col min="97" max="97" width="9.7109375" style="0" hidden="1" customWidth="1"/>
    <col min="98" max="98" width="9.57421875" style="0" hidden="1" customWidth="1"/>
    <col min="99" max="99" width="9.28125" style="0" hidden="1" customWidth="1"/>
    <col min="100" max="100" width="9.421875" style="0" hidden="1" customWidth="1"/>
    <col min="101" max="101" width="9.57421875" style="0" hidden="1" customWidth="1"/>
    <col min="102" max="102" width="9.28125" style="0" hidden="1" customWidth="1"/>
    <col min="103" max="103" width="9.7109375" style="0" hidden="1" customWidth="1"/>
    <col min="104" max="104" width="9.28125" style="0" hidden="1" customWidth="1"/>
    <col min="105" max="105" width="8.7109375" style="0" hidden="1" customWidth="1"/>
    <col min="106" max="106" width="9.57421875" style="0" hidden="1" customWidth="1"/>
    <col min="107" max="107" width="9.421875" style="0" hidden="1" customWidth="1"/>
    <col min="108" max="108" width="8.8515625" style="0" hidden="1" customWidth="1"/>
    <col min="109" max="109" width="9.421875" style="0" hidden="1" customWidth="1"/>
    <col min="110" max="110" width="9.28125" style="0" hidden="1" customWidth="1"/>
    <col min="111" max="111" width="8.8515625" style="0" hidden="1" customWidth="1"/>
    <col min="112" max="112" width="9.00390625" style="0" hidden="1" customWidth="1"/>
    <col min="113" max="113" width="9.28125" style="0" hidden="1" customWidth="1"/>
    <col min="114" max="114" width="1.1484375" style="0" bestFit="1" customWidth="1"/>
  </cols>
  <sheetData>
    <row r="1" spans="4:120" ht="18" customHeight="1" thickBot="1">
      <c r="D1" s="1402" t="s">
        <v>748</v>
      </c>
      <c r="E1" s="1423"/>
      <c r="F1" s="1423"/>
      <c r="G1" s="1423"/>
      <c r="H1" s="1424"/>
      <c r="I1" s="1425" t="s">
        <v>748</v>
      </c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BQ1" s="1399" t="s">
        <v>749</v>
      </c>
      <c r="BR1" s="1400"/>
      <c r="BS1" s="1401"/>
      <c r="BT1" s="1410" t="s">
        <v>749</v>
      </c>
      <c r="BU1" s="1410"/>
      <c r="BV1" s="1410"/>
      <c r="BW1" s="1410"/>
      <c r="BX1" s="1410"/>
      <c r="BY1" s="1410"/>
      <c r="BZ1" s="1410"/>
      <c r="CA1" s="1410"/>
      <c r="CB1" s="1410"/>
      <c r="CC1" s="1410"/>
      <c r="CD1" s="1410"/>
      <c r="CE1" s="1411"/>
      <c r="CF1" s="1412" t="s">
        <v>667</v>
      </c>
      <c r="CG1" s="1410"/>
      <c r="CH1" s="1410"/>
      <c r="CI1" s="1410"/>
      <c r="CJ1" s="1410"/>
      <c r="CK1" s="1410"/>
      <c r="CL1" s="1410"/>
      <c r="CM1" s="1410"/>
      <c r="CN1" s="1410"/>
      <c r="CO1" s="1410"/>
      <c r="CP1" s="1410"/>
      <c r="CQ1" s="1411"/>
      <c r="CR1" s="1412" t="s">
        <v>668</v>
      </c>
      <c r="CS1" s="1410"/>
      <c r="CT1" s="1410"/>
      <c r="CU1" s="1410"/>
      <c r="CV1" s="1410"/>
      <c r="CW1" s="1410"/>
      <c r="CX1" s="1410"/>
      <c r="CY1" s="1410"/>
      <c r="CZ1" s="1410"/>
      <c r="DA1" s="1410"/>
      <c r="DB1" s="1410"/>
      <c r="DC1" s="1411"/>
      <c r="DK1" t="s">
        <v>928</v>
      </c>
      <c r="DL1" t="s">
        <v>928</v>
      </c>
      <c r="DM1" t="s">
        <v>928</v>
      </c>
      <c r="DN1" s="788" t="s">
        <v>929</v>
      </c>
      <c r="DO1" s="789" t="s">
        <v>929</v>
      </c>
      <c r="DP1" s="1011" t="s">
        <v>929</v>
      </c>
    </row>
    <row r="2" spans="1:120" s="591" customFormat="1" ht="36" customHeight="1" thickBot="1">
      <c r="A2" s="587" t="s">
        <v>532</v>
      </c>
      <c r="B2" s="588" t="s">
        <v>298</v>
      </c>
      <c r="C2" s="589" t="s">
        <v>930</v>
      </c>
      <c r="D2" s="578" t="s">
        <v>700</v>
      </c>
      <c r="E2" s="579" t="s">
        <v>704</v>
      </c>
      <c r="F2" s="579" t="s">
        <v>705</v>
      </c>
      <c r="G2" s="579" t="s">
        <v>707</v>
      </c>
      <c r="H2" s="580" t="s">
        <v>708</v>
      </c>
      <c r="I2" s="574" t="s">
        <v>709</v>
      </c>
      <c r="J2" s="581" t="s">
        <v>710</v>
      </c>
      <c r="K2" s="581" t="s">
        <v>711</v>
      </c>
      <c r="L2" s="581" t="s">
        <v>712</v>
      </c>
      <c r="M2" s="581" t="s">
        <v>713</v>
      </c>
      <c r="N2" s="581" t="s">
        <v>714</v>
      </c>
      <c r="O2" s="581" t="s">
        <v>715</v>
      </c>
      <c r="P2" s="581" t="s">
        <v>701</v>
      </c>
      <c r="Q2" s="581" t="s">
        <v>716</v>
      </c>
      <c r="R2" s="581" t="s">
        <v>717</v>
      </c>
      <c r="S2" s="581" t="s">
        <v>718</v>
      </c>
      <c r="T2" s="575" t="s">
        <v>719</v>
      </c>
      <c r="U2" s="574" t="s">
        <v>720</v>
      </c>
      <c r="V2" s="581" t="s">
        <v>721</v>
      </c>
      <c r="W2" s="581" t="s">
        <v>722</v>
      </c>
      <c r="X2" s="581" t="s">
        <v>723</v>
      </c>
      <c r="Y2" s="581" t="s">
        <v>724</v>
      </c>
      <c r="Z2" s="581" t="s">
        <v>725</v>
      </c>
      <c r="AA2" s="581" t="s">
        <v>726</v>
      </c>
      <c r="AB2" s="581" t="s">
        <v>702</v>
      </c>
      <c r="AC2" s="581" t="s">
        <v>727</v>
      </c>
      <c r="AD2" s="581" t="s">
        <v>728</v>
      </c>
      <c r="AE2" s="581" t="s">
        <v>729</v>
      </c>
      <c r="AF2" s="575" t="s">
        <v>730</v>
      </c>
      <c r="AG2" s="574" t="s">
        <v>731</v>
      </c>
      <c r="AH2" s="581" t="s">
        <v>732</v>
      </c>
      <c r="AI2" s="581" t="s">
        <v>733</v>
      </c>
      <c r="AJ2" s="581" t="s">
        <v>734</v>
      </c>
      <c r="AK2" s="581" t="s">
        <v>735</v>
      </c>
      <c r="AL2" s="581" t="s">
        <v>736</v>
      </c>
      <c r="AM2" s="581" t="s">
        <v>737</v>
      </c>
      <c r="AN2" s="581" t="s">
        <v>703</v>
      </c>
      <c r="AO2" s="581" t="s">
        <v>738</v>
      </c>
      <c r="AP2" s="581" t="s">
        <v>739</v>
      </c>
      <c r="AQ2" s="581" t="s">
        <v>740</v>
      </c>
      <c r="AR2" s="575" t="s">
        <v>741</v>
      </c>
      <c r="AS2" s="574" t="s">
        <v>742</v>
      </c>
      <c r="AT2" s="581" t="s">
        <v>743</v>
      </c>
      <c r="AU2" s="581" t="s">
        <v>744</v>
      </c>
      <c r="AV2" s="581" t="s">
        <v>745</v>
      </c>
      <c r="AW2" s="581" t="s">
        <v>746</v>
      </c>
      <c r="AX2" s="575" t="s">
        <v>747</v>
      </c>
      <c r="AY2" s="590" t="s">
        <v>664</v>
      </c>
      <c r="AZ2" s="590" t="s">
        <v>655</v>
      </c>
      <c r="BA2" s="590" t="s">
        <v>665</v>
      </c>
      <c r="BB2" s="590" t="s">
        <v>666</v>
      </c>
      <c r="BC2" s="590" t="s">
        <v>656</v>
      </c>
      <c r="BD2" s="590" t="s">
        <v>657</v>
      </c>
      <c r="BE2" s="590" t="s">
        <v>658</v>
      </c>
      <c r="BF2" s="590" t="s">
        <v>659</v>
      </c>
      <c r="BG2" s="590" t="s">
        <v>660</v>
      </c>
      <c r="BH2" s="590" t="s">
        <v>661</v>
      </c>
      <c r="BI2" s="590" t="s">
        <v>662</v>
      </c>
      <c r="BJ2" s="590" t="s">
        <v>663</v>
      </c>
      <c r="BK2" s="590" t="s">
        <v>664</v>
      </c>
      <c r="BL2" s="590" t="s">
        <v>655</v>
      </c>
      <c r="BM2" s="590" t="s">
        <v>665</v>
      </c>
      <c r="BN2" s="590" t="s">
        <v>666</v>
      </c>
      <c r="BO2" s="590" t="s">
        <v>656</v>
      </c>
      <c r="BQ2" s="579" t="s">
        <v>705</v>
      </c>
      <c r="BR2" s="579" t="s">
        <v>707</v>
      </c>
      <c r="BS2" s="580" t="s">
        <v>708</v>
      </c>
      <c r="BT2" s="574" t="s">
        <v>709</v>
      </c>
      <c r="BU2" s="581" t="s">
        <v>710</v>
      </c>
      <c r="BV2" s="581" t="s">
        <v>711</v>
      </c>
      <c r="BW2" s="581" t="s">
        <v>712</v>
      </c>
      <c r="BX2" s="581" t="s">
        <v>713</v>
      </c>
      <c r="BY2" s="581" t="s">
        <v>714</v>
      </c>
      <c r="BZ2" s="581" t="s">
        <v>715</v>
      </c>
      <c r="CA2" s="581" t="s">
        <v>701</v>
      </c>
      <c r="CB2" s="581" t="s">
        <v>716</v>
      </c>
      <c r="CC2" s="581" t="s">
        <v>717</v>
      </c>
      <c r="CD2" s="581" t="s">
        <v>718</v>
      </c>
      <c r="CE2" s="575" t="s">
        <v>719</v>
      </c>
      <c r="CF2" s="574" t="s">
        <v>720</v>
      </c>
      <c r="CG2" s="581" t="s">
        <v>721</v>
      </c>
      <c r="CH2" s="581" t="s">
        <v>722</v>
      </c>
      <c r="CI2" s="581" t="s">
        <v>723</v>
      </c>
      <c r="CJ2" s="581" t="s">
        <v>724</v>
      </c>
      <c r="CK2" s="581" t="s">
        <v>725</v>
      </c>
      <c r="CL2" s="581" t="s">
        <v>726</v>
      </c>
      <c r="CM2" s="581" t="s">
        <v>702</v>
      </c>
      <c r="CN2" s="581" t="s">
        <v>727</v>
      </c>
      <c r="CO2" s="581" t="s">
        <v>728</v>
      </c>
      <c r="CP2" s="581" t="s">
        <v>729</v>
      </c>
      <c r="CQ2" s="575" t="s">
        <v>730</v>
      </c>
      <c r="CR2" s="574" t="s">
        <v>731</v>
      </c>
      <c r="CS2" s="581" t="s">
        <v>732</v>
      </c>
      <c r="CT2" s="581" t="s">
        <v>733</v>
      </c>
      <c r="CU2" s="581" t="s">
        <v>734</v>
      </c>
      <c r="CV2" s="581" t="s">
        <v>735</v>
      </c>
      <c r="CW2" s="581" t="s">
        <v>736</v>
      </c>
      <c r="CX2" s="581" t="s">
        <v>737</v>
      </c>
      <c r="CY2" s="581" t="s">
        <v>703</v>
      </c>
      <c r="CZ2" s="581" t="s">
        <v>738</v>
      </c>
      <c r="DA2" s="581" t="s">
        <v>739</v>
      </c>
      <c r="DB2" s="581" t="s">
        <v>740</v>
      </c>
      <c r="DC2" s="575" t="s">
        <v>741</v>
      </c>
      <c r="DD2" s="574" t="s">
        <v>742</v>
      </c>
      <c r="DE2" s="581" t="s">
        <v>743</v>
      </c>
      <c r="DF2" s="581" t="s">
        <v>744</v>
      </c>
      <c r="DG2" s="581" t="s">
        <v>745</v>
      </c>
      <c r="DH2" s="581" t="s">
        <v>746</v>
      </c>
      <c r="DI2" s="575" t="s">
        <v>747</v>
      </c>
      <c r="DJ2" s="591" t="s">
        <v>232</v>
      </c>
      <c r="DK2" s="788" t="s">
        <v>767</v>
      </c>
      <c r="DL2" s="789"/>
      <c r="DM2"/>
      <c r="DN2" s="788" t="s">
        <v>925</v>
      </c>
      <c r="DO2" s="788" t="s">
        <v>926</v>
      </c>
      <c r="DP2" s="1007" t="s">
        <v>927</v>
      </c>
    </row>
    <row r="3" spans="1:120" s="1" customFormat="1" ht="12.75">
      <c r="A3" s="506" t="s">
        <v>931</v>
      </c>
      <c r="B3" s="507" t="s">
        <v>456</v>
      </c>
      <c r="C3" s="571">
        <f>SUM(D3:J3)</f>
        <v>455</v>
      </c>
      <c r="D3" s="353">
        <v>59</v>
      </c>
      <c r="E3" s="354">
        <v>56</v>
      </c>
      <c r="F3" s="354">
        <v>54</v>
      </c>
      <c r="G3" s="370">
        <f aca="true" t="shared" si="0" ref="G3:J5">SUM(BR3-BQ3)</f>
        <v>60.11650780999997</v>
      </c>
      <c r="H3" s="776">
        <f t="shared" si="0"/>
        <v>48.98349219000005</v>
      </c>
      <c r="I3" s="772">
        <f>SUM(BT3-BS3)</f>
        <v>95.14599999999996</v>
      </c>
      <c r="J3" s="1012">
        <f>SUM(BU3-BT3)</f>
        <v>81.75400000000002</v>
      </c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P3" s="346"/>
      <c r="BQ3" s="353">
        <f>SUM(D3:F3)</f>
        <v>169</v>
      </c>
      <c r="BR3" s="370">
        <v>229.11650780999997</v>
      </c>
      <c r="BS3" s="366">
        <v>278.1</v>
      </c>
      <c r="BT3" s="760">
        <v>373.246</v>
      </c>
      <c r="BU3" s="1007">
        <v>455</v>
      </c>
      <c r="DK3" s="788" t="s">
        <v>771</v>
      </c>
      <c r="DL3" s="788" t="s">
        <v>772</v>
      </c>
      <c r="DM3" s="790">
        <v>373.24688736</v>
      </c>
      <c r="DN3" s="788" t="s">
        <v>771</v>
      </c>
      <c r="DO3" s="788" t="s">
        <v>772</v>
      </c>
      <c r="DP3" s="1007">
        <v>455.98</v>
      </c>
    </row>
    <row r="4" spans="1:121" s="18" customFormat="1" ht="12.75">
      <c r="A4" s="488" t="s">
        <v>931</v>
      </c>
      <c r="B4" s="490" t="s">
        <v>932</v>
      </c>
      <c r="C4" s="572">
        <f>SUM(D4:J4)</f>
        <v>87.927</v>
      </c>
      <c r="D4" s="352">
        <v>13</v>
      </c>
      <c r="E4" s="347">
        <v>12</v>
      </c>
      <c r="F4" s="347">
        <v>12</v>
      </c>
      <c r="G4" s="371">
        <f t="shared" si="0"/>
        <v>12.604819999999997</v>
      </c>
      <c r="H4" s="777">
        <f t="shared" si="0"/>
        <v>10.815180000000005</v>
      </c>
      <c r="I4" s="773">
        <f t="shared" si="0"/>
        <v>14.628</v>
      </c>
      <c r="J4" s="347">
        <f t="shared" si="0"/>
        <v>12.879000000000005</v>
      </c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P4" s="346"/>
      <c r="BQ4" s="352">
        <f>SUM(D4:F4)</f>
        <v>37</v>
      </c>
      <c r="BR4" s="371">
        <v>49.60482</v>
      </c>
      <c r="BS4" s="718">
        <v>60.42</v>
      </c>
      <c r="BT4" s="761">
        <v>75.048</v>
      </c>
      <c r="BU4" s="1008">
        <v>87.927</v>
      </c>
      <c r="DK4" s="791"/>
      <c r="DL4" s="792" t="s">
        <v>773</v>
      </c>
      <c r="DM4" s="790">
        <v>75.048</v>
      </c>
      <c r="DN4" s="791"/>
      <c r="DO4" s="792" t="s">
        <v>773</v>
      </c>
      <c r="DP4" s="1008">
        <v>87.927</v>
      </c>
      <c r="DQ4" s="1"/>
    </row>
    <row r="5" spans="1:121" s="20" customFormat="1" ht="13.5" thickBot="1">
      <c r="A5" s="492" t="s">
        <v>931</v>
      </c>
      <c r="B5" s="434" t="s">
        <v>933</v>
      </c>
      <c r="C5" s="573">
        <f>SUM(D5:J5)</f>
        <v>212</v>
      </c>
      <c r="D5" s="367">
        <v>30</v>
      </c>
      <c r="E5" s="368">
        <v>29</v>
      </c>
      <c r="F5" s="368">
        <v>29</v>
      </c>
      <c r="G5" s="372">
        <f t="shared" si="0"/>
        <v>30.257578900000013</v>
      </c>
      <c r="H5" s="778">
        <f t="shared" si="0"/>
        <v>25.78242109999998</v>
      </c>
      <c r="I5" s="774">
        <f t="shared" si="0"/>
        <v>35.364000000000004</v>
      </c>
      <c r="J5" s="1010">
        <f t="shared" si="0"/>
        <v>32.596000000000004</v>
      </c>
      <c r="K5" s="723"/>
      <c r="L5" s="349"/>
      <c r="M5" s="349"/>
      <c r="N5" s="349"/>
      <c r="O5" s="349"/>
      <c r="P5" s="349"/>
      <c r="Q5" s="349"/>
      <c r="R5" s="349"/>
      <c r="S5" s="349"/>
      <c r="T5" s="34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P5" s="346"/>
      <c r="BQ5" s="367">
        <f>SUM(D5:F5)</f>
        <v>88</v>
      </c>
      <c r="BR5" s="372">
        <v>118.25757890000001</v>
      </c>
      <c r="BS5" s="718">
        <v>144.04</v>
      </c>
      <c r="BT5" s="762">
        <v>179.404</v>
      </c>
      <c r="BU5" s="1008">
        <v>212</v>
      </c>
      <c r="DK5" s="791"/>
      <c r="DL5" s="792" t="s">
        <v>774</v>
      </c>
      <c r="DM5" s="790">
        <v>179.404228</v>
      </c>
      <c r="DN5" s="791"/>
      <c r="DO5" s="792" t="s">
        <v>774</v>
      </c>
      <c r="DP5" s="1008">
        <v>210.539332</v>
      </c>
      <c r="DQ5" s="1"/>
    </row>
    <row r="6" spans="1:120" s="1" customFormat="1" ht="13.5" thickBot="1">
      <c r="A6" s="4"/>
      <c r="B6" s="422" t="s">
        <v>934</v>
      </c>
      <c r="C6" s="555">
        <f>SUM(C3:C5)</f>
        <v>754.927</v>
      </c>
      <c r="D6" s="358">
        <f>SUM(D3:D5)</f>
        <v>102</v>
      </c>
      <c r="E6" s="359">
        <f>SUM(E3:E5)</f>
        <v>97</v>
      </c>
      <c r="F6" s="359">
        <f>SUM(F3:F5)</f>
        <v>95</v>
      </c>
      <c r="G6" s="359">
        <f>SUM(G3:G5)</f>
        <v>102.97890670999998</v>
      </c>
      <c r="H6" s="360">
        <f aca="true" t="shared" si="1" ref="H6:BL6">SUM(H3:H5)</f>
        <v>85.58109329000004</v>
      </c>
      <c r="I6" s="359">
        <f t="shared" si="1"/>
        <v>145.13799999999998</v>
      </c>
      <c r="J6" s="359">
        <f t="shared" si="1"/>
        <v>127.22900000000003</v>
      </c>
      <c r="K6" s="359">
        <f t="shared" si="1"/>
        <v>0</v>
      </c>
      <c r="L6" s="350">
        <f t="shared" si="1"/>
        <v>0</v>
      </c>
      <c r="M6" s="350">
        <f t="shared" si="1"/>
        <v>0</v>
      </c>
      <c r="N6" s="350">
        <f t="shared" si="1"/>
        <v>0</v>
      </c>
      <c r="O6" s="350">
        <f t="shared" si="1"/>
        <v>0</v>
      </c>
      <c r="P6" s="350">
        <f t="shared" si="1"/>
        <v>0</v>
      </c>
      <c r="Q6" s="350">
        <f t="shared" si="1"/>
        <v>0</v>
      </c>
      <c r="R6" s="350">
        <f t="shared" si="1"/>
        <v>0</v>
      </c>
      <c r="S6" s="350">
        <f t="shared" si="1"/>
        <v>0</v>
      </c>
      <c r="T6" s="350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1">
        <f t="shared" si="1"/>
        <v>0</v>
      </c>
      <c r="Z6" s="21">
        <f t="shared" si="1"/>
        <v>0</v>
      </c>
      <c r="AA6" s="21">
        <f t="shared" si="1"/>
        <v>0</v>
      </c>
      <c r="AB6" s="21">
        <f t="shared" si="1"/>
        <v>0</v>
      </c>
      <c r="AC6" s="21">
        <f t="shared" si="1"/>
        <v>0</v>
      </c>
      <c r="AD6" s="21">
        <f t="shared" si="1"/>
        <v>0</v>
      </c>
      <c r="AE6" s="21">
        <f t="shared" si="1"/>
        <v>0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>SUM(AJ3:AJ5)</f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21">
        <f t="shared" si="1"/>
        <v>0</v>
      </c>
      <c r="AQ6" s="21">
        <f t="shared" si="1"/>
        <v>0</v>
      </c>
      <c r="AR6" s="21">
        <f t="shared" si="1"/>
        <v>0</v>
      </c>
      <c r="AS6" s="21">
        <f t="shared" si="1"/>
        <v>0</v>
      </c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>SUM(BJ3:BJ5)</f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>SUM(BM3:BM5)</f>
        <v>0</v>
      </c>
      <c r="BN6" s="21">
        <f>SUM(BN3:BN5)</f>
        <v>0</v>
      </c>
      <c r="BO6" s="21">
        <f>SUM(BO3:BO5)</f>
        <v>0</v>
      </c>
      <c r="BQ6" s="361">
        <f>SUM(BQ3:BQ5)</f>
        <v>294</v>
      </c>
      <c r="BR6" s="362">
        <f>SUM(BR3:BR5)</f>
        <v>396.97890671</v>
      </c>
      <c r="BS6" s="363">
        <f>SUM(BS3:BS5)</f>
        <v>482.56000000000006</v>
      </c>
      <c r="BT6" s="763">
        <f>SUM(BT3:BT5)</f>
        <v>627.698</v>
      </c>
      <c r="BU6" s="763">
        <f>SUM(BU3:BU5)</f>
        <v>754.927</v>
      </c>
      <c r="DK6" s="788" t="s">
        <v>775</v>
      </c>
      <c r="DL6" s="789"/>
      <c r="DM6" s="790">
        <f>SUM(DM3:DM5)</f>
        <v>627.69911536</v>
      </c>
      <c r="DN6" s="792"/>
      <c r="DO6" s="792"/>
      <c r="DP6" s="1008"/>
    </row>
    <row r="7" spans="1:120" s="1" customFormat="1" ht="13.5" thickBot="1">
      <c r="A7" s="4"/>
      <c r="B7" s="4"/>
      <c r="C7" s="55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Q7" s="351"/>
      <c r="BR7" s="355"/>
      <c r="BS7" s="355"/>
      <c r="BT7" s="764"/>
      <c r="BU7" s="1008"/>
      <c r="DK7" s="788"/>
      <c r="DL7" s="795"/>
      <c r="DM7" s="790"/>
      <c r="DN7" s="792"/>
      <c r="DO7" s="792"/>
      <c r="DP7" s="1008"/>
    </row>
    <row r="8" spans="1:120" s="1" customFormat="1" ht="12.75">
      <c r="A8" s="556" t="s">
        <v>390</v>
      </c>
      <c r="B8" s="557" t="s">
        <v>419</v>
      </c>
      <c r="C8" s="571">
        <f aca="true" t="shared" si="2" ref="C8:C32">SUM(D8:J8)</f>
        <v>140.99448</v>
      </c>
      <c r="D8" s="353"/>
      <c r="E8" s="354">
        <v>55</v>
      </c>
      <c r="F8" s="354">
        <v>9</v>
      </c>
      <c r="G8" s="370">
        <f aca="true" t="shared" si="3" ref="G8:J32">SUM(BR8-BQ8)</f>
        <v>4.489385999999996</v>
      </c>
      <c r="H8" s="776">
        <f t="shared" si="3"/>
        <v>14.540614000000005</v>
      </c>
      <c r="I8" s="772">
        <f t="shared" si="3"/>
        <v>36.153000000000006</v>
      </c>
      <c r="J8" s="354">
        <f t="shared" si="3"/>
        <v>21.811480000000003</v>
      </c>
      <c r="K8" s="72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Q8" s="353">
        <f>SUM(D8:F8)</f>
        <v>64</v>
      </c>
      <c r="BR8" s="370">
        <v>68.489386</v>
      </c>
      <c r="BS8" s="366">
        <v>83.03</v>
      </c>
      <c r="BT8" s="765">
        <v>119.183</v>
      </c>
      <c r="BU8" s="1007">
        <v>140.99448</v>
      </c>
      <c r="DK8" s="788" t="s">
        <v>776</v>
      </c>
      <c r="DL8" s="788" t="s">
        <v>777</v>
      </c>
      <c r="DM8" s="790">
        <v>119.18358</v>
      </c>
      <c r="DN8" s="788" t="s">
        <v>776</v>
      </c>
      <c r="DO8" s="788" t="s">
        <v>777</v>
      </c>
      <c r="DP8" s="1007">
        <v>140.99448</v>
      </c>
    </row>
    <row r="9" spans="1:120" s="1" customFormat="1" ht="12.75">
      <c r="A9" s="558" t="s">
        <v>390</v>
      </c>
      <c r="B9" s="559" t="s">
        <v>935</v>
      </c>
      <c r="C9" s="572">
        <f t="shared" si="2"/>
        <v>-251.69472</v>
      </c>
      <c r="D9" s="352">
        <v>-162</v>
      </c>
      <c r="E9" s="347"/>
      <c r="F9" s="347">
        <v>-90</v>
      </c>
      <c r="G9" s="371">
        <f t="shared" si="3"/>
        <v>0.30528000000001043</v>
      </c>
      <c r="H9" s="777">
        <f t="shared" si="3"/>
        <v>0.004719999999991842</v>
      </c>
      <c r="I9" s="773">
        <f t="shared" si="3"/>
        <v>-0.0049999999999954525</v>
      </c>
      <c r="J9" s="347">
        <f t="shared" si="3"/>
        <v>0.0002800000000036107</v>
      </c>
      <c r="K9" s="34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Q9" s="352">
        <f aca="true" t="shared" si="4" ref="BQ9:BQ32">SUM(D9:F9)</f>
        <v>-252</v>
      </c>
      <c r="BR9" s="371">
        <v>-251.69472</v>
      </c>
      <c r="BS9" s="364">
        <v>-251.69</v>
      </c>
      <c r="BT9" s="766">
        <v>-251.695</v>
      </c>
      <c r="BU9" s="1008">
        <v>-251.69472</v>
      </c>
      <c r="DK9" s="791"/>
      <c r="DL9" s="792" t="s">
        <v>778</v>
      </c>
      <c r="DM9" s="790">
        <v>-251.69472</v>
      </c>
      <c r="DN9" s="791"/>
      <c r="DO9" s="792" t="s">
        <v>778</v>
      </c>
      <c r="DP9" s="1008">
        <v>-251.69472</v>
      </c>
    </row>
    <row r="10" spans="1:120" s="1" customFormat="1" ht="12.75">
      <c r="A10" s="558" t="s">
        <v>390</v>
      </c>
      <c r="B10" s="559" t="s">
        <v>936</v>
      </c>
      <c r="C10" s="572">
        <f t="shared" si="2"/>
        <v>226.42231379</v>
      </c>
      <c r="D10" s="352">
        <v>7</v>
      </c>
      <c r="E10" s="347">
        <v>33</v>
      </c>
      <c r="F10" s="347">
        <v>23</v>
      </c>
      <c r="G10" s="371">
        <f t="shared" si="3"/>
        <v>93.42675557000004</v>
      </c>
      <c r="H10" s="777">
        <f t="shared" si="3"/>
        <v>5.973244429999966</v>
      </c>
      <c r="I10" s="773">
        <f t="shared" si="3"/>
        <v>41.567999999999984</v>
      </c>
      <c r="J10" s="347">
        <f t="shared" si="3"/>
        <v>22.454313790000015</v>
      </c>
      <c r="K10" s="34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Q10" s="352">
        <f t="shared" si="4"/>
        <v>63</v>
      </c>
      <c r="BR10" s="371">
        <v>156.42675557000004</v>
      </c>
      <c r="BS10" s="364">
        <v>162.4</v>
      </c>
      <c r="BT10" s="766">
        <v>203.968</v>
      </c>
      <c r="BU10" s="1008">
        <v>226.42231379</v>
      </c>
      <c r="DK10" s="791"/>
      <c r="DL10" s="792" t="s">
        <v>779</v>
      </c>
      <c r="DM10" s="790">
        <v>203.96835467999998</v>
      </c>
      <c r="DN10" s="791"/>
      <c r="DO10" s="792" t="s">
        <v>779</v>
      </c>
      <c r="DP10" s="1008">
        <v>226.42231379</v>
      </c>
    </row>
    <row r="11" spans="1:120" s="1" customFormat="1" ht="12.75">
      <c r="A11" s="558" t="s">
        <v>390</v>
      </c>
      <c r="B11" s="559" t="s">
        <v>937</v>
      </c>
      <c r="C11" s="572">
        <f t="shared" si="2"/>
        <v>635.6103631000001</v>
      </c>
      <c r="D11" s="352">
        <v>81</v>
      </c>
      <c r="E11" s="347">
        <v>77</v>
      </c>
      <c r="F11" s="347"/>
      <c r="G11" s="371">
        <f t="shared" si="3"/>
        <v>98.89707999999996</v>
      </c>
      <c r="H11" s="777">
        <f t="shared" si="3"/>
        <v>52.70292000000006</v>
      </c>
      <c r="I11" s="773">
        <f t="shared" si="3"/>
        <v>280.1</v>
      </c>
      <c r="J11" s="347">
        <f t="shared" si="3"/>
        <v>45.91036310000004</v>
      </c>
      <c r="K11" s="34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Q11" s="352">
        <f t="shared" si="4"/>
        <v>158</v>
      </c>
      <c r="BR11" s="371">
        <v>256.89707999999996</v>
      </c>
      <c r="BS11" s="364">
        <v>309.6</v>
      </c>
      <c r="BT11" s="766">
        <v>589.7</v>
      </c>
      <c r="BU11" s="1008">
        <v>635.6103631000001</v>
      </c>
      <c r="DK11" s="791"/>
      <c r="DL11" s="792" t="s">
        <v>769</v>
      </c>
      <c r="DM11" s="790">
        <v>589.7460375999999</v>
      </c>
      <c r="DN11" s="791"/>
      <c r="DO11" s="792" t="s">
        <v>769</v>
      </c>
      <c r="DP11" s="1008">
        <v>635.6103631000001</v>
      </c>
    </row>
    <row r="12" spans="1:120" s="1" customFormat="1" ht="12.75">
      <c r="A12" s="558" t="s">
        <v>390</v>
      </c>
      <c r="B12" s="559" t="s">
        <v>938</v>
      </c>
      <c r="C12" s="572">
        <f t="shared" si="2"/>
        <v>1546.0835163800002</v>
      </c>
      <c r="D12" s="352">
        <v>236</v>
      </c>
      <c r="E12" s="347">
        <v>176</v>
      </c>
      <c r="F12" s="347">
        <v>299</v>
      </c>
      <c r="G12" s="371">
        <f t="shared" si="3"/>
        <v>235.22197012000015</v>
      </c>
      <c r="H12" s="777">
        <f t="shared" si="3"/>
        <v>237.77802987999985</v>
      </c>
      <c r="I12" s="773">
        <f t="shared" si="3"/>
        <v>255.26999999999998</v>
      </c>
      <c r="J12" s="347">
        <f t="shared" si="3"/>
        <v>106.81351638000024</v>
      </c>
      <c r="K12" s="34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Q12" s="352">
        <f t="shared" si="4"/>
        <v>711</v>
      </c>
      <c r="BR12" s="371">
        <v>946.2219701200002</v>
      </c>
      <c r="BS12" s="364">
        <v>1184</v>
      </c>
      <c r="BT12" s="766">
        <v>1439.27</v>
      </c>
      <c r="BU12" s="1008">
        <v>1546.0835163800002</v>
      </c>
      <c r="DK12" s="791"/>
      <c r="DL12" s="792" t="s">
        <v>780</v>
      </c>
      <c r="DM12" s="790">
        <v>1439.2702487699999</v>
      </c>
      <c r="DN12" s="791"/>
      <c r="DO12" s="792" t="s">
        <v>780</v>
      </c>
      <c r="DP12" s="1008">
        <v>1546.0835163800002</v>
      </c>
    </row>
    <row r="13" spans="1:120" s="1" customFormat="1" ht="12.75">
      <c r="A13" s="558" t="s">
        <v>390</v>
      </c>
      <c r="B13" s="559" t="s">
        <v>939</v>
      </c>
      <c r="C13" s="572">
        <f t="shared" si="2"/>
        <v>282.9756819000001</v>
      </c>
      <c r="D13" s="352"/>
      <c r="E13" s="347">
        <v>18</v>
      </c>
      <c r="F13" s="347">
        <v>14</v>
      </c>
      <c r="G13" s="371">
        <f t="shared" si="3"/>
        <v>12.163189000000003</v>
      </c>
      <c r="H13" s="777">
        <f t="shared" si="3"/>
        <v>91.13681100000001</v>
      </c>
      <c r="I13" s="773">
        <f t="shared" si="3"/>
        <v>33.018</v>
      </c>
      <c r="J13" s="347">
        <f t="shared" si="3"/>
        <v>114.65768190000009</v>
      </c>
      <c r="K13" s="34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Q13" s="352">
        <f t="shared" si="4"/>
        <v>32</v>
      </c>
      <c r="BR13" s="371">
        <v>44.163189</v>
      </c>
      <c r="BS13" s="364">
        <v>135.3</v>
      </c>
      <c r="BT13" s="766">
        <v>168.318</v>
      </c>
      <c r="BU13" s="1008">
        <v>282.9756819000001</v>
      </c>
      <c r="DK13" s="791"/>
      <c r="DL13" s="792" t="s">
        <v>781</v>
      </c>
      <c r="DM13" s="790">
        <v>168.36650510000004</v>
      </c>
      <c r="DN13" s="791"/>
      <c r="DO13" s="792" t="s">
        <v>781</v>
      </c>
      <c r="DP13" s="1008">
        <v>282.9756819000001</v>
      </c>
    </row>
    <row r="14" spans="1:120" s="1" customFormat="1" ht="12.75">
      <c r="A14" s="558" t="s">
        <v>390</v>
      </c>
      <c r="B14" s="559" t="s">
        <v>940</v>
      </c>
      <c r="C14" s="572">
        <f t="shared" si="2"/>
        <v>353.73311304000003</v>
      </c>
      <c r="D14" s="352">
        <v>64</v>
      </c>
      <c r="E14" s="347">
        <v>47</v>
      </c>
      <c r="F14" s="347">
        <v>47</v>
      </c>
      <c r="G14" s="371">
        <f t="shared" si="3"/>
        <v>52.11074851999996</v>
      </c>
      <c r="H14" s="777">
        <f t="shared" si="3"/>
        <v>42.53925148000005</v>
      </c>
      <c r="I14" s="773">
        <f t="shared" si="3"/>
        <v>54.059999999999974</v>
      </c>
      <c r="J14" s="347">
        <f t="shared" si="3"/>
        <v>47.023113040000055</v>
      </c>
      <c r="K14" s="34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Q14" s="352">
        <f t="shared" si="4"/>
        <v>158</v>
      </c>
      <c r="BR14" s="371">
        <v>210.11074851999996</v>
      </c>
      <c r="BS14" s="385">
        <v>252.65</v>
      </c>
      <c r="BT14" s="766">
        <v>306.71</v>
      </c>
      <c r="BU14" s="1008">
        <v>353.73311304000003</v>
      </c>
      <c r="DK14" s="791"/>
      <c r="DL14" s="792" t="s">
        <v>782</v>
      </c>
      <c r="DM14" s="790">
        <v>306.71776744000005</v>
      </c>
      <c r="DN14" s="791"/>
      <c r="DO14" s="792" t="s">
        <v>782</v>
      </c>
      <c r="DP14" s="1008">
        <v>353.73311304000003</v>
      </c>
    </row>
    <row r="15" spans="1:120" s="1" customFormat="1" ht="12.75">
      <c r="A15" s="558" t="s">
        <v>390</v>
      </c>
      <c r="B15" s="559" t="s">
        <v>941</v>
      </c>
      <c r="C15" s="572">
        <f t="shared" si="2"/>
        <v>68.73776649999999</v>
      </c>
      <c r="D15" s="352"/>
      <c r="E15" s="347">
        <v>12</v>
      </c>
      <c r="F15" s="347">
        <v>42</v>
      </c>
      <c r="G15" s="371">
        <f t="shared" si="3"/>
        <v>10.088255999999987</v>
      </c>
      <c r="H15" s="777">
        <f t="shared" si="3"/>
        <v>4.21174400000001</v>
      </c>
      <c r="I15" s="773">
        <f t="shared" si="3"/>
        <v>0.21000000000000796</v>
      </c>
      <c r="J15" s="347">
        <f t="shared" si="3"/>
        <v>0.2277664999999871</v>
      </c>
      <c r="K15" s="34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Q15" s="352">
        <f t="shared" si="4"/>
        <v>54</v>
      </c>
      <c r="BR15" s="371">
        <v>64.08825599999999</v>
      </c>
      <c r="BS15" s="364">
        <v>68.3</v>
      </c>
      <c r="BT15" s="766">
        <v>68.51</v>
      </c>
      <c r="BU15" s="1008">
        <v>68.73776649999999</v>
      </c>
      <c r="DK15" s="791"/>
      <c r="DL15" s="792" t="s">
        <v>783</v>
      </c>
      <c r="DM15" s="790">
        <v>68.515929</v>
      </c>
      <c r="DN15" s="791"/>
      <c r="DO15" s="792" t="s">
        <v>783</v>
      </c>
      <c r="DP15" s="1008">
        <v>68.73776649999999</v>
      </c>
    </row>
    <row r="16" spans="1:120" s="1" customFormat="1" ht="12.75">
      <c r="A16" s="558" t="s">
        <v>390</v>
      </c>
      <c r="B16" s="559" t="s">
        <v>942</v>
      </c>
      <c r="C16" s="572">
        <f t="shared" si="2"/>
        <v>1423.5665888299995</v>
      </c>
      <c r="D16" s="352">
        <v>190</v>
      </c>
      <c r="E16" s="347">
        <v>193</v>
      </c>
      <c r="F16" s="347">
        <v>267</v>
      </c>
      <c r="G16" s="371">
        <f t="shared" si="3"/>
        <v>204.5431206200002</v>
      </c>
      <c r="H16" s="777">
        <f t="shared" si="3"/>
        <v>251.9568793799998</v>
      </c>
      <c r="I16" s="773">
        <f t="shared" si="3"/>
        <v>187.04700000000003</v>
      </c>
      <c r="J16" s="347">
        <f t="shared" si="3"/>
        <v>130.01958882999952</v>
      </c>
      <c r="K16" s="34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Q16" s="352">
        <f t="shared" si="4"/>
        <v>650</v>
      </c>
      <c r="BR16" s="371">
        <v>854.5431206200002</v>
      </c>
      <c r="BS16" s="718">
        <v>1106.5</v>
      </c>
      <c r="BT16" s="766">
        <v>1293.547</v>
      </c>
      <c r="BU16" s="1008">
        <v>1423.5665888299995</v>
      </c>
      <c r="DK16" s="791"/>
      <c r="DL16" s="792" t="s">
        <v>784</v>
      </c>
      <c r="DM16" s="790">
        <v>1293.57996257</v>
      </c>
      <c r="DN16" s="791"/>
      <c r="DO16" s="792" t="s">
        <v>784</v>
      </c>
      <c r="DP16" s="1008">
        <v>1423.5665888299995</v>
      </c>
    </row>
    <row r="17" spans="1:120" s="1" customFormat="1" ht="12.75">
      <c r="A17" s="558" t="s">
        <v>390</v>
      </c>
      <c r="B17" s="559" t="s">
        <v>943</v>
      </c>
      <c r="C17" s="572">
        <f t="shared" si="2"/>
        <v>0</v>
      </c>
      <c r="D17" s="352"/>
      <c r="E17" s="347"/>
      <c r="F17" s="347"/>
      <c r="G17" s="371">
        <f t="shared" si="3"/>
        <v>0</v>
      </c>
      <c r="H17" s="777">
        <f t="shared" si="3"/>
        <v>0</v>
      </c>
      <c r="I17" s="773">
        <f t="shared" si="3"/>
        <v>0</v>
      </c>
      <c r="J17" s="347">
        <f t="shared" si="3"/>
        <v>0</v>
      </c>
      <c r="K17" s="34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Q17" s="352">
        <f t="shared" si="4"/>
        <v>0</v>
      </c>
      <c r="BR17" s="371">
        <v>0</v>
      </c>
      <c r="BS17" s="385">
        <v>0</v>
      </c>
      <c r="BT17" s="766"/>
      <c r="BU17" s="1008">
        <v>0</v>
      </c>
      <c r="DK17" s="791"/>
      <c r="DL17" s="792" t="s">
        <v>785</v>
      </c>
      <c r="DM17" s="790">
        <v>0</v>
      </c>
      <c r="DN17" s="791"/>
      <c r="DO17" s="792" t="s">
        <v>785</v>
      </c>
      <c r="DP17" s="1008">
        <v>0</v>
      </c>
    </row>
    <row r="18" spans="1:120" s="1" customFormat="1" ht="12.75">
      <c r="A18" s="558" t="s">
        <v>390</v>
      </c>
      <c r="B18" s="559" t="s">
        <v>944</v>
      </c>
      <c r="C18" s="572">
        <f t="shared" si="2"/>
        <v>0</v>
      </c>
      <c r="D18" s="352"/>
      <c r="E18" s="347"/>
      <c r="F18" s="347"/>
      <c r="G18" s="371">
        <f t="shared" si="3"/>
        <v>0</v>
      </c>
      <c r="H18" s="777">
        <f t="shared" si="3"/>
        <v>0</v>
      </c>
      <c r="I18" s="773">
        <f t="shared" si="3"/>
        <v>0</v>
      </c>
      <c r="J18" s="347">
        <f t="shared" si="3"/>
        <v>0</v>
      </c>
      <c r="K18" s="34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N18" s="1" t="s">
        <v>232</v>
      </c>
      <c r="BQ18" s="352">
        <f t="shared" si="4"/>
        <v>0</v>
      </c>
      <c r="BR18" s="371">
        <v>0</v>
      </c>
      <c r="BS18" s="364">
        <v>0</v>
      </c>
      <c r="BT18" s="766"/>
      <c r="BU18" s="1008">
        <v>0</v>
      </c>
      <c r="DK18" s="791"/>
      <c r="DL18" s="792" t="s">
        <v>786</v>
      </c>
      <c r="DM18" s="790">
        <v>0</v>
      </c>
      <c r="DN18" s="791"/>
      <c r="DO18" s="792" t="s">
        <v>786</v>
      </c>
      <c r="DP18" s="1008">
        <v>0</v>
      </c>
    </row>
    <row r="19" spans="1:120" s="1" customFormat="1" ht="12.75">
      <c r="A19" s="558" t="s">
        <v>390</v>
      </c>
      <c r="B19" s="559" t="s">
        <v>945</v>
      </c>
      <c r="C19" s="572">
        <f t="shared" si="2"/>
        <v>0</v>
      </c>
      <c r="D19" s="352"/>
      <c r="E19" s="347"/>
      <c r="F19" s="347"/>
      <c r="G19" s="371">
        <f t="shared" si="3"/>
        <v>0</v>
      </c>
      <c r="H19" s="777">
        <f t="shared" si="3"/>
        <v>0</v>
      </c>
      <c r="I19" s="773">
        <f t="shared" si="3"/>
        <v>0</v>
      </c>
      <c r="J19" s="347">
        <f t="shared" si="3"/>
        <v>0</v>
      </c>
      <c r="K19" s="34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Q19" s="352">
        <f t="shared" si="4"/>
        <v>0</v>
      </c>
      <c r="BR19" s="371">
        <v>0</v>
      </c>
      <c r="BS19" s="364">
        <v>0</v>
      </c>
      <c r="BT19" s="766"/>
      <c r="BU19" s="1008">
        <v>0</v>
      </c>
      <c r="DK19" s="791"/>
      <c r="DL19" s="792" t="s">
        <v>787</v>
      </c>
      <c r="DM19" s="790">
        <v>0</v>
      </c>
      <c r="DN19" s="791"/>
      <c r="DO19" s="792" t="s">
        <v>787</v>
      </c>
      <c r="DP19" s="1008">
        <v>0</v>
      </c>
    </row>
    <row r="20" spans="1:120" s="1" customFormat="1" ht="12.75">
      <c r="A20" s="558" t="s">
        <v>390</v>
      </c>
      <c r="B20" s="559" t="s">
        <v>946</v>
      </c>
      <c r="C20" s="572">
        <f t="shared" si="2"/>
        <v>192.60121052000005</v>
      </c>
      <c r="D20" s="352">
        <v>12</v>
      </c>
      <c r="E20" s="347">
        <v>42</v>
      </c>
      <c r="F20" s="347">
        <v>54</v>
      </c>
      <c r="G20" s="371">
        <f t="shared" si="3"/>
        <v>30.939999999999998</v>
      </c>
      <c r="H20" s="777">
        <f t="shared" si="3"/>
        <v>5.481071660000026</v>
      </c>
      <c r="I20" s="773">
        <f t="shared" si="3"/>
        <v>2.111928339999963</v>
      </c>
      <c r="J20" s="347">
        <f t="shared" si="3"/>
        <v>46.068210520000065</v>
      </c>
      <c r="K20" s="34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Q20" s="352">
        <f t="shared" si="4"/>
        <v>108</v>
      </c>
      <c r="BR20" s="371">
        <v>138.94</v>
      </c>
      <c r="BS20" s="364">
        <v>144.42107166000002</v>
      </c>
      <c r="BT20" s="766">
        <v>146.533</v>
      </c>
      <c r="BU20" s="1008">
        <v>192.60121052000005</v>
      </c>
      <c r="DK20" s="791"/>
      <c r="DL20" s="792" t="s">
        <v>788</v>
      </c>
      <c r="DM20" s="790">
        <v>146.53340056000002</v>
      </c>
      <c r="DN20" s="791"/>
      <c r="DO20" s="792" t="s">
        <v>788</v>
      </c>
      <c r="DP20" s="1008">
        <v>192.60121052000005</v>
      </c>
    </row>
    <row r="21" spans="1:120" s="1" customFormat="1" ht="12.75">
      <c r="A21" s="558" t="s">
        <v>390</v>
      </c>
      <c r="B21" s="559" t="s">
        <v>947</v>
      </c>
      <c r="C21" s="572">
        <f t="shared" si="2"/>
        <v>0</v>
      </c>
      <c r="D21" s="352"/>
      <c r="E21" s="347"/>
      <c r="F21" s="347"/>
      <c r="G21" s="371">
        <f t="shared" si="3"/>
        <v>0</v>
      </c>
      <c r="H21" s="777">
        <f t="shared" si="3"/>
        <v>0</v>
      </c>
      <c r="I21" s="773">
        <f t="shared" si="3"/>
        <v>0</v>
      </c>
      <c r="J21" s="347">
        <f t="shared" si="3"/>
        <v>0</v>
      </c>
      <c r="K21" s="34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Q21" s="352">
        <f t="shared" si="4"/>
        <v>0</v>
      </c>
      <c r="BR21" s="371">
        <v>0</v>
      </c>
      <c r="BS21" s="364">
        <v>0</v>
      </c>
      <c r="BT21" s="766"/>
      <c r="BU21" s="1008">
        <v>0</v>
      </c>
      <c r="DK21" s="791"/>
      <c r="DL21" s="792" t="s">
        <v>789</v>
      </c>
      <c r="DM21" s="790">
        <v>0</v>
      </c>
      <c r="DN21" s="791"/>
      <c r="DO21" s="792" t="s">
        <v>789</v>
      </c>
      <c r="DP21" s="1008">
        <v>0</v>
      </c>
    </row>
    <row r="22" spans="1:120" s="1" customFormat="1" ht="12.75">
      <c r="A22" s="558" t="s">
        <v>390</v>
      </c>
      <c r="B22" s="559" t="s">
        <v>948</v>
      </c>
      <c r="C22" s="572">
        <f t="shared" si="2"/>
        <v>0</v>
      </c>
      <c r="D22" s="352"/>
      <c r="E22" s="347"/>
      <c r="F22" s="347"/>
      <c r="G22" s="371">
        <f t="shared" si="3"/>
        <v>0</v>
      </c>
      <c r="H22" s="777">
        <f t="shared" si="3"/>
        <v>0</v>
      </c>
      <c r="I22" s="773">
        <f t="shared" si="3"/>
        <v>0</v>
      </c>
      <c r="J22" s="347">
        <f t="shared" si="3"/>
        <v>0</v>
      </c>
      <c r="K22" s="34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Q22" s="352">
        <f t="shared" si="4"/>
        <v>0</v>
      </c>
      <c r="BR22" s="371">
        <v>0</v>
      </c>
      <c r="BS22" s="364">
        <v>0</v>
      </c>
      <c r="BT22" s="766"/>
      <c r="BU22" s="1008">
        <v>0</v>
      </c>
      <c r="DK22" s="791"/>
      <c r="DL22" s="792" t="s">
        <v>790</v>
      </c>
      <c r="DM22" s="790">
        <v>0</v>
      </c>
      <c r="DN22" s="791"/>
      <c r="DO22" s="792" t="s">
        <v>790</v>
      </c>
      <c r="DP22" s="1008">
        <v>0</v>
      </c>
    </row>
    <row r="23" spans="1:120" s="1" customFormat="1" ht="12.75">
      <c r="A23" s="558" t="s">
        <v>390</v>
      </c>
      <c r="B23" s="559" t="s">
        <v>949</v>
      </c>
      <c r="C23" s="572">
        <f t="shared" si="2"/>
        <v>16.415944550000003</v>
      </c>
      <c r="D23" s="352">
        <v>2</v>
      </c>
      <c r="E23" s="347">
        <v>2</v>
      </c>
      <c r="F23" s="347">
        <v>2</v>
      </c>
      <c r="G23" s="371">
        <f t="shared" si="3"/>
        <v>3.3261002400000006</v>
      </c>
      <c r="H23" s="777">
        <f t="shared" si="3"/>
        <v>2.0333397600000005</v>
      </c>
      <c r="I23" s="773">
        <f t="shared" si="3"/>
        <v>2.688559999999999</v>
      </c>
      <c r="J23" s="347">
        <f t="shared" si="3"/>
        <v>2.3679445500000025</v>
      </c>
      <c r="K23" s="34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Q23" s="352">
        <f t="shared" si="4"/>
        <v>6</v>
      </c>
      <c r="BR23" s="371">
        <v>9.32610024</v>
      </c>
      <c r="BS23" s="364">
        <v>11.359440000000001</v>
      </c>
      <c r="BT23" s="766">
        <v>14.048</v>
      </c>
      <c r="BU23" s="1008">
        <v>16.415944550000003</v>
      </c>
      <c r="DK23" s="791"/>
      <c r="DL23" s="792" t="s">
        <v>791</v>
      </c>
      <c r="DM23" s="790">
        <v>14.048448200000001</v>
      </c>
      <c r="DN23" s="791"/>
      <c r="DO23" s="792" t="s">
        <v>791</v>
      </c>
      <c r="DP23" s="1008">
        <v>16.415944550000003</v>
      </c>
    </row>
    <row r="24" spans="1:120" s="1" customFormat="1" ht="12.75">
      <c r="A24" s="558" t="s">
        <v>390</v>
      </c>
      <c r="B24" s="559" t="s">
        <v>435</v>
      </c>
      <c r="C24" s="572">
        <f t="shared" si="2"/>
        <v>0</v>
      </c>
      <c r="D24" s="352"/>
      <c r="E24" s="347"/>
      <c r="F24" s="347"/>
      <c r="G24" s="371">
        <f t="shared" si="3"/>
        <v>0</v>
      </c>
      <c r="H24" s="777">
        <f t="shared" si="3"/>
        <v>0</v>
      </c>
      <c r="I24" s="773">
        <f t="shared" si="3"/>
        <v>0</v>
      </c>
      <c r="J24" s="347">
        <f t="shared" si="3"/>
        <v>0</v>
      </c>
      <c r="K24" s="34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Q24" s="352">
        <f t="shared" si="4"/>
        <v>0</v>
      </c>
      <c r="BR24" s="371">
        <v>0</v>
      </c>
      <c r="BS24" s="364">
        <v>0</v>
      </c>
      <c r="BT24" s="766"/>
      <c r="BU24" s="1008">
        <v>0</v>
      </c>
      <c r="DK24" s="791"/>
      <c r="DL24" s="792" t="s">
        <v>792</v>
      </c>
      <c r="DM24" s="790">
        <v>0</v>
      </c>
      <c r="DN24" s="791"/>
      <c r="DO24" s="792" t="s">
        <v>792</v>
      </c>
      <c r="DP24" s="1008">
        <v>0</v>
      </c>
    </row>
    <row r="25" spans="1:120" s="1" customFormat="1" ht="12.75">
      <c r="A25" s="558" t="s">
        <v>390</v>
      </c>
      <c r="B25" s="559" t="s">
        <v>950</v>
      </c>
      <c r="C25" s="572">
        <f t="shared" si="2"/>
        <v>0</v>
      </c>
      <c r="D25" s="352"/>
      <c r="E25" s="347"/>
      <c r="F25" s="347"/>
      <c r="G25" s="371">
        <f t="shared" si="3"/>
        <v>0</v>
      </c>
      <c r="H25" s="777">
        <f t="shared" si="3"/>
        <v>0</v>
      </c>
      <c r="I25" s="773">
        <f t="shared" si="3"/>
        <v>0</v>
      </c>
      <c r="J25" s="347">
        <f t="shared" si="3"/>
        <v>0</v>
      </c>
      <c r="K25" s="34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Q25" s="352">
        <f t="shared" si="4"/>
        <v>0</v>
      </c>
      <c r="BR25" s="371">
        <v>0</v>
      </c>
      <c r="BS25" s="364">
        <v>0</v>
      </c>
      <c r="BT25" s="766"/>
      <c r="BU25" s="1008">
        <v>0</v>
      </c>
      <c r="DK25" s="791"/>
      <c r="DL25" s="792" t="s">
        <v>793</v>
      </c>
      <c r="DM25" s="790">
        <v>0</v>
      </c>
      <c r="DN25" s="791"/>
      <c r="DO25" s="792" t="s">
        <v>793</v>
      </c>
      <c r="DP25" s="1008">
        <v>0</v>
      </c>
    </row>
    <row r="26" spans="1:120" s="1" customFormat="1" ht="12.75">
      <c r="A26" s="558" t="s">
        <v>390</v>
      </c>
      <c r="B26" s="559" t="s">
        <v>951</v>
      </c>
      <c r="C26" s="572">
        <f t="shared" si="2"/>
        <v>0</v>
      </c>
      <c r="D26" s="352"/>
      <c r="E26" s="347"/>
      <c r="F26" s="347"/>
      <c r="G26" s="371">
        <f t="shared" si="3"/>
        <v>0</v>
      </c>
      <c r="H26" s="777">
        <f t="shared" si="3"/>
        <v>0</v>
      </c>
      <c r="I26" s="773">
        <f t="shared" si="3"/>
        <v>0</v>
      </c>
      <c r="J26" s="347">
        <f t="shared" si="3"/>
        <v>0</v>
      </c>
      <c r="K26" s="34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Q26" s="352">
        <f t="shared" si="4"/>
        <v>0</v>
      </c>
      <c r="BR26" s="371">
        <v>0</v>
      </c>
      <c r="BS26" s="364">
        <v>0</v>
      </c>
      <c r="BT26" s="766"/>
      <c r="BU26" s="1008">
        <v>0</v>
      </c>
      <c r="DK26" s="791"/>
      <c r="DL26" s="792" t="s">
        <v>794</v>
      </c>
      <c r="DM26" s="790">
        <v>0</v>
      </c>
      <c r="DN26" s="791"/>
      <c r="DO26" s="792" t="s">
        <v>794</v>
      </c>
      <c r="DP26" s="1008">
        <v>0</v>
      </c>
    </row>
    <row r="27" spans="1:120" s="1" customFormat="1" ht="12.75">
      <c r="A27" s="558" t="s">
        <v>390</v>
      </c>
      <c r="B27" s="559" t="s">
        <v>952</v>
      </c>
      <c r="C27" s="572">
        <f t="shared" si="2"/>
        <v>0</v>
      </c>
      <c r="D27" s="352"/>
      <c r="E27" s="347"/>
      <c r="F27" s="347"/>
      <c r="G27" s="371">
        <f t="shared" si="3"/>
        <v>0</v>
      </c>
      <c r="H27" s="777">
        <f t="shared" si="3"/>
        <v>0</v>
      </c>
      <c r="I27" s="773">
        <f t="shared" si="3"/>
        <v>0</v>
      </c>
      <c r="J27" s="347">
        <f t="shared" si="3"/>
        <v>0</v>
      </c>
      <c r="K27" s="34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Q27" s="352">
        <f t="shared" si="4"/>
        <v>0</v>
      </c>
      <c r="BR27" s="371">
        <v>0</v>
      </c>
      <c r="BS27" s="364">
        <v>0</v>
      </c>
      <c r="BT27" s="766"/>
      <c r="BU27" s="1008">
        <v>0</v>
      </c>
      <c r="DK27" s="791"/>
      <c r="DL27" s="792" t="s">
        <v>795</v>
      </c>
      <c r="DM27" s="790">
        <v>0</v>
      </c>
      <c r="DN27" s="791"/>
      <c r="DO27" s="792" t="s">
        <v>795</v>
      </c>
      <c r="DP27" s="1008">
        <v>0</v>
      </c>
    </row>
    <row r="28" spans="1:120" s="1" customFormat="1" ht="12.75">
      <c r="A28" s="558" t="s">
        <v>390</v>
      </c>
      <c r="B28" s="559" t="s">
        <v>953</v>
      </c>
      <c r="C28" s="572">
        <f t="shared" si="2"/>
        <v>2.633634</v>
      </c>
      <c r="D28" s="352"/>
      <c r="E28" s="347">
        <v>1</v>
      </c>
      <c r="F28" s="347">
        <v>2</v>
      </c>
      <c r="G28" s="371">
        <f t="shared" si="3"/>
        <v>-0.4467179999999997</v>
      </c>
      <c r="H28" s="777">
        <f t="shared" si="3"/>
        <v>-0.0032820000000004512</v>
      </c>
      <c r="I28" s="773">
        <f t="shared" si="3"/>
        <v>0.06400000000000006</v>
      </c>
      <c r="J28" s="347">
        <f t="shared" si="3"/>
        <v>0.01963399999999993</v>
      </c>
      <c r="K28" s="34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Q28" s="352">
        <f t="shared" si="4"/>
        <v>3</v>
      </c>
      <c r="BR28" s="371">
        <v>2.5532820000000003</v>
      </c>
      <c r="BS28" s="364">
        <v>2.55</v>
      </c>
      <c r="BT28" s="766">
        <v>2.614</v>
      </c>
      <c r="BU28" s="1008">
        <v>2.633634</v>
      </c>
      <c r="DK28" s="791"/>
      <c r="DL28" s="792" t="s">
        <v>796</v>
      </c>
      <c r="DM28" s="790">
        <v>2.614887</v>
      </c>
      <c r="DN28" s="791"/>
      <c r="DO28" s="792" t="s">
        <v>796</v>
      </c>
      <c r="DP28" s="1008">
        <v>2.633634</v>
      </c>
    </row>
    <row r="29" spans="1:120" s="1" customFormat="1" ht="12.75">
      <c r="A29" s="558" t="s">
        <v>390</v>
      </c>
      <c r="B29" s="559" t="s">
        <v>954</v>
      </c>
      <c r="C29" s="572">
        <f t="shared" si="2"/>
        <v>-304.38081726</v>
      </c>
      <c r="D29" s="352">
        <v>-308</v>
      </c>
      <c r="E29" s="347"/>
      <c r="F29" s="347"/>
      <c r="G29" s="371">
        <f t="shared" si="3"/>
        <v>-0.30000000000001137</v>
      </c>
      <c r="H29" s="777">
        <f t="shared" si="3"/>
        <v>0</v>
      </c>
      <c r="I29" s="773">
        <f t="shared" si="3"/>
        <v>2.1000000000000227</v>
      </c>
      <c r="J29" s="347">
        <f t="shared" si="3"/>
        <v>1.8191827399999738</v>
      </c>
      <c r="K29" s="34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Q29" s="352">
        <f t="shared" si="4"/>
        <v>-308</v>
      </c>
      <c r="BR29" s="371">
        <v>-308.3</v>
      </c>
      <c r="BS29" s="364">
        <v>-308.3</v>
      </c>
      <c r="BT29" s="766">
        <v>-306.2</v>
      </c>
      <c r="BU29" s="1008">
        <v>-304.38081726</v>
      </c>
      <c r="DK29" s="791"/>
      <c r="DL29" s="792" t="s">
        <v>797</v>
      </c>
      <c r="DM29" s="790">
        <v>-306.1946539</v>
      </c>
      <c r="DN29" s="791"/>
      <c r="DO29" s="792" t="s">
        <v>797</v>
      </c>
      <c r="DP29" s="1008">
        <v>-304.38081726</v>
      </c>
    </row>
    <row r="30" spans="1:120" s="1" customFormat="1" ht="12.75">
      <c r="A30" s="558" t="s">
        <v>390</v>
      </c>
      <c r="B30" s="559" t="s">
        <v>955</v>
      </c>
      <c r="C30" s="572">
        <f t="shared" si="2"/>
        <v>0</v>
      </c>
      <c r="D30" s="352"/>
      <c r="E30" s="347"/>
      <c r="F30" s="347"/>
      <c r="G30" s="371">
        <f t="shared" si="3"/>
        <v>0</v>
      </c>
      <c r="H30" s="777">
        <f t="shared" si="3"/>
        <v>0</v>
      </c>
      <c r="I30" s="773">
        <f t="shared" si="3"/>
        <v>0</v>
      </c>
      <c r="J30" s="347">
        <f t="shared" si="3"/>
        <v>0</v>
      </c>
      <c r="K30" s="34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Q30" s="352">
        <f t="shared" si="4"/>
        <v>0</v>
      </c>
      <c r="BR30" s="371">
        <v>0</v>
      </c>
      <c r="BS30" s="364">
        <v>0</v>
      </c>
      <c r="BT30" s="766"/>
      <c r="BU30" s="1008">
        <v>0</v>
      </c>
      <c r="DK30" s="791"/>
      <c r="DL30" s="792" t="s">
        <v>798</v>
      </c>
      <c r="DM30" s="790">
        <v>0</v>
      </c>
      <c r="DN30" s="791"/>
      <c r="DO30" s="792" t="s">
        <v>798</v>
      </c>
      <c r="DP30" s="1008">
        <v>0</v>
      </c>
    </row>
    <row r="31" spans="1:120" s="1" customFormat="1" ht="13.5" thickBot="1">
      <c r="A31" s="558" t="s">
        <v>390</v>
      </c>
      <c r="B31" s="559" t="s">
        <v>956</v>
      </c>
      <c r="C31" s="572">
        <f t="shared" si="2"/>
        <v>0</v>
      </c>
      <c r="D31" s="352"/>
      <c r="E31" s="347"/>
      <c r="F31" s="347"/>
      <c r="G31" s="371">
        <f t="shared" si="3"/>
        <v>0</v>
      </c>
      <c r="H31" s="777">
        <f t="shared" si="3"/>
        <v>0</v>
      </c>
      <c r="I31" s="773">
        <f t="shared" si="3"/>
        <v>0</v>
      </c>
      <c r="J31" s="347">
        <f t="shared" si="3"/>
        <v>0</v>
      </c>
      <c r="K31" s="34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Q31" s="367">
        <f t="shared" si="4"/>
        <v>0</v>
      </c>
      <c r="BR31" s="372">
        <v>0</v>
      </c>
      <c r="BS31" s="722">
        <v>0</v>
      </c>
      <c r="BT31" s="766"/>
      <c r="BU31" s="1008">
        <v>0</v>
      </c>
      <c r="DK31" s="791"/>
      <c r="DL31" s="792" t="s">
        <v>799</v>
      </c>
      <c r="DM31" s="790">
        <v>0</v>
      </c>
      <c r="DN31" s="791"/>
      <c r="DO31" s="792" t="s">
        <v>799</v>
      </c>
      <c r="DP31" s="1008">
        <v>0</v>
      </c>
    </row>
    <row r="32" spans="1:121" s="20" customFormat="1" ht="13.5" thickBot="1">
      <c r="A32" s="560" t="s">
        <v>390</v>
      </c>
      <c r="B32" s="561" t="s">
        <v>957</v>
      </c>
      <c r="C32" s="573">
        <f t="shared" si="2"/>
        <v>0</v>
      </c>
      <c r="D32" s="356"/>
      <c r="E32" s="357"/>
      <c r="F32" s="357"/>
      <c r="G32" s="373">
        <f t="shared" si="3"/>
        <v>0</v>
      </c>
      <c r="H32" s="779">
        <f t="shared" si="3"/>
        <v>0</v>
      </c>
      <c r="I32" s="775">
        <f t="shared" si="3"/>
        <v>0</v>
      </c>
      <c r="J32" s="1010">
        <f t="shared" si="3"/>
        <v>0</v>
      </c>
      <c r="K32" s="72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Q32" s="719">
        <f t="shared" si="4"/>
        <v>0</v>
      </c>
      <c r="BR32" s="720">
        <v>0</v>
      </c>
      <c r="BS32" s="721">
        <v>0</v>
      </c>
      <c r="BT32" s="767"/>
      <c r="BU32" s="1008">
        <v>0</v>
      </c>
      <c r="DK32" s="791"/>
      <c r="DL32" s="792" t="s">
        <v>800</v>
      </c>
      <c r="DM32" s="790">
        <v>0</v>
      </c>
      <c r="DN32" s="791"/>
      <c r="DO32" s="792" t="s">
        <v>800</v>
      </c>
      <c r="DP32" s="1008">
        <v>0</v>
      </c>
      <c r="DQ32" s="1"/>
    </row>
    <row r="33" spans="1:120" s="1" customFormat="1" ht="13.5" thickBot="1">
      <c r="A33" s="4"/>
      <c r="B33" s="422" t="s">
        <v>691</v>
      </c>
      <c r="C33" s="555">
        <f>SUM(C8:C32)</f>
        <v>4333.6990753499995</v>
      </c>
      <c r="D33" s="358">
        <f>SUM(D8:D32)</f>
        <v>122</v>
      </c>
      <c r="E33" s="359">
        <f>SUM(E8:E32)</f>
        <v>656</v>
      </c>
      <c r="F33" s="359">
        <f>SUM(F8:F32)</f>
        <v>669</v>
      </c>
      <c r="G33" s="359">
        <f aca="true" t="shared" si="5" ref="G33:BA33">SUM(G8:G32)</f>
        <v>744.7651680700003</v>
      </c>
      <c r="H33" s="360">
        <f t="shared" si="5"/>
        <v>708.3553435899997</v>
      </c>
      <c r="I33" s="359">
        <f t="shared" si="5"/>
        <v>894.38548834</v>
      </c>
      <c r="J33" s="359">
        <f t="shared" si="5"/>
        <v>539.19307535</v>
      </c>
      <c r="K33" s="359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  <c r="W33" s="21">
        <f t="shared" si="5"/>
        <v>0</v>
      </c>
      <c r="X33" s="21">
        <f t="shared" si="5"/>
        <v>0</v>
      </c>
      <c r="Y33" s="21">
        <f t="shared" si="5"/>
        <v>0</v>
      </c>
      <c r="Z33" s="21">
        <f t="shared" si="5"/>
        <v>0</v>
      </c>
      <c r="AA33" s="21">
        <f t="shared" si="5"/>
        <v>0</v>
      </c>
      <c r="AB33" s="21">
        <f t="shared" si="5"/>
        <v>0</v>
      </c>
      <c r="AC33" s="21">
        <f t="shared" si="5"/>
        <v>0</v>
      </c>
      <c r="AD33" s="21">
        <f t="shared" si="5"/>
        <v>0</v>
      </c>
      <c r="AE33" s="21">
        <f t="shared" si="5"/>
        <v>0</v>
      </c>
      <c r="AF33" s="21">
        <f t="shared" si="5"/>
        <v>0</v>
      </c>
      <c r="AG33" s="21">
        <f t="shared" si="5"/>
        <v>0</v>
      </c>
      <c r="AH33" s="21">
        <f t="shared" si="5"/>
        <v>0</v>
      </c>
      <c r="AI33" s="21">
        <f>SUM(AJ8:AJ32)</f>
        <v>0</v>
      </c>
      <c r="AJ33" s="21">
        <f t="shared" si="5"/>
        <v>0</v>
      </c>
      <c r="AK33" s="21">
        <f t="shared" si="5"/>
        <v>0</v>
      </c>
      <c r="AL33" s="21">
        <f t="shared" si="5"/>
        <v>0</v>
      </c>
      <c r="AM33" s="21">
        <f t="shared" si="5"/>
        <v>0</v>
      </c>
      <c r="AN33" s="21">
        <f t="shared" si="5"/>
        <v>0</v>
      </c>
      <c r="AO33" s="21">
        <f t="shared" si="5"/>
        <v>0</v>
      </c>
      <c r="AP33" s="21">
        <f t="shared" si="5"/>
        <v>0</v>
      </c>
      <c r="AQ33" s="21">
        <f t="shared" si="5"/>
        <v>0</v>
      </c>
      <c r="AR33" s="21">
        <f t="shared" si="5"/>
        <v>0</v>
      </c>
      <c r="AS33" s="21">
        <f t="shared" si="5"/>
        <v>0</v>
      </c>
      <c r="AT33" s="21">
        <f t="shared" si="5"/>
        <v>0</v>
      </c>
      <c r="AU33" s="21">
        <f t="shared" si="5"/>
        <v>0</v>
      </c>
      <c r="AV33" s="21">
        <f t="shared" si="5"/>
        <v>0</v>
      </c>
      <c r="AW33" s="21">
        <f t="shared" si="5"/>
        <v>0</v>
      </c>
      <c r="AX33" s="21">
        <f t="shared" si="5"/>
        <v>0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4"/>
      <c r="BC33" s="4"/>
      <c r="BD33" s="4"/>
      <c r="BE33" s="4"/>
      <c r="BF33" s="4"/>
      <c r="BG33" s="4"/>
      <c r="BH33" s="4"/>
      <c r="BI33" s="4"/>
      <c r="BQ33" s="361">
        <f>SUM(BQ8:BQ32)</f>
        <v>1447</v>
      </c>
      <c r="BR33" s="362">
        <f>SUM(BR8:BR32)</f>
        <v>2191.76516807</v>
      </c>
      <c r="BS33" s="363">
        <f>SUM(BS8:BS32)</f>
        <v>2900.1205116600004</v>
      </c>
      <c r="BT33" s="768">
        <f>SUM(BT8:BT32)</f>
        <v>3794.5060000000003</v>
      </c>
      <c r="BU33" s="768">
        <f>SUM(BU8:BU32)</f>
        <v>4333.6990753499995</v>
      </c>
      <c r="DK33" s="788" t="s">
        <v>801</v>
      </c>
      <c r="DL33" s="789"/>
      <c r="DM33" s="790">
        <f>SUM(DM8:DM32)</f>
        <v>3794.6557470199996</v>
      </c>
      <c r="DN33" s="792"/>
      <c r="DO33" s="792"/>
      <c r="DP33" s="1008"/>
    </row>
    <row r="34" spans="1:120" s="1" customFormat="1" ht="13.5" thickBot="1">
      <c r="A34" s="4"/>
      <c r="B34" s="374"/>
      <c r="C34" s="55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Q34" s="351"/>
      <c r="BR34" s="355"/>
      <c r="BS34" s="355"/>
      <c r="BT34" s="764"/>
      <c r="BU34" s="1008"/>
      <c r="DK34" s="788"/>
      <c r="DL34" s="795"/>
      <c r="DM34" s="790"/>
      <c r="DN34" s="792"/>
      <c r="DO34" s="792"/>
      <c r="DP34" s="1008"/>
    </row>
    <row r="35" spans="1:120" s="1" customFormat="1" ht="12.75">
      <c r="A35" s="556" t="s">
        <v>958</v>
      </c>
      <c r="B35" s="557" t="s">
        <v>959</v>
      </c>
      <c r="C35" s="571">
        <f aca="true" t="shared" si="6" ref="C35:C60">SUM(D35:J35)</f>
        <v>61.59459100000001</v>
      </c>
      <c r="D35" s="353">
        <v>5</v>
      </c>
      <c r="E35" s="354"/>
      <c r="F35" s="354"/>
      <c r="G35" s="370">
        <f aca="true" t="shared" si="7" ref="G35:J60">SUM(BR35-BQ35)</f>
        <v>42.332460999999995</v>
      </c>
      <c r="H35" s="776">
        <f t="shared" si="7"/>
        <v>13.017539000000006</v>
      </c>
      <c r="I35" s="772">
        <f t="shared" si="7"/>
        <v>0.7349999999999994</v>
      </c>
      <c r="J35" s="354">
        <f t="shared" si="7"/>
        <v>0.5095910000000075</v>
      </c>
      <c r="K35" s="72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Q35" s="353">
        <f>SUM(D35:F35)</f>
        <v>5</v>
      </c>
      <c r="BR35" s="370">
        <v>47.332460999999995</v>
      </c>
      <c r="BS35" s="366">
        <v>60.35</v>
      </c>
      <c r="BT35" s="769">
        <v>61.085</v>
      </c>
      <c r="BU35" s="1007">
        <v>61.59459100000001</v>
      </c>
      <c r="DK35" s="788" t="s">
        <v>802</v>
      </c>
      <c r="DL35" s="788" t="s">
        <v>803</v>
      </c>
      <c r="DM35" s="790">
        <v>61.284673</v>
      </c>
      <c r="DN35" s="788" t="s">
        <v>802</v>
      </c>
      <c r="DO35" s="788" t="s">
        <v>803</v>
      </c>
      <c r="DP35" s="1007">
        <v>61.59459100000001</v>
      </c>
    </row>
    <row r="36" spans="1:120" s="1" customFormat="1" ht="12.75">
      <c r="A36" s="558" t="s">
        <v>958</v>
      </c>
      <c r="B36" s="559" t="s">
        <v>960</v>
      </c>
      <c r="C36" s="572">
        <f t="shared" si="6"/>
        <v>0</v>
      </c>
      <c r="D36" s="352"/>
      <c r="E36" s="347"/>
      <c r="F36" s="347"/>
      <c r="G36" s="371">
        <f t="shared" si="7"/>
        <v>0</v>
      </c>
      <c r="H36" s="777">
        <f t="shared" si="7"/>
        <v>0</v>
      </c>
      <c r="I36" s="773">
        <f t="shared" si="7"/>
        <v>0</v>
      </c>
      <c r="J36" s="347">
        <f t="shared" si="7"/>
        <v>0</v>
      </c>
      <c r="K36" s="34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Q36" s="352">
        <f aca="true" t="shared" si="8" ref="BQ36:BQ60">SUM(D36:F36)</f>
        <v>0</v>
      </c>
      <c r="BR36" s="371">
        <v>0</v>
      </c>
      <c r="BS36" s="364">
        <v>0</v>
      </c>
      <c r="BT36" s="770"/>
      <c r="BU36" s="1008">
        <v>0</v>
      </c>
      <c r="DK36" s="791"/>
      <c r="DL36" s="792" t="s">
        <v>804</v>
      </c>
      <c r="DM36" s="790">
        <v>0</v>
      </c>
      <c r="DN36" s="791"/>
      <c r="DO36" s="792" t="s">
        <v>804</v>
      </c>
      <c r="DP36" s="1008">
        <v>0</v>
      </c>
    </row>
    <row r="37" spans="1:120" s="1" customFormat="1" ht="12.75">
      <c r="A37" s="558" t="s">
        <v>958</v>
      </c>
      <c r="B37" s="559" t="s">
        <v>396</v>
      </c>
      <c r="C37" s="572">
        <f t="shared" si="6"/>
        <v>0</v>
      </c>
      <c r="D37" s="352"/>
      <c r="E37" s="347"/>
      <c r="F37" s="347"/>
      <c r="G37" s="371">
        <f t="shared" si="7"/>
        <v>0</v>
      </c>
      <c r="H37" s="777">
        <f t="shared" si="7"/>
        <v>0</v>
      </c>
      <c r="I37" s="773">
        <f t="shared" si="7"/>
        <v>0</v>
      </c>
      <c r="J37" s="347">
        <f t="shared" si="7"/>
        <v>0</v>
      </c>
      <c r="K37" s="34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Q37" s="352">
        <f t="shared" si="8"/>
        <v>0</v>
      </c>
      <c r="BR37" s="371">
        <v>0</v>
      </c>
      <c r="BS37" s="364">
        <v>0</v>
      </c>
      <c r="BT37" s="770"/>
      <c r="BU37" s="1008">
        <v>0</v>
      </c>
      <c r="DK37" s="791"/>
      <c r="DL37" s="792" t="s">
        <v>805</v>
      </c>
      <c r="DM37" s="790">
        <v>0</v>
      </c>
      <c r="DN37" s="791"/>
      <c r="DO37" s="792" t="s">
        <v>805</v>
      </c>
      <c r="DP37" s="1008">
        <v>0</v>
      </c>
    </row>
    <row r="38" spans="1:120" s="1" customFormat="1" ht="12.75">
      <c r="A38" s="558" t="s">
        <v>958</v>
      </c>
      <c r="B38" s="559" t="s">
        <v>961</v>
      </c>
      <c r="C38" s="572">
        <f t="shared" si="6"/>
        <v>1.4860799999999998</v>
      </c>
      <c r="D38" s="352"/>
      <c r="E38" s="347"/>
      <c r="F38" s="347"/>
      <c r="G38" s="371">
        <f t="shared" si="7"/>
        <v>0</v>
      </c>
      <c r="H38" s="777">
        <f t="shared" si="7"/>
        <v>0</v>
      </c>
      <c r="I38" s="773">
        <f t="shared" si="7"/>
        <v>0</v>
      </c>
      <c r="J38" s="347">
        <f t="shared" si="7"/>
        <v>1.4860799999999998</v>
      </c>
      <c r="K38" s="34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Q38" s="352">
        <f t="shared" si="8"/>
        <v>0</v>
      </c>
      <c r="BR38" s="371">
        <v>0</v>
      </c>
      <c r="BS38" s="364">
        <v>0</v>
      </c>
      <c r="BT38" s="770"/>
      <c r="BU38" s="1008">
        <v>1.4860799999999998</v>
      </c>
      <c r="DK38" s="791"/>
      <c r="DL38" s="792" t="s">
        <v>806</v>
      </c>
      <c r="DM38" s="790">
        <v>0</v>
      </c>
      <c r="DN38" s="791"/>
      <c r="DO38" s="792" t="s">
        <v>806</v>
      </c>
      <c r="DP38" s="1008">
        <v>1.4860799999999998</v>
      </c>
    </row>
    <row r="39" spans="1:120" s="1" customFormat="1" ht="12.75">
      <c r="A39" s="558" t="s">
        <v>958</v>
      </c>
      <c r="B39" s="559" t="s">
        <v>962</v>
      </c>
      <c r="C39" s="572">
        <f t="shared" si="6"/>
        <v>0</v>
      </c>
      <c r="D39" s="352"/>
      <c r="E39" s="347"/>
      <c r="F39" s="347"/>
      <c r="G39" s="371">
        <f t="shared" si="7"/>
        <v>0</v>
      </c>
      <c r="H39" s="777">
        <f t="shared" si="7"/>
        <v>0</v>
      </c>
      <c r="I39" s="773">
        <f t="shared" si="7"/>
        <v>0</v>
      </c>
      <c r="J39" s="347">
        <f t="shared" si="7"/>
        <v>0</v>
      </c>
      <c r="K39" s="34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Q39" s="352">
        <f t="shared" si="8"/>
        <v>0</v>
      </c>
      <c r="BR39" s="371">
        <v>0</v>
      </c>
      <c r="BS39" s="364">
        <v>0</v>
      </c>
      <c r="BT39" s="770"/>
      <c r="BU39" s="1008">
        <v>0</v>
      </c>
      <c r="DK39" s="791"/>
      <c r="DL39" s="792" t="s">
        <v>807</v>
      </c>
      <c r="DM39" s="790">
        <v>0</v>
      </c>
      <c r="DN39" s="791"/>
      <c r="DO39" s="792" t="s">
        <v>807</v>
      </c>
      <c r="DP39" s="1008">
        <v>0</v>
      </c>
    </row>
    <row r="40" spans="1:120" s="1" customFormat="1" ht="12.75">
      <c r="A40" s="558" t="s">
        <v>958</v>
      </c>
      <c r="B40" s="559" t="s">
        <v>963</v>
      </c>
      <c r="C40" s="572">
        <f t="shared" si="6"/>
        <v>363.6</v>
      </c>
      <c r="D40" s="352">
        <v>4</v>
      </c>
      <c r="E40" s="347">
        <v>45</v>
      </c>
      <c r="F40" s="347">
        <v>59</v>
      </c>
      <c r="G40" s="371">
        <f t="shared" si="7"/>
        <v>91.41206949999997</v>
      </c>
      <c r="H40" s="777">
        <f t="shared" si="7"/>
        <v>68.2379305</v>
      </c>
      <c r="I40" s="773">
        <f t="shared" si="7"/>
        <v>63.632000000000005</v>
      </c>
      <c r="J40" s="347">
        <f t="shared" si="7"/>
        <v>32.31800000000004</v>
      </c>
      <c r="K40" s="34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Q40" s="352">
        <f t="shared" si="8"/>
        <v>108</v>
      </c>
      <c r="BR40" s="371">
        <v>199.41206949999997</v>
      </c>
      <c r="BS40" s="364">
        <v>267.65</v>
      </c>
      <c r="BT40" s="770">
        <v>331.282</v>
      </c>
      <c r="BU40" s="1008">
        <v>363.6</v>
      </c>
      <c r="DK40" s="791"/>
      <c r="DL40" s="792" t="s">
        <v>808</v>
      </c>
      <c r="DM40" s="790">
        <v>331.28252043482547</v>
      </c>
      <c r="DN40" s="791"/>
      <c r="DO40" s="792" t="s">
        <v>808</v>
      </c>
      <c r="DP40" s="1008">
        <v>363.6</v>
      </c>
    </row>
    <row r="41" spans="1:120" s="1" customFormat="1" ht="12.75">
      <c r="A41" s="558" t="s">
        <v>958</v>
      </c>
      <c r="B41" s="559" t="s">
        <v>399</v>
      </c>
      <c r="C41" s="572">
        <f t="shared" si="6"/>
        <v>-35.94</v>
      </c>
      <c r="D41" s="352">
        <v>-36</v>
      </c>
      <c r="E41" s="347"/>
      <c r="F41" s="347"/>
      <c r="G41" s="371">
        <f t="shared" si="7"/>
        <v>0.060000000000002274</v>
      </c>
      <c r="H41" s="777">
        <f t="shared" si="7"/>
        <v>0</v>
      </c>
      <c r="I41" s="773">
        <f t="shared" si="7"/>
        <v>0</v>
      </c>
      <c r="J41" s="347">
        <f t="shared" si="7"/>
        <v>0</v>
      </c>
      <c r="K41" s="34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Q41" s="352">
        <f t="shared" si="8"/>
        <v>-36</v>
      </c>
      <c r="BR41" s="371">
        <v>-35.94</v>
      </c>
      <c r="BS41" s="364">
        <v>-35.94</v>
      </c>
      <c r="BT41" s="770">
        <v>-35.94</v>
      </c>
      <c r="BU41" s="1008">
        <v>-35.94</v>
      </c>
      <c r="DK41" s="791"/>
      <c r="DL41" s="792" t="s">
        <v>809</v>
      </c>
      <c r="DM41" s="790">
        <v>-35.94</v>
      </c>
      <c r="DN41" s="791"/>
      <c r="DO41" s="792" t="s">
        <v>809</v>
      </c>
      <c r="DP41" s="1008">
        <v>-35.94</v>
      </c>
    </row>
    <row r="42" spans="1:121" s="22" customFormat="1" ht="12.75">
      <c r="A42" s="558" t="s">
        <v>958</v>
      </c>
      <c r="B42" s="559" t="s">
        <v>964</v>
      </c>
      <c r="C42" s="572">
        <f t="shared" si="6"/>
        <v>-80.3908</v>
      </c>
      <c r="D42" s="352">
        <v>6</v>
      </c>
      <c r="E42" s="347">
        <v>4</v>
      </c>
      <c r="F42" s="347">
        <v>-90</v>
      </c>
      <c r="G42" s="371">
        <f t="shared" si="7"/>
        <v>-0.3907999999999987</v>
      </c>
      <c r="H42" s="777">
        <f t="shared" si="7"/>
        <v>0.0007999999999981355</v>
      </c>
      <c r="I42" s="773">
        <f t="shared" si="7"/>
        <v>0</v>
      </c>
      <c r="J42" s="347">
        <f t="shared" si="7"/>
        <v>-0.0007999999999981355</v>
      </c>
      <c r="K42" s="34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Q42" s="352">
        <f t="shared" si="8"/>
        <v>-80</v>
      </c>
      <c r="BR42" s="371">
        <v>-80.3908</v>
      </c>
      <c r="BS42" s="364">
        <v>-80.39</v>
      </c>
      <c r="BT42" s="770">
        <v>-80.39</v>
      </c>
      <c r="BU42" s="1008">
        <v>-80.3908</v>
      </c>
      <c r="DK42" s="791"/>
      <c r="DL42" s="792" t="s">
        <v>810</v>
      </c>
      <c r="DM42" s="790">
        <v>-80.3908</v>
      </c>
      <c r="DN42" s="791"/>
      <c r="DO42" s="792" t="s">
        <v>810</v>
      </c>
      <c r="DP42" s="1008">
        <v>-80.3908</v>
      </c>
      <c r="DQ42" s="1"/>
    </row>
    <row r="43" spans="1:120" s="1" customFormat="1" ht="12.75">
      <c r="A43" s="558" t="s">
        <v>958</v>
      </c>
      <c r="B43" s="559" t="s">
        <v>965</v>
      </c>
      <c r="C43" s="572">
        <f t="shared" si="6"/>
        <v>112.63973899999999</v>
      </c>
      <c r="D43" s="352">
        <v>4</v>
      </c>
      <c r="E43" s="347">
        <v>29</v>
      </c>
      <c r="F43" s="347">
        <v>55</v>
      </c>
      <c r="G43" s="371">
        <f t="shared" si="7"/>
        <v>15.153266000000002</v>
      </c>
      <c r="H43" s="777">
        <f t="shared" si="7"/>
        <v>0.04673400000000072</v>
      </c>
      <c r="I43" s="773">
        <f t="shared" si="7"/>
        <v>0.6319999999999908</v>
      </c>
      <c r="J43" s="347">
        <f t="shared" si="7"/>
        <v>8.807738999999998</v>
      </c>
      <c r="K43" s="34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Q43" s="352">
        <f t="shared" si="8"/>
        <v>88</v>
      </c>
      <c r="BR43" s="371">
        <v>103.153266</v>
      </c>
      <c r="BS43" s="385">
        <v>103.2</v>
      </c>
      <c r="BT43" s="770">
        <v>103.832</v>
      </c>
      <c r="BU43" s="1008">
        <v>112.63973899999999</v>
      </c>
      <c r="DK43" s="791"/>
      <c r="DL43" s="792" t="s">
        <v>811</v>
      </c>
      <c r="DM43" s="790">
        <v>103.55935500000001</v>
      </c>
      <c r="DN43" s="791"/>
      <c r="DO43" s="792" t="s">
        <v>811</v>
      </c>
      <c r="DP43" s="1008">
        <v>112.63973899999999</v>
      </c>
    </row>
    <row r="44" spans="1:120" s="1" customFormat="1" ht="12.75">
      <c r="A44" s="558" t="s">
        <v>958</v>
      </c>
      <c r="B44" s="559" t="s">
        <v>966</v>
      </c>
      <c r="C44" s="572">
        <f t="shared" si="6"/>
        <v>1033.8227688</v>
      </c>
      <c r="D44" s="352">
        <v>62</v>
      </c>
      <c r="E44" s="347">
        <v>167</v>
      </c>
      <c r="F44" s="347">
        <v>406</v>
      </c>
      <c r="G44" s="371">
        <f t="shared" si="7"/>
        <v>76.18185579999988</v>
      </c>
      <c r="H44" s="777">
        <f t="shared" si="7"/>
        <v>30.118144200000074</v>
      </c>
      <c r="I44" s="773">
        <f t="shared" si="7"/>
        <v>199.19400000000007</v>
      </c>
      <c r="J44" s="347">
        <f t="shared" si="7"/>
        <v>93.32876879999992</v>
      </c>
      <c r="K44" s="34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Q44" s="352">
        <f t="shared" si="8"/>
        <v>635</v>
      </c>
      <c r="BR44" s="371">
        <v>711.1818557999999</v>
      </c>
      <c r="BS44" s="385">
        <v>741.3</v>
      </c>
      <c r="BT44" s="770">
        <v>940.494</v>
      </c>
      <c r="BU44" s="1008">
        <v>1033.8227688</v>
      </c>
      <c r="DK44" s="791"/>
      <c r="DL44" s="792" t="s">
        <v>768</v>
      </c>
      <c r="DM44" s="790">
        <v>940.23384667</v>
      </c>
      <c r="DN44" s="791"/>
      <c r="DO44" s="792" t="s">
        <v>768</v>
      </c>
      <c r="DP44" s="1008">
        <v>1033.8227688</v>
      </c>
    </row>
    <row r="45" spans="1:120" s="1" customFormat="1" ht="12.75">
      <c r="A45" s="558" t="s">
        <v>958</v>
      </c>
      <c r="B45" s="559" t="s">
        <v>967</v>
      </c>
      <c r="C45" s="572">
        <f t="shared" si="6"/>
        <v>78.32492199999999</v>
      </c>
      <c r="D45" s="352">
        <v>30</v>
      </c>
      <c r="E45" s="347"/>
      <c r="F45" s="347">
        <v>44</v>
      </c>
      <c r="G45" s="371">
        <f t="shared" si="7"/>
        <v>9.236510410000008</v>
      </c>
      <c r="H45" s="777">
        <f t="shared" si="7"/>
        <v>-9.236510410000008</v>
      </c>
      <c r="I45" s="773">
        <f t="shared" si="7"/>
        <v>4.064999999999998</v>
      </c>
      <c r="J45" s="347">
        <f t="shared" si="7"/>
        <v>0.2599219999999889</v>
      </c>
      <c r="K45" s="34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Q45" s="352">
        <f t="shared" si="8"/>
        <v>74</v>
      </c>
      <c r="BR45" s="371">
        <v>83.23651041000001</v>
      </c>
      <c r="BS45" s="385">
        <v>74</v>
      </c>
      <c r="BT45" s="770">
        <v>78.065</v>
      </c>
      <c r="BU45" s="1008">
        <v>78.32492199999999</v>
      </c>
      <c r="DK45" s="791"/>
      <c r="DL45" s="792" t="s">
        <v>812</v>
      </c>
      <c r="DM45" s="790">
        <v>78.065371</v>
      </c>
      <c r="DN45" s="791"/>
      <c r="DO45" s="792" t="s">
        <v>812</v>
      </c>
      <c r="DP45" s="1008">
        <v>78.32492199999999</v>
      </c>
    </row>
    <row r="46" spans="1:120" s="1" customFormat="1" ht="12.75">
      <c r="A46" s="558" t="s">
        <v>958</v>
      </c>
      <c r="B46" s="559" t="s">
        <v>968</v>
      </c>
      <c r="C46" s="572">
        <f t="shared" si="6"/>
        <v>145.198906</v>
      </c>
      <c r="D46" s="352">
        <v>2</v>
      </c>
      <c r="E46" s="347">
        <v>43</v>
      </c>
      <c r="F46" s="347">
        <v>30</v>
      </c>
      <c r="G46" s="371">
        <f t="shared" si="7"/>
        <v>6.942384500000003</v>
      </c>
      <c r="H46" s="777">
        <f t="shared" si="7"/>
        <v>54.757615499999986</v>
      </c>
      <c r="I46" s="773">
        <f t="shared" si="7"/>
        <v>8.301000000000016</v>
      </c>
      <c r="J46" s="347">
        <f t="shared" si="7"/>
        <v>0.19790599999998904</v>
      </c>
      <c r="K46" s="34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Q46" s="352">
        <f t="shared" si="8"/>
        <v>75</v>
      </c>
      <c r="BR46" s="371">
        <v>81.9423845</v>
      </c>
      <c r="BS46" s="364">
        <v>136.7</v>
      </c>
      <c r="BT46" s="770">
        <v>145.001</v>
      </c>
      <c r="BU46" s="1008">
        <v>145.198906</v>
      </c>
      <c r="DK46" s="791"/>
      <c r="DL46" s="792" t="s">
        <v>770</v>
      </c>
      <c r="DM46" s="790">
        <v>145.00154350000003</v>
      </c>
      <c r="DN46" s="791"/>
      <c r="DO46" s="792" t="s">
        <v>770</v>
      </c>
      <c r="DP46" s="1008">
        <v>145.198906</v>
      </c>
    </row>
    <row r="47" spans="1:120" s="1" customFormat="1" ht="12.75">
      <c r="A47" s="558" t="s">
        <v>958</v>
      </c>
      <c r="B47" s="559" t="s">
        <v>969</v>
      </c>
      <c r="C47" s="572">
        <f t="shared" si="6"/>
        <v>0</v>
      </c>
      <c r="D47" s="352"/>
      <c r="E47" s="347"/>
      <c r="F47" s="347"/>
      <c r="G47" s="371">
        <f t="shared" si="7"/>
        <v>0</v>
      </c>
      <c r="H47" s="777">
        <f t="shared" si="7"/>
        <v>0</v>
      </c>
      <c r="I47" s="773">
        <f t="shared" si="7"/>
        <v>0</v>
      </c>
      <c r="J47" s="347">
        <f t="shared" si="7"/>
        <v>0</v>
      </c>
      <c r="K47" s="34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Q47" s="352">
        <f t="shared" si="8"/>
        <v>0</v>
      </c>
      <c r="BR47" s="371">
        <v>0</v>
      </c>
      <c r="BS47" s="364">
        <v>0</v>
      </c>
      <c r="BT47" s="770"/>
      <c r="BU47" s="1008">
        <v>0</v>
      </c>
      <c r="DK47" s="791"/>
      <c r="DL47" s="792" t="s">
        <v>813</v>
      </c>
      <c r="DM47" s="790">
        <v>0</v>
      </c>
      <c r="DN47" s="791"/>
      <c r="DO47" s="792" t="s">
        <v>813</v>
      </c>
      <c r="DP47" s="1008">
        <v>0</v>
      </c>
    </row>
    <row r="48" spans="1:120" s="1" customFormat="1" ht="12.75">
      <c r="A48" s="558" t="s">
        <v>958</v>
      </c>
      <c r="B48" s="559" t="s">
        <v>970</v>
      </c>
      <c r="C48" s="572">
        <f t="shared" si="6"/>
        <v>22.96779</v>
      </c>
      <c r="D48" s="352"/>
      <c r="E48" s="347">
        <v>6</v>
      </c>
      <c r="F48" s="347"/>
      <c r="G48" s="371">
        <f t="shared" si="7"/>
        <v>0.22880000000000056</v>
      </c>
      <c r="H48" s="777">
        <f t="shared" si="7"/>
        <v>8.371199999999998</v>
      </c>
      <c r="I48" s="773">
        <f t="shared" si="7"/>
        <v>-0.0019999999999988916</v>
      </c>
      <c r="J48" s="347">
        <f t="shared" si="7"/>
        <v>8.36979</v>
      </c>
      <c r="K48" s="34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Q48" s="352">
        <f t="shared" si="8"/>
        <v>6</v>
      </c>
      <c r="BR48" s="371">
        <v>6.228800000000001</v>
      </c>
      <c r="BS48" s="364">
        <v>14.6</v>
      </c>
      <c r="BT48" s="770">
        <v>14.598</v>
      </c>
      <c r="BU48" s="1008">
        <v>22.96779</v>
      </c>
      <c r="DK48" s="791"/>
      <c r="DL48" s="792" t="s">
        <v>814</v>
      </c>
      <c r="DM48" s="790">
        <v>14.598295000000002</v>
      </c>
      <c r="DN48" s="791"/>
      <c r="DO48" s="792" t="s">
        <v>814</v>
      </c>
      <c r="DP48" s="1008">
        <v>22.96779</v>
      </c>
    </row>
    <row r="49" spans="1:120" s="1" customFormat="1" ht="12.75">
      <c r="A49" s="558" t="s">
        <v>958</v>
      </c>
      <c r="B49" s="559" t="s">
        <v>971</v>
      </c>
      <c r="C49" s="572">
        <f t="shared" si="6"/>
        <v>0</v>
      </c>
      <c r="D49" s="352"/>
      <c r="E49" s="347"/>
      <c r="F49" s="347"/>
      <c r="G49" s="371">
        <f t="shared" si="7"/>
        <v>0</v>
      </c>
      <c r="H49" s="777">
        <f t="shared" si="7"/>
        <v>0</v>
      </c>
      <c r="I49" s="773">
        <f t="shared" si="7"/>
        <v>0</v>
      </c>
      <c r="J49" s="347">
        <f t="shared" si="7"/>
        <v>0</v>
      </c>
      <c r="K49" s="34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Q49" s="352">
        <f t="shared" si="8"/>
        <v>0</v>
      </c>
      <c r="BR49" s="371">
        <v>0</v>
      </c>
      <c r="BS49" s="364">
        <v>0</v>
      </c>
      <c r="BT49" s="770"/>
      <c r="BU49" s="1008">
        <v>0</v>
      </c>
      <c r="DK49" s="791"/>
      <c r="DL49" s="792" t="s">
        <v>815</v>
      </c>
      <c r="DM49" s="790">
        <v>0</v>
      </c>
      <c r="DN49" s="791"/>
      <c r="DO49" s="792" t="s">
        <v>815</v>
      </c>
      <c r="DP49" s="1008">
        <v>0</v>
      </c>
    </row>
    <row r="50" spans="1:120" s="1" customFormat="1" ht="12.75">
      <c r="A50" s="558" t="s">
        <v>958</v>
      </c>
      <c r="B50" s="559" t="s">
        <v>972</v>
      </c>
      <c r="C50" s="572">
        <f t="shared" si="6"/>
        <v>11.0678955</v>
      </c>
      <c r="D50" s="352"/>
      <c r="E50" s="347"/>
      <c r="F50" s="347"/>
      <c r="G50" s="371">
        <f t="shared" si="7"/>
        <v>0</v>
      </c>
      <c r="H50" s="777">
        <f t="shared" si="7"/>
        <v>10.83</v>
      </c>
      <c r="I50" s="773">
        <f t="shared" si="7"/>
        <v>0.2599999999999998</v>
      </c>
      <c r="J50" s="347">
        <f t="shared" si="7"/>
        <v>-0.022104499999999305</v>
      </c>
      <c r="K50" s="34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Q50" s="352">
        <f t="shared" si="8"/>
        <v>0</v>
      </c>
      <c r="BR50" s="371">
        <v>0</v>
      </c>
      <c r="BS50" s="364">
        <v>10.83</v>
      </c>
      <c r="BT50" s="770">
        <v>11.09</v>
      </c>
      <c r="BU50" s="1008">
        <v>11.0678955</v>
      </c>
      <c r="DK50" s="791"/>
      <c r="DL50" s="792" t="s">
        <v>816</v>
      </c>
      <c r="DM50" s="790">
        <v>11.090320500000002</v>
      </c>
      <c r="DN50" s="791"/>
      <c r="DO50" s="792" t="s">
        <v>816</v>
      </c>
      <c r="DP50" s="1008">
        <v>11.0678955</v>
      </c>
    </row>
    <row r="51" spans="1:120" s="1" customFormat="1" ht="12.75">
      <c r="A51" s="558" t="s">
        <v>958</v>
      </c>
      <c r="B51" s="559" t="s">
        <v>973</v>
      </c>
      <c r="C51" s="572">
        <f t="shared" si="6"/>
        <v>0</v>
      </c>
      <c r="D51" s="352"/>
      <c r="E51" s="347"/>
      <c r="F51" s="347"/>
      <c r="G51" s="371">
        <f t="shared" si="7"/>
        <v>0</v>
      </c>
      <c r="H51" s="777">
        <f t="shared" si="7"/>
        <v>0</v>
      </c>
      <c r="I51" s="773">
        <f t="shared" si="7"/>
        <v>0</v>
      </c>
      <c r="J51" s="347">
        <f t="shared" si="7"/>
        <v>0</v>
      </c>
      <c r="K51" s="34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Q51" s="352">
        <f t="shared" si="8"/>
        <v>0</v>
      </c>
      <c r="BR51" s="371">
        <v>0</v>
      </c>
      <c r="BS51" s="364">
        <v>0</v>
      </c>
      <c r="BT51" s="770"/>
      <c r="BU51" s="1008">
        <v>0</v>
      </c>
      <c r="DK51" s="791"/>
      <c r="DL51" s="792" t="s">
        <v>817</v>
      </c>
      <c r="DM51" s="790">
        <v>0</v>
      </c>
      <c r="DN51" s="791"/>
      <c r="DO51" s="792" t="s">
        <v>817</v>
      </c>
      <c r="DP51" s="1008">
        <v>0</v>
      </c>
    </row>
    <row r="52" spans="1:120" s="1" customFormat="1" ht="12.75">
      <c r="A52" s="558" t="s">
        <v>958</v>
      </c>
      <c r="B52" s="559" t="s">
        <v>405</v>
      </c>
      <c r="C52" s="572">
        <f t="shared" si="6"/>
        <v>0</v>
      </c>
      <c r="D52" s="352"/>
      <c r="E52" s="347"/>
      <c r="F52" s="347"/>
      <c r="G52" s="371">
        <f t="shared" si="7"/>
        <v>0</v>
      </c>
      <c r="H52" s="777">
        <f t="shared" si="7"/>
        <v>0</v>
      </c>
      <c r="I52" s="773">
        <f t="shared" si="7"/>
        <v>0</v>
      </c>
      <c r="J52" s="347">
        <f t="shared" si="7"/>
        <v>0</v>
      </c>
      <c r="K52" s="34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Q52" s="352">
        <f t="shared" si="8"/>
        <v>0</v>
      </c>
      <c r="BR52" s="371">
        <v>0</v>
      </c>
      <c r="BS52" s="364">
        <v>0</v>
      </c>
      <c r="BT52" s="770"/>
      <c r="BU52" s="1008">
        <v>0</v>
      </c>
      <c r="DK52" s="791"/>
      <c r="DL52" s="792" t="s">
        <v>818</v>
      </c>
      <c r="DM52" s="790">
        <v>0</v>
      </c>
      <c r="DN52" s="791"/>
      <c r="DO52" s="792" t="s">
        <v>818</v>
      </c>
      <c r="DP52" s="1008">
        <v>0</v>
      </c>
    </row>
    <row r="53" spans="1:120" s="1" customFormat="1" ht="12.75">
      <c r="A53" s="558" t="s">
        <v>958</v>
      </c>
      <c r="B53" s="559" t="s">
        <v>408</v>
      </c>
      <c r="C53" s="572">
        <f t="shared" si="6"/>
        <v>106.13219950000001</v>
      </c>
      <c r="D53" s="352"/>
      <c r="E53" s="347">
        <v>3</v>
      </c>
      <c r="F53" s="347">
        <v>22</v>
      </c>
      <c r="G53" s="371">
        <f t="shared" si="7"/>
        <v>2.7446854999999992</v>
      </c>
      <c r="H53" s="777">
        <f t="shared" si="7"/>
        <v>8.4053145</v>
      </c>
      <c r="I53" s="773">
        <f t="shared" si="7"/>
        <v>3.6880000000000024</v>
      </c>
      <c r="J53" s="347">
        <f t="shared" si="7"/>
        <v>66.29419950000002</v>
      </c>
      <c r="K53" s="34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Q53" s="352">
        <f t="shared" si="8"/>
        <v>25</v>
      </c>
      <c r="BR53" s="371">
        <v>27.7446855</v>
      </c>
      <c r="BS53" s="364">
        <v>36.15</v>
      </c>
      <c r="BT53" s="770">
        <v>39.838</v>
      </c>
      <c r="BU53" s="1008">
        <v>106.13219950000001</v>
      </c>
      <c r="DK53" s="791"/>
      <c r="DL53" s="792" t="s">
        <v>819</v>
      </c>
      <c r="DM53" s="790">
        <v>39.8388835</v>
      </c>
      <c r="DN53" s="791"/>
      <c r="DO53" s="792" t="s">
        <v>819</v>
      </c>
      <c r="DP53" s="1008">
        <v>106.13219950000001</v>
      </c>
    </row>
    <row r="54" spans="1:120" s="1" customFormat="1" ht="12.75">
      <c r="A54" s="558" t="s">
        <v>958</v>
      </c>
      <c r="B54" s="559" t="s">
        <v>974</v>
      </c>
      <c r="C54" s="572">
        <f t="shared" si="6"/>
        <v>232.21053822</v>
      </c>
      <c r="D54" s="352">
        <v>34</v>
      </c>
      <c r="E54" s="347">
        <v>32</v>
      </c>
      <c r="F54" s="347">
        <v>32</v>
      </c>
      <c r="G54" s="371">
        <f t="shared" si="7"/>
        <v>34.64167952</v>
      </c>
      <c r="H54" s="777">
        <f t="shared" si="7"/>
        <v>28.918320480000006</v>
      </c>
      <c r="I54" s="773">
        <f t="shared" si="7"/>
        <v>37.571</v>
      </c>
      <c r="J54" s="347">
        <f t="shared" si="7"/>
        <v>33.07953821999999</v>
      </c>
      <c r="K54" s="34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Q54" s="352">
        <f t="shared" si="8"/>
        <v>98</v>
      </c>
      <c r="BR54" s="371">
        <v>132.64167952</v>
      </c>
      <c r="BS54" s="364">
        <v>161.56</v>
      </c>
      <c r="BT54" s="770">
        <v>199.131</v>
      </c>
      <c r="BU54" s="1008">
        <v>232.21053822</v>
      </c>
      <c r="DK54" s="791"/>
      <c r="DL54" s="792" t="s">
        <v>820</v>
      </c>
      <c r="DM54" s="790">
        <v>199.13190888000003</v>
      </c>
      <c r="DN54" s="791"/>
      <c r="DO54" s="792" t="s">
        <v>820</v>
      </c>
      <c r="DP54" s="1008">
        <v>232.21053822</v>
      </c>
    </row>
    <row r="55" spans="1:120" s="1" customFormat="1" ht="12.75">
      <c r="A55" s="558" t="s">
        <v>958</v>
      </c>
      <c r="B55" s="559" t="s">
        <v>975</v>
      </c>
      <c r="C55" s="572">
        <f t="shared" si="6"/>
        <v>456.88544722000006</v>
      </c>
      <c r="D55" s="352">
        <v>108</v>
      </c>
      <c r="E55" s="347">
        <v>100</v>
      </c>
      <c r="F55" s="347">
        <v>87</v>
      </c>
      <c r="G55" s="371">
        <f t="shared" si="7"/>
        <v>-5.797008329999983</v>
      </c>
      <c r="H55" s="777">
        <f t="shared" si="7"/>
        <v>53.25700832999996</v>
      </c>
      <c r="I55" s="773">
        <f t="shared" si="7"/>
        <v>60.64000000000004</v>
      </c>
      <c r="J55" s="347">
        <f t="shared" si="7"/>
        <v>53.78544722000004</v>
      </c>
      <c r="K55" s="34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Q55" s="352">
        <f t="shared" si="8"/>
        <v>295</v>
      </c>
      <c r="BR55" s="371">
        <v>289.20299167</v>
      </c>
      <c r="BS55" s="364">
        <v>342.46</v>
      </c>
      <c r="BT55" s="770">
        <v>403.1</v>
      </c>
      <c r="BU55" s="1008">
        <v>456.88544722000006</v>
      </c>
      <c r="DK55" s="791"/>
      <c r="DL55" s="792" t="s">
        <v>821</v>
      </c>
      <c r="DM55" s="790">
        <v>403.10121823</v>
      </c>
      <c r="DN55" s="791"/>
      <c r="DO55" s="792" t="s">
        <v>821</v>
      </c>
      <c r="DP55" s="1008">
        <v>456.88544722000006</v>
      </c>
    </row>
    <row r="56" spans="1:120" s="1" customFormat="1" ht="12.75">
      <c r="A56" s="558" t="s">
        <v>958</v>
      </c>
      <c r="B56" s="559" t="s">
        <v>976</v>
      </c>
      <c r="C56" s="572">
        <f t="shared" si="6"/>
        <v>225.2187168</v>
      </c>
      <c r="D56" s="352">
        <v>31</v>
      </c>
      <c r="E56" s="347">
        <v>29</v>
      </c>
      <c r="F56" s="347">
        <v>29</v>
      </c>
      <c r="G56" s="371">
        <f t="shared" si="7"/>
        <v>41.90838006999999</v>
      </c>
      <c r="H56" s="777">
        <f t="shared" si="7"/>
        <v>29.561619930000006</v>
      </c>
      <c r="I56" s="773">
        <f t="shared" si="7"/>
        <v>33.78110000000001</v>
      </c>
      <c r="J56" s="347">
        <f t="shared" si="7"/>
        <v>30.967616800000002</v>
      </c>
      <c r="K56" s="34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Q56" s="352">
        <f t="shared" si="8"/>
        <v>89</v>
      </c>
      <c r="BR56" s="371">
        <v>130.90838007</v>
      </c>
      <c r="BS56" s="364">
        <v>160.47</v>
      </c>
      <c r="BT56" s="770">
        <v>194.2511</v>
      </c>
      <c r="BU56" s="1008">
        <v>225.2187168</v>
      </c>
      <c r="DK56" s="791"/>
      <c r="DL56" s="792" t="s">
        <v>822</v>
      </c>
      <c r="DM56" s="790">
        <v>194.25114462000002</v>
      </c>
      <c r="DN56" s="791"/>
      <c r="DO56" s="792" t="s">
        <v>822</v>
      </c>
      <c r="DP56" s="1008">
        <v>225.2187168</v>
      </c>
    </row>
    <row r="57" spans="1:120" s="1" customFormat="1" ht="12.75">
      <c r="A57" s="558" t="s">
        <v>958</v>
      </c>
      <c r="B57" s="559" t="s">
        <v>977</v>
      </c>
      <c r="C57" s="572">
        <f t="shared" si="6"/>
        <v>231.47238240000001</v>
      </c>
      <c r="D57" s="352">
        <v>35</v>
      </c>
      <c r="E57" s="347">
        <v>34</v>
      </c>
      <c r="F57" s="347">
        <v>34</v>
      </c>
      <c r="G57" s="371">
        <f t="shared" si="7"/>
        <v>44.91024786999995</v>
      </c>
      <c r="H57" s="777">
        <f t="shared" si="7"/>
        <v>33.03975213000004</v>
      </c>
      <c r="I57" s="773">
        <f t="shared" si="7"/>
        <v>26.36100000000002</v>
      </c>
      <c r="J57" s="347">
        <f t="shared" si="7"/>
        <v>24.161382400000008</v>
      </c>
      <c r="K57" s="34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Q57" s="352">
        <f t="shared" si="8"/>
        <v>103</v>
      </c>
      <c r="BR57" s="371">
        <v>147.91024786999995</v>
      </c>
      <c r="BS57" s="364">
        <v>180.95</v>
      </c>
      <c r="BT57" s="770">
        <v>207.311</v>
      </c>
      <c r="BU57" s="1008">
        <v>231.47238240000001</v>
      </c>
      <c r="DK57" s="791"/>
      <c r="DL57" s="792" t="s">
        <v>823</v>
      </c>
      <c r="DM57" s="790">
        <v>207.31104982000002</v>
      </c>
      <c r="DN57" s="791"/>
      <c r="DO57" s="792" t="s">
        <v>823</v>
      </c>
      <c r="DP57" s="1008">
        <v>231.47238240000001</v>
      </c>
    </row>
    <row r="58" spans="1:120" s="1" customFormat="1" ht="12.75">
      <c r="A58" s="558" t="s">
        <v>958</v>
      </c>
      <c r="B58" s="559" t="s">
        <v>978</v>
      </c>
      <c r="C58" s="572">
        <f t="shared" si="6"/>
        <v>100.76903940000001</v>
      </c>
      <c r="D58" s="352"/>
      <c r="E58" s="347">
        <v>21</v>
      </c>
      <c r="F58" s="347">
        <v>21</v>
      </c>
      <c r="G58" s="371">
        <f t="shared" si="7"/>
        <v>33.26736</v>
      </c>
      <c r="H58" s="777">
        <f t="shared" si="7"/>
        <v>0.7326400000000035</v>
      </c>
      <c r="I58" s="773">
        <f t="shared" si="7"/>
        <v>11.581000000000003</v>
      </c>
      <c r="J58" s="347">
        <f t="shared" si="7"/>
        <v>13.188039400000008</v>
      </c>
      <c r="K58" s="34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Q58" s="352">
        <f t="shared" si="8"/>
        <v>42</v>
      </c>
      <c r="BR58" s="371">
        <v>75.26736</v>
      </c>
      <c r="BS58" s="364">
        <v>76</v>
      </c>
      <c r="BT58" s="770">
        <v>87.581</v>
      </c>
      <c r="BU58" s="1008">
        <v>100.76903940000001</v>
      </c>
      <c r="DK58" s="791"/>
      <c r="DL58" s="792" t="s">
        <v>824</v>
      </c>
      <c r="DM58" s="790">
        <v>87.9122274</v>
      </c>
      <c r="DN58" s="791"/>
      <c r="DO58" s="792" t="s">
        <v>824</v>
      </c>
      <c r="DP58" s="1008">
        <v>100.76903940000001</v>
      </c>
    </row>
    <row r="59" spans="1:120" s="1" customFormat="1" ht="12.75">
      <c r="A59" s="558" t="s">
        <v>958</v>
      </c>
      <c r="B59" s="559" t="s">
        <v>979</v>
      </c>
      <c r="C59" s="572">
        <f t="shared" si="6"/>
        <v>18.8142</v>
      </c>
      <c r="D59" s="352">
        <v>15</v>
      </c>
      <c r="E59" s="347">
        <v>4</v>
      </c>
      <c r="F59" s="347"/>
      <c r="G59" s="371">
        <f t="shared" si="7"/>
        <v>-0.1858000000000004</v>
      </c>
      <c r="H59" s="777">
        <f t="shared" si="7"/>
        <v>-0.00420000000000087</v>
      </c>
      <c r="I59" s="773">
        <f t="shared" si="7"/>
        <v>0.004000000000001336</v>
      </c>
      <c r="J59" s="347">
        <f t="shared" si="7"/>
        <v>0.00019999999999953388</v>
      </c>
      <c r="K59" s="34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Q59" s="352">
        <f t="shared" si="8"/>
        <v>19</v>
      </c>
      <c r="BR59" s="371">
        <v>18.8142</v>
      </c>
      <c r="BS59" s="364">
        <v>18.81</v>
      </c>
      <c r="BT59" s="770">
        <v>18.814</v>
      </c>
      <c r="BU59" s="1008">
        <v>18.8142</v>
      </c>
      <c r="DK59" s="791"/>
      <c r="DL59" s="792" t="s">
        <v>825</v>
      </c>
      <c r="DM59" s="790">
        <v>18.8142</v>
      </c>
      <c r="DN59" s="791"/>
      <c r="DO59" s="792" t="s">
        <v>825</v>
      </c>
      <c r="DP59" s="1008">
        <v>18.8142</v>
      </c>
    </row>
    <row r="60" spans="1:121" s="20" customFormat="1" ht="13.5" thickBot="1">
      <c r="A60" s="560" t="s">
        <v>958</v>
      </c>
      <c r="B60" s="561" t="s">
        <v>980</v>
      </c>
      <c r="C60" s="573">
        <f t="shared" si="6"/>
        <v>5.49738904</v>
      </c>
      <c r="D60" s="356"/>
      <c r="E60" s="357"/>
      <c r="F60" s="357"/>
      <c r="G60" s="373">
        <f t="shared" si="7"/>
        <v>0</v>
      </c>
      <c r="H60" s="779">
        <f t="shared" si="7"/>
        <v>0</v>
      </c>
      <c r="I60" s="775">
        <f t="shared" si="7"/>
        <v>3</v>
      </c>
      <c r="J60" s="1010">
        <f t="shared" si="7"/>
        <v>2.49738904</v>
      </c>
      <c r="K60" s="723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Q60" s="356">
        <f t="shared" si="8"/>
        <v>0</v>
      </c>
      <c r="BR60" s="373">
        <v>0</v>
      </c>
      <c r="BS60" s="365">
        <v>0</v>
      </c>
      <c r="BT60" s="771">
        <v>3</v>
      </c>
      <c r="BU60" s="1008">
        <v>5.49738904</v>
      </c>
      <c r="DK60" s="791"/>
      <c r="DL60" s="792" t="s">
        <v>826</v>
      </c>
      <c r="DM60" s="790">
        <v>2.96013256</v>
      </c>
      <c r="DN60" s="791"/>
      <c r="DO60" s="792" t="s">
        <v>826</v>
      </c>
      <c r="DP60" s="1008">
        <v>5.49738904</v>
      </c>
      <c r="DQ60" s="1"/>
    </row>
    <row r="61" spans="1:120" s="1" customFormat="1" ht="13.5" thickBot="1">
      <c r="A61" s="4"/>
      <c r="B61" s="422" t="s">
        <v>981</v>
      </c>
      <c r="C61" s="555">
        <f>SUM(C35:C60)</f>
        <v>3091.3718048800006</v>
      </c>
      <c r="D61" s="358">
        <f aca="true" t="shared" si="9" ref="D61:BA61">SUM(D35:D60)</f>
        <v>300</v>
      </c>
      <c r="E61" s="359">
        <f t="shared" si="9"/>
        <v>517</v>
      </c>
      <c r="F61" s="359">
        <f t="shared" si="9"/>
        <v>729</v>
      </c>
      <c r="G61" s="359">
        <f t="shared" si="9"/>
        <v>392.6460918399998</v>
      </c>
      <c r="H61" s="360">
        <f t="shared" si="9"/>
        <v>330.05390816</v>
      </c>
      <c r="I61" s="359">
        <f t="shared" si="9"/>
        <v>453.4431000000001</v>
      </c>
      <c r="J61" s="359">
        <f t="shared" si="9"/>
        <v>369.2287048799999</v>
      </c>
      <c r="K61" s="359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9"/>
        <v>0</v>
      </c>
      <c r="S61" s="21">
        <f t="shared" si="9"/>
        <v>0</v>
      </c>
      <c r="T61" s="21">
        <f t="shared" si="9"/>
        <v>0</v>
      </c>
      <c r="U61" s="21">
        <f t="shared" si="9"/>
        <v>0</v>
      </c>
      <c r="V61" s="21">
        <f t="shared" si="9"/>
        <v>0</v>
      </c>
      <c r="W61" s="21">
        <f t="shared" si="9"/>
        <v>0</v>
      </c>
      <c r="X61" s="21">
        <f t="shared" si="9"/>
        <v>0</v>
      </c>
      <c r="Y61" s="21">
        <f t="shared" si="9"/>
        <v>0</v>
      </c>
      <c r="Z61" s="21">
        <f t="shared" si="9"/>
        <v>0</v>
      </c>
      <c r="AA61" s="21">
        <f t="shared" si="9"/>
        <v>0</v>
      </c>
      <c r="AB61" s="21">
        <f t="shared" si="9"/>
        <v>0</v>
      </c>
      <c r="AC61" s="21">
        <f t="shared" si="9"/>
        <v>0</v>
      </c>
      <c r="AD61" s="21">
        <f t="shared" si="9"/>
        <v>0</v>
      </c>
      <c r="AE61" s="21">
        <f t="shared" si="9"/>
        <v>0</v>
      </c>
      <c r="AF61" s="21">
        <f t="shared" si="9"/>
        <v>0</v>
      </c>
      <c r="AG61" s="21">
        <f t="shared" si="9"/>
        <v>0</v>
      </c>
      <c r="AH61" s="21">
        <f t="shared" si="9"/>
        <v>0</v>
      </c>
      <c r="AI61" s="21">
        <f>SUM(AJ35:AJ60)</f>
        <v>0</v>
      </c>
      <c r="AJ61" s="21">
        <f t="shared" si="9"/>
        <v>0</v>
      </c>
      <c r="AK61" s="21">
        <f t="shared" si="9"/>
        <v>0</v>
      </c>
      <c r="AL61" s="21">
        <f t="shared" si="9"/>
        <v>0</v>
      </c>
      <c r="AM61" s="21">
        <f t="shared" si="9"/>
        <v>0</v>
      </c>
      <c r="AN61" s="21">
        <f t="shared" si="9"/>
        <v>0</v>
      </c>
      <c r="AO61" s="21">
        <f t="shared" si="9"/>
        <v>0</v>
      </c>
      <c r="AP61" s="21">
        <f t="shared" si="9"/>
        <v>0</v>
      </c>
      <c r="AQ61" s="21">
        <f t="shared" si="9"/>
        <v>0</v>
      </c>
      <c r="AR61" s="21">
        <f t="shared" si="9"/>
        <v>0</v>
      </c>
      <c r="AS61" s="21">
        <f t="shared" si="9"/>
        <v>0</v>
      </c>
      <c r="AT61" s="21">
        <f t="shared" si="9"/>
        <v>0</v>
      </c>
      <c r="AU61" s="21">
        <f t="shared" si="9"/>
        <v>0</v>
      </c>
      <c r="AV61" s="21">
        <f t="shared" si="9"/>
        <v>0</v>
      </c>
      <c r="AW61" s="21">
        <f t="shared" si="9"/>
        <v>0</v>
      </c>
      <c r="AX61" s="21">
        <f t="shared" si="9"/>
        <v>0</v>
      </c>
      <c r="AY61" s="21">
        <f t="shared" si="9"/>
        <v>0</v>
      </c>
      <c r="AZ61" s="21">
        <f t="shared" si="9"/>
        <v>0</v>
      </c>
      <c r="BA61" s="21">
        <f t="shared" si="9"/>
        <v>0</v>
      </c>
      <c r="BB61" s="4"/>
      <c r="BC61" s="4"/>
      <c r="BD61" s="4"/>
      <c r="BE61" s="4"/>
      <c r="BF61" s="4"/>
      <c r="BG61" s="4"/>
      <c r="BH61" s="4"/>
      <c r="BI61" s="4"/>
      <c r="BQ61" s="361">
        <f>SUM(BQ35:BQ60)</f>
        <v>1546</v>
      </c>
      <c r="BR61" s="362">
        <f>SUM(BR35:BR60)</f>
        <v>1938.64609184</v>
      </c>
      <c r="BS61" s="363">
        <f>SUM(BS35:BS60)</f>
        <v>2268.7</v>
      </c>
      <c r="BT61" s="768">
        <f>SUM(BT35:BT60)</f>
        <v>2722.1431000000002</v>
      </c>
      <c r="BU61" s="768">
        <f>SUM(BU35:BU60)</f>
        <v>3091.3718048800006</v>
      </c>
      <c r="DK61" s="788" t="s">
        <v>827</v>
      </c>
      <c r="DL61" s="789"/>
      <c r="DM61" s="790">
        <f>SUM(DM35:DM60)</f>
        <v>2722.105890114826</v>
      </c>
      <c r="DN61" s="792"/>
      <c r="DO61" s="792"/>
      <c r="DP61" s="1008"/>
    </row>
    <row r="62" spans="1:120" s="1" customFormat="1" ht="13.5" thickBot="1">
      <c r="A62" s="4"/>
      <c r="B62" s="4"/>
      <c r="C62" s="55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Q62" s="351"/>
      <c r="BR62" s="355"/>
      <c r="BS62" s="355"/>
      <c r="BT62" s="764"/>
      <c r="BU62" s="1008"/>
      <c r="DK62" s="788"/>
      <c r="DL62" s="795"/>
      <c r="DM62" s="790"/>
      <c r="DN62" s="792"/>
      <c r="DO62" s="792"/>
      <c r="DP62" s="1008"/>
    </row>
    <row r="63" spans="1:120" s="1" customFormat="1" ht="12.75">
      <c r="A63" s="556" t="s">
        <v>392</v>
      </c>
      <c r="B63" s="557" t="s">
        <v>982</v>
      </c>
      <c r="C63" s="571">
        <f aca="true" t="shared" si="10" ref="C63:C74">SUM(D63:J63)</f>
        <v>-104.1</v>
      </c>
      <c r="D63" s="353">
        <v>-104</v>
      </c>
      <c r="E63" s="354"/>
      <c r="F63" s="354"/>
      <c r="G63" s="370">
        <f aca="true" t="shared" si="11" ref="G63:J74">SUM(BR63-BQ63)</f>
        <v>-0.09999999999999432</v>
      </c>
      <c r="H63" s="776">
        <f t="shared" si="11"/>
        <v>0</v>
      </c>
      <c r="I63" s="772">
        <f t="shared" si="11"/>
        <v>0</v>
      </c>
      <c r="J63" s="354">
        <f t="shared" si="11"/>
        <v>0</v>
      </c>
      <c r="K63" s="72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Q63" s="353">
        <f>SUM(D63:F63)</f>
        <v>-104</v>
      </c>
      <c r="BR63" s="370">
        <v>-104.1</v>
      </c>
      <c r="BS63" s="366">
        <v>-104.1</v>
      </c>
      <c r="BT63" s="769">
        <v>-104.1</v>
      </c>
      <c r="BU63" s="1007">
        <v>-104.1</v>
      </c>
      <c r="DK63" s="788" t="s">
        <v>828</v>
      </c>
      <c r="DL63" s="788" t="s">
        <v>829</v>
      </c>
      <c r="DM63" s="790">
        <v>-104.1</v>
      </c>
      <c r="DN63" s="788" t="s">
        <v>828</v>
      </c>
      <c r="DO63" s="788" t="s">
        <v>829</v>
      </c>
      <c r="DP63" s="1007">
        <v>-104.1</v>
      </c>
    </row>
    <row r="64" spans="1:120" s="1" customFormat="1" ht="12.75">
      <c r="A64" s="558" t="s">
        <v>392</v>
      </c>
      <c r="B64" s="559" t="s">
        <v>983</v>
      </c>
      <c r="C64" s="572">
        <f t="shared" si="10"/>
        <v>1.89426868</v>
      </c>
      <c r="D64" s="352"/>
      <c r="E64" s="347"/>
      <c r="F64" s="347"/>
      <c r="G64" s="371">
        <f t="shared" si="11"/>
        <v>0</v>
      </c>
      <c r="H64" s="777">
        <f t="shared" si="11"/>
        <v>0</v>
      </c>
      <c r="I64" s="773">
        <f t="shared" si="11"/>
        <v>0</v>
      </c>
      <c r="J64" s="347">
        <f t="shared" si="11"/>
        <v>1.89426868</v>
      </c>
      <c r="K64" s="34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Q64" s="352">
        <f aca="true" t="shared" si="12" ref="BQ64:BQ74">SUM(D64:F64)</f>
        <v>0</v>
      </c>
      <c r="BR64" s="371">
        <v>0</v>
      </c>
      <c r="BS64" s="364">
        <v>0</v>
      </c>
      <c r="BT64" s="770"/>
      <c r="BU64" s="1008">
        <v>1.89426868</v>
      </c>
      <c r="DK64" s="791"/>
      <c r="DL64" s="792" t="s">
        <v>830</v>
      </c>
      <c r="DM64" s="790">
        <v>1.0132134799999999</v>
      </c>
      <c r="DN64" s="791"/>
      <c r="DO64" s="792" t="s">
        <v>830</v>
      </c>
      <c r="DP64" s="1008">
        <v>1.89426868</v>
      </c>
    </row>
    <row r="65" spans="1:120" s="1" customFormat="1" ht="12.75">
      <c r="A65" s="558" t="s">
        <v>392</v>
      </c>
      <c r="B65" s="559" t="s">
        <v>984</v>
      </c>
      <c r="C65" s="572">
        <f t="shared" si="10"/>
        <v>0</v>
      </c>
      <c r="D65" s="352"/>
      <c r="E65" s="347"/>
      <c r="F65" s="347"/>
      <c r="G65" s="371">
        <f t="shared" si="11"/>
        <v>0</v>
      </c>
      <c r="H65" s="777">
        <f t="shared" si="11"/>
        <v>0</v>
      </c>
      <c r="I65" s="773">
        <f t="shared" si="11"/>
        <v>0</v>
      </c>
      <c r="J65" s="347">
        <f t="shared" si="11"/>
        <v>0</v>
      </c>
      <c r="K65" s="34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Q65" s="352">
        <f t="shared" si="12"/>
        <v>0</v>
      </c>
      <c r="BR65" s="371">
        <v>0</v>
      </c>
      <c r="BS65" s="364">
        <v>0</v>
      </c>
      <c r="BT65" s="770"/>
      <c r="BU65" s="1008">
        <v>0</v>
      </c>
      <c r="DK65" s="791"/>
      <c r="DL65" s="792" t="s">
        <v>831</v>
      </c>
      <c r="DM65" s="790">
        <v>0</v>
      </c>
      <c r="DN65" s="791"/>
      <c r="DO65" s="792" t="s">
        <v>831</v>
      </c>
      <c r="DP65" s="1008">
        <v>0</v>
      </c>
    </row>
    <row r="66" spans="1:120" s="1" customFormat="1" ht="12.75">
      <c r="A66" s="558" t="s">
        <v>392</v>
      </c>
      <c r="B66" s="559" t="s">
        <v>985</v>
      </c>
      <c r="C66" s="572">
        <f t="shared" si="10"/>
        <v>0</v>
      </c>
      <c r="D66" s="352"/>
      <c r="E66" s="347"/>
      <c r="F66" s="347"/>
      <c r="G66" s="371">
        <f t="shared" si="11"/>
        <v>0</v>
      </c>
      <c r="H66" s="777">
        <f t="shared" si="11"/>
        <v>0</v>
      </c>
      <c r="I66" s="773">
        <f t="shared" si="11"/>
        <v>0</v>
      </c>
      <c r="J66" s="347">
        <f t="shared" si="11"/>
        <v>0</v>
      </c>
      <c r="K66" s="34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Q66" s="352">
        <f t="shared" si="12"/>
        <v>0</v>
      </c>
      <c r="BR66" s="371">
        <v>0</v>
      </c>
      <c r="BS66" s="364">
        <v>0</v>
      </c>
      <c r="BT66" s="770"/>
      <c r="BU66" s="1008">
        <v>0</v>
      </c>
      <c r="DK66" s="791"/>
      <c r="DL66" s="792" t="s">
        <v>832</v>
      </c>
      <c r="DM66" s="790">
        <v>0</v>
      </c>
      <c r="DN66" s="791"/>
      <c r="DO66" s="792" t="s">
        <v>832</v>
      </c>
      <c r="DP66" s="1008">
        <v>0</v>
      </c>
    </row>
    <row r="67" spans="1:120" s="1" customFormat="1" ht="12.75">
      <c r="A67" s="558" t="s">
        <v>392</v>
      </c>
      <c r="B67" s="559" t="s">
        <v>986</v>
      </c>
      <c r="C67" s="572">
        <f t="shared" si="10"/>
        <v>0</v>
      </c>
      <c r="D67" s="352"/>
      <c r="E67" s="347"/>
      <c r="F67" s="347"/>
      <c r="G67" s="371">
        <f t="shared" si="11"/>
        <v>0</v>
      </c>
      <c r="H67" s="777">
        <f t="shared" si="11"/>
        <v>0</v>
      </c>
      <c r="I67" s="773">
        <f t="shared" si="11"/>
        <v>0</v>
      </c>
      <c r="J67" s="347">
        <f t="shared" si="11"/>
        <v>0</v>
      </c>
      <c r="K67" s="34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Q67" s="352">
        <f t="shared" si="12"/>
        <v>0</v>
      </c>
      <c r="BR67" s="371">
        <v>0</v>
      </c>
      <c r="BS67" s="364">
        <v>0</v>
      </c>
      <c r="BT67" s="770"/>
      <c r="BU67" s="1008">
        <v>0</v>
      </c>
      <c r="DK67" s="791"/>
      <c r="DL67" s="792" t="s">
        <v>833</v>
      </c>
      <c r="DM67" s="790">
        <v>0</v>
      </c>
      <c r="DN67" s="791"/>
      <c r="DO67" s="792" t="s">
        <v>833</v>
      </c>
      <c r="DP67" s="1008">
        <v>0</v>
      </c>
    </row>
    <row r="68" spans="1:120" s="1" customFormat="1" ht="12.75">
      <c r="A68" s="558" t="s">
        <v>392</v>
      </c>
      <c r="B68" s="559" t="s">
        <v>987</v>
      </c>
      <c r="C68" s="572">
        <f t="shared" si="10"/>
        <v>0</v>
      </c>
      <c r="D68" s="352"/>
      <c r="E68" s="347"/>
      <c r="F68" s="347"/>
      <c r="G68" s="371">
        <f t="shared" si="11"/>
        <v>0</v>
      </c>
      <c r="H68" s="777">
        <f t="shared" si="11"/>
        <v>0</v>
      </c>
      <c r="I68" s="773">
        <f t="shared" si="11"/>
        <v>0</v>
      </c>
      <c r="J68" s="347">
        <f t="shared" si="11"/>
        <v>0</v>
      </c>
      <c r="K68" s="34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Q68" s="352">
        <f t="shared" si="12"/>
        <v>0</v>
      </c>
      <c r="BR68" s="371">
        <v>0</v>
      </c>
      <c r="BS68" s="364">
        <v>0</v>
      </c>
      <c r="BT68" s="770"/>
      <c r="BU68" s="1008">
        <v>0</v>
      </c>
      <c r="DK68" s="791"/>
      <c r="DL68" s="792" t="s">
        <v>834</v>
      </c>
      <c r="DM68" s="790">
        <v>0</v>
      </c>
      <c r="DN68" s="791"/>
      <c r="DO68" s="792" t="s">
        <v>834</v>
      </c>
      <c r="DP68" s="1008">
        <v>0</v>
      </c>
    </row>
    <row r="69" spans="1:120" s="1" customFormat="1" ht="12.75">
      <c r="A69" s="558" t="s">
        <v>392</v>
      </c>
      <c r="B69" s="559" t="s">
        <v>988</v>
      </c>
      <c r="C69" s="572">
        <f t="shared" si="10"/>
        <v>0</v>
      </c>
      <c r="D69" s="352"/>
      <c r="E69" s="347"/>
      <c r="F69" s="347"/>
      <c r="G69" s="371">
        <f t="shared" si="11"/>
        <v>0</v>
      </c>
      <c r="H69" s="777">
        <f t="shared" si="11"/>
        <v>0</v>
      </c>
      <c r="I69" s="773">
        <f t="shared" si="11"/>
        <v>0</v>
      </c>
      <c r="J69" s="347">
        <f t="shared" si="11"/>
        <v>0</v>
      </c>
      <c r="K69" s="34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Q69" s="352">
        <f t="shared" si="12"/>
        <v>0</v>
      </c>
      <c r="BR69" s="371">
        <v>0</v>
      </c>
      <c r="BS69" s="364">
        <v>0</v>
      </c>
      <c r="BT69" s="770"/>
      <c r="BU69" s="1008">
        <v>0</v>
      </c>
      <c r="DK69" s="791"/>
      <c r="DL69" s="792" t="s">
        <v>835</v>
      </c>
      <c r="DM69" s="790">
        <v>0</v>
      </c>
      <c r="DN69" s="791"/>
      <c r="DO69" s="792" t="s">
        <v>835</v>
      </c>
      <c r="DP69" s="1008">
        <v>0</v>
      </c>
    </row>
    <row r="70" spans="1:120" s="1" customFormat="1" ht="12.75">
      <c r="A70" s="558" t="s">
        <v>392</v>
      </c>
      <c r="B70" s="559" t="s">
        <v>989</v>
      </c>
      <c r="C70" s="572">
        <f t="shared" si="10"/>
        <v>0</v>
      </c>
      <c r="D70" s="352"/>
      <c r="E70" s="347"/>
      <c r="F70" s="347"/>
      <c r="G70" s="371">
        <f t="shared" si="11"/>
        <v>0</v>
      </c>
      <c r="H70" s="777">
        <f t="shared" si="11"/>
        <v>0</v>
      </c>
      <c r="I70" s="773">
        <f t="shared" si="11"/>
        <v>0</v>
      </c>
      <c r="J70" s="347">
        <f t="shared" si="11"/>
        <v>0</v>
      </c>
      <c r="K70" s="34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Q70" s="352">
        <f t="shared" si="12"/>
        <v>0</v>
      </c>
      <c r="BR70" s="371">
        <v>0</v>
      </c>
      <c r="BS70" s="364">
        <v>0</v>
      </c>
      <c r="BT70" s="770"/>
      <c r="BU70" s="1008">
        <v>0</v>
      </c>
      <c r="DK70" s="791"/>
      <c r="DL70" s="792" t="s">
        <v>836</v>
      </c>
      <c r="DM70" s="790">
        <v>0</v>
      </c>
      <c r="DN70" s="791"/>
      <c r="DO70" s="792" t="s">
        <v>836</v>
      </c>
      <c r="DP70" s="1008">
        <v>0</v>
      </c>
    </row>
    <row r="71" spans="1:120" s="1" customFormat="1" ht="12.75">
      <c r="A71" s="558" t="s">
        <v>392</v>
      </c>
      <c r="B71" s="559" t="s">
        <v>990</v>
      </c>
      <c r="C71" s="572">
        <f t="shared" si="10"/>
        <v>0</v>
      </c>
      <c r="D71" s="352"/>
      <c r="E71" s="347"/>
      <c r="F71" s="347"/>
      <c r="G71" s="371">
        <f t="shared" si="11"/>
        <v>0</v>
      </c>
      <c r="H71" s="777">
        <f t="shared" si="11"/>
        <v>0</v>
      </c>
      <c r="I71" s="773">
        <f t="shared" si="11"/>
        <v>0</v>
      </c>
      <c r="J71" s="347">
        <f t="shared" si="11"/>
        <v>0</v>
      </c>
      <c r="K71" s="34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Q71" s="352">
        <f t="shared" si="12"/>
        <v>0</v>
      </c>
      <c r="BR71" s="371">
        <v>0</v>
      </c>
      <c r="BS71" s="364">
        <v>0</v>
      </c>
      <c r="BT71" s="770"/>
      <c r="BU71" s="1008">
        <v>0</v>
      </c>
      <c r="DK71" s="791"/>
      <c r="DL71" s="792" t="s">
        <v>837</v>
      </c>
      <c r="DM71" s="790">
        <v>0</v>
      </c>
      <c r="DN71" s="791"/>
      <c r="DO71" s="792" t="s">
        <v>837</v>
      </c>
      <c r="DP71" s="1008">
        <v>0</v>
      </c>
    </row>
    <row r="72" spans="1:120" s="1" customFormat="1" ht="12.75">
      <c r="A72" s="558" t="s">
        <v>392</v>
      </c>
      <c r="B72" s="559" t="s">
        <v>991</v>
      </c>
      <c r="C72" s="572">
        <f t="shared" si="10"/>
        <v>0</v>
      </c>
      <c r="D72" s="352"/>
      <c r="E72" s="347"/>
      <c r="F72" s="347"/>
      <c r="G72" s="371">
        <f t="shared" si="11"/>
        <v>0</v>
      </c>
      <c r="H72" s="777">
        <f t="shared" si="11"/>
        <v>0</v>
      </c>
      <c r="I72" s="773">
        <f t="shared" si="11"/>
        <v>0</v>
      </c>
      <c r="J72" s="347">
        <f t="shared" si="11"/>
        <v>0</v>
      </c>
      <c r="K72" s="34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Q72" s="352">
        <f t="shared" si="12"/>
        <v>0</v>
      </c>
      <c r="BR72" s="371">
        <v>0</v>
      </c>
      <c r="BS72" s="364">
        <v>0</v>
      </c>
      <c r="BT72" s="770"/>
      <c r="BU72" s="1008">
        <v>0</v>
      </c>
      <c r="DK72" s="791"/>
      <c r="DL72" s="792" t="s">
        <v>838</v>
      </c>
      <c r="DM72" s="790">
        <v>0</v>
      </c>
      <c r="DN72" s="791"/>
      <c r="DO72" s="792" t="s">
        <v>838</v>
      </c>
      <c r="DP72" s="1008">
        <v>0</v>
      </c>
    </row>
    <row r="73" spans="1:120" s="1" customFormat="1" ht="12.75">
      <c r="A73" s="558" t="s">
        <v>392</v>
      </c>
      <c r="B73" s="559" t="s">
        <v>992</v>
      </c>
      <c r="C73" s="572">
        <f t="shared" si="10"/>
        <v>11.181438400000001</v>
      </c>
      <c r="D73" s="352">
        <v>1</v>
      </c>
      <c r="E73" s="347">
        <v>1</v>
      </c>
      <c r="F73" s="347">
        <v>1</v>
      </c>
      <c r="G73" s="371">
        <f t="shared" si="11"/>
        <v>2.72324358</v>
      </c>
      <c r="H73" s="777">
        <f t="shared" si="11"/>
        <v>1.2567564200000003</v>
      </c>
      <c r="I73" s="773">
        <f t="shared" si="11"/>
        <v>2.3200000000000003</v>
      </c>
      <c r="J73" s="347">
        <f t="shared" si="11"/>
        <v>1.8814384000000004</v>
      </c>
      <c r="K73" s="34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Q73" s="352">
        <f t="shared" si="12"/>
        <v>3</v>
      </c>
      <c r="BR73" s="371">
        <v>5.72324358</v>
      </c>
      <c r="BS73" s="364">
        <v>6.98</v>
      </c>
      <c r="BT73" s="770">
        <v>9.3</v>
      </c>
      <c r="BU73" s="1008">
        <v>11.181438400000001</v>
      </c>
      <c r="DK73" s="791"/>
      <c r="DL73" s="792" t="s">
        <v>839</v>
      </c>
      <c r="DM73" s="790">
        <v>9.2528624</v>
      </c>
      <c r="DN73" s="791"/>
      <c r="DO73" s="792" t="s">
        <v>839</v>
      </c>
      <c r="DP73" s="1008">
        <v>11.181438400000001</v>
      </c>
    </row>
    <row r="74" spans="1:121" s="20" customFormat="1" ht="13.5" thickBot="1">
      <c r="A74" s="560" t="s">
        <v>392</v>
      </c>
      <c r="B74" s="561" t="s">
        <v>993</v>
      </c>
      <c r="C74" s="573">
        <f t="shared" si="10"/>
        <v>0</v>
      </c>
      <c r="D74" s="367"/>
      <c r="E74" s="368"/>
      <c r="F74" s="368"/>
      <c r="G74" s="372">
        <f t="shared" si="11"/>
        <v>0</v>
      </c>
      <c r="H74" s="778">
        <f t="shared" si="11"/>
        <v>0</v>
      </c>
      <c r="I74" s="774">
        <f t="shared" si="11"/>
        <v>0</v>
      </c>
      <c r="J74" s="1010">
        <f t="shared" si="11"/>
        <v>0</v>
      </c>
      <c r="K74" s="723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Q74" s="356">
        <f t="shared" si="12"/>
        <v>0</v>
      </c>
      <c r="BR74" s="373">
        <v>0</v>
      </c>
      <c r="BS74" s="365">
        <v>0</v>
      </c>
      <c r="BT74" s="771"/>
      <c r="BU74" s="1008">
        <v>0</v>
      </c>
      <c r="DK74" s="791"/>
      <c r="DL74" s="792" t="s">
        <v>840</v>
      </c>
      <c r="DM74" s="790">
        <v>0</v>
      </c>
      <c r="DN74" s="791"/>
      <c r="DO74" s="792" t="s">
        <v>840</v>
      </c>
      <c r="DP74" s="1008">
        <v>0</v>
      </c>
      <c r="DQ74" s="1"/>
    </row>
    <row r="75" spans="1:120" s="1" customFormat="1" ht="13.5" thickBot="1">
      <c r="A75" s="4"/>
      <c r="B75" s="422" t="s">
        <v>693</v>
      </c>
      <c r="C75" s="555">
        <f>SUM(C63:C74)</f>
        <v>-91.02429292</v>
      </c>
      <c r="D75" s="358">
        <f aca="true" t="shared" si="13" ref="D75:BA75">SUM(D63:D74)</f>
        <v>-103</v>
      </c>
      <c r="E75" s="359">
        <f t="shared" si="13"/>
        <v>1</v>
      </c>
      <c r="F75" s="359">
        <f t="shared" si="13"/>
        <v>1</v>
      </c>
      <c r="G75" s="359">
        <f t="shared" si="13"/>
        <v>2.623243580000006</v>
      </c>
      <c r="H75" s="360">
        <f t="shared" si="13"/>
        <v>1.2567564200000003</v>
      </c>
      <c r="I75" s="359">
        <f t="shared" si="13"/>
        <v>2.3200000000000003</v>
      </c>
      <c r="J75" s="359">
        <f t="shared" si="13"/>
        <v>3.77570708</v>
      </c>
      <c r="K75" s="359">
        <f t="shared" si="13"/>
        <v>0</v>
      </c>
      <c r="L75" s="21">
        <f t="shared" si="13"/>
        <v>0</v>
      </c>
      <c r="M75" s="21">
        <f t="shared" si="13"/>
        <v>0</v>
      </c>
      <c r="N75" s="21">
        <f t="shared" si="13"/>
        <v>0</v>
      </c>
      <c r="O75" s="21">
        <f t="shared" si="13"/>
        <v>0</v>
      </c>
      <c r="P75" s="21">
        <f t="shared" si="13"/>
        <v>0</v>
      </c>
      <c r="Q75" s="21">
        <f t="shared" si="13"/>
        <v>0</v>
      </c>
      <c r="R75" s="21">
        <f t="shared" si="13"/>
        <v>0</v>
      </c>
      <c r="S75" s="21">
        <f t="shared" si="13"/>
        <v>0</v>
      </c>
      <c r="T75" s="21">
        <f t="shared" si="13"/>
        <v>0</v>
      </c>
      <c r="U75" s="21">
        <f t="shared" si="13"/>
        <v>0</v>
      </c>
      <c r="V75" s="21">
        <f t="shared" si="13"/>
        <v>0</v>
      </c>
      <c r="W75" s="21">
        <f t="shared" si="13"/>
        <v>0</v>
      </c>
      <c r="X75" s="21">
        <f t="shared" si="13"/>
        <v>0</v>
      </c>
      <c r="Y75" s="21">
        <f t="shared" si="13"/>
        <v>0</v>
      </c>
      <c r="Z75" s="21">
        <f t="shared" si="13"/>
        <v>0</v>
      </c>
      <c r="AA75" s="21">
        <f t="shared" si="13"/>
        <v>0</v>
      </c>
      <c r="AB75" s="21">
        <f t="shared" si="13"/>
        <v>0</v>
      </c>
      <c r="AC75" s="21">
        <f t="shared" si="13"/>
        <v>0</v>
      </c>
      <c r="AD75" s="21">
        <f t="shared" si="13"/>
        <v>0</v>
      </c>
      <c r="AE75" s="21">
        <f t="shared" si="13"/>
        <v>0</v>
      </c>
      <c r="AF75" s="21">
        <f t="shared" si="13"/>
        <v>0</v>
      </c>
      <c r="AG75" s="21">
        <f t="shared" si="13"/>
        <v>0</v>
      </c>
      <c r="AH75" s="21">
        <f t="shared" si="13"/>
        <v>0</v>
      </c>
      <c r="AI75" s="21">
        <f>SUM(AJ63:AJ74)</f>
        <v>0</v>
      </c>
      <c r="AJ75" s="21">
        <f t="shared" si="13"/>
        <v>0</v>
      </c>
      <c r="AK75" s="21">
        <f t="shared" si="13"/>
        <v>0</v>
      </c>
      <c r="AL75" s="21">
        <f t="shared" si="13"/>
        <v>0</v>
      </c>
      <c r="AM75" s="21">
        <f t="shared" si="13"/>
        <v>0</v>
      </c>
      <c r="AN75" s="21">
        <f t="shared" si="13"/>
        <v>0</v>
      </c>
      <c r="AO75" s="21">
        <f t="shared" si="13"/>
        <v>0</v>
      </c>
      <c r="AP75" s="21">
        <f t="shared" si="13"/>
        <v>0</v>
      </c>
      <c r="AQ75" s="21">
        <f t="shared" si="13"/>
        <v>0</v>
      </c>
      <c r="AR75" s="21">
        <f t="shared" si="13"/>
        <v>0</v>
      </c>
      <c r="AS75" s="21">
        <f t="shared" si="13"/>
        <v>0</v>
      </c>
      <c r="AT75" s="21">
        <f t="shared" si="13"/>
        <v>0</v>
      </c>
      <c r="AU75" s="21">
        <f t="shared" si="13"/>
        <v>0</v>
      </c>
      <c r="AV75" s="21">
        <f t="shared" si="13"/>
        <v>0</v>
      </c>
      <c r="AW75" s="21">
        <f t="shared" si="13"/>
        <v>0</v>
      </c>
      <c r="AX75" s="21">
        <f t="shared" si="13"/>
        <v>0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Q75" s="361">
        <f>SUM(BQ63:BQ74)</f>
        <v>-101</v>
      </c>
      <c r="BR75" s="362">
        <f>SUM(BR63:BR74)</f>
        <v>-98.37675641999999</v>
      </c>
      <c r="BS75" s="363">
        <f>SUM(BS63:BS74)</f>
        <v>-97.11999999999999</v>
      </c>
      <c r="BT75" s="768">
        <f>SUM(BT63:BT74)</f>
        <v>-94.8</v>
      </c>
      <c r="BU75" s="768">
        <f>SUM(BU63:BU74)</f>
        <v>-91.02429292</v>
      </c>
      <c r="DK75" s="788" t="s">
        <v>841</v>
      </c>
      <c r="DL75" s="789"/>
      <c r="DM75" s="790">
        <f>SUM(DM63:DM74)</f>
        <v>-93.83392411999999</v>
      </c>
      <c r="DN75" s="793" t="s">
        <v>842</v>
      </c>
      <c r="DO75" s="794"/>
      <c r="DP75" s="1009">
        <v>8027.348753149998</v>
      </c>
    </row>
    <row r="76" spans="1:117" s="1" customFormat="1" ht="12.75">
      <c r="A76" s="4"/>
      <c r="B76" s="4"/>
      <c r="C76" s="55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BQ76" s="351"/>
      <c r="BR76" s="355"/>
      <c r="BS76" s="355"/>
      <c r="BT76" s="764"/>
      <c r="DK76" s="788"/>
      <c r="DL76" s="789"/>
      <c r="DM76" s="790"/>
    </row>
    <row r="77" spans="1:117" s="1" customFormat="1" ht="12.75">
      <c r="A77" s="4"/>
      <c r="B77" s="4"/>
      <c r="C77" s="798">
        <f>SUM(D77:J77)</f>
        <v>8088.97358731</v>
      </c>
      <c r="D77" s="23">
        <f aca="true" t="shared" si="14" ref="D77:BM77">SUM(D75,D61,D33,D6)</f>
        <v>421</v>
      </c>
      <c r="E77" s="23">
        <f t="shared" si="14"/>
        <v>1271</v>
      </c>
      <c r="F77" s="23">
        <f t="shared" si="14"/>
        <v>1494</v>
      </c>
      <c r="G77" s="23">
        <f t="shared" si="14"/>
        <v>1243.0134102000002</v>
      </c>
      <c r="H77" s="23">
        <f t="shared" si="14"/>
        <v>1125.2471014599998</v>
      </c>
      <c r="I77" s="796">
        <f>SUM(I75,I61,I33,I6)</f>
        <v>1495.28658834</v>
      </c>
      <c r="J77" s="23">
        <f>SUM(J75,J61,J33,J6)</f>
        <v>1039.4264873099999</v>
      </c>
      <c r="K77" s="23">
        <f t="shared" si="14"/>
        <v>0</v>
      </c>
      <c r="L77" s="23">
        <f t="shared" si="14"/>
        <v>0</v>
      </c>
      <c r="M77" s="23">
        <f t="shared" si="14"/>
        <v>0</v>
      </c>
      <c r="N77" s="23">
        <f t="shared" si="14"/>
        <v>0</v>
      </c>
      <c r="O77" s="23">
        <f t="shared" si="14"/>
        <v>0</v>
      </c>
      <c r="P77" s="23">
        <f t="shared" si="14"/>
        <v>0</v>
      </c>
      <c r="Q77" s="23">
        <f t="shared" si="14"/>
        <v>0</v>
      </c>
      <c r="R77" s="23">
        <f t="shared" si="14"/>
        <v>0</v>
      </c>
      <c r="S77" s="23">
        <f t="shared" si="14"/>
        <v>0</v>
      </c>
      <c r="T77" s="23">
        <f t="shared" si="14"/>
        <v>0</v>
      </c>
      <c r="U77" s="23">
        <f t="shared" si="14"/>
        <v>0</v>
      </c>
      <c r="V77" s="23">
        <f t="shared" si="14"/>
        <v>0</v>
      </c>
      <c r="W77" s="23">
        <f t="shared" si="14"/>
        <v>0</v>
      </c>
      <c r="X77" s="23">
        <f t="shared" si="14"/>
        <v>0</v>
      </c>
      <c r="Y77" s="23">
        <f t="shared" si="14"/>
        <v>0</v>
      </c>
      <c r="Z77" s="23">
        <f t="shared" si="14"/>
        <v>0</v>
      </c>
      <c r="AA77" s="23">
        <f t="shared" si="14"/>
        <v>0</v>
      </c>
      <c r="AB77" s="23">
        <f t="shared" si="14"/>
        <v>0</v>
      </c>
      <c r="AC77" s="23">
        <f t="shared" si="14"/>
        <v>0</v>
      </c>
      <c r="AD77" s="23">
        <f t="shared" si="14"/>
        <v>0</v>
      </c>
      <c r="AE77" s="23">
        <f t="shared" si="14"/>
        <v>0</v>
      </c>
      <c r="AF77" s="23">
        <f t="shared" si="14"/>
        <v>0</v>
      </c>
      <c r="AG77" s="23">
        <f t="shared" si="14"/>
        <v>0</v>
      </c>
      <c r="AH77" s="23">
        <f t="shared" si="14"/>
        <v>0</v>
      </c>
      <c r="AI77" s="23">
        <f>SUM(AJ75,AJ61,AJ33,AJ6)</f>
        <v>0</v>
      </c>
      <c r="AJ77" s="23">
        <f t="shared" si="14"/>
        <v>0</v>
      </c>
      <c r="AK77" s="23">
        <f t="shared" si="14"/>
        <v>0</v>
      </c>
      <c r="AL77" s="23">
        <f t="shared" si="14"/>
        <v>0</v>
      </c>
      <c r="AM77" s="23">
        <f t="shared" si="14"/>
        <v>0</v>
      </c>
      <c r="AN77" s="23">
        <f t="shared" si="14"/>
        <v>0</v>
      </c>
      <c r="AO77" s="23">
        <f t="shared" si="14"/>
        <v>0</v>
      </c>
      <c r="AP77" s="23">
        <f t="shared" si="14"/>
        <v>0</v>
      </c>
      <c r="AQ77" s="23">
        <f t="shared" si="14"/>
        <v>0</v>
      </c>
      <c r="AR77" s="23">
        <f t="shared" si="14"/>
        <v>0</v>
      </c>
      <c r="AS77" s="23">
        <f t="shared" si="14"/>
        <v>0</v>
      </c>
      <c r="AT77" s="23">
        <f t="shared" si="14"/>
        <v>0</v>
      </c>
      <c r="AU77" s="23">
        <f t="shared" si="14"/>
        <v>0</v>
      </c>
      <c r="AV77" s="23">
        <f t="shared" si="14"/>
        <v>0</v>
      </c>
      <c r="AW77" s="23">
        <f t="shared" si="14"/>
        <v>0</v>
      </c>
      <c r="AX77" s="23">
        <f t="shared" si="14"/>
        <v>0</v>
      </c>
      <c r="AY77" s="23">
        <f t="shared" si="14"/>
        <v>0</v>
      </c>
      <c r="AZ77" s="23">
        <f t="shared" si="14"/>
        <v>0</v>
      </c>
      <c r="BA77" s="23">
        <f t="shared" si="14"/>
        <v>0</v>
      </c>
      <c r="BB77" s="23">
        <f t="shared" si="14"/>
        <v>0</v>
      </c>
      <c r="BC77" s="23">
        <f t="shared" si="14"/>
        <v>0</v>
      </c>
      <c r="BD77" s="23">
        <f t="shared" si="14"/>
        <v>0</v>
      </c>
      <c r="BE77" s="23">
        <f t="shared" si="14"/>
        <v>0</v>
      </c>
      <c r="BF77" s="23">
        <f t="shared" si="14"/>
        <v>0</v>
      </c>
      <c r="BG77" s="23">
        <f t="shared" si="14"/>
        <v>0</v>
      </c>
      <c r="BH77" s="23">
        <f t="shared" si="14"/>
        <v>0</v>
      </c>
      <c r="BI77" s="23">
        <f>SUM(BJ75,BJ61,BJ33,BJ6)</f>
        <v>0</v>
      </c>
      <c r="BJ77" s="23">
        <f t="shared" si="14"/>
        <v>0</v>
      </c>
      <c r="BK77" s="23">
        <f t="shared" si="14"/>
        <v>0</v>
      </c>
      <c r="BL77" s="23">
        <f t="shared" si="14"/>
        <v>0</v>
      </c>
      <c r="BM77" s="23">
        <f t="shared" si="14"/>
        <v>0</v>
      </c>
      <c r="BN77" s="23">
        <f aca="true" t="shared" si="15" ref="BN77:BU77">SUM(BN75,BN61,BN33,BN6)</f>
        <v>0</v>
      </c>
      <c r="BO77" s="23">
        <f t="shared" si="15"/>
        <v>0</v>
      </c>
      <c r="BP77" s="23">
        <f t="shared" si="15"/>
        <v>0</v>
      </c>
      <c r="BQ77" s="23">
        <f t="shared" si="15"/>
        <v>3186</v>
      </c>
      <c r="BR77" s="23">
        <f t="shared" si="15"/>
        <v>4429.0134102</v>
      </c>
      <c r="BS77" s="23">
        <f t="shared" si="15"/>
        <v>5554.260511660001</v>
      </c>
      <c r="BT77" s="797">
        <f t="shared" si="15"/>
        <v>7049.547100000001</v>
      </c>
      <c r="BU77" s="797">
        <f t="shared" si="15"/>
        <v>8088.97358731</v>
      </c>
      <c r="DK77" s="793" t="s">
        <v>842</v>
      </c>
      <c r="DL77" s="794"/>
      <c r="DM77" s="790">
        <f>SUM(DM75,DM61,DM33,DM6)</f>
        <v>7050.626828374826</v>
      </c>
    </row>
    <row r="78" spans="69:121" ht="12.75">
      <c r="BQ78" s="1"/>
      <c r="BR78" s="1"/>
      <c r="BS78" s="1"/>
      <c r="DN78" s="1"/>
      <c r="DO78" s="1"/>
      <c r="DP78" s="1"/>
      <c r="DQ78" s="1"/>
    </row>
    <row r="79" spans="118:120" ht="12.75">
      <c r="DN79" s="20"/>
      <c r="DO79" s="20"/>
      <c r="DP79" s="20"/>
    </row>
    <row r="80" spans="118:120" ht="12.75">
      <c r="DN80" s="1"/>
      <c r="DO80" s="1"/>
      <c r="DP80" s="1"/>
    </row>
    <row r="81" spans="73:120" ht="12.75">
      <c r="BU81" t="s">
        <v>232</v>
      </c>
      <c r="DN81" s="1"/>
      <c r="DO81" s="1"/>
      <c r="DP81" s="1"/>
    </row>
    <row r="82" spans="118:120" ht="12.75">
      <c r="DN82" s="1"/>
      <c r="DO82" s="1"/>
      <c r="DP82" s="1"/>
    </row>
  </sheetData>
  <mergeCells count="6">
    <mergeCell ref="CF1:CQ1"/>
    <mergeCell ref="CR1:DC1"/>
    <mergeCell ref="BQ1:BS1"/>
    <mergeCell ref="D1:H1"/>
    <mergeCell ref="I1:T1"/>
    <mergeCell ref="BT1:CE1"/>
  </mergeCells>
  <printOptions gridLines="1" headings="1"/>
  <pageMargins left="0.25" right="0.25" top="0.17" bottom="0.17" header="0.17" footer="0.17"/>
  <pageSetup fitToHeight="1" fitToWidth="1" horizontalDpi="600" verticalDpi="600" orientation="landscape" paperSize="218" scale="55" r:id="rId2"/>
  <headerFooter alignWithMargins="0">
    <oddFooter xml:space="preserve">&amp;R&amp;F    &amp;A    &amp;D   &amp;T  </oddFooter>
  </headerFooter>
  <ignoredErrors>
    <ignoredError sqref="BQ3 BQ5 BQ8 BQ9:BQ30 BQ47 BQ63:BQ74 BQ48:BQ59 BQ41:BQ46 D6:H6 K6:AH6 AJ6:BH6 BJ6:BO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33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13.140625" style="441" customWidth="1"/>
    <col min="2" max="2" width="31.00390625" style="441" customWidth="1"/>
    <col min="3" max="3" width="9.421875" style="441" customWidth="1"/>
    <col min="4" max="4" width="46.140625" style="441" customWidth="1"/>
    <col min="5" max="8" width="9.28125" style="441" bestFit="1" customWidth="1"/>
    <col min="9" max="9" width="10.00390625" style="441" bestFit="1" customWidth="1"/>
    <col min="10" max="10" width="4.28125" style="441" customWidth="1"/>
    <col min="11" max="27" width="9.140625" style="441" customWidth="1"/>
    <col min="28" max="28" width="5.421875" style="441" customWidth="1"/>
    <col min="29" max="16384" width="9.140625" style="441" customWidth="1"/>
  </cols>
  <sheetData>
    <row r="7" ht="23.25">
      <c r="R7" s="1004" t="s">
        <v>924</v>
      </c>
    </row>
    <row r="8" ht="18">
      <c r="R8" s="1338" t="s">
        <v>1105</v>
      </c>
    </row>
    <row r="9" ht="12.75">
      <c r="E9" s="441" t="s">
        <v>892</v>
      </c>
    </row>
    <row r="10" spans="1:9" ht="12.75">
      <c r="A10" s="441" t="s">
        <v>903</v>
      </c>
      <c r="E10" s="1001" t="s">
        <v>893</v>
      </c>
      <c r="F10" s="1001" t="s">
        <v>656</v>
      </c>
      <c r="G10" s="1001" t="s">
        <v>894</v>
      </c>
      <c r="H10" s="1001" t="s">
        <v>658</v>
      </c>
      <c r="I10" s="1001" t="s">
        <v>659</v>
      </c>
    </row>
    <row r="11" spans="1:9" ht="12.75">
      <c r="A11" s="1003" t="s">
        <v>904</v>
      </c>
      <c r="B11" s="1002" t="s">
        <v>914</v>
      </c>
      <c r="D11" s="441" t="s">
        <v>394</v>
      </c>
      <c r="E11" s="441">
        <v>87</v>
      </c>
      <c r="F11" s="441">
        <v>75</v>
      </c>
      <c r="G11" s="441">
        <v>72</v>
      </c>
      <c r="H11" s="441">
        <v>49</v>
      </c>
      <c r="I11" s="441">
        <v>54</v>
      </c>
    </row>
    <row r="12" spans="1:9" ht="12.75">
      <c r="A12" s="1003" t="s">
        <v>905</v>
      </c>
      <c r="B12" s="1002" t="s">
        <v>915</v>
      </c>
      <c r="D12" s="441" t="s">
        <v>397</v>
      </c>
      <c r="E12" s="441">
        <v>13</v>
      </c>
      <c r="F12" s="441">
        <v>13</v>
      </c>
      <c r="G12" s="441">
        <v>13</v>
      </c>
      <c r="H12" s="441">
        <v>15</v>
      </c>
      <c r="I12" s="441">
        <v>-11</v>
      </c>
    </row>
    <row r="13" spans="1:9" ht="12.75">
      <c r="A13" s="1003" t="s">
        <v>906</v>
      </c>
      <c r="B13" s="1002" t="s">
        <v>916</v>
      </c>
      <c r="D13" s="441" t="s">
        <v>398</v>
      </c>
      <c r="E13" s="441">
        <v>86</v>
      </c>
      <c r="F13" s="441">
        <v>86</v>
      </c>
      <c r="G13" s="441">
        <v>86</v>
      </c>
      <c r="H13" s="441">
        <v>83</v>
      </c>
      <c r="I13" s="441">
        <v>83</v>
      </c>
    </row>
    <row r="14" spans="1:9" ht="12.75">
      <c r="A14" s="1003" t="s">
        <v>907</v>
      </c>
      <c r="B14" s="1002" t="s">
        <v>917</v>
      </c>
      <c r="D14" s="441" t="s">
        <v>400</v>
      </c>
      <c r="E14" s="441">
        <v>65</v>
      </c>
      <c r="F14" s="441">
        <v>56</v>
      </c>
      <c r="G14" s="441">
        <v>37</v>
      </c>
      <c r="H14" s="441">
        <v>-2</v>
      </c>
      <c r="I14" s="441">
        <v>24</v>
      </c>
    </row>
    <row r="15" spans="1:9" ht="12.75">
      <c r="A15" s="1003" t="s">
        <v>908</v>
      </c>
      <c r="B15" s="1002" t="s">
        <v>918</v>
      </c>
      <c r="D15" s="441" t="s">
        <v>402</v>
      </c>
      <c r="E15" s="441">
        <v>0</v>
      </c>
      <c r="F15" s="441">
        <v>-23</v>
      </c>
      <c r="G15" s="441">
        <v>-57</v>
      </c>
      <c r="H15" s="441">
        <v>-38</v>
      </c>
      <c r="I15" s="441">
        <v>-37</v>
      </c>
    </row>
    <row r="16" spans="1:9" ht="12.75">
      <c r="A16" s="1000"/>
      <c r="B16" s="1002"/>
      <c r="D16" s="441" t="s">
        <v>424</v>
      </c>
      <c r="E16" s="441">
        <v>16</v>
      </c>
      <c r="F16" s="441">
        <v>15</v>
      </c>
      <c r="G16" s="441">
        <v>-24</v>
      </c>
      <c r="H16" s="441">
        <v>-39</v>
      </c>
      <c r="I16" s="441">
        <v>-39</v>
      </c>
    </row>
    <row r="17" spans="1:8" ht="12.75">
      <c r="A17" s="1000"/>
      <c r="B17" s="1002"/>
      <c r="D17" s="441" t="s">
        <v>423</v>
      </c>
      <c r="E17" s="441">
        <v>14</v>
      </c>
      <c r="F17" s="441">
        <v>13</v>
      </c>
      <c r="G17" s="441">
        <v>-10</v>
      </c>
      <c r="H17" s="441">
        <v>-18</v>
      </c>
    </row>
    <row r="18" spans="1:9" ht="12.75">
      <c r="A18" s="1003" t="s">
        <v>909</v>
      </c>
      <c r="B18" s="1002" t="s">
        <v>919</v>
      </c>
      <c r="D18" s="441" t="s">
        <v>409</v>
      </c>
      <c r="E18" s="441">
        <v>56</v>
      </c>
      <c r="F18" s="441">
        <v>17</v>
      </c>
      <c r="G18" s="441">
        <v>110</v>
      </c>
      <c r="H18" s="441">
        <v>110</v>
      </c>
      <c r="I18" s="441">
        <v>106</v>
      </c>
    </row>
    <row r="19" spans="1:4" ht="12.75">
      <c r="A19" s="1000"/>
      <c r="B19" s="1002"/>
      <c r="D19" s="441" t="s">
        <v>411</v>
      </c>
    </row>
    <row r="20" spans="1:9" ht="12.75">
      <c r="A20" s="1003" t="s">
        <v>910</v>
      </c>
      <c r="B20" s="1002" t="s">
        <v>920</v>
      </c>
      <c r="D20" s="441" t="s">
        <v>406</v>
      </c>
      <c r="E20" s="441">
        <v>49</v>
      </c>
      <c r="F20" s="441">
        <v>49</v>
      </c>
      <c r="G20" s="441">
        <v>49</v>
      </c>
      <c r="H20" s="441">
        <v>49</v>
      </c>
      <c r="I20" s="441">
        <v>49</v>
      </c>
    </row>
    <row r="21" spans="1:9" ht="12.75">
      <c r="A21" s="1003" t="s">
        <v>911</v>
      </c>
      <c r="B21" s="1002" t="s">
        <v>921</v>
      </c>
      <c r="D21" s="441" t="s">
        <v>404</v>
      </c>
      <c r="E21" s="441">
        <v>38</v>
      </c>
      <c r="F21" s="441">
        <v>22</v>
      </c>
      <c r="G21" s="441">
        <v>0</v>
      </c>
      <c r="H21" s="441">
        <v>0</v>
      </c>
      <c r="I21" s="441">
        <v>32</v>
      </c>
    </row>
    <row r="22" spans="1:4" ht="12.75">
      <c r="A22" s="1000"/>
      <c r="B22" s="1002"/>
      <c r="D22" s="441" t="s">
        <v>895</v>
      </c>
    </row>
    <row r="23" spans="1:9" ht="12.75">
      <c r="A23" s="1000"/>
      <c r="B23" s="1002"/>
      <c r="D23" s="1001" t="s">
        <v>896</v>
      </c>
      <c r="E23" s="441">
        <v>39</v>
      </c>
      <c r="F23" s="441">
        <v>17</v>
      </c>
      <c r="G23" s="441">
        <v>56</v>
      </c>
      <c r="H23" s="441">
        <v>23</v>
      </c>
      <c r="I23" s="441">
        <v>-34</v>
      </c>
    </row>
    <row r="24" spans="1:9" ht="12.75">
      <c r="A24" s="1003" t="s">
        <v>912</v>
      </c>
      <c r="B24" s="1002" t="s">
        <v>922</v>
      </c>
      <c r="D24" s="1001" t="s">
        <v>897</v>
      </c>
      <c r="E24" s="441">
        <v>122</v>
      </c>
      <c r="F24" s="441">
        <v>144</v>
      </c>
      <c r="G24" s="441">
        <v>44</v>
      </c>
      <c r="H24" s="441">
        <v>69</v>
      </c>
      <c r="I24" s="441">
        <v>69</v>
      </c>
    </row>
    <row r="25" spans="1:9" ht="12.75">
      <c r="A25" s="1003" t="s">
        <v>913</v>
      </c>
      <c r="B25" s="1002" t="s">
        <v>923</v>
      </c>
      <c r="D25" s="1001" t="s">
        <v>898</v>
      </c>
      <c r="E25" s="441">
        <v>69</v>
      </c>
      <c r="F25" s="441">
        <v>69</v>
      </c>
      <c r="G25" s="441">
        <v>69</v>
      </c>
      <c r="H25" s="441">
        <v>69</v>
      </c>
      <c r="I25" s="441">
        <v>69</v>
      </c>
    </row>
    <row r="26" ht="12.75">
      <c r="D26" s="1001"/>
    </row>
    <row r="27" ht="12.75">
      <c r="D27" s="441" t="s">
        <v>899</v>
      </c>
    </row>
    <row r="28" spans="4:9" ht="12.75">
      <c r="D28" s="1001" t="s">
        <v>900</v>
      </c>
      <c r="E28" s="441">
        <v>0</v>
      </c>
      <c r="F28" s="441">
        <v>-23</v>
      </c>
      <c r="G28" s="441">
        <v>-35</v>
      </c>
      <c r="H28" s="441">
        <v>-28</v>
      </c>
      <c r="I28" s="441">
        <v>-23</v>
      </c>
    </row>
    <row r="29" spans="4:9" ht="12.75">
      <c r="D29" s="1001" t="s">
        <v>901</v>
      </c>
      <c r="E29" s="441">
        <v>28</v>
      </c>
      <c r="F29" s="441">
        <v>28</v>
      </c>
      <c r="G29" s="441">
        <v>28</v>
      </c>
      <c r="H29" s="441">
        <v>10</v>
      </c>
      <c r="I29" s="441">
        <v>-8</v>
      </c>
    </row>
    <row r="30" spans="4:9" ht="12.75">
      <c r="D30" s="1001" t="s">
        <v>902</v>
      </c>
      <c r="E30" s="441">
        <v>92</v>
      </c>
      <c r="F30" s="441">
        <v>97</v>
      </c>
      <c r="G30" s="441">
        <v>97</v>
      </c>
      <c r="H30" s="441">
        <v>80</v>
      </c>
      <c r="I30" s="441">
        <v>57</v>
      </c>
    </row>
    <row r="31" spans="4:9" ht="12.75">
      <c r="D31" s="441" t="s">
        <v>427</v>
      </c>
      <c r="E31" s="441">
        <v>0</v>
      </c>
      <c r="F31" s="441">
        <v>-23</v>
      </c>
      <c r="G31" s="441">
        <v>-57</v>
      </c>
      <c r="H31" s="441">
        <v>-39</v>
      </c>
      <c r="I31" s="441">
        <v>-39</v>
      </c>
    </row>
    <row r="33" spans="3:8" ht="23.25">
      <c r="C33" s="1005" t="s">
        <v>924</v>
      </c>
      <c r="D33" s="1006"/>
      <c r="E33" s="1006"/>
      <c r="F33" s="1006"/>
      <c r="G33" s="1006"/>
      <c r="H33" s="1006"/>
    </row>
  </sheetData>
  <printOptions gridLines="1" horizontalCentered="1" verticalCentered="1"/>
  <pageMargins left="0.26" right="0.17" top="0.46" bottom="0.19" header="0.5" footer="0.33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3"/>
  <sheetViews>
    <sheetView workbookViewId="0" topLeftCell="A2">
      <pane ySplit="4" topLeftCell="BM60" activePane="bottomLeft" state="frozen"/>
      <selection pane="topLeft" activeCell="A2" sqref="A2"/>
      <selection pane="bottomLeft" activeCell="X6" sqref="X6"/>
    </sheetView>
  </sheetViews>
  <sheetFormatPr defaultColWidth="9.140625" defaultRowHeight="12.75"/>
  <cols>
    <col min="1" max="1" width="3.57421875" style="649" customWidth="1"/>
    <col min="2" max="2" width="42.00390625" style="429" customWidth="1"/>
    <col min="3" max="4" width="8.57421875" style="241" customWidth="1"/>
    <col min="5" max="5" width="8.421875" style="241" customWidth="1"/>
    <col min="6" max="6" width="5.57421875" style="445" customWidth="1"/>
    <col min="7" max="7" width="8.00390625" style="446" customWidth="1"/>
    <col min="8" max="8" width="8.8515625" style="446" customWidth="1"/>
    <col min="9" max="9" width="7.140625" style="429" customWidth="1"/>
    <col min="10" max="10" width="1.1484375" style="429" customWidth="1"/>
    <col min="11" max="13" width="4.421875" style="241" customWidth="1"/>
    <col min="14" max="14" width="5.57421875" style="445" hidden="1" customWidth="1"/>
    <col min="15" max="15" width="5.57421875" style="446" hidden="1" customWidth="1"/>
    <col min="16" max="16" width="4.7109375" style="446" customWidth="1"/>
    <col min="17" max="17" width="4.7109375" style="447" customWidth="1"/>
    <col min="18" max="18" width="13.28125" style="429" customWidth="1"/>
    <col min="19" max="19" width="6.140625" style="429" hidden="1" customWidth="1"/>
    <col min="20" max="20" width="7.421875" style="429" hidden="1" customWidth="1"/>
    <col min="21" max="21" width="7.57421875" style="429" hidden="1" customWidth="1"/>
    <col min="22" max="22" width="10.8515625" style="429" customWidth="1"/>
    <col min="23" max="23" width="9.7109375" style="429" customWidth="1"/>
    <col min="24" max="24" width="10.140625" style="606" customWidth="1"/>
    <col min="25" max="25" width="15.57421875" style="649" customWidth="1"/>
    <col min="26" max="26" width="12.421875" style="429" customWidth="1"/>
    <col min="27" max="16384" width="9.140625" style="429" customWidth="1"/>
  </cols>
  <sheetData>
    <row r="1" spans="1:25" s="317" customFormat="1" ht="18">
      <c r="A1" s="643" t="s">
        <v>579</v>
      </c>
      <c r="B1" s="313"/>
      <c r="C1" s="314"/>
      <c r="D1" s="314"/>
      <c r="E1" s="314"/>
      <c r="F1" s="315"/>
      <c r="G1" s="313"/>
      <c r="H1" s="313"/>
      <c r="I1" s="313"/>
      <c r="J1" s="313"/>
      <c r="K1" s="314"/>
      <c r="L1" s="314"/>
      <c r="M1" s="314"/>
      <c r="N1" s="315"/>
      <c r="O1" s="313"/>
      <c r="P1" s="313"/>
      <c r="Q1" s="316"/>
      <c r="R1" s="375"/>
      <c r="S1" s="375"/>
      <c r="T1" s="376"/>
      <c r="U1" s="375"/>
      <c r="X1" s="1023"/>
      <c r="Y1" s="1387"/>
    </row>
    <row r="2" spans="1:25" s="317" customFormat="1" ht="18">
      <c r="A2" s="643" t="s">
        <v>1015</v>
      </c>
      <c r="B2" s="313"/>
      <c r="C2" s="314"/>
      <c r="D2" s="314"/>
      <c r="E2" s="314"/>
      <c r="F2" s="315"/>
      <c r="G2" s="313"/>
      <c r="H2" s="313"/>
      <c r="I2" s="313"/>
      <c r="J2" s="313"/>
      <c r="K2" s="314"/>
      <c r="L2" s="314"/>
      <c r="M2" s="314"/>
      <c r="N2" s="315"/>
      <c r="O2" s="313"/>
      <c r="P2" s="313"/>
      <c r="Q2" s="316"/>
      <c r="R2" s="377"/>
      <c r="S2" s="377"/>
      <c r="T2" s="378"/>
      <c r="U2" s="377"/>
      <c r="X2" s="1023"/>
      <c r="Y2" s="1387"/>
    </row>
    <row r="3" spans="1:25" s="317" customFormat="1" ht="18.75" thickBot="1">
      <c r="A3" s="643" t="s">
        <v>580</v>
      </c>
      <c r="B3" s="313"/>
      <c r="C3" s="314"/>
      <c r="D3" s="314"/>
      <c r="E3" s="314"/>
      <c r="F3" s="315"/>
      <c r="G3" s="313"/>
      <c r="H3" s="313"/>
      <c r="I3" s="313"/>
      <c r="J3" s="313"/>
      <c r="K3" s="314"/>
      <c r="L3" s="314"/>
      <c r="M3" s="314"/>
      <c r="N3" s="315"/>
      <c r="O3" s="313"/>
      <c r="P3" s="313"/>
      <c r="Q3" s="316"/>
      <c r="R3" s="377"/>
      <c r="S3" s="377"/>
      <c r="T3" s="378"/>
      <c r="U3" s="377"/>
      <c r="X3" s="1023"/>
      <c r="Y3" s="1387"/>
    </row>
    <row r="4" spans="1:24" ht="16.5" thickBot="1">
      <c r="A4" s="644"/>
      <c r="B4" s="256"/>
      <c r="C4" s="298" t="s">
        <v>595</v>
      </c>
      <c r="D4" s="299"/>
      <c r="E4" s="299"/>
      <c r="F4" s="300"/>
      <c r="G4" s="301"/>
      <c r="H4" s="301"/>
      <c r="I4" s="302"/>
      <c r="J4" s="309"/>
      <c r="K4" s="802" t="s">
        <v>596</v>
      </c>
      <c r="L4" s="803"/>
      <c r="M4" s="803"/>
      <c r="N4" s="804"/>
      <c r="O4" s="805"/>
      <c r="P4" s="805"/>
      <c r="Q4" s="806"/>
      <c r="R4" s="650"/>
      <c r="S4" s="427"/>
      <c r="T4" s="428"/>
      <c r="U4" s="427"/>
      <c r="V4" s="650"/>
      <c r="W4" s="650"/>
      <c r="X4" s="1024"/>
    </row>
    <row r="5" spans="1:28" s="583" customFormat="1" ht="39" customHeight="1" thickBot="1">
      <c r="A5" s="582" t="s">
        <v>532</v>
      </c>
      <c r="B5" s="582" t="s">
        <v>298</v>
      </c>
      <c r="C5" s="592" t="s">
        <v>233</v>
      </c>
      <c r="D5" s="593" t="s">
        <v>234</v>
      </c>
      <c r="E5" s="594" t="s">
        <v>235</v>
      </c>
      <c r="F5" s="595" t="s">
        <v>236</v>
      </c>
      <c r="G5" s="596" t="s">
        <v>237</v>
      </c>
      <c r="H5" s="597" t="s">
        <v>578</v>
      </c>
      <c r="I5" s="596" t="s">
        <v>547</v>
      </c>
      <c r="J5" s="598"/>
      <c r="K5" s="807" t="s">
        <v>233</v>
      </c>
      <c r="L5" s="808" t="s">
        <v>234</v>
      </c>
      <c r="M5" s="808" t="s">
        <v>235</v>
      </c>
      <c r="N5" s="809" t="s">
        <v>236</v>
      </c>
      <c r="O5" s="810" t="s">
        <v>237</v>
      </c>
      <c r="P5" s="810" t="s">
        <v>597</v>
      </c>
      <c r="Q5" s="811" t="s">
        <v>547</v>
      </c>
      <c r="R5" s="651" t="s">
        <v>669</v>
      </c>
      <c r="S5" s="599" t="s">
        <v>670</v>
      </c>
      <c r="T5" s="600" t="s">
        <v>671</v>
      </c>
      <c r="U5" s="599" t="s">
        <v>672</v>
      </c>
      <c r="V5" s="651" t="s">
        <v>754</v>
      </c>
      <c r="W5" s="651" t="s">
        <v>755</v>
      </c>
      <c r="X5" s="1025" t="s">
        <v>32</v>
      </c>
      <c r="AB5" s="656"/>
    </row>
    <row r="6" spans="1:25" s="1" customFormat="1" ht="21.75" customHeight="1">
      <c r="A6" s="1427" t="s">
        <v>533</v>
      </c>
      <c r="B6" s="456" t="s">
        <v>456</v>
      </c>
      <c r="C6" s="862">
        <f>'BCWS by JOB'!E3</f>
        <v>455</v>
      </c>
      <c r="D6" s="863">
        <f>'BCWP by JOB'!C3</f>
        <v>455</v>
      </c>
      <c r="E6" s="864">
        <f>'ACWP by JOB'!$C$3</f>
        <v>392.3228102088415</v>
      </c>
      <c r="F6" s="865">
        <f>+D6/C6</f>
        <v>1</v>
      </c>
      <c r="G6" s="866">
        <f>+D6/E6</f>
        <v>1.1597592292882337</v>
      </c>
      <c r="H6" s="871">
        <f>+D6-C6</f>
        <v>0</v>
      </c>
      <c r="I6" s="867">
        <f>+D6-E6</f>
        <v>62.677189791158526</v>
      </c>
      <c r="J6" s="310"/>
      <c r="K6" s="812">
        <f>'BCWS by JOB'!L3</f>
        <v>83</v>
      </c>
      <c r="L6" s="813">
        <f>'BCWP by JOB'!J3</f>
        <v>81.75400000000002</v>
      </c>
      <c r="M6" s="813">
        <f>SUM('ACWP by JOB'!K3)</f>
        <v>52.458</v>
      </c>
      <c r="N6" s="814">
        <f>+L6/K6</f>
        <v>0.9849879518072292</v>
      </c>
      <c r="O6" s="815">
        <f>+L6/M6</f>
        <v>1.5584658202752681</v>
      </c>
      <c r="P6" s="815">
        <f>+L6-K6</f>
        <v>-1.245999999999981</v>
      </c>
      <c r="Q6" s="816">
        <f>+L6-M6</f>
        <v>29.29600000000002</v>
      </c>
      <c r="R6" s="601">
        <v>3843</v>
      </c>
      <c r="S6" s="379">
        <f>+C6/R6</f>
        <v>0.11839708561020036</v>
      </c>
      <c r="T6" s="380">
        <f>+D6/R6</f>
        <v>0.11839708561020036</v>
      </c>
      <c r="U6" s="379">
        <f>+E6/R6</f>
        <v>0.10208764252116614</v>
      </c>
      <c r="V6" s="603">
        <f>+R6+315</f>
        <v>4158</v>
      </c>
      <c r="W6" s="2" t="s">
        <v>999</v>
      </c>
      <c r="X6" s="1034">
        <f>+V6-R6</f>
        <v>315</v>
      </c>
      <c r="Y6" s="1388"/>
    </row>
    <row r="7" spans="1:24" s="18" customFormat="1" ht="12.75">
      <c r="A7" s="1428"/>
      <c r="B7" s="457" t="s">
        <v>457</v>
      </c>
      <c r="C7" s="868">
        <f>'BCWS by JOB'!E4</f>
        <v>88</v>
      </c>
      <c r="D7" s="869">
        <f>'BCWP by JOB'!C4</f>
        <v>87.927</v>
      </c>
      <c r="E7" s="864">
        <f>'ACWP by JOB'!$C$4</f>
        <v>137.118</v>
      </c>
      <c r="F7" s="870">
        <f>+D7/C7</f>
        <v>0.9991704545454546</v>
      </c>
      <c r="G7" s="882">
        <f>+D7/E7</f>
        <v>0.641250601671553</v>
      </c>
      <c r="H7" s="871">
        <f>+D7-C7</f>
        <v>-0.07299999999999329</v>
      </c>
      <c r="I7" s="884">
        <f>+D7-E7</f>
        <v>-49.19099999999999</v>
      </c>
      <c r="J7" s="311"/>
      <c r="K7" s="817">
        <f>'BCWS by JOB'!L4</f>
        <v>13</v>
      </c>
      <c r="L7" s="818">
        <f>'BCWP by JOB'!J4</f>
        <v>12.879000000000005</v>
      </c>
      <c r="M7" s="818">
        <f>SUM('ACWP by JOB'!K4)</f>
        <v>12.535</v>
      </c>
      <c r="N7" s="819">
        <f>+L7/K7</f>
        <v>0.9906923076923081</v>
      </c>
      <c r="O7" s="820">
        <f>+L7/M7</f>
        <v>1.0274431591543682</v>
      </c>
      <c r="P7" s="821">
        <f>+L7-K7</f>
        <v>-0.12099999999999511</v>
      </c>
      <c r="Q7" s="822">
        <f>+L7-M7</f>
        <v>0.34400000000000475</v>
      </c>
      <c r="R7" s="603">
        <v>499</v>
      </c>
      <c r="S7" s="381">
        <f>+C7/R7</f>
        <v>0.17635270541082165</v>
      </c>
      <c r="T7" s="382">
        <f>+D7/R7</f>
        <v>0.1762064128256513</v>
      </c>
      <c r="U7" s="381">
        <f>+E7/R7</f>
        <v>0.2747855711422846</v>
      </c>
      <c r="V7" s="603">
        <v>499</v>
      </c>
      <c r="W7" s="2" t="s">
        <v>998</v>
      </c>
      <c r="X7" s="893">
        <f>+V7-R7</f>
        <v>0</v>
      </c>
    </row>
    <row r="8" spans="1:25" s="1" customFormat="1" ht="34.5" thickBot="1">
      <c r="A8" s="1428"/>
      <c r="B8" s="458" t="s">
        <v>458</v>
      </c>
      <c r="C8" s="872">
        <f>'BCWS by JOB'!E5</f>
        <v>212</v>
      </c>
      <c r="D8" s="873">
        <f>'BCWP by JOB'!C5</f>
        <v>212</v>
      </c>
      <c r="E8" s="864">
        <f>'ACWP by JOB'!$C$5</f>
        <v>307.3977786597061</v>
      </c>
      <c r="F8" s="874">
        <f>+D8/C8</f>
        <v>1</v>
      </c>
      <c r="G8" s="887">
        <f>+D8/E8</f>
        <v>0.6896601560504025</v>
      </c>
      <c r="H8" s="875">
        <f>+D8-C8</f>
        <v>0</v>
      </c>
      <c r="I8" s="888">
        <f>+D8-E8</f>
        <v>-95.39777865970609</v>
      </c>
      <c r="J8" s="310"/>
      <c r="K8" s="823">
        <f>'BCWS by JOB'!L5</f>
        <v>31</v>
      </c>
      <c r="L8" s="824">
        <f>'BCWP by JOB'!J5</f>
        <v>32.596000000000004</v>
      </c>
      <c r="M8" s="825">
        <f>SUM('ACWP by JOB'!K5)</f>
        <v>78.1</v>
      </c>
      <c r="N8" s="826">
        <f>+L8/K8</f>
        <v>1.051483870967742</v>
      </c>
      <c r="O8" s="827">
        <f>+L8/M8</f>
        <v>0.4173623559539053</v>
      </c>
      <c r="P8" s="828">
        <f>+L8-K8</f>
        <v>1.5960000000000036</v>
      </c>
      <c r="Q8" s="829">
        <f>+L8-M8</f>
        <v>-45.50399999999999</v>
      </c>
      <c r="R8" s="603">
        <v>1453</v>
      </c>
      <c r="S8" s="381">
        <f>+C8/R8</f>
        <v>0.1459050240880936</v>
      </c>
      <c r="T8" s="382">
        <f>+D8/R8</f>
        <v>0.1459050240880936</v>
      </c>
      <c r="U8" s="381">
        <f>+E8/R8</f>
        <v>0.21156075613193812</v>
      </c>
      <c r="V8" s="603">
        <v>1536</v>
      </c>
      <c r="W8" s="2" t="s">
        <v>999</v>
      </c>
      <c r="X8" s="1035">
        <f>+V8-R8</f>
        <v>83</v>
      </c>
      <c r="Y8" s="1389" t="s">
        <v>996</v>
      </c>
    </row>
    <row r="9" spans="1:25" s="440" customFormat="1" ht="16.5" thickBot="1">
      <c r="A9" s="1429"/>
      <c r="B9" s="426" t="s">
        <v>694</v>
      </c>
      <c r="C9" s="435">
        <f>SUM(C6:C8)</f>
        <v>755</v>
      </c>
      <c r="D9" s="436">
        <f>SUM(D6:D8)</f>
        <v>754.927</v>
      </c>
      <c r="E9" s="562">
        <f>SUM(E6:E8)</f>
        <v>836.8385888685475</v>
      </c>
      <c r="F9" s="566">
        <f>+D9/C9</f>
        <v>0.9999033112582781</v>
      </c>
      <c r="G9" s="567">
        <f>+D9/E9</f>
        <v>0.9021178158391375</v>
      </c>
      <c r="H9" s="564">
        <f>+D9-C9</f>
        <v>-0.07299999999997908</v>
      </c>
      <c r="I9" s="437">
        <f>+D9-E9</f>
        <v>-81.91158886854748</v>
      </c>
      <c r="J9" s="438"/>
      <c r="K9" s="830">
        <f>SUM(K6:K8)</f>
        <v>127</v>
      </c>
      <c r="L9" s="831">
        <f>SUM(L6:L8)</f>
        <v>127.22900000000003</v>
      </c>
      <c r="M9" s="831">
        <f>SUM(M6:M8)</f>
        <v>143.093</v>
      </c>
      <c r="N9" s="832">
        <f>+L9/K9</f>
        <v>1.0018031496062993</v>
      </c>
      <c r="O9" s="833">
        <f>+L9/M9</f>
        <v>0.8891350380521761</v>
      </c>
      <c r="P9" s="834">
        <f>+L9-K9</f>
        <v>0.22900000000002763</v>
      </c>
      <c r="Q9" s="835">
        <f>+L9-M9</f>
        <v>-15.863999999999962</v>
      </c>
      <c r="R9" s="604">
        <f>SUM(R6:R8)</f>
        <v>5795</v>
      </c>
      <c r="S9" s="381">
        <f>+C9/R9</f>
        <v>0.13028472821397757</v>
      </c>
      <c r="T9" s="382">
        <f>+D9/R9</f>
        <v>0.130272131147541</v>
      </c>
      <c r="U9" s="381">
        <f>+E9/R9</f>
        <v>0.14440700411881752</v>
      </c>
      <c r="V9" s="891">
        <f>SUM(V6:V8)</f>
        <v>6193</v>
      </c>
      <c r="W9" s="14"/>
      <c r="X9" s="891">
        <f>+V9-R9</f>
        <v>398</v>
      </c>
      <c r="Y9" s="967"/>
    </row>
    <row r="10" spans="1:25" s="1" customFormat="1" ht="12.75" hidden="1">
      <c r="A10" s="645"/>
      <c r="B10" s="441"/>
      <c r="C10" s="9"/>
      <c r="D10" s="9"/>
      <c r="E10" s="9"/>
      <c r="F10" s="303"/>
      <c r="G10" s="239"/>
      <c r="H10" s="249"/>
      <c r="I10" s="12" t="e">
        <f>+'BCWP by JOB'!#REF!-'ACWP by JOB'!C7</f>
        <v>#REF!</v>
      </c>
      <c r="J10" s="310"/>
      <c r="K10" s="836"/>
      <c r="L10" s="836"/>
      <c r="M10" s="836"/>
      <c r="N10" s="837"/>
      <c r="O10" s="838"/>
      <c r="P10" s="839"/>
      <c r="Q10" s="840">
        <f>+'BCWP by JOB'!H7-'ACWP by JOB'!K7</f>
        <v>0</v>
      </c>
      <c r="R10" s="603"/>
      <c r="T10" s="384"/>
      <c r="V10" s="441">
        <f>IF(U10&gt;T10*1.5,"X","")</f>
      </c>
      <c r="X10" s="441"/>
      <c r="Y10" s="18"/>
    </row>
    <row r="11" spans="1:25" s="1" customFormat="1" ht="19.5" customHeight="1" thickBot="1">
      <c r="A11" s="645"/>
      <c r="B11" s="441"/>
      <c r="C11" s="9"/>
      <c r="D11" s="9"/>
      <c r="E11" s="9"/>
      <c r="F11" s="303"/>
      <c r="G11" s="239"/>
      <c r="H11" s="249"/>
      <c r="I11" s="12"/>
      <c r="J11" s="310"/>
      <c r="K11" s="836"/>
      <c r="L11" s="836"/>
      <c r="M11" s="836"/>
      <c r="N11" s="837"/>
      <c r="O11" s="838"/>
      <c r="P11" s="839"/>
      <c r="Q11" s="840"/>
      <c r="R11" s="603"/>
      <c r="T11" s="384"/>
      <c r="V11" s="441"/>
      <c r="X11" s="441"/>
      <c r="Y11" s="18"/>
    </row>
    <row r="12" spans="1:26" s="1" customFormat="1" ht="12.75">
      <c r="A12" s="1430" t="s">
        <v>534</v>
      </c>
      <c r="B12" s="456" t="s">
        <v>419</v>
      </c>
      <c r="C12" s="1018">
        <f>'BCWS by JOB'!E8</f>
        <v>102</v>
      </c>
      <c r="D12" s="876">
        <f>'BCWP by JOB'!C8</f>
        <v>140.99448</v>
      </c>
      <c r="E12" s="877">
        <f>'ACWP by JOB'!C8</f>
        <v>185.37090615972355</v>
      </c>
      <c r="F12" s="878">
        <f aca="true" t="shared" si="0" ref="F12:F37">+D12/C12</f>
        <v>1.3822988235294118</v>
      </c>
      <c r="G12" s="890">
        <f aca="true" t="shared" si="1" ref="F12:G37">+D12/E12</f>
        <v>0.7606073839791941</v>
      </c>
      <c r="H12" s="879">
        <f aca="true" t="shared" si="2" ref="H12:H37">+D12-C12</f>
        <v>38.99448000000001</v>
      </c>
      <c r="I12" s="880">
        <f aca="true" t="shared" si="3" ref="I12:I37">+D12-E12</f>
        <v>-44.376426159723536</v>
      </c>
      <c r="J12" s="312"/>
      <c r="K12" s="812">
        <f>'BCWS by JOB'!L8</f>
        <v>29</v>
      </c>
      <c r="L12" s="841">
        <f>'BCWP by JOB'!J8</f>
        <v>21.811480000000003</v>
      </c>
      <c r="M12" s="813">
        <f>SUM('ACWP by JOB'!K8)</f>
        <v>19.061</v>
      </c>
      <c r="N12" s="814">
        <f aca="true" t="shared" si="4" ref="N12:N20">+L12/K12</f>
        <v>0.7521200000000001</v>
      </c>
      <c r="O12" s="815">
        <f aca="true" t="shared" si="5" ref="O12:O37">+L12/M12</f>
        <v>1.1442988300718746</v>
      </c>
      <c r="P12" s="842">
        <f aca="true" t="shared" si="6" ref="P12:P37">+L12-K12</f>
        <v>-7.188519999999997</v>
      </c>
      <c r="Q12" s="816">
        <f aca="true" t="shared" si="7" ref="Q12:Q37">+L12-M12</f>
        <v>2.750480000000003</v>
      </c>
      <c r="R12" s="712">
        <v>408</v>
      </c>
      <c r="S12" s="381">
        <f aca="true" t="shared" si="8" ref="S12:S76">+C12/R12</f>
        <v>0.25</v>
      </c>
      <c r="T12" s="382">
        <f aca="true" t="shared" si="9" ref="T12:T37">+D12/R12</f>
        <v>0.34557470588235295</v>
      </c>
      <c r="U12" s="381">
        <f aca="true" t="shared" si="10" ref="U12:U37">+E12/R12</f>
        <v>0.45434045627383224</v>
      </c>
      <c r="V12" s="1021">
        <f>+R12+508</f>
        <v>916</v>
      </c>
      <c r="W12" s="715" t="s">
        <v>1005</v>
      </c>
      <c r="X12" s="1031">
        <f aca="true" t="shared" si="11" ref="X12:X37">+V12-R12</f>
        <v>508</v>
      </c>
      <c r="Y12" s="1390" t="s">
        <v>1006</v>
      </c>
      <c r="Z12" s="1">
        <f>+X12*0.4</f>
        <v>203.20000000000002</v>
      </c>
    </row>
    <row r="13" spans="1:25" s="1" customFormat="1" ht="13.5" thickBot="1">
      <c r="A13" s="1431"/>
      <c r="B13" s="457" t="s">
        <v>420</v>
      </c>
      <c r="C13" s="1019">
        <f>'BCWS by JOB'!E9</f>
        <v>-252</v>
      </c>
      <c r="D13" s="869">
        <f>'BCWP by JOB'!C9</f>
        <v>-251.69472</v>
      </c>
      <c r="E13" s="881">
        <f>'ACWP by JOB'!C9</f>
        <v>-251.77029999848764</v>
      </c>
      <c r="F13" s="870">
        <f t="shared" si="0"/>
        <v>0.9987885714285714</v>
      </c>
      <c r="G13" s="882">
        <f t="shared" si="1"/>
        <v>0.99969980574163</v>
      </c>
      <c r="H13" s="871">
        <f t="shared" si="2"/>
        <v>0.30528000000001043</v>
      </c>
      <c r="I13" s="883">
        <f t="shared" si="3"/>
        <v>0.07557999848765462</v>
      </c>
      <c r="J13" s="310"/>
      <c r="K13" s="817">
        <f>'BCWS by JOB'!L9</f>
        <v>0</v>
      </c>
      <c r="L13" s="818">
        <f>'BCWP by JOB'!J9</f>
        <v>0.0002800000000036107</v>
      </c>
      <c r="M13" s="818">
        <f>SUM('ACWP by JOB'!K9)</f>
        <v>0</v>
      </c>
      <c r="N13" s="819" t="e">
        <f t="shared" si="4"/>
        <v>#DIV/0!</v>
      </c>
      <c r="O13" s="843" t="e">
        <f t="shared" si="5"/>
        <v>#DIV/0!</v>
      </c>
      <c r="P13" s="821">
        <f t="shared" si="6"/>
        <v>0.0002800000000036107</v>
      </c>
      <c r="Q13" s="844">
        <f t="shared" si="7"/>
        <v>0.0002800000000036107</v>
      </c>
      <c r="R13" s="1028">
        <v>-252</v>
      </c>
      <c r="S13" s="381">
        <f t="shared" si="8"/>
        <v>1</v>
      </c>
      <c r="T13" s="382">
        <f t="shared" si="9"/>
        <v>0.9987885714285714</v>
      </c>
      <c r="U13" s="381">
        <f t="shared" si="10"/>
        <v>0.9990884920574906</v>
      </c>
      <c r="V13" s="713">
        <f>+R13</f>
        <v>-252</v>
      </c>
      <c r="W13" s="716" t="s">
        <v>757</v>
      </c>
      <c r="X13" s="894">
        <f t="shared" si="11"/>
        <v>0</v>
      </c>
      <c r="Y13" s="18"/>
    </row>
    <row r="14" spans="1:25" s="1" customFormat="1" ht="12.75">
      <c r="A14" s="1431"/>
      <c r="B14" s="457" t="s">
        <v>421</v>
      </c>
      <c r="C14" s="1019">
        <f>'BCWS by JOB'!E10</f>
        <v>225</v>
      </c>
      <c r="D14" s="869">
        <f>'BCWP by JOB'!C10</f>
        <v>226.42231379</v>
      </c>
      <c r="E14" s="881">
        <f>'ACWP by JOB'!C10</f>
        <v>116.83039687830606</v>
      </c>
      <c r="F14" s="870">
        <f t="shared" si="0"/>
        <v>1.0063213946222223</v>
      </c>
      <c r="G14" s="882">
        <f t="shared" si="1"/>
        <v>1.9380428367957019</v>
      </c>
      <c r="H14" s="871">
        <f t="shared" si="2"/>
        <v>1.422313790000004</v>
      </c>
      <c r="I14" s="883">
        <f t="shared" si="3"/>
        <v>109.59191691169394</v>
      </c>
      <c r="J14" s="310"/>
      <c r="K14" s="817">
        <f>'BCWS by JOB'!L10</f>
        <v>22</v>
      </c>
      <c r="L14" s="818">
        <f>'BCWP by JOB'!J10</f>
        <v>22.454313790000015</v>
      </c>
      <c r="M14" s="818">
        <f>SUM('ACWP by JOB'!K10)</f>
        <v>11.699</v>
      </c>
      <c r="N14" s="819">
        <f t="shared" si="4"/>
        <v>1.0206506268181825</v>
      </c>
      <c r="O14" s="843">
        <f t="shared" si="5"/>
        <v>1.9193361646294569</v>
      </c>
      <c r="P14" s="821">
        <f t="shared" si="6"/>
        <v>0.4543137900000147</v>
      </c>
      <c r="Q14" s="844">
        <f t="shared" si="7"/>
        <v>10.755313790000015</v>
      </c>
      <c r="R14" s="712">
        <v>350</v>
      </c>
      <c r="S14" s="381">
        <f t="shared" si="8"/>
        <v>0.6428571428571429</v>
      </c>
      <c r="T14" s="382">
        <f t="shared" si="9"/>
        <v>0.6469208965428571</v>
      </c>
      <c r="U14" s="381">
        <f t="shared" si="10"/>
        <v>0.3338011339380173</v>
      </c>
      <c r="V14" s="713">
        <f>+R14</f>
        <v>350</v>
      </c>
      <c r="W14" s="716" t="s">
        <v>757</v>
      </c>
      <c r="X14" s="894">
        <f t="shared" si="11"/>
        <v>0</v>
      </c>
      <c r="Y14" s="18"/>
    </row>
    <row r="15" spans="1:33" s="1" customFormat="1" ht="15">
      <c r="A15" s="1431"/>
      <c r="B15" s="1045" t="s">
        <v>424</v>
      </c>
      <c r="C15" s="1019">
        <f>'BCWS by JOB'!E11</f>
        <v>879</v>
      </c>
      <c r="D15" s="869">
        <f>'BCWP by JOB'!C11</f>
        <v>635.6103631000001</v>
      </c>
      <c r="E15" s="881">
        <f>'ACWP by JOB'!C11</f>
        <v>370.98188999999996</v>
      </c>
      <c r="F15" s="870">
        <f t="shared" si="0"/>
        <v>0.7231062151308306</v>
      </c>
      <c r="G15" s="882">
        <f t="shared" si="1"/>
        <v>1.7133191140408501</v>
      </c>
      <c r="H15" s="1046">
        <f t="shared" si="2"/>
        <v>-243.3896368999999</v>
      </c>
      <c r="I15" s="1276">
        <f t="shared" si="3"/>
        <v>264.6284731000001</v>
      </c>
      <c r="J15" s="310"/>
      <c r="K15" s="817">
        <f>'BCWS by JOB'!L11</f>
        <v>64</v>
      </c>
      <c r="L15" s="818">
        <f>'BCWP by JOB'!J11</f>
        <v>45.91036310000004</v>
      </c>
      <c r="M15" s="818">
        <f>SUM('ACWP by JOB'!K11)</f>
        <v>66.906</v>
      </c>
      <c r="N15" s="819">
        <f t="shared" si="4"/>
        <v>0.7173494234375006</v>
      </c>
      <c r="O15" s="843">
        <f t="shared" si="5"/>
        <v>0.6861920171584018</v>
      </c>
      <c r="P15" s="821">
        <f t="shared" si="6"/>
        <v>-18.08963689999996</v>
      </c>
      <c r="Q15" s="844">
        <f t="shared" si="7"/>
        <v>-20.995636899999965</v>
      </c>
      <c r="R15" s="713">
        <v>1039</v>
      </c>
      <c r="S15" s="381">
        <f t="shared" si="8"/>
        <v>0.8460057747834456</v>
      </c>
      <c r="T15" s="382">
        <f t="shared" si="9"/>
        <v>0.6117520337824832</v>
      </c>
      <c r="U15" s="381">
        <f t="shared" si="10"/>
        <v>0.35705667949951875</v>
      </c>
      <c r="V15" s="713">
        <f>+R15</f>
        <v>1039</v>
      </c>
      <c r="W15" s="716" t="s">
        <v>757</v>
      </c>
      <c r="X15" s="894">
        <f t="shared" si="11"/>
        <v>0</v>
      </c>
      <c r="Y15" s="18"/>
      <c r="AG15" s="1">
        <f>6430+3509+6430+11685+47620+12081+4694</f>
        <v>92449</v>
      </c>
    </row>
    <row r="16" spans="1:33" s="1" customFormat="1" ht="12.75">
      <c r="A16" s="1431"/>
      <c r="B16" s="457" t="s">
        <v>422</v>
      </c>
      <c r="C16" s="1019">
        <f>'BCWS by JOB'!E12</f>
        <v>1358</v>
      </c>
      <c r="D16" s="869">
        <f>'BCWP by JOB'!C12</f>
        <v>1546.0835163800002</v>
      </c>
      <c r="E16" s="881">
        <f>'ACWP by JOB'!C12</f>
        <v>1436.403693632146</v>
      </c>
      <c r="F16" s="870">
        <f t="shared" si="0"/>
        <v>1.1385003802503684</v>
      </c>
      <c r="G16" s="882">
        <f t="shared" si="1"/>
        <v>1.0763572408189188</v>
      </c>
      <c r="H16" s="871">
        <f t="shared" si="2"/>
        <v>188.08351638000022</v>
      </c>
      <c r="I16" s="883">
        <f t="shared" si="3"/>
        <v>109.67982274785413</v>
      </c>
      <c r="J16" s="310"/>
      <c r="K16" s="817">
        <f>'BCWS by JOB'!L12</f>
        <v>188</v>
      </c>
      <c r="L16" s="818">
        <f>'BCWP by JOB'!J12</f>
        <v>106.81351638000024</v>
      </c>
      <c r="M16" s="818">
        <f>SUM('ACWP by JOB'!K12)</f>
        <v>191.385</v>
      </c>
      <c r="N16" s="819">
        <f t="shared" si="4"/>
        <v>0.5681570020212778</v>
      </c>
      <c r="O16" s="843">
        <f t="shared" si="5"/>
        <v>0.5581080877811754</v>
      </c>
      <c r="P16" s="821">
        <f t="shared" si="6"/>
        <v>-81.18648361999976</v>
      </c>
      <c r="Q16" s="844">
        <f t="shared" si="7"/>
        <v>-84.57148361999975</v>
      </c>
      <c r="R16" s="713">
        <v>2867</v>
      </c>
      <c r="S16" s="381">
        <f t="shared" si="8"/>
        <v>0.47366585280781304</v>
      </c>
      <c r="T16" s="382">
        <f t="shared" si="9"/>
        <v>0.5392687535333102</v>
      </c>
      <c r="U16" s="381">
        <f t="shared" si="10"/>
        <v>0.5010127986160259</v>
      </c>
      <c r="V16" s="713">
        <f>+R16</f>
        <v>2867</v>
      </c>
      <c r="W16" s="716" t="s">
        <v>757</v>
      </c>
      <c r="X16" s="894">
        <f t="shared" si="11"/>
        <v>0</v>
      </c>
      <c r="Y16" s="18"/>
      <c r="AG16" s="1">
        <f>22970+48458+3001+40989</f>
        <v>115418</v>
      </c>
    </row>
    <row r="17" spans="1:33" s="1" customFormat="1" ht="22.5">
      <c r="A17" s="1431"/>
      <c r="B17" s="457" t="s">
        <v>423</v>
      </c>
      <c r="C17" s="1019">
        <f>'BCWS by JOB'!E13</f>
        <v>190</v>
      </c>
      <c r="D17" s="869">
        <f>'BCWP by JOB'!C13</f>
        <v>282.9756819000001</v>
      </c>
      <c r="E17" s="881">
        <f>'ACWP by JOB'!C13</f>
        <v>370.05299400262226</v>
      </c>
      <c r="F17" s="870">
        <f t="shared" si="0"/>
        <v>1.4893456942105268</v>
      </c>
      <c r="G17" s="882">
        <f t="shared" si="1"/>
        <v>0.7646896160445465</v>
      </c>
      <c r="H17" s="871">
        <f t="shared" si="2"/>
        <v>92.9756819000001</v>
      </c>
      <c r="I17" s="883">
        <f t="shared" si="3"/>
        <v>-87.07731210262216</v>
      </c>
      <c r="J17" s="310"/>
      <c r="K17" s="817">
        <f>'BCWS by JOB'!L13</f>
        <v>43</v>
      </c>
      <c r="L17" s="818">
        <f>'BCWP by JOB'!J13</f>
        <v>114.65768190000009</v>
      </c>
      <c r="M17" s="818">
        <f>SUM('ACWP by JOB'!K13)</f>
        <v>30.823</v>
      </c>
      <c r="N17" s="819">
        <f t="shared" si="4"/>
        <v>2.666457718604653</v>
      </c>
      <c r="O17" s="843">
        <f t="shared" si="5"/>
        <v>3.7198741816176257</v>
      </c>
      <c r="P17" s="821">
        <f t="shared" si="6"/>
        <v>71.65768190000009</v>
      </c>
      <c r="Q17" s="844">
        <f t="shared" si="7"/>
        <v>83.83468190000008</v>
      </c>
      <c r="R17" s="713">
        <v>501</v>
      </c>
      <c r="S17" s="381">
        <f t="shared" si="8"/>
        <v>0.37924151696606784</v>
      </c>
      <c r="T17" s="382">
        <f t="shared" si="9"/>
        <v>0.5648217203592816</v>
      </c>
      <c r="U17" s="381">
        <f t="shared" si="10"/>
        <v>0.7386287305441562</v>
      </c>
      <c r="V17" s="713">
        <f>+R17+170+75</f>
        <v>746</v>
      </c>
      <c r="W17" s="716" t="s">
        <v>997</v>
      </c>
      <c r="X17" s="1036">
        <f>+V17-R17</f>
        <v>245</v>
      </c>
      <c r="Y17" s="1388" t="s">
        <v>1014</v>
      </c>
      <c r="AG17" s="1">
        <f>48458+3001+40989</f>
        <v>92448</v>
      </c>
    </row>
    <row r="18" spans="1:25" s="1" customFormat="1" ht="12.75">
      <c r="A18" s="1431"/>
      <c r="B18" s="457" t="s">
        <v>426</v>
      </c>
      <c r="C18" s="1019">
        <f>'BCWS by JOB'!E14</f>
        <v>390</v>
      </c>
      <c r="D18" s="869">
        <f>'BCWP by JOB'!C14</f>
        <v>353.73311304000003</v>
      </c>
      <c r="E18" s="881">
        <f>'ACWP by JOB'!C14</f>
        <v>432.1946887352712</v>
      </c>
      <c r="F18" s="870">
        <f t="shared" si="0"/>
        <v>0.9070079821538463</v>
      </c>
      <c r="G18" s="882">
        <f t="shared" si="1"/>
        <v>0.8184577975151134</v>
      </c>
      <c r="H18" s="871">
        <f t="shared" si="2"/>
        <v>-36.266886959999965</v>
      </c>
      <c r="I18" s="883">
        <f t="shared" si="3"/>
        <v>-78.46157569527116</v>
      </c>
      <c r="J18" s="310"/>
      <c r="K18" s="817">
        <f>'BCWS by JOB'!L14</f>
        <v>58</v>
      </c>
      <c r="L18" s="818">
        <f>'BCWP by JOB'!J14</f>
        <v>47.023113040000055</v>
      </c>
      <c r="M18" s="818">
        <f>SUM('ACWP by JOB'!K14)</f>
        <v>56.159</v>
      </c>
      <c r="N18" s="819">
        <f t="shared" si="4"/>
        <v>0.810743328275863</v>
      </c>
      <c r="O18" s="843">
        <f t="shared" si="5"/>
        <v>0.8373210534375622</v>
      </c>
      <c r="P18" s="821">
        <f t="shared" si="6"/>
        <v>-10.976886959999945</v>
      </c>
      <c r="Q18" s="1275">
        <f t="shared" si="7"/>
        <v>-9.135886959999944</v>
      </c>
      <c r="R18" s="713">
        <v>1989</v>
      </c>
      <c r="S18" s="381">
        <f t="shared" si="8"/>
        <v>0.19607843137254902</v>
      </c>
      <c r="T18" s="382">
        <f t="shared" si="9"/>
        <v>0.1778447023831071</v>
      </c>
      <c r="U18" s="381">
        <f t="shared" si="10"/>
        <v>0.21729245285835655</v>
      </c>
      <c r="V18" s="713">
        <f>+R18</f>
        <v>1989</v>
      </c>
      <c r="W18" s="716" t="s">
        <v>757</v>
      </c>
      <c r="X18" s="894">
        <f t="shared" si="11"/>
        <v>0</v>
      </c>
      <c r="Y18" s="18"/>
    </row>
    <row r="19" spans="1:34" s="1" customFormat="1" ht="12.75">
      <c r="A19" s="1431"/>
      <c r="B19" s="1045" t="s">
        <v>425</v>
      </c>
      <c r="C19" s="1019">
        <f>'BCWS by JOB'!E15</f>
        <v>184</v>
      </c>
      <c r="D19" s="869">
        <f>'BCWP by JOB'!C15</f>
        <v>68.73776649999999</v>
      </c>
      <c r="E19" s="881">
        <f>'ACWP by JOB'!C15</f>
        <v>179.87287303558023</v>
      </c>
      <c r="F19" s="870">
        <f t="shared" si="0"/>
        <v>0.3735748179347826</v>
      </c>
      <c r="G19" s="882">
        <f t="shared" si="1"/>
        <v>0.3821463756038585</v>
      </c>
      <c r="H19" s="1046">
        <f t="shared" si="2"/>
        <v>-115.26223350000001</v>
      </c>
      <c r="I19" s="883">
        <f t="shared" si="3"/>
        <v>-111.13510653558023</v>
      </c>
      <c r="J19" s="310"/>
      <c r="K19" s="817">
        <f>'BCWS by JOB'!L15</f>
        <v>24</v>
      </c>
      <c r="L19" s="818">
        <f>'BCWP by JOB'!J15</f>
        <v>0.2277664999999871</v>
      </c>
      <c r="M19" s="818">
        <f>SUM('ACWP by JOB'!K15)</f>
        <v>23.077</v>
      </c>
      <c r="N19" s="819">
        <f t="shared" si="4"/>
        <v>0.009490270833332795</v>
      </c>
      <c r="O19" s="843">
        <f t="shared" si="5"/>
        <v>0.009869848767170217</v>
      </c>
      <c r="P19" s="821">
        <f t="shared" si="6"/>
        <v>-23.772233500000013</v>
      </c>
      <c r="Q19" s="844">
        <f t="shared" si="7"/>
        <v>-22.849233500000015</v>
      </c>
      <c r="R19" s="713">
        <v>522</v>
      </c>
      <c r="S19" s="381">
        <f t="shared" si="8"/>
        <v>0.3524904214559387</v>
      </c>
      <c r="T19" s="382">
        <f t="shared" si="9"/>
        <v>0.13168154501915708</v>
      </c>
      <c r="U19" s="381">
        <f t="shared" si="10"/>
        <v>0.34458404796088166</v>
      </c>
      <c r="V19" s="713">
        <f>+R19</f>
        <v>522</v>
      </c>
      <c r="W19" s="716" t="s">
        <v>757</v>
      </c>
      <c r="X19" s="894">
        <f t="shared" si="11"/>
        <v>0</v>
      </c>
      <c r="Y19" s="18"/>
      <c r="AG19" s="1">
        <f>28053+59700+4694</f>
        <v>92447</v>
      </c>
      <c r="AH19" s="1">
        <f>AG19+22970</f>
        <v>115417</v>
      </c>
    </row>
    <row r="20" spans="1:25" s="1" customFormat="1" ht="12.75">
      <c r="A20" s="1432"/>
      <c r="B20" s="1045" t="s">
        <v>427</v>
      </c>
      <c r="C20" s="1019">
        <f>'BCWS by JOB'!E16</f>
        <v>1608.28</v>
      </c>
      <c r="D20" s="869">
        <f>'BCWP by JOB'!C16</f>
        <v>1423.5665888299995</v>
      </c>
      <c r="E20" s="881">
        <f>'ACWP by JOB'!C16</f>
        <v>1011.0580967437822</v>
      </c>
      <c r="F20" s="870">
        <f t="shared" si="0"/>
        <v>0.885148474662372</v>
      </c>
      <c r="G20" s="882">
        <f t="shared" si="1"/>
        <v>1.4079968237381648</v>
      </c>
      <c r="H20" s="1046">
        <f t="shared" si="2"/>
        <v>-184.71341117000043</v>
      </c>
      <c r="I20" s="883">
        <f t="shared" si="3"/>
        <v>412.5084920862173</v>
      </c>
      <c r="J20" s="310"/>
      <c r="K20" s="817">
        <f>'BCWS by JOB'!L16</f>
        <v>185.57</v>
      </c>
      <c r="L20" s="818">
        <f>'BCWP by JOB'!J16</f>
        <v>130.01958882999952</v>
      </c>
      <c r="M20" s="818">
        <f>SUM('ACWP by JOB'!K16)</f>
        <v>160.367</v>
      </c>
      <c r="N20" s="819">
        <f t="shared" si="4"/>
        <v>0.7006498293366359</v>
      </c>
      <c r="O20" s="843">
        <f t="shared" si="5"/>
        <v>0.8107627431454073</v>
      </c>
      <c r="P20" s="821">
        <f t="shared" si="6"/>
        <v>-55.55041117000047</v>
      </c>
      <c r="Q20" s="1275">
        <f t="shared" si="7"/>
        <v>-30.34741117000047</v>
      </c>
      <c r="R20" s="713">
        <v>5745</v>
      </c>
      <c r="S20" s="381">
        <f t="shared" si="8"/>
        <v>0.2799442993907746</v>
      </c>
      <c r="T20" s="382">
        <f t="shared" si="9"/>
        <v>0.2477922695961705</v>
      </c>
      <c r="U20" s="381">
        <f t="shared" si="10"/>
        <v>0.17598922484661136</v>
      </c>
      <c r="V20" s="713">
        <f>+R20+100</f>
        <v>5845</v>
      </c>
      <c r="W20" s="716" t="s">
        <v>1000</v>
      </c>
      <c r="X20" s="1032">
        <f t="shared" si="11"/>
        <v>100</v>
      </c>
      <c r="Y20" s="1391" t="s">
        <v>1008</v>
      </c>
    </row>
    <row r="21" spans="1:25" s="1" customFormat="1" ht="12.75">
      <c r="A21" s="1432"/>
      <c r="B21" s="457" t="s">
        <v>428</v>
      </c>
      <c r="C21" s="1019">
        <f>'BCWS by JOB'!E17</f>
        <v>0</v>
      </c>
      <c r="D21" s="869">
        <f>'BCWP by JOB'!C17</f>
        <v>0</v>
      </c>
      <c r="E21" s="881">
        <f>'ACWP by JOB'!C17</f>
        <v>0</v>
      </c>
      <c r="F21" s="885" t="e">
        <f t="shared" si="1"/>
        <v>#DIV/0!</v>
      </c>
      <c r="G21" s="882" t="e">
        <f t="shared" si="1"/>
        <v>#DIV/0!</v>
      </c>
      <c r="H21" s="871">
        <f t="shared" si="2"/>
        <v>0</v>
      </c>
      <c r="I21" s="883">
        <f t="shared" si="3"/>
        <v>0</v>
      </c>
      <c r="J21" s="310"/>
      <c r="K21" s="817">
        <f>'BCWS by JOB'!L17</f>
        <v>0</v>
      </c>
      <c r="L21" s="818">
        <f>'BCWP by JOB'!J17</f>
        <v>0</v>
      </c>
      <c r="M21" s="818">
        <f>SUM('ACWP by JOB'!K17)</f>
        <v>0</v>
      </c>
      <c r="N21" s="843" t="e">
        <f>+K21/L21</f>
        <v>#DIV/0!</v>
      </c>
      <c r="O21" s="843" t="e">
        <f t="shared" si="5"/>
        <v>#DIV/0!</v>
      </c>
      <c r="P21" s="821">
        <f t="shared" si="6"/>
        <v>0</v>
      </c>
      <c r="Q21" s="844">
        <f t="shared" si="7"/>
        <v>0</v>
      </c>
      <c r="R21" s="713">
        <v>1334</v>
      </c>
      <c r="S21" s="381">
        <f t="shared" si="8"/>
        <v>0</v>
      </c>
      <c r="T21" s="382">
        <f t="shared" si="9"/>
        <v>0</v>
      </c>
      <c r="U21" s="381">
        <f t="shared" si="10"/>
        <v>0</v>
      </c>
      <c r="V21" s="713">
        <f>IF(D21=0,R21,(IF(E21=0,R21,R21/G21)))</f>
        <v>1334</v>
      </c>
      <c r="W21" s="716" t="s">
        <v>756</v>
      </c>
      <c r="X21" s="894">
        <f t="shared" si="11"/>
        <v>0</v>
      </c>
      <c r="Y21" s="18"/>
    </row>
    <row r="22" spans="1:26" s="1" customFormat="1" ht="12.75">
      <c r="A22" s="1432"/>
      <c r="B22" s="457" t="s">
        <v>429</v>
      </c>
      <c r="C22" s="1019">
        <f>'BCWS by JOB'!E18</f>
        <v>0</v>
      </c>
      <c r="D22" s="869">
        <f>'BCWP by JOB'!C18</f>
        <v>0</v>
      </c>
      <c r="E22" s="881">
        <f>'ACWP by JOB'!C18</f>
        <v>0</v>
      </c>
      <c r="F22" s="885" t="e">
        <f t="shared" si="1"/>
        <v>#DIV/0!</v>
      </c>
      <c r="G22" s="882" t="e">
        <f t="shared" si="1"/>
        <v>#DIV/0!</v>
      </c>
      <c r="H22" s="871">
        <f t="shared" si="2"/>
        <v>0</v>
      </c>
      <c r="I22" s="883">
        <f t="shared" si="3"/>
        <v>0</v>
      </c>
      <c r="J22" s="310"/>
      <c r="K22" s="817">
        <f>'BCWS by JOB'!L18</f>
        <v>0</v>
      </c>
      <c r="L22" s="818">
        <f>'BCWP by JOB'!J18</f>
        <v>0</v>
      </c>
      <c r="M22" s="818">
        <f>SUM('ACWP by JOB'!K18)</f>
        <v>0</v>
      </c>
      <c r="N22" s="843" t="e">
        <f>+K22/L22</f>
        <v>#DIV/0!</v>
      </c>
      <c r="O22" s="843" t="e">
        <f t="shared" si="5"/>
        <v>#DIV/0!</v>
      </c>
      <c r="P22" s="821">
        <f t="shared" si="6"/>
        <v>0</v>
      </c>
      <c r="Q22" s="844">
        <f t="shared" si="7"/>
        <v>0</v>
      </c>
      <c r="R22" s="713">
        <v>69</v>
      </c>
      <c r="S22" s="381">
        <f t="shared" si="8"/>
        <v>0</v>
      </c>
      <c r="T22" s="382">
        <f t="shared" si="9"/>
        <v>0</v>
      </c>
      <c r="U22" s="381">
        <f t="shared" si="10"/>
        <v>0</v>
      </c>
      <c r="V22" s="1021">
        <f>+R22+189</f>
        <v>258</v>
      </c>
      <c r="W22" s="716" t="s">
        <v>1004</v>
      </c>
      <c r="X22" s="1029">
        <f t="shared" si="11"/>
        <v>189</v>
      </c>
      <c r="Y22" s="1390" t="s">
        <v>1006</v>
      </c>
      <c r="Z22" s="1">
        <f>+X22*0.4</f>
        <v>75.60000000000001</v>
      </c>
    </row>
    <row r="23" spans="1:26" s="1" customFormat="1" ht="12.75">
      <c r="A23" s="1432"/>
      <c r="B23" s="457" t="s">
        <v>430</v>
      </c>
      <c r="C23" s="1019">
        <f>'BCWS by JOB'!E19</f>
        <v>0</v>
      </c>
      <c r="D23" s="869">
        <f>'BCWP by JOB'!C19</f>
        <v>0</v>
      </c>
      <c r="E23" s="881">
        <f>'ACWP by JOB'!C19</f>
        <v>0</v>
      </c>
      <c r="F23" s="885" t="e">
        <f t="shared" si="1"/>
        <v>#DIV/0!</v>
      </c>
      <c r="G23" s="882" t="e">
        <f t="shared" si="1"/>
        <v>#DIV/0!</v>
      </c>
      <c r="H23" s="871">
        <f t="shared" si="2"/>
        <v>0</v>
      </c>
      <c r="I23" s="883">
        <f t="shared" si="3"/>
        <v>0</v>
      </c>
      <c r="J23" s="310"/>
      <c r="K23" s="817">
        <f>'BCWS by JOB'!L19</f>
        <v>0</v>
      </c>
      <c r="L23" s="818">
        <f>'BCWP by JOB'!J19</f>
        <v>0</v>
      </c>
      <c r="M23" s="818">
        <f>SUM('ACWP by JOB'!K19)</f>
        <v>0</v>
      </c>
      <c r="N23" s="843" t="e">
        <f>+K23/L23</f>
        <v>#DIV/0!</v>
      </c>
      <c r="O23" s="843" t="e">
        <f t="shared" si="5"/>
        <v>#DIV/0!</v>
      </c>
      <c r="P23" s="821">
        <f t="shared" si="6"/>
        <v>0</v>
      </c>
      <c r="Q23" s="844">
        <f t="shared" si="7"/>
        <v>0</v>
      </c>
      <c r="R23" s="713">
        <v>172</v>
      </c>
      <c r="S23" s="381">
        <f t="shared" si="8"/>
        <v>0</v>
      </c>
      <c r="T23" s="382">
        <f t="shared" si="9"/>
        <v>0</v>
      </c>
      <c r="U23" s="381">
        <f t="shared" si="10"/>
        <v>0</v>
      </c>
      <c r="V23" s="1021">
        <f>+R23+403</f>
        <v>575</v>
      </c>
      <c r="W23" s="716" t="s">
        <v>1004</v>
      </c>
      <c r="X23" s="1029">
        <f t="shared" si="11"/>
        <v>403</v>
      </c>
      <c r="Y23" s="1390" t="s">
        <v>1006</v>
      </c>
      <c r="Z23" s="1">
        <f>+X23*0.4</f>
        <v>161.20000000000002</v>
      </c>
    </row>
    <row r="24" spans="1:26" s="1" customFormat="1" ht="12.75">
      <c r="A24" s="1432"/>
      <c r="B24" s="457" t="s">
        <v>431</v>
      </c>
      <c r="C24" s="1019">
        <f>'BCWS by JOB'!E20</f>
        <v>263</v>
      </c>
      <c r="D24" s="869">
        <f>'BCWP by JOB'!C20</f>
        <v>192.60121052000005</v>
      </c>
      <c r="E24" s="881">
        <f>'ACWP by JOB'!C20</f>
        <v>123.93862038441246</v>
      </c>
      <c r="F24" s="870">
        <f t="shared" si="0"/>
        <v>0.7323239943726237</v>
      </c>
      <c r="G24" s="882">
        <f t="shared" si="1"/>
        <v>1.5540047962662586</v>
      </c>
      <c r="H24" s="871">
        <f t="shared" si="2"/>
        <v>-70.39878947999995</v>
      </c>
      <c r="I24" s="883">
        <f t="shared" si="3"/>
        <v>68.66259013558759</v>
      </c>
      <c r="J24" s="310"/>
      <c r="K24" s="817">
        <f>'BCWS by JOB'!L20</f>
        <v>24</v>
      </c>
      <c r="L24" s="818">
        <f>'BCWP by JOB'!J20</f>
        <v>46.068210520000065</v>
      </c>
      <c r="M24" s="818">
        <f>SUM('ACWP by JOB'!K20)</f>
        <v>1.346</v>
      </c>
      <c r="N24" s="819">
        <f aca="true" t="shared" si="12" ref="N24:N37">+L24/K24</f>
        <v>1.9195087716666694</v>
      </c>
      <c r="O24" s="843">
        <f t="shared" si="5"/>
        <v>34.22601078751862</v>
      </c>
      <c r="P24" s="821">
        <f t="shared" si="6"/>
        <v>22.068210520000065</v>
      </c>
      <c r="Q24" s="844">
        <f t="shared" si="7"/>
        <v>44.72221052000006</v>
      </c>
      <c r="R24" s="713">
        <v>291</v>
      </c>
      <c r="S24" s="381">
        <f t="shared" si="8"/>
        <v>0.9037800687285223</v>
      </c>
      <c r="T24" s="382">
        <f t="shared" si="9"/>
        <v>0.661859829965636</v>
      </c>
      <c r="U24" s="381">
        <f t="shared" si="10"/>
        <v>0.42590591197392597</v>
      </c>
      <c r="V24" s="1021">
        <f>+R24+35</f>
        <v>326</v>
      </c>
      <c r="W24" s="716" t="s">
        <v>1003</v>
      </c>
      <c r="X24" s="1029">
        <f t="shared" si="11"/>
        <v>35</v>
      </c>
      <c r="Y24" s="1390" t="s">
        <v>1006</v>
      </c>
      <c r="Z24" s="1">
        <f>+X24*0.4</f>
        <v>14</v>
      </c>
    </row>
    <row r="25" spans="1:25" s="1" customFormat="1" ht="12.75">
      <c r="A25" s="1432"/>
      <c r="B25" s="457" t="s">
        <v>432</v>
      </c>
      <c r="C25" s="1019">
        <f>'BCWS by JOB'!E21</f>
        <v>0</v>
      </c>
      <c r="D25" s="869">
        <f>'BCWP by JOB'!C21</f>
        <v>0</v>
      </c>
      <c r="E25" s="881">
        <f>'ACWP by JOB'!C21</f>
        <v>0</v>
      </c>
      <c r="F25" s="870" t="e">
        <f t="shared" si="0"/>
        <v>#DIV/0!</v>
      </c>
      <c r="G25" s="882" t="e">
        <f t="shared" si="1"/>
        <v>#DIV/0!</v>
      </c>
      <c r="H25" s="871">
        <f t="shared" si="2"/>
        <v>0</v>
      </c>
      <c r="I25" s="883">
        <f t="shared" si="3"/>
        <v>0</v>
      </c>
      <c r="J25" s="310"/>
      <c r="K25" s="817">
        <f>'BCWS by JOB'!L21</f>
        <v>0</v>
      </c>
      <c r="L25" s="818">
        <f>'BCWP by JOB'!J21</f>
        <v>0</v>
      </c>
      <c r="M25" s="818">
        <f>SUM('ACWP by JOB'!K21)</f>
        <v>0</v>
      </c>
      <c r="N25" s="819" t="e">
        <f t="shared" si="12"/>
        <v>#DIV/0!</v>
      </c>
      <c r="O25" s="843" t="e">
        <f t="shared" si="5"/>
        <v>#DIV/0!</v>
      </c>
      <c r="P25" s="821">
        <f t="shared" si="6"/>
        <v>0</v>
      </c>
      <c r="Q25" s="844">
        <f t="shared" si="7"/>
        <v>0</v>
      </c>
      <c r="R25" s="713">
        <v>31</v>
      </c>
      <c r="S25" s="381">
        <f t="shared" si="8"/>
        <v>0</v>
      </c>
      <c r="T25" s="382">
        <f t="shared" si="9"/>
        <v>0</v>
      </c>
      <c r="U25" s="381">
        <f t="shared" si="10"/>
        <v>0</v>
      </c>
      <c r="V25" s="713">
        <f aca="true" t="shared" si="13" ref="V25:V36">IF(D25=0,R25,(IF(E25=0,R25,R25/G25)))</f>
        <v>31</v>
      </c>
      <c r="W25" s="716" t="s">
        <v>756</v>
      </c>
      <c r="X25" s="894">
        <f t="shared" si="11"/>
        <v>0</v>
      </c>
      <c r="Y25" s="18"/>
    </row>
    <row r="26" spans="1:25" s="1" customFormat="1" ht="12.75">
      <c r="A26" s="1432"/>
      <c r="B26" s="457" t="s">
        <v>433</v>
      </c>
      <c r="C26" s="1019">
        <f>'BCWS by JOB'!E22</f>
        <v>0</v>
      </c>
      <c r="D26" s="869">
        <f>'BCWP by JOB'!C22</f>
        <v>0</v>
      </c>
      <c r="E26" s="881">
        <f>'ACWP by JOB'!C22</f>
        <v>0</v>
      </c>
      <c r="F26" s="870" t="e">
        <f t="shared" si="0"/>
        <v>#DIV/0!</v>
      </c>
      <c r="G26" s="882" t="e">
        <f t="shared" si="1"/>
        <v>#DIV/0!</v>
      </c>
      <c r="H26" s="871">
        <f t="shared" si="2"/>
        <v>0</v>
      </c>
      <c r="I26" s="883">
        <f t="shared" si="3"/>
        <v>0</v>
      </c>
      <c r="J26" s="310"/>
      <c r="K26" s="817">
        <f>'BCWS by JOB'!L22</f>
        <v>0</v>
      </c>
      <c r="L26" s="818">
        <f>'BCWP by JOB'!J22</f>
        <v>0</v>
      </c>
      <c r="M26" s="818">
        <f>SUM('ACWP by JOB'!K22)</f>
        <v>0</v>
      </c>
      <c r="N26" s="819" t="e">
        <f t="shared" si="12"/>
        <v>#DIV/0!</v>
      </c>
      <c r="O26" s="843" t="e">
        <f t="shared" si="5"/>
        <v>#DIV/0!</v>
      </c>
      <c r="P26" s="821">
        <f t="shared" si="6"/>
        <v>0</v>
      </c>
      <c r="Q26" s="844">
        <f t="shared" si="7"/>
        <v>0</v>
      </c>
      <c r="R26" s="713">
        <v>263</v>
      </c>
      <c r="S26" s="381">
        <f t="shared" si="8"/>
        <v>0</v>
      </c>
      <c r="T26" s="382">
        <f t="shared" si="9"/>
        <v>0</v>
      </c>
      <c r="U26" s="381">
        <f t="shared" si="10"/>
        <v>0</v>
      </c>
      <c r="V26" s="713">
        <f t="shared" si="13"/>
        <v>263</v>
      </c>
      <c r="W26" s="716" t="s">
        <v>756</v>
      </c>
      <c r="X26" s="894">
        <f t="shared" si="11"/>
        <v>0</v>
      </c>
      <c r="Y26" s="18"/>
    </row>
    <row r="27" spans="1:25" s="1" customFormat="1" ht="12.75">
      <c r="A27" s="1432"/>
      <c r="B27" s="457" t="s">
        <v>434</v>
      </c>
      <c r="C27" s="1019">
        <f>'BCWS by JOB'!E23</f>
        <v>16</v>
      </c>
      <c r="D27" s="869">
        <f>'BCWP by JOB'!C23</f>
        <v>16.415944550000003</v>
      </c>
      <c r="E27" s="881">
        <f>'ACWP by JOB'!C23</f>
        <v>27.23221395875064</v>
      </c>
      <c r="F27" s="870">
        <f t="shared" si="0"/>
        <v>1.0259965343750002</v>
      </c>
      <c r="G27" s="882">
        <f t="shared" si="1"/>
        <v>0.6028134390713025</v>
      </c>
      <c r="H27" s="871">
        <f t="shared" si="2"/>
        <v>0.4159445500000025</v>
      </c>
      <c r="I27" s="883">
        <f t="shared" si="3"/>
        <v>-10.816269408750639</v>
      </c>
      <c r="J27" s="310"/>
      <c r="K27" s="817">
        <f>'BCWS by JOB'!L23</f>
        <v>2.2</v>
      </c>
      <c r="L27" s="818">
        <f>'BCWP by JOB'!J23</f>
        <v>2.3679445500000025</v>
      </c>
      <c r="M27" s="818">
        <f>SUM('ACWP by JOB'!K23)</f>
        <v>4.292</v>
      </c>
      <c r="N27" s="819">
        <f t="shared" si="12"/>
        <v>1.0763384318181828</v>
      </c>
      <c r="O27" s="843">
        <f t="shared" si="5"/>
        <v>0.5517112185461329</v>
      </c>
      <c r="P27" s="821">
        <f t="shared" si="6"/>
        <v>0.1679445500000023</v>
      </c>
      <c r="Q27" s="844">
        <f t="shared" si="7"/>
        <v>-1.9240554499999973</v>
      </c>
      <c r="R27" s="713">
        <v>132</v>
      </c>
      <c r="S27" s="381">
        <f t="shared" si="8"/>
        <v>0.12121212121212122</v>
      </c>
      <c r="T27" s="382">
        <f t="shared" si="9"/>
        <v>0.1243632162878788</v>
      </c>
      <c r="U27" s="381">
        <f t="shared" si="10"/>
        <v>0.20630465120265637</v>
      </c>
      <c r="V27" s="713">
        <f t="shared" si="13"/>
        <v>218.97322031068168</v>
      </c>
      <c r="W27" s="716" t="s">
        <v>756</v>
      </c>
      <c r="X27" s="894">
        <f t="shared" si="11"/>
        <v>86.97322031068168</v>
      </c>
      <c r="Y27" s="18"/>
    </row>
    <row r="28" spans="1:26" s="1" customFormat="1" ht="12.75">
      <c r="A28" s="1432"/>
      <c r="B28" s="457" t="s">
        <v>435</v>
      </c>
      <c r="C28" s="1019">
        <f>'BCWS by JOB'!E24</f>
        <v>0</v>
      </c>
      <c r="D28" s="869">
        <f>'BCWP by JOB'!C24</f>
        <v>0</v>
      </c>
      <c r="E28" s="881">
        <f>'ACWP by JOB'!C24</f>
        <v>0</v>
      </c>
      <c r="F28" s="870" t="e">
        <f t="shared" si="0"/>
        <v>#DIV/0!</v>
      </c>
      <c r="G28" s="882" t="e">
        <f t="shared" si="1"/>
        <v>#DIV/0!</v>
      </c>
      <c r="H28" s="871">
        <f t="shared" si="2"/>
        <v>0</v>
      </c>
      <c r="I28" s="883">
        <f t="shared" si="3"/>
        <v>0</v>
      </c>
      <c r="J28" s="310"/>
      <c r="K28" s="817">
        <f>'BCWS by JOB'!L24</f>
        <v>0</v>
      </c>
      <c r="L28" s="818">
        <f>'BCWP by JOB'!J24</f>
        <v>0</v>
      </c>
      <c r="M28" s="818">
        <f>SUM('ACWP by JOB'!K24)</f>
        <v>0</v>
      </c>
      <c r="N28" s="819" t="e">
        <f t="shared" si="12"/>
        <v>#DIV/0!</v>
      </c>
      <c r="O28" s="843" t="e">
        <f t="shared" si="5"/>
        <v>#DIV/0!</v>
      </c>
      <c r="P28" s="821">
        <f t="shared" si="6"/>
        <v>0</v>
      </c>
      <c r="Q28" s="844">
        <f t="shared" si="7"/>
        <v>0</v>
      </c>
      <c r="R28" s="713">
        <v>46</v>
      </c>
      <c r="S28" s="381">
        <f t="shared" si="8"/>
        <v>0</v>
      </c>
      <c r="T28" s="382">
        <f t="shared" si="9"/>
        <v>0</v>
      </c>
      <c r="U28" s="381">
        <f t="shared" si="10"/>
        <v>0</v>
      </c>
      <c r="V28" s="1021">
        <f>+R28+49</f>
        <v>95</v>
      </c>
      <c r="W28" s="716" t="s">
        <v>756</v>
      </c>
      <c r="X28" s="1029">
        <f t="shared" si="11"/>
        <v>49</v>
      </c>
      <c r="Y28" s="1390" t="s">
        <v>1006</v>
      </c>
      <c r="Z28" s="1">
        <f>+X28*0.4</f>
        <v>19.6</v>
      </c>
    </row>
    <row r="29" spans="1:25" s="1" customFormat="1" ht="12.75">
      <c r="A29" s="1432"/>
      <c r="B29" s="457" t="s">
        <v>436</v>
      </c>
      <c r="C29" s="1019">
        <f>'BCWS by JOB'!E25</f>
        <v>0</v>
      </c>
      <c r="D29" s="869">
        <f>'BCWP by JOB'!C25</f>
        <v>0</v>
      </c>
      <c r="E29" s="881">
        <f>'ACWP by JOB'!C25</f>
        <v>0</v>
      </c>
      <c r="F29" s="870" t="e">
        <f t="shared" si="0"/>
        <v>#DIV/0!</v>
      </c>
      <c r="G29" s="882" t="e">
        <f t="shared" si="1"/>
        <v>#DIV/0!</v>
      </c>
      <c r="H29" s="871">
        <f t="shared" si="2"/>
        <v>0</v>
      </c>
      <c r="I29" s="883">
        <f t="shared" si="3"/>
        <v>0</v>
      </c>
      <c r="J29" s="310"/>
      <c r="K29" s="817">
        <f>'BCWS by JOB'!L25</f>
        <v>0</v>
      </c>
      <c r="L29" s="818">
        <f>'BCWP by JOB'!J25</f>
        <v>0</v>
      </c>
      <c r="M29" s="818">
        <f>SUM('ACWP by JOB'!K25)</f>
        <v>0</v>
      </c>
      <c r="N29" s="819" t="e">
        <f t="shared" si="12"/>
        <v>#DIV/0!</v>
      </c>
      <c r="O29" s="843" t="e">
        <f t="shared" si="5"/>
        <v>#DIV/0!</v>
      </c>
      <c r="P29" s="821">
        <f t="shared" si="6"/>
        <v>0</v>
      </c>
      <c r="Q29" s="844">
        <f t="shared" si="7"/>
        <v>0</v>
      </c>
      <c r="R29" s="713">
        <v>655</v>
      </c>
      <c r="S29" s="381">
        <f t="shared" si="8"/>
        <v>0</v>
      </c>
      <c r="T29" s="382">
        <f t="shared" si="9"/>
        <v>0</v>
      </c>
      <c r="U29" s="381">
        <f t="shared" si="10"/>
        <v>0</v>
      </c>
      <c r="V29" s="713">
        <f t="shared" si="13"/>
        <v>655</v>
      </c>
      <c r="W29" s="716" t="s">
        <v>756</v>
      </c>
      <c r="X29" s="894">
        <f t="shared" si="11"/>
        <v>0</v>
      </c>
      <c r="Y29" s="18"/>
    </row>
    <row r="30" spans="1:25" s="1" customFormat="1" ht="12.75">
      <c r="A30" s="1432"/>
      <c r="B30" s="457" t="s">
        <v>437</v>
      </c>
      <c r="C30" s="1019">
        <f>'BCWS by JOB'!E26</f>
        <v>0</v>
      </c>
      <c r="D30" s="869">
        <f>'BCWP by JOB'!C26</f>
        <v>0</v>
      </c>
      <c r="E30" s="881">
        <f>'ACWP by JOB'!C26</f>
        <v>0</v>
      </c>
      <c r="F30" s="870" t="e">
        <f t="shared" si="0"/>
        <v>#DIV/0!</v>
      </c>
      <c r="G30" s="882" t="e">
        <f t="shared" si="1"/>
        <v>#DIV/0!</v>
      </c>
      <c r="H30" s="871">
        <f t="shared" si="2"/>
        <v>0</v>
      </c>
      <c r="I30" s="883">
        <f t="shared" si="3"/>
        <v>0</v>
      </c>
      <c r="J30" s="310"/>
      <c r="K30" s="817">
        <f>'BCWS by JOB'!L26</f>
        <v>0</v>
      </c>
      <c r="L30" s="818">
        <f>'BCWP by JOB'!J26</f>
        <v>0</v>
      </c>
      <c r="M30" s="818">
        <f>SUM('ACWP by JOB'!K26)</f>
        <v>0</v>
      </c>
      <c r="N30" s="819" t="e">
        <f t="shared" si="12"/>
        <v>#DIV/0!</v>
      </c>
      <c r="O30" s="843" t="e">
        <f t="shared" si="5"/>
        <v>#DIV/0!</v>
      </c>
      <c r="P30" s="821">
        <f t="shared" si="6"/>
        <v>0</v>
      </c>
      <c r="Q30" s="844">
        <f t="shared" si="7"/>
        <v>0</v>
      </c>
      <c r="R30" s="713">
        <v>105</v>
      </c>
      <c r="S30" s="381">
        <f t="shared" si="8"/>
        <v>0</v>
      </c>
      <c r="T30" s="382">
        <f t="shared" si="9"/>
        <v>0</v>
      </c>
      <c r="U30" s="381">
        <f t="shared" si="10"/>
        <v>0</v>
      </c>
      <c r="V30" s="713">
        <f t="shared" si="13"/>
        <v>105</v>
      </c>
      <c r="W30" s="716" t="s">
        <v>756</v>
      </c>
      <c r="X30" s="894">
        <f t="shared" si="11"/>
        <v>0</v>
      </c>
      <c r="Y30" s="18"/>
    </row>
    <row r="31" spans="1:25" s="1" customFormat="1" ht="12.75">
      <c r="A31" s="1432"/>
      <c r="B31" s="457" t="s">
        <v>438</v>
      </c>
      <c r="C31" s="1019">
        <f>'BCWS by JOB'!E27</f>
        <v>0</v>
      </c>
      <c r="D31" s="869">
        <f>'BCWP by JOB'!C27</f>
        <v>0</v>
      </c>
      <c r="E31" s="881">
        <f>'ACWP by JOB'!C27</f>
        <v>0</v>
      </c>
      <c r="F31" s="870" t="e">
        <f t="shared" si="0"/>
        <v>#DIV/0!</v>
      </c>
      <c r="G31" s="882" t="e">
        <f t="shared" si="1"/>
        <v>#DIV/0!</v>
      </c>
      <c r="H31" s="871">
        <f t="shared" si="2"/>
        <v>0</v>
      </c>
      <c r="I31" s="883">
        <f t="shared" si="3"/>
        <v>0</v>
      </c>
      <c r="J31" s="310"/>
      <c r="K31" s="817">
        <f>'BCWS by JOB'!L27</f>
        <v>0</v>
      </c>
      <c r="L31" s="818">
        <f>'BCWP by JOB'!J27</f>
        <v>0</v>
      </c>
      <c r="M31" s="818">
        <f>SUM('ACWP by JOB'!K27)</f>
        <v>0</v>
      </c>
      <c r="N31" s="819" t="e">
        <f t="shared" si="12"/>
        <v>#DIV/0!</v>
      </c>
      <c r="O31" s="843" t="e">
        <f t="shared" si="5"/>
        <v>#DIV/0!</v>
      </c>
      <c r="P31" s="821">
        <f t="shared" si="6"/>
        <v>0</v>
      </c>
      <c r="Q31" s="844">
        <f t="shared" si="7"/>
        <v>0</v>
      </c>
      <c r="R31" s="713">
        <v>573</v>
      </c>
      <c r="S31" s="381">
        <f t="shared" si="8"/>
        <v>0</v>
      </c>
      <c r="T31" s="382">
        <f t="shared" si="9"/>
        <v>0</v>
      </c>
      <c r="U31" s="381">
        <f t="shared" si="10"/>
        <v>0</v>
      </c>
      <c r="V31" s="713">
        <f t="shared" si="13"/>
        <v>573</v>
      </c>
      <c r="W31" s="716" t="s">
        <v>756</v>
      </c>
      <c r="X31" s="894">
        <f t="shared" si="11"/>
        <v>0</v>
      </c>
      <c r="Y31" s="18"/>
    </row>
    <row r="32" spans="1:25" s="1" customFormat="1" ht="12.75">
      <c r="A32" s="1432"/>
      <c r="B32" s="457" t="s">
        <v>439</v>
      </c>
      <c r="C32" s="1019">
        <f>'BCWS by JOB'!E28</f>
        <v>0</v>
      </c>
      <c r="D32" s="869">
        <f>'BCWP by JOB'!C28</f>
        <v>2.633634</v>
      </c>
      <c r="E32" s="881">
        <f>'ACWP by JOB'!C28</f>
        <v>0</v>
      </c>
      <c r="F32" s="870" t="e">
        <f t="shared" si="0"/>
        <v>#DIV/0!</v>
      </c>
      <c r="G32" s="882" t="e">
        <f t="shared" si="1"/>
        <v>#DIV/0!</v>
      </c>
      <c r="H32" s="871">
        <f t="shared" si="2"/>
        <v>2.633634</v>
      </c>
      <c r="I32" s="883">
        <f t="shared" si="3"/>
        <v>2.633634</v>
      </c>
      <c r="J32" s="310"/>
      <c r="K32" s="817">
        <f>'BCWS by JOB'!L28</f>
        <v>0</v>
      </c>
      <c r="L32" s="818">
        <f>'BCWP by JOB'!J28</f>
        <v>0.01963399999999993</v>
      </c>
      <c r="M32" s="818">
        <f>SUM('ACWP by JOB'!K28)</f>
        <v>0</v>
      </c>
      <c r="N32" s="819" t="e">
        <f t="shared" si="12"/>
        <v>#DIV/0!</v>
      </c>
      <c r="O32" s="843" t="e">
        <f t="shared" si="5"/>
        <v>#DIV/0!</v>
      </c>
      <c r="P32" s="821">
        <f t="shared" si="6"/>
        <v>0.01963399999999993</v>
      </c>
      <c r="Q32" s="844">
        <f t="shared" si="7"/>
        <v>0.01963399999999993</v>
      </c>
      <c r="R32" s="713">
        <v>204</v>
      </c>
      <c r="S32" s="381">
        <f t="shared" si="8"/>
        <v>0</v>
      </c>
      <c r="T32" s="382">
        <f t="shared" si="9"/>
        <v>0.012909970588235294</v>
      </c>
      <c r="U32" s="381">
        <f t="shared" si="10"/>
        <v>0</v>
      </c>
      <c r="V32" s="713">
        <f t="shared" si="13"/>
        <v>204</v>
      </c>
      <c r="W32" s="716" t="s">
        <v>756</v>
      </c>
      <c r="X32" s="894">
        <f t="shared" si="11"/>
        <v>0</v>
      </c>
      <c r="Y32" s="18"/>
    </row>
    <row r="33" spans="1:25" s="1" customFormat="1" ht="12.75">
      <c r="A33" s="1432"/>
      <c r="B33" s="457" t="s">
        <v>440</v>
      </c>
      <c r="C33" s="1019">
        <f>'BCWS by JOB'!E29</f>
        <v>-304</v>
      </c>
      <c r="D33" s="869">
        <f>'BCWP by JOB'!C29</f>
        <v>-304.38081726</v>
      </c>
      <c r="E33" s="881">
        <f>'ACWP by JOB'!C29</f>
        <v>-275.4782542977656</v>
      </c>
      <c r="F33" s="870">
        <f t="shared" si="0"/>
        <v>1.0012526883552633</v>
      </c>
      <c r="G33" s="882">
        <f t="shared" si="1"/>
        <v>1.1049177657812275</v>
      </c>
      <c r="H33" s="871">
        <f t="shared" si="2"/>
        <v>-0.3808172600000148</v>
      </c>
      <c r="I33" s="883">
        <f t="shared" si="3"/>
        <v>-28.902562962234413</v>
      </c>
      <c r="J33" s="310"/>
      <c r="K33" s="817">
        <f>'BCWS by JOB'!L29</f>
        <v>2</v>
      </c>
      <c r="L33" s="818">
        <f>'BCWP by JOB'!J29</f>
        <v>1.8191827399999738</v>
      </c>
      <c r="M33" s="818">
        <f>SUM('ACWP by JOB'!K29)</f>
        <v>6.801</v>
      </c>
      <c r="N33" s="819">
        <f t="shared" si="12"/>
        <v>0.9095913699999869</v>
      </c>
      <c r="O33" s="843">
        <f t="shared" si="5"/>
        <v>0.2674875371268893</v>
      </c>
      <c r="P33" s="821">
        <f t="shared" si="6"/>
        <v>-0.18081726000002618</v>
      </c>
      <c r="Q33" s="844">
        <f t="shared" si="7"/>
        <v>-4.981817260000026</v>
      </c>
      <c r="R33" s="713">
        <v>1417</v>
      </c>
      <c r="S33" s="381">
        <f t="shared" si="8"/>
        <v>-0.2145377558221595</v>
      </c>
      <c r="T33" s="382">
        <f t="shared" si="9"/>
        <v>-0.21480650477064223</v>
      </c>
      <c r="U33" s="381">
        <f t="shared" si="10"/>
        <v>-0.19440949491726578</v>
      </c>
      <c r="V33" s="713">
        <v>1417</v>
      </c>
      <c r="W33" s="716" t="s">
        <v>222</v>
      </c>
      <c r="X33" s="894">
        <f t="shared" si="11"/>
        <v>0</v>
      </c>
      <c r="Y33" s="18"/>
    </row>
    <row r="34" spans="1:25" s="1" customFormat="1" ht="12.75">
      <c r="A34" s="1432"/>
      <c r="B34" s="457" t="s">
        <v>441</v>
      </c>
      <c r="C34" s="1019">
        <f>'BCWS by JOB'!E30</f>
        <v>0</v>
      </c>
      <c r="D34" s="869">
        <f>'BCWP by JOB'!C30</f>
        <v>0</v>
      </c>
      <c r="E34" s="881">
        <f>'ACWP by JOB'!C30</f>
        <v>0</v>
      </c>
      <c r="F34" s="870" t="e">
        <f t="shared" si="0"/>
        <v>#DIV/0!</v>
      </c>
      <c r="G34" s="882" t="e">
        <f t="shared" si="1"/>
        <v>#DIV/0!</v>
      </c>
      <c r="H34" s="871">
        <f t="shared" si="2"/>
        <v>0</v>
      </c>
      <c r="I34" s="883">
        <f t="shared" si="3"/>
        <v>0</v>
      </c>
      <c r="J34" s="310"/>
      <c r="K34" s="817">
        <f>'BCWS by JOB'!L30</f>
        <v>0</v>
      </c>
      <c r="L34" s="818">
        <f>'BCWP by JOB'!J30</f>
        <v>0</v>
      </c>
      <c r="M34" s="818">
        <f>SUM('ACWP by JOB'!K30)</f>
        <v>0</v>
      </c>
      <c r="N34" s="819" t="e">
        <f t="shared" si="12"/>
        <v>#DIV/0!</v>
      </c>
      <c r="O34" s="843" t="e">
        <f t="shared" si="5"/>
        <v>#DIV/0!</v>
      </c>
      <c r="P34" s="821">
        <f t="shared" si="6"/>
        <v>0</v>
      </c>
      <c r="Q34" s="844">
        <f t="shared" si="7"/>
        <v>0</v>
      </c>
      <c r="R34" s="713">
        <v>1407</v>
      </c>
      <c r="S34" s="381">
        <f t="shared" si="8"/>
        <v>0</v>
      </c>
      <c r="T34" s="382">
        <f t="shared" si="9"/>
        <v>0</v>
      </c>
      <c r="U34" s="381">
        <f t="shared" si="10"/>
        <v>0</v>
      </c>
      <c r="V34" s="713">
        <f>+R34</f>
        <v>1407</v>
      </c>
      <c r="W34" s="716" t="s">
        <v>756</v>
      </c>
      <c r="X34" s="894">
        <f t="shared" si="11"/>
        <v>0</v>
      </c>
      <c r="Y34" s="18"/>
    </row>
    <row r="35" spans="1:26" s="1" customFormat="1" ht="12.75">
      <c r="A35" s="1432"/>
      <c r="B35" s="457" t="s">
        <v>442</v>
      </c>
      <c r="C35" s="1019">
        <f>'BCWS by JOB'!E31</f>
        <v>0</v>
      </c>
      <c r="D35" s="869">
        <f>'BCWP by JOB'!C31</f>
        <v>0</v>
      </c>
      <c r="E35" s="881">
        <f>'ACWP by JOB'!C31</f>
        <v>0</v>
      </c>
      <c r="F35" s="870" t="e">
        <f t="shared" si="0"/>
        <v>#DIV/0!</v>
      </c>
      <c r="G35" s="882" t="e">
        <f t="shared" si="1"/>
        <v>#DIV/0!</v>
      </c>
      <c r="H35" s="871">
        <f t="shared" si="2"/>
        <v>0</v>
      </c>
      <c r="I35" s="883">
        <f t="shared" si="3"/>
        <v>0</v>
      </c>
      <c r="J35" s="310"/>
      <c r="K35" s="817">
        <f>'BCWS by JOB'!L31</f>
        <v>0</v>
      </c>
      <c r="L35" s="818">
        <f>'BCWP by JOB'!J31</f>
        <v>0</v>
      </c>
      <c r="M35" s="818">
        <f>SUM('ACWP by JOB'!K31)</f>
        <v>0</v>
      </c>
      <c r="N35" s="819" t="e">
        <f t="shared" si="12"/>
        <v>#DIV/0!</v>
      </c>
      <c r="O35" s="843" t="e">
        <f t="shared" si="5"/>
        <v>#DIV/0!</v>
      </c>
      <c r="P35" s="821">
        <f t="shared" si="6"/>
        <v>0</v>
      </c>
      <c r="Q35" s="844">
        <f t="shared" si="7"/>
        <v>0</v>
      </c>
      <c r="R35" s="713">
        <v>4511</v>
      </c>
      <c r="S35" s="381">
        <f t="shared" si="8"/>
        <v>0</v>
      </c>
      <c r="T35" s="382">
        <f t="shared" si="9"/>
        <v>0</v>
      </c>
      <c r="U35" s="381">
        <f t="shared" si="10"/>
        <v>0</v>
      </c>
      <c r="V35" s="1021">
        <f>+R35+67+25</f>
        <v>4603</v>
      </c>
      <c r="W35" s="716" t="s">
        <v>1000</v>
      </c>
      <c r="X35" s="1029">
        <f t="shared" si="11"/>
        <v>92</v>
      </c>
      <c r="Y35" s="1390" t="s">
        <v>1006</v>
      </c>
      <c r="Z35" s="1">
        <f>+X35*0.4</f>
        <v>36.800000000000004</v>
      </c>
    </row>
    <row r="36" spans="1:25" s="1" customFormat="1" ht="13.5" thickBot="1">
      <c r="A36" s="1432"/>
      <c r="B36" s="458" t="s">
        <v>443</v>
      </c>
      <c r="C36" s="1020">
        <f>'BCWS by JOB'!E32</f>
        <v>0</v>
      </c>
      <c r="D36" s="873">
        <f>'BCWP by JOB'!C32</f>
        <v>0</v>
      </c>
      <c r="E36" s="886">
        <f>'ACWP by JOB'!C32</f>
        <v>0</v>
      </c>
      <c r="F36" s="874" t="e">
        <f t="shared" si="0"/>
        <v>#DIV/0!</v>
      </c>
      <c r="G36" s="887" t="e">
        <f t="shared" si="1"/>
        <v>#DIV/0!</v>
      </c>
      <c r="H36" s="875">
        <f t="shared" si="2"/>
        <v>0</v>
      </c>
      <c r="I36" s="888">
        <f t="shared" si="3"/>
        <v>0</v>
      </c>
      <c r="J36" s="310"/>
      <c r="K36" s="845">
        <f>'BCWS by JOB'!L32</f>
        <v>0</v>
      </c>
      <c r="L36" s="846">
        <f>'BCWP by JOB'!J32</f>
        <v>0</v>
      </c>
      <c r="M36" s="847">
        <f>SUM('ACWP by JOB'!K32)</f>
        <v>0</v>
      </c>
      <c r="N36" s="848" t="e">
        <f t="shared" si="12"/>
        <v>#DIV/0!</v>
      </c>
      <c r="O36" s="849" t="e">
        <f t="shared" si="5"/>
        <v>#DIV/0!</v>
      </c>
      <c r="P36" s="850">
        <f t="shared" si="6"/>
        <v>0</v>
      </c>
      <c r="Q36" s="851">
        <f t="shared" si="7"/>
        <v>0</v>
      </c>
      <c r="R36" s="714">
        <v>412</v>
      </c>
      <c r="S36" s="381">
        <f t="shared" si="8"/>
        <v>0</v>
      </c>
      <c r="T36" s="382">
        <f t="shared" si="9"/>
        <v>0</v>
      </c>
      <c r="U36" s="381">
        <f t="shared" si="10"/>
        <v>0</v>
      </c>
      <c r="V36" s="714">
        <f t="shared" si="13"/>
        <v>412</v>
      </c>
      <c r="W36" s="717" t="s">
        <v>756</v>
      </c>
      <c r="X36" s="895">
        <f t="shared" si="11"/>
        <v>0</v>
      </c>
      <c r="Y36" s="18"/>
    </row>
    <row r="37" spans="1:25" s="461" customFormat="1" ht="16.5" thickBot="1">
      <c r="A37" s="1433"/>
      <c r="B37" s="459" t="s">
        <v>695</v>
      </c>
      <c r="C37" s="435">
        <f>SUM(C12:C36)</f>
        <v>4659.28</v>
      </c>
      <c r="D37" s="436">
        <f>SUM(D12:D36)</f>
        <v>4333.6990753499995</v>
      </c>
      <c r="E37" s="568">
        <f>SUM(E12:E36)</f>
        <v>3726.687819234341</v>
      </c>
      <c r="F37" s="566">
        <f t="shared" si="0"/>
        <v>0.9301220521947596</v>
      </c>
      <c r="G37" s="567">
        <f t="shared" si="1"/>
        <v>1.1628822390173725</v>
      </c>
      <c r="H37" s="564">
        <f t="shared" si="2"/>
        <v>-325.58092465000027</v>
      </c>
      <c r="I37" s="437">
        <f t="shared" si="3"/>
        <v>607.0112561156584</v>
      </c>
      <c r="J37" s="438"/>
      <c r="K37" s="830">
        <f>SUM(K12:K36)</f>
        <v>641.77</v>
      </c>
      <c r="L37" s="831">
        <f>SUM(L12:L36)</f>
        <v>539.19307535</v>
      </c>
      <c r="M37" s="831">
        <f>SUM(M12:M36)</f>
        <v>571.916</v>
      </c>
      <c r="N37" s="832">
        <f t="shared" si="12"/>
        <v>0.840165597254468</v>
      </c>
      <c r="O37" s="833">
        <f t="shared" si="5"/>
        <v>0.9427836873771671</v>
      </c>
      <c r="P37" s="834">
        <f t="shared" si="6"/>
        <v>-102.57692465000002</v>
      </c>
      <c r="Q37" s="835">
        <f t="shared" si="7"/>
        <v>-32.722924650000095</v>
      </c>
      <c r="R37" s="708">
        <f>SUM(R12:R36)</f>
        <v>24791</v>
      </c>
      <c r="S37" s="709">
        <f t="shared" si="8"/>
        <v>0.18794239845105076</v>
      </c>
      <c r="T37" s="710">
        <f t="shared" si="9"/>
        <v>0.17480936934169655</v>
      </c>
      <c r="U37" s="709">
        <f t="shared" si="10"/>
        <v>0.15032422327596068</v>
      </c>
      <c r="V37" s="892">
        <f>SUM(V12:V36)</f>
        <v>26498.973220310683</v>
      </c>
      <c r="W37" s="711"/>
      <c r="X37" s="1026">
        <f t="shared" si="11"/>
        <v>1707.9732203106832</v>
      </c>
      <c r="Y37" s="1392"/>
    </row>
    <row r="38" spans="1:25" s="1" customFormat="1" ht="20.25" customHeight="1" thickBot="1">
      <c r="A38" s="645"/>
      <c r="B38" s="441"/>
      <c r="C38" s="9"/>
      <c r="D38" s="9"/>
      <c r="E38" s="9"/>
      <c r="F38" s="303"/>
      <c r="G38" s="239"/>
      <c r="H38" s="249"/>
      <c r="I38" s="12"/>
      <c r="J38" s="310"/>
      <c r="K38" s="836"/>
      <c r="L38" s="836"/>
      <c r="M38" s="836"/>
      <c r="N38" s="837"/>
      <c r="O38" s="838"/>
      <c r="P38" s="839"/>
      <c r="Q38" s="840">
        <f>+'BCWP by JOB'!H34-'ACWP by JOB'!K34</f>
        <v>0</v>
      </c>
      <c r="R38" s="2"/>
      <c r="V38" s="441">
        <f>IF(U38&gt;T38*1.5,"X","")</f>
      </c>
      <c r="X38" s="441"/>
      <c r="Y38" s="18"/>
    </row>
    <row r="39" spans="1:25" s="1" customFormat="1" ht="12.75">
      <c r="A39" s="1434" t="s">
        <v>121</v>
      </c>
      <c r="B39" s="456" t="s">
        <v>394</v>
      </c>
      <c r="C39" s="889">
        <f>'BCWS by JOB'!E35</f>
        <v>104</v>
      </c>
      <c r="D39" s="876">
        <f>'BCWP by JOB'!C35</f>
        <v>61.59459100000001</v>
      </c>
      <c r="E39" s="877">
        <f>'ACWP by JOB'!C35</f>
        <v>55.34900320238492</v>
      </c>
      <c r="F39" s="878">
        <f aca="true" t="shared" si="14" ref="F39:F64">+D39/C39</f>
        <v>0.5922556826923078</v>
      </c>
      <c r="G39" s="890">
        <f aca="true" t="shared" si="15" ref="G39:G64">+D39/E39</f>
        <v>1.1128401133942367</v>
      </c>
      <c r="H39" s="879">
        <f aca="true" t="shared" si="16" ref="H39:H65">+D39-C39</f>
        <v>-42.40540899999999</v>
      </c>
      <c r="I39" s="880">
        <f aca="true" t="shared" si="17" ref="I39:I64">+D39-E39</f>
        <v>6.245587797615087</v>
      </c>
      <c r="J39" s="312"/>
      <c r="K39" s="812">
        <f>'BCWS by JOB'!L35</f>
        <v>25</v>
      </c>
      <c r="L39" s="841">
        <f>'BCWP by JOB'!J35</f>
        <v>0.5095910000000075</v>
      </c>
      <c r="M39" s="841">
        <f>SUM('ACWP by JOB'!K35)</f>
        <v>7.747</v>
      </c>
      <c r="N39" s="814">
        <f>+L39/K39</f>
        <v>0.0203836400000003</v>
      </c>
      <c r="O39" s="815">
        <f aca="true" t="shared" si="18" ref="O39:O64">+L39/M39</f>
        <v>0.06577914031237996</v>
      </c>
      <c r="P39" s="842">
        <f aca="true" t="shared" si="19" ref="P39:P65">+L39-K39</f>
        <v>-24.490408999999993</v>
      </c>
      <c r="Q39" s="816">
        <f aca="true" t="shared" si="20" ref="Q39:Q64">+L39-M39</f>
        <v>-7.237408999999992</v>
      </c>
      <c r="R39" s="605">
        <v>257</v>
      </c>
      <c r="S39" s="379">
        <f t="shared" si="8"/>
        <v>0.4046692607003891</v>
      </c>
      <c r="T39" s="380">
        <f aca="true" t="shared" si="21" ref="T39:T65">+D39/R39</f>
        <v>0.23966766926070043</v>
      </c>
      <c r="U39" s="379">
        <f aca="true" t="shared" si="22" ref="U39:U65">+E39/R39</f>
        <v>0.21536577121550554</v>
      </c>
      <c r="V39" s="603">
        <f>+R39</f>
        <v>257</v>
      </c>
      <c r="W39" s="2" t="s">
        <v>757</v>
      </c>
      <c r="X39" s="893">
        <f aca="true" t="shared" si="23" ref="X39:X65">+V39-R39</f>
        <v>0</v>
      </c>
      <c r="Y39" s="18"/>
    </row>
    <row r="40" spans="1:25" s="1" customFormat="1" ht="12.75">
      <c r="A40" s="1435"/>
      <c r="B40" s="457" t="s">
        <v>395</v>
      </c>
      <c r="C40" s="868">
        <f>'BCWS by JOB'!E36</f>
        <v>0</v>
      </c>
      <c r="D40" s="869">
        <f>'BCWP by JOB'!C36</f>
        <v>0</v>
      </c>
      <c r="E40" s="881">
        <f>'ACWP by JOB'!C36</f>
        <v>0</v>
      </c>
      <c r="F40" s="870" t="e">
        <f t="shared" si="14"/>
        <v>#DIV/0!</v>
      </c>
      <c r="G40" s="882" t="e">
        <f t="shared" si="15"/>
        <v>#DIV/0!</v>
      </c>
      <c r="H40" s="871">
        <f t="shared" si="16"/>
        <v>0</v>
      </c>
      <c r="I40" s="883">
        <f t="shared" si="17"/>
        <v>0</v>
      </c>
      <c r="J40" s="310"/>
      <c r="K40" s="817">
        <f>'BCWS by JOB'!L36</f>
        <v>0</v>
      </c>
      <c r="L40" s="818">
        <f>'BCWP by JOB'!J36</f>
        <v>0</v>
      </c>
      <c r="M40" s="818">
        <f>SUM('ACWP by JOB'!K36)</f>
        <v>0</v>
      </c>
      <c r="N40" s="843" t="e">
        <f>+K40/L40</f>
        <v>#DIV/0!</v>
      </c>
      <c r="O40" s="843" t="e">
        <f t="shared" si="18"/>
        <v>#DIV/0!</v>
      </c>
      <c r="P40" s="821">
        <f t="shared" si="19"/>
        <v>0</v>
      </c>
      <c r="Q40" s="844">
        <f t="shared" si="20"/>
        <v>0</v>
      </c>
      <c r="R40" s="603">
        <v>1630</v>
      </c>
      <c r="S40" s="381">
        <f t="shared" si="8"/>
        <v>0</v>
      </c>
      <c r="T40" s="382">
        <f t="shared" si="21"/>
        <v>0</v>
      </c>
      <c r="U40" s="381">
        <f t="shared" si="22"/>
        <v>0</v>
      </c>
      <c r="V40" s="603">
        <f>IF(D40=0,R40,(IF(E40=0,R40,R40/G40)))</f>
        <v>1630</v>
      </c>
      <c r="W40" s="2" t="s">
        <v>756</v>
      </c>
      <c r="X40" s="893">
        <f t="shared" si="23"/>
        <v>0</v>
      </c>
      <c r="Y40" s="18"/>
    </row>
    <row r="41" spans="1:25" s="1" customFormat="1" ht="12.75">
      <c r="A41" s="1435"/>
      <c r="B41" s="457" t="s">
        <v>396</v>
      </c>
      <c r="C41" s="868">
        <f>'BCWS by JOB'!E37</f>
        <v>0</v>
      </c>
      <c r="D41" s="869">
        <f>'BCWP by JOB'!C37</f>
        <v>0</v>
      </c>
      <c r="E41" s="881">
        <f>'ACWP by JOB'!C37</f>
        <v>0</v>
      </c>
      <c r="F41" s="870" t="e">
        <f t="shared" si="14"/>
        <v>#DIV/0!</v>
      </c>
      <c r="G41" s="882" t="e">
        <f t="shared" si="15"/>
        <v>#DIV/0!</v>
      </c>
      <c r="H41" s="871">
        <f t="shared" si="16"/>
        <v>0</v>
      </c>
      <c r="I41" s="883">
        <f t="shared" si="17"/>
        <v>0</v>
      </c>
      <c r="J41" s="310"/>
      <c r="K41" s="817">
        <f>'BCWS by JOB'!L37</f>
        <v>0</v>
      </c>
      <c r="L41" s="818">
        <f>'BCWP by JOB'!J37</f>
        <v>0</v>
      </c>
      <c r="M41" s="818">
        <f>SUM('ACWP by JOB'!K37)</f>
        <v>0</v>
      </c>
      <c r="N41" s="843" t="e">
        <f>+K41/L41</f>
        <v>#DIV/0!</v>
      </c>
      <c r="O41" s="843" t="e">
        <f t="shared" si="18"/>
        <v>#DIV/0!</v>
      </c>
      <c r="P41" s="821">
        <f t="shared" si="19"/>
        <v>0</v>
      </c>
      <c r="Q41" s="844">
        <f t="shared" si="20"/>
        <v>0</v>
      </c>
      <c r="R41" s="603">
        <v>337</v>
      </c>
      <c r="S41" s="381">
        <f t="shared" si="8"/>
        <v>0</v>
      </c>
      <c r="T41" s="382">
        <f t="shared" si="21"/>
        <v>0</v>
      </c>
      <c r="U41" s="381">
        <f t="shared" si="22"/>
        <v>0</v>
      </c>
      <c r="V41" s="603">
        <f>IF(D41=0,R41,(IF(E41=0,R41,R41/G41)))</f>
        <v>337</v>
      </c>
      <c r="W41" s="2" t="s">
        <v>756</v>
      </c>
      <c r="X41" s="893">
        <f t="shared" si="23"/>
        <v>0</v>
      </c>
      <c r="Y41" s="18"/>
    </row>
    <row r="42" spans="1:26" s="1" customFormat="1" ht="12.75">
      <c r="A42" s="1435"/>
      <c r="B42" s="457" t="s">
        <v>397</v>
      </c>
      <c r="C42" s="868">
        <f>'BCWS by JOB'!E38</f>
        <v>29.6</v>
      </c>
      <c r="D42" s="869">
        <f>'BCWP by JOB'!C38</f>
        <v>1.4860799999999998</v>
      </c>
      <c r="E42" s="881">
        <f>'ACWP by JOB'!C38</f>
        <v>18.073999999999998</v>
      </c>
      <c r="F42" s="870">
        <f t="shared" si="14"/>
        <v>0.0502054054054054</v>
      </c>
      <c r="G42" s="882">
        <f t="shared" si="15"/>
        <v>0.08222197631957508</v>
      </c>
      <c r="H42" s="871">
        <f t="shared" si="16"/>
        <v>-28.11392</v>
      </c>
      <c r="I42" s="883">
        <f t="shared" si="17"/>
        <v>-16.587919999999997</v>
      </c>
      <c r="J42" s="310"/>
      <c r="K42" s="817">
        <f>'BCWS by JOB'!L38</f>
        <v>29.6</v>
      </c>
      <c r="L42" s="818">
        <f>'BCWP by JOB'!J38</f>
        <v>1.4860799999999998</v>
      </c>
      <c r="M42" s="818">
        <f>SUM('ACWP by JOB'!K38)</f>
        <v>8.422</v>
      </c>
      <c r="N42" s="843">
        <f>+K42/L42</f>
        <v>19.918173987941433</v>
      </c>
      <c r="O42" s="843">
        <f t="shared" si="18"/>
        <v>0.1764521491332225</v>
      </c>
      <c r="P42" s="821">
        <f t="shared" si="19"/>
        <v>-28.11392</v>
      </c>
      <c r="Q42" s="844">
        <f t="shared" si="20"/>
        <v>-6.935920000000001</v>
      </c>
      <c r="R42" s="603">
        <v>162</v>
      </c>
      <c r="S42" s="381">
        <f t="shared" si="8"/>
        <v>0.18271604938271604</v>
      </c>
      <c r="T42" s="382">
        <f t="shared" si="21"/>
        <v>0.009173333333333332</v>
      </c>
      <c r="U42" s="381">
        <f t="shared" si="22"/>
        <v>0.11156790123456789</v>
      </c>
      <c r="V42" s="982">
        <v>1516</v>
      </c>
      <c r="W42" s="2" t="s">
        <v>1001</v>
      </c>
      <c r="X42" s="1030">
        <f t="shared" si="23"/>
        <v>1354</v>
      </c>
      <c r="Y42" s="1390" t="s">
        <v>1006</v>
      </c>
      <c r="Z42" s="1">
        <f>+X42*0.4</f>
        <v>541.6</v>
      </c>
    </row>
    <row r="43" spans="1:25" s="1" customFormat="1" ht="12.75">
      <c r="A43" s="1435"/>
      <c r="B43" s="457" t="s">
        <v>398</v>
      </c>
      <c r="C43" s="868">
        <f>'BCWS by JOB'!E39</f>
        <v>0</v>
      </c>
      <c r="D43" s="869">
        <f>'BCWP by JOB'!C39</f>
        <v>0</v>
      </c>
      <c r="E43" s="881">
        <f>'ACWP by JOB'!C39</f>
        <v>0</v>
      </c>
      <c r="F43" s="870" t="e">
        <f t="shared" si="14"/>
        <v>#DIV/0!</v>
      </c>
      <c r="G43" s="882" t="e">
        <f t="shared" si="15"/>
        <v>#DIV/0!</v>
      </c>
      <c r="H43" s="871">
        <f t="shared" si="16"/>
        <v>0</v>
      </c>
      <c r="I43" s="883">
        <f t="shared" si="17"/>
        <v>0</v>
      </c>
      <c r="J43" s="310"/>
      <c r="K43" s="817">
        <f>'BCWS by JOB'!L39</f>
        <v>0</v>
      </c>
      <c r="L43" s="818">
        <f>'BCWP by JOB'!J39</f>
        <v>0</v>
      </c>
      <c r="M43" s="818">
        <f>SUM('ACWP by JOB'!K39)</f>
        <v>0</v>
      </c>
      <c r="N43" s="843" t="e">
        <f>+K43/L43</f>
        <v>#DIV/0!</v>
      </c>
      <c r="O43" s="843" t="e">
        <f t="shared" si="18"/>
        <v>#DIV/0!</v>
      </c>
      <c r="P43" s="821">
        <f t="shared" si="19"/>
        <v>0</v>
      </c>
      <c r="Q43" s="844">
        <f t="shared" si="20"/>
        <v>0</v>
      </c>
      <c r="R43" s="603">
        <v>73</v>
      </c>
      <c r="S43" s="381">
        <f t="shared" si="8"/>
        <v>0</v>
      </c>
      <c r="T43" s="382">
        <f t="shared" si="21"/>
        <v>0</v>
      </c>
      <c r="U43" s="381">
        <f t="shared" si="22"/>
        <v>0</v>
      </c>
      <c r="V43" s="603">
        <f>IF(D43=0,R43,(IF(E43=0,R43,R43/G43)))</f>
        <v>73</v>
      </c>
      <c r="W43" s="2" t="s">
        <v>756</v>
      </c>
      <c r="X43" s="893">
        <f t="shared" si="23"/>
        <v>0</v>
      </c>
      <c r="Y43" s="18"/>
    </row>
    <row r="44" spans="1:25" s="1" customFormat="1" ht="12.75">
      <c r="A44" s="1435"/>
      <c r="B44" s="457" t="s">
        <v>393</v>
      </c>
      <c r="C44" s="868">
        <f>'BCWS by JOB'!E40</f>
        <v>348</v>
      </c>
      <c r="D44" s="869">
        <f>'BCWP by JOB'!C40</f>
        <v>363.6</v>
      </c>
      <c r="E44" s="881">
        <f>'ACWP by JOB'!C40</f>
        <v>385.1965264827977</v>
      </c>
      <c r="F44" s="870">
        <f t="shared" si="14"/>
        <v>1.0448275862068965</v>
      </c>
      <c r="G44" s="882">
        <f t="shared" si="15"/>
        <v>0.9439337455090936</v>
      </c>
      <c r="H44" s="871">
        <f t="shared" si="16"/>
        <v>15.600000000000023</v>
      </c>
      <c r="I44" s="883">
        <f t="shared" si="17"/>
        <v>-21.596526482797685</v>
      </c>
      <c r="J44" s="310"/>
      <c r="K44" s="817">
        <f>'BCWS by JOB'!L40</f>
        <v>59</v>
      </c>
      <c r="L44" s="818">
        <f>'BCWP by JOB'!J40</f>
        <v>32.31800000000004</v>
      </c>
      <c r="M44" s="818">
        <f>SUM('ACWP by JOB'!K40)</f>
        <v>44.653</v>
      </c>
      <c r="N44" s="819">
        <f>+L44/K44</f>
        <v>0.5477627118644075</v>
      </c>
      <c r="O44" s="843">
        <f t="shared" si="18"/>
        <v>0.7237587620092725</v>
      </c>
      <c r="P44" s="821">
        <f t="shared" si="19"/>
        <v>-26.68199999999996</v>
      </c>
      <c r="Q44" s="844">
        <f t="shared" si="20"/>
        <v>-12.334999999999958</v>
      </c>
      <c r="R44" s="603">
        <v>1003</v>
      </c>
      <c r="S44" s="381">
        <f t="shared" si="8"/>
        <v>0.3469591226321037</v>
      </c>
      <c r="T44" s="382">
        <f t="shared" si="21"/>
        <v>0.3625124626121635</v>
      </c>
      <c r="U44" s="381">
        <f t="shared" si="22"/>
        <v>0.38404439330288903</v>
      </c>
      <c r="V44" s="603">
        <f aca="true" t="shared" si="24" ref="V44:V50">+R44</f>
        <v>1003</v>
      </c>
      <c r="W44" s="2" t="s">
        <v>757</v>
      </c>
      <c r="X44" s="893">
        <f t="shared" si="23"/>
        <v>0</v>
      </c>
      <c r="Y44" s="18"/>
    </row>
    <row r="45" spans="1:25" s="1" customFormat="1" ht="12.75">
      <c r="A45" s="1435"/>
      <c r="B45" s="457" t="s">
        <v>399</v>
      </c>
      <c r="C45" s="868">
        <f>'BCWS by JOB'!E41</f>
        <v>-36</v>
      </c>
      <c r="D45" s="869">
        <f>'BCWP by JOB'!C41</f>
        <v>-35.94</v>
      </c>
      <c r="E45" s="881">
        <f>'ACWP by JOB'!C41</f>
        <v>-34.947379999999995</v>
      </c>
      <c r="F45" s="870">
        <f t="shared" si="14"/>
        <v>0.9983333333333333</v>
      </c>
      <c r="G45" s="882">
        <f t="shared" si="15"/>
        <v>1.028403273721807</v>
      </c>
      <c r="H45" s="871">
        <f t="shared" si="16"/>
        <v>0.060000000000002274</v>
      </c>
      <c r="I45" s="883">
        <f t="shared" si="17"/>
        <v>-0.9926200000000023</v>
      </c>
      <c r="J45" s="310"/>
      <c r="K45" s="817">
        <f>'BCWS by JOB'!L41</f>
        <v>0</v>
      </c>
      <c r="L45" s="818">
        <f>'BCWP by JOB'!J41</f>
        <v>0</v>
      </c>
      <c r="M45" s="818">
        <f>SUM('ACWP by JOB'!K41)</f>
        <v>0</v>
      </c>
      <c r="N45" s="843" t="e">
        <f>+K45/L45</f>
        <v>#DIV/0!</v>
      </c>
      <c r="O45" s="843" t="e">
        <f t="shared" si="18"/>
        <v>#DIV/0!</v>
      </c>
      <c r="P45" s="821">
        <f t="shared" si="19"/>
        <v>0</v>
      </c>
      <c r="Q45" s="844">
        <f t="shared" si="20"/>
        <v>0</v>
      </c>
      <c r="R45" s="603">
        <v>-36</v>
      </c>
      <c r="S45" s="381">
        <f t="shared" si="8"/>
        <v>1</v>
      </c>
      <c r="T45" s="382">
        <f t="shared" si="21"/>
        <v>0.9983333333333333</v>
      </c>
      <c r="U45" s="381">
        <f t="shared" si="22"/>
        <v>0.9707605555555554</v>
      </c>
      <c r="V45" s="603">
        <f t="shared" si="24"/>
        <v>-36</v>
      </c>
      <c r="W45" s="2" t="s">
        <v>757</v>
      </c>
      <c r="X45" s="893">
        <f t="shared" si="23"/>
        <v>0</v>
      </c>
      <c r="Y45" s="18"/>
    </row>
    <row r="46" spans="1:25" s="22" customFormat="1" ht="12.75">
      <c r="A46" s="1435"/>
      <c r="B46" s="457" t="s">
        <v>401</v>
      </c>
      <c r="C46" s="868">
        <f>'BCWS by JOB'!E42</f>
        <v>-84</v>
      </c>
      <c r="D46" s="869">
        <f>'BCWP by JOB'!C42</f>
        <v>-80.3908</v>
      </c>
      <c r="E46" s="881">
        <f>'ACWP by JOB'!C42</f>
        <v>-65.11263713691103</v>
      </c>
      <c r="F46" s="870">
        <f t="shared" si="14"/>
        <v>0.9570333333333333</v>
      </c>
      <c r="G46" s="882">
        <f t="shared" si="15"/>
        <v>1.2346420531388382</v>
      </c>
      <c r="H46" s="871">
        <f t="shared" si="16"/>
        <v>3.6092000000000013</v>
      </c>
      <c r="I46" s="883">
        <f t="shared" si="17"/>
        <v>-15.278162863088966</v>
      </c>
      <c r="J46" s="310"/>
      <c r="K46" s="817">
        <f>'BCWS by JOB'!L42</f>
        <v>0</v>
      </c>
      <c r="L46" s="818">
        <f>'BCWP by JOB'!J42</f>
        <v>-0.0007999999999981355</v>
      </c>
      <c r="M46" s="818">
        <f>SUM('ACWP by JOB'!K42)</f>
        <v>0</v>
      </c>
      <c r="N46" s="843">
        <f>+K46/L46</f>
        <v>0</v>
      </c>
      <c r="O46" s="843" t="e">
        <f t="shared" si="18"/>
        <v>#DIV/0!</v>
      </c>
      <c r="P46" s="821">
        <f t="shared" si="19"/>
        <v>-0.0007999999999981355</v>
      </c>
      <c r="Q46" s="844">
        <f t="shared" si="20"/>
        <v>-0.0007999999999981355</v>
      </c>
      <c r="R46" s="603">
        <v>-80</v>
      </c>
      <c r="S46" s="381">
        <f t="shared" si="8"/>
        <v>1.05</v>
      </c>
      <c r="T46" s="382">
        <f t="shared" si="21"/>
        <v>1.004885</v>
      </c>
      <c r="U46" s="381">
        <f t="shared" si="22"/>
        <v>0.8139079642113879</v>
      </c>
      <c r="V46" s="603">
        <f t="shared" si="24"/>
        <v>-80</v>
      </c>
      <c r="W46" s="2" t="s">
        <v>757</v>
      </c>
      <c r="X46" s="893">
        <f t="shared" si="23"/>
        <v>0</v>
      </c>
      <c r="Y46" s="1393"/>
    </row>
    <row r="47" spans="1:25" s="1" customFormat="1" ht="12.75">
      <c r="A47" s="1435"/>
      <c r="B47" s="1045" t="s">
        <v>400</v>
      </c>
      <c r="C47" s="868">
        <f>'BCWS by JOB'!E43</f>
        <v>242</v>
      </c>
      <c r="D47" s="869">
        <f>'BCWP by JOB'!C43</f>
        <v>112.63973899999999</v>
      </c>
      <c r="E47" s="881">
        <f>'ACWP by JOB'!C43</f>
        <v>122.05588</v>
      </c>
      <c r="F47" s="870">
        <f t="shared" si="14"/>
        <v>0.46545346694214873</v>
      </c>
      <c r="G47" s="882">
        <f t="shared" si="15"/>
        <v>0.9228538518586732</v>
      </c>
      <c r="H47" s="1046">
        <f t="shared" si="16"/>
        <v>-129.360261</v>
      </c>
      <c r="I47" s="883">
        <f t="shared" si="17"/>
        <v>-9.41614100000001</v>
      </c>
      <c r="J47" s="310"/>
      <c r="K47" s="817">
        <f>'BCWS by JOB'!L43</f>
        <v>56</v>
      </c>
      <c r="L47" s="818">
        <f>'BCWP by JOB'!J43</f>
        <v>8.807738999999998</v>
      </c>
      <c r="M47" s="818">
        <f>SUM('ACWP by JOB'!K43)</f>
        <v>34.792</v>
      </c>
      <c r="N47" s="819">
        <f>+L47/K47</f>
        <v>0.15728105357142855</v>
      </c>
      <c r="O47" s="843">
        <f t="shared" si="18"/>
        <v>0.2531541446309496</v>
      </c>
      <c r="P47" s="821">
        <f t="shared" si="19"/>
        <v>-47.192261</v>
      </c>
      <c r="Q47" s="844">
        <f t="shared" si="20"/>
        <v>-25.984261000000004</v>
      </c>
      <c r="R47" s="603">
        <v>280</v>
      </c>
      <c r="S47" s="381">
        <f t="shared" si="8"/>
        <v>0.8642857142857143</v>
      </c>
      <c r="T47" s="382">
        <f t="shared" si="21"/>
        <v>0.4022847821428571</v>
      </c>
      <c r="U47" s="381">
        <f t="shared" si="22"/>
        <v>0.43591385714285713</v>
      </c>
      <c r="V47" s="603">
        <f t="shared" si="24"/>
        <v>280</v>
      </c>
      <c r="W47" s="2" t="s">
        <v>757</v>
      </c>
      <c r="X47" s="893">
        <f t="shared" si="23"/>
        <v>0</v>
      </c>
      <c r="Y47" s="18"/>
    </row>
    <row r="48" spans="1:25" s="1" customFormat="1" ht="12.75">
      <c r="A48" s="1435"/>
      <c r="B48" s="1045" t="s">
        <v>402</v>
      </c>
      <c r="C48" s="868">
        <f>'BCWS by JOB'!E44</f>
        <v>1140</v>
      </c>
      <c r="D48" s="869">
        <f>'BCWP by JOB'!C44</f>
        <v>1033.8227688</v>
      </c>
      <c r="E48" s="881">
        <f>'ACWP by JOB'!C44</f>
        <v>864.1527076727493</v>
      </c>
      <c r="F48" s="870">
        <f t="shared" si="14"/>
        <v>0.9068620778947368</v>
      </c>
      <c r="G48" s="882">
        <f t="shared" si="15"/>
        <v>1.1963426829780923</v>
      </c>
      <c r="H48" s="1046">
        <f t="shared" si="16"/>
        <v>-106.17723120000005</v>
      </c>
      <c r="I48" s="883">
        <f t="shared" si="17"/>
        <v>169.67006112725062</v>
      </c>
      <c r="J48" s="310"/>
      <c r="K48" s="817">
        <f>'BCWS by JOB'!L44</f>
        <v>26</v>
      </c>
      <c r="L48" s="818">
        <f>'BCWP by JOB'!J44</f>
        <v>93.32876879999992</v>
      </c>
      <c r="M48" s="818">
        <f>SUM('ACWP by JOB'!K44)</f>
        <v>94.52</v>
      </c>
      <c r="N48" s="819">
        <f>+L48/K48</f>
        <v>3.589568030769228</v>
      </c>
      <c r="O48" s="820">
        <f t="shared" si="18"/>
        <v>0.9873970461278029</v>
      </c>
      <c r="P48" s="821">
        <f t="shared" si="19"/>
        <v>67.32876879999992</v>
      </c>
      <c r="Q48" s="822">
        <f t="shared" si="20"/>
        <v>-1.1912312000000753</v>
      </c>
      <c r="R48" s="603">
        <v>1207</v>
      </c>
      <c r="S48" s="381">
        <f t="shared" si="8"/>
        <v>0.9444904722452361</v>
      </c>
      <c r="T48" s="382">
        <f t="shared" si="21"/>
        <v>0.856522592212096</v>
      </c>
      <c r="U48" s="381">
        <f t="shared" si="22"/>
        <v>0.7159508762823109</v>
      </c>
      <c r="V48" s="603">
        <f t="shared" si="24"/>
        <v>1207</v>
      </c>
      <c r="W48" s="2" t="s">
        <v>757</v>
      </c>
      <c r="X48" s="893">
        <f t="shared" si="23"/>
        <v>0</v>
      </c>
      <c r="Y48" s="18"/>
    </row>
    <row r="49" spans="1:25" s="1" customFormat="1" ht="12.75">
      <c r="A49" s="1435"/>
      <c r="B49" s="457" t="s">
        <v>403</v>
      </c>
      <c r="C49" s="868">
        <f>'BCWS by JOB'!E45</f>
        <v>118</v>
      </c>
      <c r="D49" s="869">
        <f>'BCWP by JOB'!C45</f>
        <v>78.32492199999999</v>
      </c>
      <c r="E49" s="881">
        <f>'ACWP by JOB'!C45</f>
        <v>86.9042157124458</v>
      </c>
      <c r="F49" s="870">
        <f t="shared" si="14"/>
        <v>0.6637705254237287</v>
      </c>
      <c r="G49" s="882">
        <f t="shared" si="15"/>
        <v>0.9012787395627212</v>
      </c>
      <c r="H49" s="871">
        <f t="shared" si="16"/>
        <v>-39.67507800000001</v>
      </c>
      <c r="I49" s="883">
        <f t="shared" si="17"/>
        <v>-8.579293712445818</v>
      </c>
      <c r="J49" s="310"/>
      <c r="K49" s="817">
        <f>'BCWS by JOB'!L45</f>
        <v>0</v>
      </c>
      <c r="L49" s="818">
        <f>'BCWP by JOB'!J45</f>
        <v>0.2599219999999889</v>
      </c>
      <c r="M49" s="818">
        <f>SUM('ACWP by JOB'!K45)</f>
        <v>0.671</v>
      </c>
      <c r="N49" s="843">
        <f>+K49/L49</f>
        <v>0</v>
      </c>
      <c r="O49" s="843">
        <f t="shared" si="18"/>
        <v>0.3873651266765855</v>
      </c>
      <c r="P49" s="821">
        <f t="shared" si="19"/>
        <v>0.2599219999999889</v>
      </c>
      <c r="Q49" s="844">
        <f t="shared" si="20"/>
        <v>-0.41107800000001116</v>
      </c>
      <c r="R49" s="603">
        <v>118</v>
      </c>
      <c r="S49" s="381">
        <f t="shared" si="8"/>
        <v>1</v>
      </c>
      <c r="T49" s="382">
        <f t="shared" si="21"/>
        <v>0.6637705254237287</v>
      </c>
      <c r="U49" s="381">
        <f t="shared" si="22"/>
        <v>0.7364764043427611</v>
      </c>
      <c r="V49" s="603">
        <f t="shared" si="24"/>
        <v>118</v>
      </c>
      <c r="W49" s="2" t="s">
        <v>757</v>
      </c>
      <c r="X49" s="893">
        <f t="shared" si="23"/>
        <v>0</v>
      </c>
      <c r="Y49" s="18"/>
    </row>
    <row r="50" spans="1:25" s="1" customFormat="1" ht="12.75">
      <c r="A50" s="1435"/>
      <c r="B50" s="457" t="s">
        <v>409</v>
      </c>
      <c r="C50" s="868">
        <f>'BCWS by JOB'!E46</f>
        <v>186</v>
      </c>
      <c r="D50" s="869">
        <f>'BCWP by JOB'!C46</f>
        <v>145.198906</v>
      </c>
      <c r="E50" s="881">
        <f>'ACWP by JOB'!C46</f>
        <v>183.08110540588652</v>
      </c>
      <c r="F50" s="870">
        <f t="shared" si="14"/>
        <v>0.7806392795698924</v>
      </c>
      <c r="G50" s="882">
        <f t="shared" si="15"/>
        <v>0.7930851503113738</v>
      </c>
      <c r="H50" s="871">
        <f t="shared" si="16"/>
        <v>-40.801094000000006</v>
      </c>
      <c r="I50" s="883">
        <f t="shared" si="17"/>
        <v>-37.882199405886524</v>
      </c>
      <c r="J50" s="311"/>
      <c r="K50" s="817">
        <f>'BCWS by JOB'!L46</f>
        <v>0</v>
      </c>
      <c r="L50" s="818">
        <f>'BCWP by JOB'!J46</f>
        <v>0.19790599999998904</v>
      </c>
      <c r="M50" s="818">
        <f>SUM('ACWP by JOB'!K46)</f>
        <v>23.081</v>
      </c>
      <c r="N50" s="819" t="e">
        <f>+L50/K50</f>
        <v>#DIV/0!</v>
      </c>
      <c r="O50" s="820">
        <f t="shared" si="18"/>
        <v>0.008574411853905336</v>
      </c>
      <c r="P50" s="821">
        <f t="shared" si="19"/>
        <v>0.19790599999998904</v>
      </c>
      <c r="Q50" s="822">
        <f t="shared" si="20"/>
        <v>-22.88309400000001</v>
      </c>
      <c r="R50" s="603">
        <v>186</v>
      </c>
      <c r="S50" s="381">
        <f t="shared" si="8"/>
        <v>1</v>
      </c>
      <c r="T50" s="382">
        <f t="shared" si="21"/>
        <v>0.7806392795698924</v>
      </c>
      <c r="U50" s="381">
        <f t="shared" si="22"/>
        <v>0.9843070183112178</v>
      </c>
      <c r="V50" s="603">
        <f t="shared" si="24"/>
        <v>186</v>
      </c>
      <c r="W50" s="2" t="s">
        <v>757</v>
      </c>
      <c r="X50" s="893">
        <f t="shared" si="23"/>
        <v>0</v>
      </c>
      <c r="Y50" s="18"/>
    </row>
    <row r="51" spans="1:25" s="1" customFormat="1" ht="12.75">
      <c r="A51" s="1435"/>
      <c r="B51" s="457" t="s">
        <v>410</v>
      </c>
      <c r="C51" s="868">
        <f>'BCWS by JOB'!E47</f>
        <v>0</v>
      </c>
      <c r="D51" s="869">
        <f>'BCWP by JOB'!C47</f>
        <v>0</v>
      </c>
      <c r="E51" s="881">
        <f>'ACWP by JOB'!C47</f>
        <v>0</v>
      </c>
      <c r="F51" s="870" t="e">
        <f t="shared" si="14"/>
        <v>#DIV/0!</v>
      </c>
      <c r="G51" s="882" t="e">
        <f t="shared" si="15"/>
        <v>#DIV/0!</v>
      </c>
      <c r="H51" s="871">
        <f t="shared" si="16"/>
        <v>0</v>
      </c>
      <c r="I51" s="883">
        <f t="shared" si="17"/>
        <v>0</v>
      </c>
      <c r="J51" s="310"/>
      <c r="K51" s="817">
        <f>'BCWS by JOB'!L47</f>
        <v>0</v>
      </c>
      <c r="L51" s="818">
        <f>'BCWP by JOB'!J47</f>
        <v>0</v>
      </c>
      <c r="M51" s="818">
        <f>SUM('ACWP by JOB'!K47)</f>
        <v>0</v>
      </c>
      <c r="N51" s="843" t="e">
        <f>+K51/L51</f>
        <v>#DIV/0!</v>
      </c>
      <c r="O51" s="843" t="e">
        <f t="shared" si="18"/>
        <v>#DIV/0!</v>
      </c>
      <c r="P51" s="821">
        <f t="shared" si="19"/>
        <v>0</v>
      </c>
      <c r="Q51" s="844">
        <f t="shared" si="20"/>
        <v>0</v>
      </c>
      <c r="R51" s="603">
        <v>1076</v>
      </c>
      <c r="S51" s="381">
        <f t="shared" si="8"/>
        <v>0</v>
      </c>
      <c r="T51" s="382">
        <f t="shared" si="21"/>
        <v>0</v>
      </c>
      <c r="U51" s="381">
        <f t="shared" si="22"/>
        <v>0</v>
      </c>
      <c r="V51" s="603">
        <f>IF(D51=0,R51,(IF(E51=0,R51,R51/G51)))</f>
        <v>1076</v>
      </c>
      <c r="W51" s="2" t="s">
        <v>756</v>
      </c>
      <c r="X51" s="893">
        <f t="shared" si="23"/>
        <v>0</v>
      </c>
      <c r="Y51" s="18"/>
    </row>
    <row r="52" spans="1:26" s="1" customFormat="1" ht="12.75">
      <c r="A52" s="1435"/>
      <c r="B52" s="457" t="s">
        <v>411</v>
      </c>
      <c r="C52" s="868">
        <f>'BCWS by JOB'!E48</f>
        <v>6</v>
      </c>
      <c r="D52" s="869">
        <f>'BCWP by JOB'!C48</f>
        <v>22.96779</v>
      </c>
      <c r="E52" s="881">
        <f>'ACWP by JOB'!C48</f>
        <v>0</v>
      </c>
      <c r="F52" s="870">
        <f t="shared" si="14"/>
        <v>3.8279650000000003</v>
      </c>
      <c r="G52" s="882" t="e">
        <f t="shared" si="15"/>
        <v>#DIV/0!</v>
      </c>
      <c r="H52" s="871">
        <f t="shared" si="16"/>
        <v>16.96779</v>
      </c>
      <c r="I52" s="883">
        <f t="shared" si="17"/>
        <v>22.96779</v>
      </c>
      <c r="J52" s="310"/>
      <c r="K52" s="817">
        <f>'BCWS by JOB'!L48</f>
        <v>0</v>
      </c>
      <c r="L52" s="818">
        <f>'BCWP by JOB'!J48</f>
        <v>8.36979</v>
      </c>
      <c r="M52" s="818">
        <f>SUM('ACWP by JOB'!K48)</f>
        <v>0</v>
      </c>
      <c r="N52" s="843">
        <f>+K52/L52</f>
        <v>0</v>
      </c>
      <c r="O52" s="843" t="e">
        <f t="shared" si="18"/>
        <v>#DIV/0!</v>
      </c>
      <c r="P52" s="821">
        <f t="shared" si="19"/>
        <v>8.36979</v>
      </c>
      <c r="Q52" s="844">
        <f t="shared" si="20"/>
        <v>8.36979</v>
      </c>
      <c r="R52" s="603">
        <v>861</v>
      </c>
      <c r="S52" s="381">
        <f t="shared" si="8"/>
        <v>0.006968641114982578</v>
      </c>
      <c r="T52" s="382">
        <f t="shared" si="21"/>
        <v>0.026675714285714285</v>
      </c>
      <c r="U52" s="381">
        <f t="shared" si="22"/>
        <v>0</v>
      </c>
      <c r="V52" s="982">
        <v>1141</v>
      </c>
      <c r="W52" s="2" t="s">
        <v>1002</v>
      </c>
      <c r="X52" s="1030">
        <f t="shared" si="23"/>
        <v>280</v>
      </c>
      <c r="Y52" s="1390" t="s">
        <v>1006</v>
      </c>
      <c r="Z52" s="1">
        <f>+X52*0.4</f>
        <v>112</v>
      </c>
    </row>
    <row r="53" spans="1:25" s="1" customFormat="1" ht="12.75">
      <c r="A53" s="1435"/>
      <c r="B53" s="457" t="s">
        <v>406</v>
      </c>
      <c r="C53" s="868">
        <f>'BCWS by JOB'!E49</f>
        <v>0</v>
      </c>
      <c r="D53" s="869">
        <f>'BCWP by JOB'!C49</f>
        <v>0</v>
      </c>
      <c r="E53" s="881">
        <f>'ACWP by JOB'!C49</f>
        <v>5.233221401457453</v>
      </c>
      <c r="F53" s="870" t="e">
        <f t="shared" si="14"/>
        <v>#DIV/0!</v>
      </c>
      <c r="G53" s="882">
        <f t="shared" si="15"/>
        <v>0</v>
      </c>
      <c r="H53" s="871">
        <f t="shared" si="16"/>
        <v>0</v>
      </c>
      <c r="I53" s="883">
        <f t="shared" si="17"/>
        <v>-5.233221401457453</v>
      </c>
      <c r="J53" s="310"/>
      <c r="K53" s="817">
        <f>'BCWS by JOB'!L49</f>
        <v>0</v>
      </c>
      <c r="L53" s="818">
        <f>'BCWP by JOB'!J49</f>
        <v>0</v>
      </c>
      <c r="M53" s="818">
        <f>SUM('ACWP by JOB'!K49)</f>
        <v>0</v>
      </c>
      <c r="N53" s="843" t="e">
        <f>+K53/L53</f>
        <v>#DIV/0!</v>
      </c>
      <c r="O53" s="843" t="e">
        <f t="shared" si="18"/>
        <v>#DIV/0!</v>
      </c>
      <c r="P53" s="821">
        <f t="shared" si="19"/>
        <v>0</v>
      </c>
      <c r="Q53" s="844">
        <f t="shared" si="20"/>
        <v>0</v>
      </c>
      <c r="R53" s="603">
        <v>207</v>
      </c>
      <c r="S53" s="381">
        <f t="shared" si="8"/>
        <v>0</v>
      </c>
      <c r="T53" s="382">
        <f t="shared" si="21"/>
        <v>0</v>
      </c>
      <c r="U53" s="381">
        <f t="shared" si="22"/>
        <v>0.025281262808973203</v>
      </c>
      <c r="V53" s="603">
        <f>+R53</f>
        <v>207</v>
      </c>
      <c r="W53" s="2" t="s">
        <v>757</v>
      </c>
      <c r="X53" s="893">
        <f t="shared" si="23"/>
        <v>0</v>
      </c>
      <c r="Y53" s="18"/>
    </row>
    <row r="54" spans="1:25" s="1" customFormat="1" ht="12.75">
      <c r="A54" s="1435"/>
      <c r="B54" s="457" t="s">
        <v>404</v>
      </c>
      <c r="C54" s="868">
        <f>'BCWS by JOB'!E50</f>
        <v>79</v>
      </c>
      <c r="D54" s="869">
        <f>'BCWP by JOB'!C50</f>
        <v>11.0678955</v>
      </c>
      <c r="E54" s="881">
        <f>'ACWP by JOB'!C50</f>
        <v>31.743000000000002</v>
      </c>
      <c r="F54" s="870">
        <f t="shared" si="14"/>
        <v>0.14009994303797468</v>
      </c>
      <c r="G54" s="882">
        <f t="shared" si="15"/>
        <v>0.3486720064266137</v>
      </c>
      <c r="H54" s="871">
        <f t="shared" si="16"/>
        <v>-67.9321045</v>
      </c>
      <c r="I54" s="883">
        <f t="shared" si="17"/>
        <v>-20.675104500000003</v>
      </c>
      <c r="J54" s="310"/>
      <c r="K54" s="817">
        <f>'BCWS by JOB'!L50</f>
        <v>36</v>
      </c>
      <c r="L54" s="818">
        <f>'BCWP by JOB'!J50</f>
        <v>-0.022104499999999305</v>
      </c>
      <c r="M54" s="818">
        <f>SUM('ACWP by JOB'!K50)</f>
        <v>-0.857</v>
      </c>
      <c r="N54" s="819">
        <f>+L54/K54</f>
        <v>-0.0006140138888888696</v>
      </c>
      <c r="O54" s="843">
        <f t="shared" si="18"/>
        <v>0.025792882147023695</v>
      </c>
      <c r="P54" s="821">
        <f t="shared" si="19"/>
        <v>-36.0221045</v>
      </c>
      <c r="Q54" s="844">
        <f t="shared" si="20"/>
        <v>0.8348955000000007</v>
      </c>
      <c r="R54" s="603">
        <v>163</v>
      </c>
      <c r="S54" s="381">
        <f t="shared" si="8"/>
        <v>0.48466257668711654</v>
      </c>
      <c r="T54" s="382">
        <f t="shared" si="21"/>
        <v>0.06790119938650307</v>
      </c>
      <c r="U54" s="381">
        <f t="shared" si="22"/>
        <v>0.19474233128834356</v>
      </c>
      <c r="V54" s="603">
        <f>+R54</f>
        <v>163</v>
      </c>
      <c r="W54" s="2" t="s">
        <v>757</v>
      </c>
      <c r="X54" s="893">
        <f t="shared" si="23"/>
        <v>0</v>
      </c>
      <c r="Y54" s="18"/>
    </row>
    <row r="55" spans="1:25" s="1" customFormat="1" ht="12.75">
      <c r="A55" s="1435"/>
      <c r="B55" s="457" t="s">
        <v>407</v>
      </c>
      <c r="C55" s="868">
        <f>'BCWS by JOB'!E51</f>
        <v>0</v>
      </c>
      <c r="D55" s="869">
        <f>'BCWP by JOB'!C51</f>
        <v>0</v>
      </c>
      <c r="E55" s="881">
        <f>'ACWP by JOB'!C51</f>
        <v>0</v>
      </c>
      <c r="F55" s="870" t="e">
        <f t="shared" si="14"/>
        <v>#DIV/0!</v>
      </c>
      <c r="G55" s="882" t="e">
        <f t="shared" si="15"/>
        <v>#DIV/0!</v>
      </c>
      <c r="H55" s="871">
        <f t="shared" si="16"/>
        <v>0</v>
      </c>
      <c r="I55" s="883">
        <f t="shared" si="17"/>
        <v>0</v>
      </c>
      <c r="J55" s="310"/>
      <c r="K55" s="817">
        <f>'BCWS by JOB'!L51</f>
        <v>0</v>
      </c>
      <c r="L55" s="818">
        <f>'BCWP by JOB'!J51</f>
        <v>0</v>
      </c>
      <c r="M55" s="818">
        <f>SUM('ACWP by JOB'!K51)</f>
        <v>0</v>
      </c>
      <c r="N55" s="843" t="e">
        <f>+K55/L55</f>
        <v>#DIV/0!</v>
      </c>
      <c r="O55" s="843" t="e">
        <f t="shared" si="18"/>
        <v>#DIV/0!</v>
      </c>
      <c r="P55" s="821">
        <f t="shared" si="19"/>
        <v>0</v>
      </c>
      <c r="Q55" s="844">
        <f t="shared" si="20"/>
        <v>0</v>
      </c>
      <c r="R55" s="603">
        <v>325</v>
      </c>
      <c r="S55" s="381">
        <f t="shared" si="8"/>
        <v>0</v>
      </c>
      <c r="T55" s="382">
        <f t="shared" si="21"/>
        <v>0</v>
      </c>
      <c r="U55" s="381">
        <f t="shared" si="22"/>
        <v>0</v>
      </c>
      <c r="V55" s="603">
        <f>IF(D55=0,R55,(IF(E55=0,R55,R55/G55)))</f>
        <v>325</v>
      </c>
      <c r="W55" s="2" t="s">
        <v>756</v>
      </c>
      <c r="X55" s="893">
        <f t="shared" si="23"/>
        <v>0</v>
      </c>
      <c r="Y55" s="18"/>
    </row>
    <row r="56" spans="1:25" s="1" customFormat="1" ht="12.75">
      <c r="A56" s="1435"/>
      <c r="B56" s="457" t="s">
        <v>405</v>
      </c>
      <c r="C56" s="868">
        <f>'BCWS by JOB'!E52</f>
        <v>0</v>
      </c>
      <c r="D56" s="869">
        <f>'BCWP by JOB'!C52</f>
        <v>0</v>
      </c>
      <c r="E56" s="881">
        <f>'ACWP by JOB'!C52</f>
        <v>0</v>
      </c>
      <c r="F56" s="870" t="e">
        <f t="shared" si="14"/>
        <v>#DIV/0!</v>
      </c>
      <c r="G56" s="882" t="e">
        <f t="shared" si="15"/>
        <v>#DIV/0!</v>
      </c>
      <c r="H56" s="871">
        <f t="shared" si="16"/>
        <v>0</v>
      </c>
      <c r="I56" s="883">
        <f t="shared" si="17"/>
        <v>0</v>
      </c>
      <c r="J56" s="310"/>
      <c r="K56" s="817">
        <f>'BCWS by JOB'!L52</f>
        <v>0</v>
      </c>
      <c r="L56" s="818">
        <f>'BCWP by JOB'!J52</f>
        <v>0</v>
      </c>
      <c r="M56" s="818">
        <f>SUM('ACWP by JOB'!K52)</f>
        <v>0</v>
      </c>
      <c r="N56" s="843" t="e">
        <f>+K56/L56</f>
        <v>#DIV/0!</v>
      </c>
      <c r="O56" s="843" t="e">
        <f t="shared" si="18"/>
        <v>#DIV/0!</v>
      </c>
      <c r="P56" s="821">
        <f t="shared" si="19"/>
        <v>0</v>
      </c>
      <c r="Q56" s="844">
        <f t="shared" si="20"/>
        <v>0</v>
      </c>
      <c r="R56" s="603">
        <v>89</v>
      </c>
      <c r="S56" s="381">
        <f t="shared" si="8"/>
        <v>0</v>
      </c>
      <c r="T56" s="382">
        <f t="shared" si="21"/>
        <v>0</v>
      </c>
      <c r="U56" s="381">
        <f t="shared" si="22"/>
        <v>0</v>
      </c>
      <c r="V56" s="603">
        <f>IF(D56=0,R56,(IF(E56=0,R56,R56/G56)))</f>
        <v>89</v>
      </c>
      <c r="W56" s="2" t="s">
        <v>756</v>
      </c>
      <c r="X56" s="893">
        <f t="shared" si="23"/>
        <v>0</v>
      </c>
      <c r="Y56" s="18"/>
    </row>
    <row r="57" spans="1:25" s="1" customFormat="1" ht="12.75">
      <c r="A57" s="1435"/>
      <c r="B57" s="457" t="s">
        <v>408</v>
      </c>
      <c r="C57" s="868">
        <f>'BCWS by JOB'!E53</f>
        <v>139</v>
      </c>
      <c r="D57" s="869">
        <f>'BCWP by JOB'!C53</f>
        <v>106.13219950000001</v>
      </c>
      <c r="E57" s="881">
        <f>'ACWP by JOB'!C53</f>
        <v>2.8899999999999997</v>
      </c>
      <c r="F57" s="870">
        <f t="shared" si="14"/>
        <v>0.7635410035971224</v>
      </c>
      <c r="G57" s="882">
        <f t="shared" si="15"/>
        <v>36.72394446366783</v>
      </c>
      <c r="H57" s="871">
        <f t="shared" si="16"/>
        <v>-32.86780049999999</v>
      </c>
      <c r="I57" s="883">
        <f t="shared" si="17"/>
        <v>103.24219950000001</v>
      </c>
      <c r="J57" s="310"/>
      <c r="K57" s="817">
        <f>'BCWS by JOB'!L53</f>
        <v>19</v>
      </c>
      <c r="L57" s="818">
        <f>'BCWP by JOB'!J53</f>
        <v>66.29419950000002</v>
      </c>
      <c r="M57" s="818">
        <f>SUM('ACWP by JOB'!K53)</f>
        <v>0.883</v>
      </c>
      <c r="N57" s="819">
        <f>+L57/K57</f>
        <v>3.489168394736843</v>
      </c>
      <c r="O57" s="984">
        <f>+M57/L57</f>
        <v>0.013319415675273366</v>
      </c>
      <c r="P57" s="821">
        <f t="shared" si="19"/>
        <v>47.29419950000002</v>
      </c>
      <c r="Q57" s="844">
        <f t="shared" si="20"/>
        <v>65.41119950000002</v>
      </c>
      <c r="R57" s="603">
        <v>514</v>
      </c>
      <c r="S57" s="381">
        <f t="shared" si="8"/>
        <v>0.2704280155642023</v>
      </c>
      <c r="T57" s="382">
        <f t="shared" si="21"/>
        <v>0.20648287840466928</v>
      </c>
      <c r="U57" s="381">
        <f t="shared" si="22"/>
        <v>0.005622568093385213</v>
      </c>
      <c r="V57" s="603">
        <f>+R57</f>
        <v>514</v>
      </c>
      <c r="W57" s="2" t="s">
        <v>757</v>
      </c>
      <c r="X57" s="893">
        <f t="shared" si="23"/>
        <v>0</v>
      </c>
      <c r="Y57" s="18"/>
    </row>
    <row r="58" spans="1:25" s="1" customFormat="1" ht="12.75">
      <c r="A58" s="1435"/>
      <c r="B58" s="457" t="s">
        <v>412</v>
      </c>
      <c r="C58" s="868">
        <f>'BCWS by JOB'!E54</f>
        <v>233</v>
      </c>
      <c r="D58" s="869">
        <f>'BCWP by JOB'!C54</f>
        <v>232.21053822</v>
      </c>
      <c r="E58" s="881">
        <f>'ACWP by JOB'!C54</f>
        <v>130.754</v>
      </c>
      <c r="F58" s="870">
        <f t="shared" si="14"/>
        <v>0.9966117520171673</v>
      </c>
      <c r="G58" s="882">
        <f t="shared" si="15"/>
        <v>1.7759344893464062</v>
      </c>
      <c r="H58" s="871">
        <f t="shared" si="16"/>
        <v>-0.7894617800000105</v>
      </c>
      <c r="I58" s="883">
        <f t="shared" si="17"/>
        <v>101.45653822</v>
      </c>
      <c r="J58" s="310"/>
      <c r="K58" s="817">
        <f>'BCWS by JOB'!L54</f>
        <v>33</v>
      </c>
      <c r="L58" s="818">
        <f>'BCWP by JOB'!J54</f>
        <v>33.07953821999999</v>
      </c>
      <c r="M58" s="818">
        <f>SUM('ACWP by JOB'!K54)</f>
        <v>10.79</v>
      </c>
      <c r="N58" s="819">
        <f>+L58/K58</f>
        <v>1.0024102490909088</v>
      </c>
      <c r="O58" s="843">
        <f t="shared" si="18"/>
        <v>3.065758871177015</v>
      </c>
      <c r="P58" s="821">
        <f t="shared" si="19"/>
        <v>0.07953821999998922</v>
      </c>
      <c r="Q58" s="844">
        <f t="shared" si="20"/>
        <v>22.28953821999999</v>
      </c>
      <c r="R58" s="603">
        <v>1620</v>
      </c>
      <c r="S58" s="381">
        <f t="shared" si="8"/>
        <v>0.14382716049382716</v>
      </c>
      <c r="T58" s="382">
        <f t="shared" si="21"/>
        <v>0.1433398384074074</v>
      </c>
      <c r="U58" s="381">
        <f t="shared" si="22"/>
        <v>0.08071234567901234</v>
      </c>
      <c r="V58" s="603">
        <f aca="true" t="shared" si="25" ref="V58:V63">IF(D58=0,R58,(IF(E58=0,R58,R58/G58)))</f>
        <v>912.1958099908322</v>
      </c>
      <c r="W58" s="2" t="s">
        <v>756</v>
      </c>
      <c r="X58" s="893">
        <f t="shared" si="23"/>
        <v>-707.8041900091678</v>
      </c>
      <c r="Y58" s="18"/>
    </row>
    <row r="59" spans="1:25" s="1" customFormat="1" ht="12.75">
      <c r="A59" s="1435"/>
      <c r="B59" s="457" t="s">
        <v>413</v>
      </c>
      <c r="C59" s="868">
        <f>'BCWS by JOB'!E55</f>
        <v>457</v>
      </c>
      <c r="D59" s="869">
        <f>'BCWP by JOB'!C55</f>
        <v>456.88544722000006</v>
      </c>
      <c r="E59" s="881">
        <f>'ACWP by JOB'!C55</f>
        <v>428.2570909085794</v>
      </c>
      <c r="F59" s="870">
        <f t="shared" si="14"/>
        <v>0.9997493374617069</v>
      </c>
      <c r="G59" s="882">
        <f t="shared" si="15"/>
        <v>1.0668485284170857</v>
      </c>
      <c r="H59" s="871">
        <f t="shared" si="16"/>
        <v>-0.11455277999993996</v>
      </c>
      <c r="I59" s="883">
        <f t="shared" si="17"/>
        <v>28.628356311420646</v>
      </c>
      <c r="J59" s="310"/>
      <c r="K59" s="817">
        <f>'BCWS by JOB'!L55</f>
        <v>53</v>
      </c>
      <c r="L59" s="818">
        <f>'BCWP by JOB'!J55</f>
        <v>53.78544722000004</v>
      </c>
      <c r="M59" s="818">
        <f>SUM('ACWP by JOB'!K55)</f>
        <v>55.126</v>
      </c>
      <c r="N59" s="819">
        <f>+L59/K59</f>
        <v>1.0148197588679253</v>
      </c>
      <c r="O59" s="820">
        <f t="shared" si="18"/>
        <v>0.9756820233646563</v>
      </c>
      <c r="P59" s="821">
        <f t="shared" si="19"/>
        <v>0.7854472200000373</v>
      </c>
      <c r="Q59" s="822">
        <f t="shared" si="20"/>
        <v>-1.3405527799999604</v>
      </c>
      <c r="R59" s="603">
        <v>2649</v>
      </c>
      <c r="S59" s="381">
        <f t="shared" si="8"/>
        <v>0.17251793129482823</v>
      </c>
      <c r="T59" s="382">
        <f t="shared" si="21"/>
        <v>0.1724746875122688</v>
      </c>
      <c r="U59" s="381">
        <f t="shared" si="22"/>
        <v>0.16166745598662868</v>
      </c>
      <c r="V59" s="603">
        <f>+R59+500</f>
        <v>3149</v>
      </c>
      <c r="W59" s="2" t="s">
        <v>1009</v>
      </c>
      <c r="X59" s="1033">
        <f t="shared" si="23"/>
        <v>500</v>
      </c>
      <c r="Y59" s="1391" t="s">
        <v>1008</v>
      </c>
    </row>
    <row r="60" spans="1:25" s="1" customFormat="1" ht="12.75">
      <c r="A60" s="1435"/>
      <c r="B60" s="457" t="s">
        <v>414</v>
      </c>
      <c r="C60" s="868">
        <f>'BCWS by JOB'!E56</f>
        <v>226</v>
      </c>
      <c r="D60" s="869">
        <f>'BCWP by JOB'!C56</f>
        <v>225.2187168</v>
      </c>
      <c r="E60" s="881">
        <f>'ACWP by JOB'!C56</f>
        <v>75.91599948702046</v>
      </c>
      <c r="F60" s="870">
        <f t="shared" si="14"/>
        <v>0.9965429946902655</v>
      </c>
      <c r="G60" s="882">
        <f t="shared" si="15"/>
        <v>2.9666831540366694</v>
      </c>
      <c r="H60" s="871">
        <f t="shared" si="16"/>
        <v>-0.7812831999999901</v>
      </c>
      <c r="I60" s="883">
        <f t="shared" si="17"/>
        <v>149.30271731297955</v>
      </c>
      <c r="J60" s="310"/>
      <c r="K60" s="817">
        <f>'BCWS by JOB'!L56</f>
        <v>30</v>
      </c>
      <c r="L60" s="818">
        <f>'BCWP by JOB'!J56</f>
        <v>30.967616800000002</v>
      </c>
      <c r="M60" s="818">
        <f>SUM('ACWP by JOB'!K56)</f>
        <v>20.05</v>
      </c>
      <c r="N60" s="819">
        <f>+L60/K60</f>
        <v>1.0322538933333334</v>
      </c>
      <c r="O60" s="843">
        <f t="shared" si="18"/>
        <v>1.5445195411471322</v>
      </c>
      <c r="P60" s="821">
        <f t="shared" si="19"/>
        <v>0.9676168000000018</v>
      </c>
      <c r="Q60" s="844">
        <f t="shared" si="20"/>
        <v>10.917616800000001</v>
      </c>
      <c r="R60" s="603">
        <v>1408</v>
      </c>
      <c r="S60" s="381">
        <f t="shared" si="8"/>
        <v>0.16051136363636365</v>
      </c>
      <c r="T60" s="382">
        <f t="shared" si="21"/>
        <v>0.15995647500000001</v>
      </c>
      <c r="U60" s="381">
        <f t="shared" si="22"/>
        <v>0.053917613272031574</v>
      </c>
      <c r="V60" s="603">
        <f>+R60</f>
        <v>1408</v>
      </c>
      <c r="W60" s="2" t="s">
        <v>757</v>
      </c>
      <c r="X60" s="893">
        <f t="shared" si="23"/>
        <v>0</v>
      </c>
      <c r="Y60" s="18"/>
    </row>
    <row r="61" spans="1:25" s="1" customFormat="1" ht="12.75">
      <c r="A61" s="1435"/>
      <c r="B61" s="457" t="s">
        <v>415</v>
      </c>
      <c r="C61" s="868">
        <f>'BCWS by JOB'!E57</f>
        <v>231</v>
      </c>
      <c r="D61" s="869">
        <f>'BCWP by JOB'!C57</f>
        <v>231.47238240000001</v>
      </c>
      <c r="E61" s="881">
        <f>'ACWP by JOB'!C57</f>
        <v>319.395298250104</v>
      </c>
      <c r="F61" s="870">
        <f t="shared" si="14"/>
        <v>1.0020449454545455</v>
      </c>
      <c r="G61" s="882">
        <f t="shared" si="15"/>
        <v>0.7247206946006589</v>
      </c>
      <c r="H61" s="871">
        <f t="shared" si="16"/>
        <v>0.47238240000001497</v>
      </c>
      <c r="I61" s="883">
        <f t="shared" si="17"/>
        <v>-87.922915850104</v>
      </c>
      <c r="J61" s="311"/>
      <c r="K61" s="817">
        <f>'BCWS by JOB'!L57</f>
        <v>24</v>
      </c>
      <c r="L61" s="818">
        <f>'BCWP by JOB'!J57</f>
        <v>24.161382400000008</v>
      </c>
      <c r="M61" s="818">
        <f>SUM('ACWP by JOB'!K57)</f>
        <v>47.332</v>
      </c>
      <c r="N61" s="819">
        <f>+L61/K61</f>
        <v>1.006724266666667</v>
      </c>
      <c r="O61" s="820">
        <f t="shared" si="18"/>
        <v>0.5104661201723993</v>
      </c>
      <c r="P61" s="821">
        <f t="shared" si="19"/>
        <v>0.16138240000000792</v>
      </c>
      <c r="Q61" s="822">
        <f t="shared" si="20"/>
        <v>-23.170617599999993</v>
      </c>
      <c r="R61" s="603">
        <v>1154</v>
      </c>
      <c r="S61" s="381">
        <f t="shared" si="8"/>
        <v>0.2001733102253033</v>
      </c>
      <c r="T61" s="382">
        <f t="shared" si="21"/>
        <v>0.20058265372616985</v>
      </c>
      <c r="U61" s="381">
        <f t="shared" si="22"/>
        <v>0.2767723555026898</v>
      </c>
      <c r="V61" s="603">
        <f t="shared" si="25"/>
        <v>1592.3375841169898</v>
      </c>
      <c r="W61" s="2" t="s">
        <v>756</v>
      </c>
      <c r="X61" s="893">
        <f t="shared" si="23"/>
        <v>438.3375841169898</v>
      </c>
      <c r="Y61" s="18"/>
    </row>
    <row r="62" spans="1:25" s="1" customFormat="1" ht="12.75">
      <c r="A62" s="1435"/>
      <c r="B62" s="457" t="s">
        <v>416</v>
      </c>
      <c r="C62" s="868">
        <f>'BCWS by JOB'!E58</f>
        <v>143</v>
      </c>
      <c r="D62" s="869">
        <f>'BCWP by JOB'!C58</f>
        <v>100.76903940000001</v>
      </c>
      <c r="E62" s="881">
        <f>'ACWP by JOB'!C58</f>
        <v>113.31710772351457</v>
      </c>
      <c r="F62" s="870">
        <f t="shared" si="14"/>
        <v>0.7046785972027972</v>
      </c>
      <c r="G62" s="882">
        <f t="shared" si="15"/>
        <v>0.8892658966011476</v>
      </c>
      <c r="H62" s="871">
        <f t="shared" si="16"/>
        <v>-42.23096059999999</v>
      </c>
      <c r="I62" s="883">
        <f t="shared" si="17"/>
        <v>-12.548068323514556</v>
      </c>
      <c r="J62" s="310"/>
      <c r="K62" s="817">
        <f>'BCWS by JOB'!L58</f>
        <v>20</v>
      </c>
      <c r="L62" s="818">
        <f>'BCWP by JOB'!J58</f>
        <v>13.188039400000008</v>
      </c>
      <c r="M62" s="818">
        <f>SUM('ACWP by JOB'!K58)</f>
        <v>17.183</v>
      </c>
      <c r="N62" s="819">
        <f>+L62/K62</f>
        <v>0.6594019700000004</v>
      </c>
      <c r="O62" s="843">
        <f t="shared" si="18"/>
        <v>0.7675050573240999</v>
      </c>
      <c r="P62" s="821">
        <f t="shared" si="19"/>
        <v>-6.811960599999992</v>
      </c>
      <c r="Q62" s="844">
        <f t="shared" si="20"/>
        <v>-3.9949605999999918</v>
      </c>
      <c r="R62" s="603">
        <v>598</v>
      </c>
      <c r="S62" s="381">
        <f t="shared" si="8"/>
        <v>0.2391304347826087</v>
      </c>
      <c r="T62" s="382">
        <f t="shared" si="21"/>
        <v>0.1685100993311037</v>
      </c>
      <c r="U62" s="381">
        <f t="shared" si="22"/>
        <v>0.18949349117644576</v>
      </c>
      <c r="V62" s="603">
        <f t="shared" si="25"/>
        <v>672.4647850385453</v>
      </c>
      <c r="W62" s="2" t="s">
        <v>756</v>
      </c>
      <c r="X62" s="893">
        <f t="shared" si="23"/>
        <v>74.4647850385453</v>
      </c>
      <c r="Y62" s="18"/>
    </row>
    <row r="63" spans="1:25" s="1" customFormat="1" ht="12.75">
      <c r="A63" s="1435"/>
      <c r="B63" s="457" t="s">
        <v>417</v>
      </c>
      <c r="C63" s="868">
        <f>'BCWS by JOB'!E59</f>
        <v>18.8</v>
      </c>
      <c r="D63" s="869">
        <f>'BCWP by JOB'!C59</f>
        <v>18.8142</v>
      </c>
      <c r="E63" s="881">
        <f>'ACWP by JOB'!C59</f>
        <v>54.08651420224432</v>
      </c>
      <c r="F63" s="870">
        <f t="shared" si="14"/>
        <v>1.000755319148936</v>
      </c>
      <c r="G63" s="882">
        <f t="shared" si="15"/>
        <v>0.3478538093552959</v>
      </c>
      <c r="H63" s="871">
        <f t="shared" si="16"/>
        <v>0.01419999999999888</v>
      </c>
      <c r="I63" s="883">
        <f t="shared" si="17"/>
        <v>-35.27231420224432</v>
      </c>
      <c r="J63" s="310"/>
      <c r="K63" s="817">
        <f>'BCWS by JOB'!L59</f>
        <v>0</v>
      </c>
      <c r="L63" s="818">
        <f>'BCWP by JOB'!J59</f>
        <v>0.00019999999999953388</v>
      </c>
      <c r="M63" s="818">
        <f>SUM('ACWP by JOB'!K59)</f>
        <v>7.21</v>
      </c>
      <c r="N63" s="843">
        <f>+K63/L63</f>
        <v>0</v>
      </c>
      <c r="O63" s="843">
        <f t="shared" si="18"/>
        <v>2.7739251040157266E-05</v>
      </c>
      <c r="P63" s="821">
        <f t="shared" si="19"/>
        <v>0.00019999999999953388</v>
      </c>
      <c r="Q63" s="844">
        <f t="shared" si="20"/>
        <v>-7.2098</v>
      </c>
      <c r="R63" s="603">
        <v>19</v>
      </c>
      <c r="S63" s="381">
        <f t="shared" si="8"/>
        <v>0.9894736842105264</v>
      </c>
      <c r="T63" s="382">
        <f t="shared" si="21"/>
        <v>0.9902210526315789</v>
      </c>
      <c r="U63" s="381">
        <f t="shared" si="22"/>
        <v>2.8466586422233853</v>
      </c>
      <c r="V63" s="603">
        <f t="shared" si="25"/>
        <v>54.620646630876784</v>
      </c>
      <c r="W63" s="2" t="s">
        <v>756</v>
      </c>
      <c r="X63" s="893">
        <f t="shared" si="23"/>
        <v>35.620646630876784</v>
      </c>
      <c r="Y63" s="18"/>
    </row>
    <row r="64" spans="1:25" s="1" customFormat="1" ht="13.5" thickBot="1">
      <c r="A64" s="1435"/>
      <c r="B64" s="458" t="s">
        <v>418</v>
      </c>
      <c r="C64" s="872">
        <f>'BCWS by JOB'!E60</f>
        <v>21</v>
      </c>
      <c r="D64" s="873">
        <f>'BCWP by JOB'!C60</f>
        <v>5.49738904</v>
      </c>
      <c r="E64" s="886">
        <f>'ACWP by JOB'!C60</f>
        <v>0</v>
      </c>
      <c r="F64" s="874">
        <f t="shared" si="14"/>
        <v>0.2617804304761905</v>
      </c>
      <c r="G64" s="887" t="e">
        <f t="shared" si="15"/>
        <v>#DIV/0!</v>
      </c>
      <c r="H64" s="875">
        <f t="shared" si="16"/>
        <v>-15.50261096</v>
      </c>
      <c r="I64" s="888">
        <f t="shared" si="17"/>
        <v>5.49738904</v>
      </c>
      <c r="J64" s="310"/>
      <c r="K64" s="845">
        <f>'BCWS by JOB'!L60</f>
        <v>3</v>
      </c>
      <c r="L64" s="846">
        <f>'BCWP by JOB'!J60</f>
        <v>2.49738904</v>
      </c>
      <c r="M64" s="846">
        <f>SUM('ACWP by JOB'!K60)</f>
        <v>0</v>
      </c>
      <c r="N64" s="843">
        <f>+K64/L64</f>
        <v>1.2012545710539357</v>
      </c>
      <c r="O64" s="843" t="e">
        <f t="shared" si="18"/>
        <v>#DIV/0!</v>
      </c>
      <c r="P64" s="850">
        <f t="shared" si="19"/>
        <v>-0.5026109600000002</v>
      </c>
      <c r="Q64" s="851">
        <f t="shared" si="20"/>
        <v>2.49738904</v>
      </c>
      <c r="R64" s="603">
        <v>121</v>
      </c>
      <c r="S64" s="381">
        <f t="shared" si="8"/>
        <v>0.17355371900826447</v>
      </c>
      <c r="T64" s="382">
        <f t="shared" si="21"/>
        <v>0.04543296727272727</v>
      </c>
      <c r="U64" s="381">
        <f t="shared" si="22"/>
        <v>0</v>
      </c>
      <c r="V64" s="603">
        <f>+R64+106</f>
        <v>227</v>
      </c>
      <c r="W64" s="2" t="s">
        <v>1010</v>
      </c>
      <c r="X64" s="1033">
        <f t="shared" si="23"/>
        <v>106</v>
      </c>
      <c r="Y64" s="1391" t="s">
        <v>1008</v>
      </c>
    </row>
    <row r="65" spans="1:25" s="461" customFormat="1" ht="16.5" thickBot="1">
      <c r="A65" s="1436"/>
      <c r="B65" s="426" t="s">
        <v>692</v>
      </c>
      <c r="C65" s="435">
        <f>SUM(C39:C64)</f>
        <v>3601.4</v>
      </c>
      <c r="D65" s="436">
        <f>SUM(D39:D64)</f>
        <v>3091.3718048800006</v>
      </c>
      <c r="E65" s="568">
        <f>SUM(E39:E64)</f>
        <v>2776.345653312274</v>
      </c>
      <c r="F65" s="566">
        <f>+D65/C65</f>
        <v>0.858380575576165</v>
      </c>
      <c r="G65" s="567">
        <f>+D65/E65</f>
        <v>1.1134679146279534</v>
      </c>
      <c r="H65" s="564">
        <f t="shared" si="16"/>
        <v>-510.0281951199995</v>
      </c>
      <c r="I65" s="454">
        <f>+D65-E65</f>
        <v>315.02615156772663</v>
      </c>
      <c r="J65" s="438"/>
      <c r="K65" s="830">
        <f>SUM(K39:K64)</f>
        <v>413.6</v>
      </c>
      <c r="L65" s="831">
        <f>SUM(L39:L64)</f>
        <v>369.2287048799999</v>
      </c>
      <c r="M65" s="831">
        <f>SUM(M39:M64)</f>
        <v>371.60299999999995</v>
      </c>
      <c r="N65" s="832">
        <f>+L65/K65</f>
        <v>0.8927193058027076</v>
      </c>
      <c r="O65" s="833">
        <f>+L65/M65</f>
        <v>0.9936106675134483</v>
      </c>
      <c r="P65" s="834">
        <f t="shared" si="19"/>
        <v>-44.37129512000013</v>
      </c>
      <c r="Q65" s="835">
        <f>+L65-M65</f>
        <v>-2.374295120000056</v>
      </c>
      <c r="R65" s="604">
        <f>SUM(R39:R64)</f>
        <v>15941</v>
      </c>
      <c r="S65" s="462">
        <f t="shared" si="8"/>
        <v>0.22592058214666583</v>
      </c>
      <c r="T65" s="463">
        <f t="shared" si="21"/>
        <v>0.19392583933755728</v>
      </c>
      <c r="U65" s="462">
        <f t="shared" si="22"/>
        <v>0.17416383246422898</v>
      </c>
      <c r="V65" s="891">
        <f>SUM(V39:V64)</f>
        <v>18021.61882577724</v>
      </c>
      <c r="W65" s="304"/>
      <c r="X65" s="893">
        <f t="shared" si="23"/>
        <v>2080.618825777241</v>
      </c>
      <c r="Y65" s="1392"/>
    </row>
    <row r="66" spans="1:25" s="1" customFormat="1" ht="12.75" hidden="1">
      <c r="A66" s="645"/>
      <c r="B66" s="441"/>
      <c r="C66" s="9"/>
      <c r="D66" s="9"/>
      <c r="E66" s="9"/>
      <c r="F66" s="303"/>
      <c r="G66" s="239"/>
      <c r="H66" s="249"/>
      <c r="I66" s="12"/>
      <c r="J66" s="310"/>
      <c r="K66" s="836"/>
      <c r="L66" s="836"/>
      <c r="M66" s="836"/>
      <c r="N66" s="837"/>
      <c r="O66" s="838"/>
      <c r="P66" s="839"/>
      <c r="Q66" s="840"/>
      <c r="R66" s="603"/>
      <c r="S66" s="381" t="e">
        <f t="shared" si="8"/>
        <v>#DIV/0!</v>
      </c>
      <c r="T66" s="382"/>
      <c r="U66" s="381"/>
      <c r="V66" s="441">
        <f>IF(U66&gt;T66*1.5,"X","")</f>
      </c>
      <c r="X66" s="441"/>
      <c r="Y66" s="18"/>
    </row>
    <row r="67" spans="1:25" s="1" customFormat="1" ht="3" customHeight="1" thickBot="1">
      <c r="A67" s="645"/>
      <c r="B67" s="441"/>
      <c r="C67" s="9"/>
      <c r="D67" s="9"/>
      <c r="E67" s="9"/>
      <c r="F67" s="303"/>
      <c r="G67" s="239"/>
      <c r="H67" s="249"/>
      <c r="I67" s="12"/>
      <c r="J67" s="310"/>
      <c r="K67" s="836"/>
      <c r="L67" s="836"/>
      <c r="M67" s="836"/>
      <c r="N67" s="837"/>
      <c r="O67" s="838"/>
      <c r="P67" s="839"/>
      <c r="Q67" s="840"/>
      <c r="R67" s="603"/>
      <c r="S67" s="381"/>
      <c r="T67" s="382"/>
      <c r="U67" s="381"/>
      <c r="V67" s="441"/>
      <c r="X67" s="441"/>
      <c r="Y67" s="18"/>
    </row>
    <row r="68" spans="1:25" s="1" customFormat="1" ht="12.75">
      <c r="A68" s="1427" t="s">
        <v>536</v>
      </c>
      <c r="B68" s="456" t="s">
        <v>444</v>
      </c>
      <c r="C68" s="889">
        <f>'BCWS by JOB'!E63</f>
        <v>-104</v>
      </c>
      <c r="D68" s="876">
        <f>'BCWP by JOB'!C63</f>
        <v>-104.1</v>
      </c>
      <c r="E68" s="877">
        <f>'ACWP by JOB'!C63</f>
        <v>-104.10269</v>
      </c>
      <c r="F68" s="878">
        <f aca="true" t="shared" si="26" ref="F68:F80">+D68/C68</f>
        <v>1.0009615384615385</v>
      </c>
      <c r="G68" s="890">
        <f aca="true" t="shared" si="27" ref="G68:G80">+D68/E68</f>
        <v>0.9999741601297718</v>
      </c>
      <c r="H68" s="879">
        <f aca="true" t="shared" si="28" ref="H68:H82">+D68-C68</f>
        <v>-0.09999999999999432</v>
      </c>
      <c r="I68" s="880">
        <f aca="true" t="shared" si="29" ref="I68:I80">+D68-E68</f>
        <v>0.0026900000000011914</v>
      </c>
      <c r="J68" s="310"/>
      <c r="K68" s="812">
        <f>'BCWS by JOB'!L63</f>
        <v>0</v>
      </c>
      <c r="L68" s="841">
        <f>'BCWP by JOB'!J63</f>
        <v>0</v>
      </c>
      <c r="M68" s="841">
        <f>SUM('ACWP by JOB'!K65)</f>
        <v>0</v>
      </c>
      <c r="N68" s="984" t="e">
        <f>+L68/K68</f>
        <v>#DIV/0!</v>
      </c>
      <c r="O68" s="984" t="e">
        <f>+M68/L68</f>
        <v>#DIV/0!</v>
      </c>
      <c r="P68" s="842">
        <f aca="true" t="shared" si="30" ref="P68:P82">+L68-K68</f>
        <v>0</v>
      </c>
      <c r="Q68" s="816">
        <f aca="true" t="shared" si="31" ref="Q68:Q80">+L68-M68</f>
        <v>0</v>
      </c>
      <c r="R68" s="441">
        <v>55</v>
      </c>
      <c r="S68" s="381">
        <f t="shared" si="8"/>
        <v>-1.8909090909090909</v>
      </c>
      <c r="T68" s="382">
        <f aca="true" t="shared" si="32" ref="T68:T82">+D68/R68</f>
        <v>-1.8927272727272726</v>
      </c>
      <c r="U68" s="381">
        <f aca="true" t="shared" si="33" ref="U68:U82">+E68/R68</f>
        <v>-1.8927761818181816</v>
      </c>
      <c r="V68" s="603">
        <f>IF(D68=0,R68,(IF(E68=0,R68,R68/G68)))</f>
        <v>55.00142122958694</v>
      </c>
      <c r="W68" s="2"/>
      <c r="X68" s="893">
        <f aca="true" t="shared" si="34" ref="X68:X80">+V68-R68</f>
        <v>0.0014212295869384661</v>
      </c>
      <c r="Y68" s="18"/>
    </row>
    <row r="69" spans="1:25" s="1" customFormat="1" ht="12.75">
      <c r="A69" s="1428"/>
      <c r="B69" s="457" t="s">
        <v>445</v>
      </c>
      <c r="C69" s="868">
        <f>'BCWS by JOB'!E64</f>
        <v>2</v>
      </c>
      <c r="D69" s="869">
        <f>'BCWP by JOB'!C64</f>
        <v>1.89426868</v>
      </c>
      <c r="E69" s="881">
        <f>'ACWP by JOB'!C64</f>
        <v>0</v>
      </c>
      <c r="F69" s="870">
        <f t="shared" si="26"/>
        <v>0.94713434</v>
      </c>
      <c r="G69" s="882" t="e">
        <f t="shared" si="27"/>
        <v>#DIV/0!</v>
      </c>
      <c r="H69" s="871">
        <f t="shared" si="28"/>
        <v>-0.10573132000000007</v>
      </c>
      <c r="I69" s="883">
        <f t="shared" si="29"/>
        <v>1.89426868</v>
      </c>
      <c r="J69" s="310"/>
      <c r="K69" s="817">
        <f>'BCWS by JOB'!L64</f>
        <v>1</v>
      </c>
      <c r="L69" s="818">
        <f>'BCWP by JOB'!J64</f>
        <v>1.89426868</v>
      </c>
      <c r="M69" s="818">
        <f>SUM('ACWP by JOB'!K66)</f>
        <v>0</v>
      </c>
      <c r="N69" s="843">
        <f aca="true" t="shared" si="35" ref="N69:N79">+K69/L69</f>
        <v>0.5279082162726779</v>
      </c>
      <c r="O69" s="843" t="e">
        <f aca="true" t="shared" si="36" ref="O69:O79">+L69/M69</f>
        <v>#DIV/0!</v>
      </c>
      <c r="P69" s="821">
        <f t="shared" si="30"/>
        <v>0.8942686799999999</v>
      </c>
      <c r="Q69" s="844">
        <f t="shared" si="31"/>
        <v>1.89426868</v>
      </c>
      <c r="R69" s="441">
        <v>603</v>
      </c>
      <c r="S69" s="381">
        <f t="shared" si="8"/>
        <v>0.003316749585406302</v>
      </c>
      <c r="T69" s="382">
        <f t="shared" si="32"/>
        <v>0.003141407429519071</v>
      </c>
      <c r="U69" s="381">
        <f t="shared" si="33"/>
        <v>0</v>
      </c>
      <c r="V69" s="603">
        <f>IF(D69=0,R69,(IF(E69=0,R69,R69/G69)))</f>
        <v>603</v>
      </c>
      <c r="W69" s="2"/>
      <c r="X69" s="893">
        <f t="shared" si="34"/>
        <v>0</v>
      </c>
      <c r="Y69" s="18"/>
    </row>
    <row r="70" spans="1:25" s="1" customFormat="1" ht="12.75">
      <c r="A70" s="1428"/>
      <c r="B70" s="457" t="s">
        <v>446</v>
      </c>
      <c r="C70" s="868">
        <f>'BCWS by JOB'!E65</f>
        <v>0</v>
      </c>
      <c r="D70" s="869">
        <f>'BCWP by JOB'!C65</f>
        <v>0</v>
      </c>
      <c r="E70" s="881">
        <f>'ACWP by JOB'!C65</f>
        <v>0</v>
      </c>
      <c r="F70" s="870" t="e">
        <f t="shared" si="26"/>
        <v>#DIV/0!</v>
      </c>
      <c r="G70" s="882" t="e">
        <f t="shared" si="27"/>
        <v>#DIV/0!</v>
      </c>
      <c r="H70" s="871">
        <f t="shared" si="28"/>
        <v>0</v>
      </c>
      <c r="I70" s="883">
        <f t="shared" si="29"/>
        <v>0</v>
      </c>
      <c r="J70" s="310"/>
      <c r="K70" s="817">
        <f>'BCWS by JOB'!L65</f>
        <v>0</v>
      </c>
      <c r="L70" s="818">
        <f>'BCWP by JOB'!J65</f>
        <v>0</v>
      </c>
      <c r="M70" s="818">
        <f>SUM('ACWP by JOB'!K67)</f>
        <v>0</v>
      </c>
      <c r="N70" s="843" t="e">
        <f t="shared" si="35"/>
        <v>#DIV/0!</v>
      </c>
      <c r="O70" s="843" t="e">
        <f t="shared" si="36"/>
        <v>#DIV/0!</v>
      </c>
      <c r="P70" s="821">
        <f t="shared" si="30"/>
        <v>0</v>
      </c>
      <c r="Q70" s="844">
        <f t="shared" si="31"/>
        <v>0</v>
      </c>
      <c r="R70" s="441">
        <v>1084</v>
      </c>
      <c r="S70" s="381">
        <f t="shared" si="8"/>
        <v>0</v>
      </c>
      <c r="T70" s="382">
        <f t="shared" si="32"/>
        <v>0</v>
      </c>
      <c r="U70" s="381">
        <f t="shared" si="33"/>
        <v>0</v>
      </c>
      <c r="V70" s="603">
        <f>IF(D70=0,R70,(IF(E70=0,R70,R70/G70)))</f>
        <v>1084</v>
      </c>
      <c r="W70" s="2"/>
      <c r="X70" s="893">
        <f t="shared" si="34"/>
        <v>0</v>
      </c>
      <c r="Y70" s="18"/>
    </row>
    <row r="71" spans="1:25" s="1" customFormat="1" ht="12.75">
      <c r="A71" s="1428"/>
      <c r="B71" s="457" t="s">
        <v>447</v>
      </c>
      <c r="C71" s="868">
        <f>'BCWS by JOB'!E66</f>
        <v>0</v>
      </c>
      <c r="D71" s="869">
        <f>'BCWP by JOB'!C66</f>
        <v>0</v>
      </c>
      <c r="E71" s="881">
        <f>'ACWP by JOB'!C66</f>
        <v>-0.5558088800466068</v>
      </c>
      <c r="F71" s="870" t="e">
        <f t="shared" si="26"/>
        <v>#DIV/0!</v>
      </c>
      <c r="G71" s="882">
        <f t="shared" si="27"/>
        <v>0</v>
      </c>
      <c r="H71" s="871">
        <f t="shared" si="28"/>
        <v>0</v>
      </c>
      <c r="I71" s="883">
        <f t="shared" si="29"/>
        <v>0.5558088800466068</v>
      </c>
      <c r="J71" s="310"/>
      <c r="K71" s="817">
        <f>'BCWS by JOB'!L66</f>
        <v>0</v>
      </c>
      <c r="L71" s="818">
        <f>'BCWP by JOB'!J66</f>
        <v>0</v>
      </c>
      <c r="M71" s="818">
        <f>SUM('ACWP by JOB'!K68)</f>
        <v>0</v>
      </c>
      <c r="N71" s="843" t="e">
        <f t="shared" si="35"/>
        <v>#DIV/0!</v>
      </c>
      <c r="O71" s="843" t="e">
        <f t="shared" si="36"/>
        <v>#DIV/0!</v>
      </c>
      <c r="P71" s="821">
        <f t="shared" si="30"/>
        <v>0</v>
      </c>
      <c r="Q71" s="844">
        <f t="shared" si="31"/>
        <v>0</v>
      </c>
      <c r="R71" s="441">
        <v>683</v>
      </c>
      <c r="S71" s="381">
        <f t="shared" si="8"/>
        <v>0</v>
      </c>
      <c r="T71" s="382">
        <f t="shared" si="32"/>
        <v>0</v>
      </c>
      <c r="U71" s="381">
        <f t="shared" si="33"/>
        <v>-0.0008137758126597463</v>
      </c>
      <c r="V71" s="603">
        <f>IF(D71=0,R71,(IF(E71=0,R71,R71/G71)))</f>
        <v>683</v>
      </c>
      <c r="W71" s="2"/>
      <c r="X71" s="893">
        <f t="shared" si="34"/>
        <v>0</v>
      </c>
      <c r="Y71" s="18"/>
    </row>
    <row r="72" spans="1:26" s="1" customFormat="1" ht="12.75">
      <c r="A72" s="1428"/>
      <c r="B72" s="457" t="s">
        <v>448</v>
      </c>
      <c r="C72" s="868">
        <f>'BCWS by JOB'!E67</f>
        <v>0</v>
      </c>
      <c r="D72" s="869">
        <f>'BCWP by JOB'!C67</f>
        <v>0</v>
      </c>
      <c r="E72" s="881">
        <f>'ACWP by JOB'!C67</f>
        <v>0</v>
      </c>
      <c r="F72" s="870" t="e">
        <f t="shared" si="26"/>
        <v>#DIV/0!</v>
      </c>
      <c r="G72" s="882" t="e">
        <f t="shared" si="27"/>
        <v>#DIV/0!</v>
      </c>
      <c r="H72" s="871">
        <f t="shared" si="28"/>
        <v>0</v>
      </c>
      <c r="I72" s="883">
        <f t="shared" si="29"/>
        <v>0</v>
      </c>
      <c r="J72" s="310"/>
      <c r="K72" s="817">
        <f>'BCWS by JOB'!L67</f>
        <v>0</v>
      </c>
      <c r="L72" s="818">
        <f>'BCWP by JOB'!J67</f>
        <v>0</v>
      </c>
      <c r="M72" s="818">
        <f>SUM('ACWP by JOB'!K69)</f>
        <v>0</v>
      </c>
      <c r="N72" s="843" t="e">
        <f t="shared" si="35"/>
        <v>#DIV/0!</v>
      </c>
      <c r="O72" s="843" t="e">
        <f t="shared" si="36"/>
        <v>#DIV/0!</v>
      </c>
      <c r="P72" s="821">
        <f t="shared" si="30"/>
        <v>0</v>
      </c>
      <c r="Q72" s="844">
        <f t="shared" si="31"/>
        <v>0</v>
      </c>
      <c r="R72" s="441">
        <v>150</v>
      </c>
      <c r="S72" s="381">
        <f t="shared" si="8"/>
        <v>0</v>
      </c>
      <c r="T72" s="382">
        <f t="shared" si="32"/>
        <v>0</v>
      </c>
      <c r="U72" s="381">
        <f t="shared" si="33"/>
        <v>0</v>
      </c>
      <c r="V72" s="982">
        <v>226</v>
      </c>
      <c r="W72" s="2" t="s">
        <v>1007</v>
      </c>
      <c r="X72" s="1030">
        <f t="shared" si="34"/>
        <v>76</v>
      </c>
      <c r="Y72" s="1390" t="s">
        <v>1006</v>
      </c>
      <c r="Z72" s="1">
        <f aca="true" t="shared" si="37" ref="Z72:Z78">+X72*0.4</f>
        <v>30.400000000000002</v>
      </c>
    </row>
    <row r="73" spans="1:26" s="1" customFormat="1" ht="12.75">
      <c r="A73" s="1428"/>
      <c r="B73" s="457" t="s">
        <v>449</v>
      </c>
      <c r="C73" s="868">
        <f>'BCWS by JOB'!E68</f>
        <v>0</v>
      </c>
      <c r="D73" s="869">
        <f>'BCWP by JOB'!C68</f>
        <v>0</v>
      </c>
      <c r="E73" s="881">
        <f>'ACWP by JOB'!C68</f>
        <v>0</v>
      </c>
      <c r="F73" s="870" t="e">
        <f t="shared" si="26"/>
        <v>#DIV/0!</v>
      </c>
      <c r="G73" s="882" t="e">
        <f t="shared" si="27"/>
        <v>#DIV/0!</v>
      </c>
      <c r="H73" s="871">
        <f t="shared" si="28"/>
        <v>0</v>
      </c>
      <c r="I73" s="883">
        <f t="shared" si="29"/>
        <v>0</v>
      </c>
      <c r="J73" s="310"/>
      <c r="K73" s="817">
        <f>'BCWS by JOB'!L68</f>
        <v>0</v>
      </c>
      <c r="L73" s="818">
        <f>'BCWP by JOB'!J68</f>
        <v>0</v>
      </c>
      <c r="M73" s="818">
        <f>SUM('ACWP by JOB'!K70)</f>
        <v>0</v>
      </c>
      <c r="N73" s="843" t="e">
        <f t="shared" si="35"/>
        <v>#DIV/0!</v>
      </c>
      <c r="O73" s="843" t="e">
        <f t="shared" si="36"/>
        <v>#DIV/0!</v>
      </c>
      <c r="P73" s="821">
        <f t="shared" si="30"/>
        <v>0</v>
      </c>
      <c r="Q73" s="844">
        <f t="shared" si="31"/>
        <v>0</v>
      </c>
      <c r="R73" s="441">
        <v>196</v>
      </c>
      <c r="S73" s="381">
        <f t="shared" si="8"/>
        <v>0</v>
      </c>
      <c r="T73" s="382">
        <f t="shared" si="32"/>
        <v>0</v>
      </c>
      <c r="U73" s="381">
        <f t="shared" si="33"/>
        <v>0</v>
      </c>
      <c r="V73" s="982">
        <v>432</v>
      </c>
      <c r="W73" s="2" t="s">
        <v>1007</v>
      </c>
      <c r="X73" s="1030">
        <f t="shared" si="34"/>
        <v>236</v>
      </c>
      <c r="Y73" s="1390" t="s">
        <v>1006</v>
      </c>
      <c r="Z73" s="1">
        <f t="shared" si="37"/>
        <v>94.4</v>
      </c>
    </row>
    <row r="74" spans="1:26" s="1" customFormat="1" ht="12.75">
      <c r="A74" s="1428"/>
      <c r="B74" s="457" t="s">
        <v>450</v>
      </c>
      <c r="C74" s="868">
        <f>'BCWS by JOB'!E69</f>
        <v>0</v>
      </c>
      <c r="D74" s="869">
        <f>'BCWP by JOB'!C69</f>
        <v>0</v>
      </c>
      <c r="E74" s="881">
        <f>'ACWP by JOB'!C69</f>
        <v>0</v>
      </c>
      <c r="F74" s="870" t="e">
        <f t="shared" si="26"/>
        <v>#DIV/0!</v>
      </c>
      <c r="G74" s="882" t="e">
        <f t="shared" si="27"/>
        <v>#DIV/0!</v>
      </c>
      <c r="H74" s="871">
        <f t="shared" si="28"/>
        <v>0</v>
      </c>
      <c r="I74" s="883">
        <f t="shared" si="29"/>
        <v>0</v>
      </c>
      <c r="J74" s="310"/>
      <c r="K74" s="817">
        <f>'BCWS by JOB'!L69</f>
        <v>0</v>
      </c>
      <c r="L74" s="818">
        <f>'BCWP by JOB'!J69</f>
        <v>0</v>
      </c>
      <c r="M74" s="818">
        <f>SUM('ACWP by JOB'!K71)</f>
        <v>0</v>
      </c>
      <c r="N74" s="843" t="e">
        <f t="shared" si="35"/>
        <v>#DIV/0!</v>
      </c>
      <c r="O74" s="843" t="e">
        <f t="shared" si="36"/>
        <v>#DIV/0!</v>
      </c>
      <c r="P74" s="821">
        <f t="shared" si="30"/>
        <v>0</v>
      </c>
      <c r="Q74" s="844">
        <f t="shared" si="31"/>
        <v>0</v>
      </c>
      <c r="R74" s="441">
        <v>165</v>
      </c>
      <c r="S74" s="381">
        <f t="shared" si="8"/>
        <v>0</v>
      </c>
      <c r="T74" s="382">
        <f t="shared" si="32"/>
        <v>0</v>
      </c>
      <c r="U74" s="381">
        <f t="shared" si="33"/>
        <v>0</v>
      </c>
      <c r="V74" s="982">
        <v>179</v>
      </c>
      <c r="W74" s="2" t="s">
        <v>1007</v>
      </c>
      <c r="X74" s="1030">
        <f t="shared" si="34"/>
        <v>14</v>
      </c>
      <c r="Y74" s="1390" t="s">
        <v>1006</v>
      </c>
      <c r="Z74" s="1">
        <f t="shared" si="37"/>
        <v>5.6000000000000005</v>
      </c>
    </row>
    <row r="75" spans="1:26" s="1" customFormat="1" ht="12.75">
      <c r="A75" s="1428"/>
      <c r="B75" s="457" t="s">
        <v>451</v>
      </c>
      <c r="C75" s="868">
        <f>'BCWS by JOB'!E70</f>
        <v>0</v>
      </c>
      <c r="D75" s="869">
        <f>'BCWP by JOB'!C70</f>
        <v>0</v>
      </c>
      <c r="E75" s="881">
        <f>'ACWP by JOB'!C70</f>
        <v>0</v>
      </c>
      <c r="F75" s="870" t="e">
        <f t="shared" si="26"/>
        <v>#DIV/0!</v>
      </c>
      <c r="G75" s="882" t="e">
        <f t="shared" si="27"/>
        <v>#DIV/0!</v>
      </c>
      <c r="H75" s="871">
        <f t="shared" si="28"/>
        <v>0</v>
      </c>
      <c r="I75" s="883">
        <f t="shared" si="29"/>
        <v>0</v>
      </c>
      <c r="J75" s="310"/>
      <c r="K75" s="817">
        <f>'BCWS by JOB'!L70</f>
        <v>0</v>
      </c>
      <c r="L75" s="818">
        <f>'BCWP by JOB'!J70</f>
        <v>0</v>
      </c>
      <c r="M75" s="818">
        <f>SUM('ACWP by JOB'!K72)</f>
        <v>0</v>
      </c>
      <c r="N75" s="843" t="e">
        <f t="shared" si="35"/>
        <v>#DIV/0!</v>
      </c>
      <c r="O75" s="843" t="e">
        <f t="shared" si="36"/>
        <v>#DIV/0!</v>
      </c>
      <c r="P75" s="821">
        <f t="shared" si="30"/>
        <v>0</v>
      </c>
      <c r="Q75" s="844">
        <f t="shared" si="31"/>
        <v>0</v>
      </c>
      <c r="R75" s="441">
        <v>205</v>
      </c>
      <c r="S75" s="381">
        <f t="shared" si="8"/>
        <v>0</v>
      </c>
      <c r="T75" s="382">
        <f t="shared" si="32"/>
        <v>0</v>
      </c>
      <c r="U75" s="381">
        <f t="shared" si="33"/>
        <v>0</v>
      </c>
      <c r="V75" s="982">
        <v>376</v>
      </c>
      <c r="W75" s="2" t="s">
        <v>1007</v>
      </c>
      <c r="X75" s="1030">
        <f t="shared" si="34"/>
        <v>171</v>
      </c>
      <c r="Y75" s="1390" t="s">
        <v>1006</v>
      </c>
      <c r="Z75" s="1">
        <f t="shared" si="37"/>
        <v>68.4</v>
      </c>
    </row>
    <row r="76" spans="1:26" s="1" customFormat="1" ht="12.75">
      <c r="A76" s="1428"/>
      <c r="B76" s="457" t="s">
        <v>452</v>
      </c>
      <c r="C76" s="868">
        <f>'BCWS by JOB'!E71</f>
        <v>0</v>
      </c>
      <c r="D76" s="869">
        <f>'BCWP by JOB'!C71</f>
        <v>0</v>
      </c>
      <c r="E76" s="881">
        <f>'ACWP by JOB'!C71</f>
        <v>0</v>
      </c>
      <c r="F76" s="870" t="e">
        <f t="shared" si="26"/>
        <v>#DIV/0!</v>
      </c>
      <c r="G76" s="882" t="e">
        <f t="shared" si="27"/>
        <v>#DIV/0!</v>
      </c>
      <c r="H76" s="871">
        <f t="shared" si="28"/>
        <v>0</v>
      </c>
      <c r="I76" s="883">
        <f t="shared" si="29"/>
        <v>0</v>
      </c>
      <c r="J76" s="310"/>
      <c r="K76" s="817">
        <f>'BCWS by JOB'!L71</f>
        <v>0</v>
      </c>
      <c r="L76" s="818">
        <f>'BCWP by JOB'!J71</f>
        <v>0</v>
      </c>
      <c r="M76" s="818">
        <f>SUM('ACWP by JOB'!K73)</f>
        <v>0</v>
      </c>
      <c r="N76" s="843" t="e">
        <f t="shared" si="35"/>
        <v>#DIV/0!</v>
      </c>
      <c r="O76" s="843" t="e">
        <f t="shared" si="36"/>
        <v>#DIV/0!</v>
      </c>
      <c r="P76" s="821">
        <f t="shared" si="30"/>
        <v>0</v>
      </c>
      <c r="Q76" s="844">
        <f t="shared" si="31"/>
        <v>0</v>
      </c>
      <c r="R76" s="441">
        <v>129</v>
      </c>
      <c r="S76" s="381">
        <f t="shared" si="8"/>
        <v>0</v>
      </c>
      <c r="T76" s="382">
        <f t="shared" si="32"/>
        <v>0</v>
      </c>
      <c r="U76" s="381">
        <f t="shared" si="33"/>
        <v>0</v>
      </c>
      <c r="V76" s="982">
        <v>349</v>
      </c>
      <c r="W76" s="2" t="s">
        <v>1007</v>
      </c>
      <c r="X76" s="1030">
        <f t="shared" si="34"/>
        <v>220</v>
      </c>
      <c r="Y76" s="1390" t="s">
        <v>1006</v>
      </c>
      <c r="Z76" s="1">
        <f t="shared" si="37"/>
        <v>88</v>
      </c>
    </row>
    <row r="77" spans="1:26" s="1" customFormat="1" ht="12.75">
      <c r="A77" s="1428"/>
      <c r="B77" s="457" t="s">
        <v>453</v>
      </c>
      <c r="C77" s="868">
        <f>'BCWS by JOB'!E72</f>
        <v>0</v>
      </c>
      <c r="D77" s="869">
        <f>'BCWP by JOB'!C72</f>
        <v>0</v>
      </c>
      <c r="E77" s="881">
        <f>'ACWP by JOB'!C72</f>
        <v>0</v>
      </c>
      <c r="F77" s="870" t="e">
        <f t="shared" si="26"/>
        <v>#DIV/0!</v>
      </c>
      <c r="G77" s="882" t="e">
        <f t="shared" si="27"/>
        <v>#DIV/0!</v>
      </c>
      <c r="H77" s="871">
        <f t="shared" si="28"/>
        <v>0</v>
      </c>
      <c r="I77" s="883">
        <f t="shared" si="29"/>
        <v>0</v>
      </c>
      <c r="J77" s="310"/>
      <c r="K77" s="817">
        <f>'BCWS by JOB'!L72</f>
        <v>0</v>
      </c>
      <c r="L77" s="818">
        <f>'BCWP by JOB'!J72</f>
        <v>0</v>
      </c>
      <c r="M77" s="818">
        <f>SUM('ACWP by JOB'!K74)</f>
        <v>0</v>
      </c>
      <c r="N77" s="843" t="e">
        <f t="shared" si="35"/>
        <v>#DIV/0!</v>
      </c>
      <c r="O77" s="843" t="e">
        <f t="shared" si="36"/>
        <v>#DIV/0!</v>
      </c>
      <c r="P77" s="821">
        <f t="shared" si="30"/>
        <v>0</v>
      </c>
      <c r="Q77" s="844">
        <f t="shared" si="31"/>
        <v>0</v>
      </c>
      <c r="R77" s="441">
        <v>222</v>
      </c>
      <c r="S77" s="381">
        <f>+C77/R77</f>
        <v>0</v>
      </c>
      <c r="T77" s="382">
        <f t="shared" si="32"/>
        <v>0</v>
      </c>
      <c r="U77" s="381">
        <f t="shared" si="33"/>
        <v>0</v>
      </c>
      <c r="V77" s="982">
        <v>387</v>
      </c>
      <c r="W77" s="2" t="s">
        <v>1007</v>
      </c>
      <c r="X77" s="1030">
        <f t="shared" si="34"/>
        <v>165</v>
      </c>
      <c r="Y77" s="1390" t="s">
        <v>1006</v>
      </c>
      <c r="Z77" s="1">
        <f t="shared" si="37"/>
        <v>66</v>
      </c>
    </row>
    <row r="78" spans="1:28" s="1" customFormat="1" ht="12.75">
      <c r="A78" s="1428"/>
      <c r="B78" s="457" t="s">
        <v>454</v>
      </c>
      <c r="C78" s="868">
        <f>'BCWS by JOB'!E73</f>
        <v>11.2</v>
      </c>
      <c r="D78" s="869">
        <f>'BCWP by JOB'!C73</f>
        <v>11.181438400000001</v>
      </c>
      <c r="E78" s="881">
        <f>'ACWP by JOB'!C73</f>
        <v>0</v>
      </c>
      <c r="F78" s="870">
        <f t="shared" si="26"/>
        <v>0.9983427142857144</v>
      </c>
      <c r="G78" s="882" t="e">
        <f t="shared" si="27"/>
        <v>#DIV/0!</v>
      </c>
      <c r="H78" s="871">
        <f t="shared" si="28"/>
        <v>-0.01856159999999818</v>
      </c>
      <c r="I78" s="883">
        <f t="shared" si="29"/>
        <v>11.181438400000001</v>
      </c>
      <c r="J78" s="310"/>
      <c r="K78" s="817">
        <f>'BCWS by JOB'!L73</f>
        <v>2.1</v>
      </c>
      <c r="L78" s="818">
        <f>'BCWP by JOB'!J73</f>
        <v>1.8814384000000004</v>
      </c>
      <c r="M78" s="818">
        <f>SUM('ACWP by JOB'!K75)</f>
        <v>0</v>
      </c>
      <c r="N78" s="843">
        <f t="shared" si="35"/>
        <v>1.116167289877787</v>
      </c>
      <c r="O78" s="843" t="e">
        <f t="shared" si="36"/>
        <v>#DIV/0!</v>
      </c>
      <c r="P78" s="821">
        <f t="shared" si="30"/>
        <v>-0.2185615999999997</v>
      </c>
      <c r="Q78" s="844">
        <f t="shared" si="31"/>
        <v>1.8814384000000004</v>
      </c>
      <c r="R78" s="441">
        <v>69</v>
      </c>
      <c r="S78" s="381">
        <f>+C78/R78</f>
        <v>0.16231884057971013</v>
      </c>
      <c r="T78" s="382">
        <f t="shared" si="32"/>
        <v>0.162049831884058</v>
      </c>
      <c r="U78" s="381">
        <f t="shared" si="33"/>
        <v>0</v>
      </c>
      <c r="V78" s="982">
        <v>69</v>
      </c>
      <c r="W78" s="2" t="s">
        <v>1007</v>
      </c>
      <c r="X78" s="1030">
        <f t="shared" si="34"/>
        <v>0</v>
      </c>
      <c r="Y78" s="1390" t="s">
        <v>1006</v>
      </c>
      <c r="Z78" s="1">
        <f t="shared" si="37"/>
        <v>0</v>
      </c>
      <c r="AB78" s="14">
        <f>SUM(X72:X78)</f>
        <v>882</v>
      </c>
    </row>
    <row r="79" spans="1:25" s="1" customFormat="1" ht="13.5" thickBot="1">
      <c r="A79" s="1428"/>
      <c r="B79" s="458" t="s">
        <v>455</v>
      </c>
      <c r="C79" s="872">
        <f>'BCWS by JOB'!E74</f>
        <v>0</v>
      </c>
      <c r="D79" s="873">
        <f>'BCWP by JOB'!C74</f>
        <v>0</v>
      </c>
      <c r="E79" s="886">
        <f>'ACWP by JOB'!C74</f>
        <v>0</v>
      </c>
      <c r="F79" s="874" t="e">
        <f t="shared" si="26"/>
        <v>#DIV/0!</v>
      </c>
      <c r="G79" s="887" t="e">
        <f t="shared" si="27"/>
        <v>#DIV/0!</v>
      </c>
      <c r="H79" s="875">
        <f t="shared" si="28"/>
        <v>0</v>
      </c>
      <c r="I79" s="888">
        <f t="shared" si="29"/>
        <v>0</v>
      </c>
      <c r="J79" s="310"/>
      <c r="K79" s="823">
        <f>'BCWS by JOB'!L74</f>
        <v>0</v>
      </c>
      <c r="L79" s="825">
        <f>'BCWP by JOB'!J74</f>
        <v>0</v>
      </c>
      <c r="M79" s="825">
        <f>SUM('ACWP by JOB'!K76)</f>
        <v>0</v>
      </c>
      <c r="N79" s="843" t="e">
        <f t="shared" si="35"/>
        <v>#DIV/0!</v>
      </c>
      <c r="O79" s="843" t="e">
        <f t="shared" si="36"/>
        <v>#DIV/0!</v>
      </c>
      <c r="P79" s="828">
        <f t="shared" si="30"/>
        <v>0</v>
      </c>
      <c r="Q79" s="829">
        <f t="shared" si="31"/>
        <v>0</v>
      </c>
      <c r="R79" s="441">
        <v>765</v>
      </c>
      <c r="S79" s="381">
        <f>+C79/R79</f>
        <v>0</v>
      </c>
      <c r="T79" s="382">
        <f t="shared" si="32"/>
        <v>0</v>
      </c>
      <c r="U79" s="381">
        <f t="shared" si="33"/>
        <v>0</v>
      </c>
      <c r="V79" s="603">
        <f>IF(D79=0,R79,(IF(E79=0,R79,R79/G79)))</f>
        <v>765</v>
      </c>
      <c r="W79" s="2"/>
      <c r="X79" s="893">
        <f t="shared" si="34"/>
        <v>0</v>
      </c>
      <c r="Y79" s="18"/>
    </row>
    <row r="80" spans="1:25" s="461" customFormat="1" ht="16.5" thickBot="1">
      <c r="A80" s="1429"/>
      <c r="B80" s="426" t="s">
        <v>693</v>
      </c>
      <c r="C80" s="435">
        <f>SUM(C68:C79)</f>
        <v>-90.8</v>
      </c>
      <c r="D80" s="436">
        <f>SUM(D68:D79)</f>
        <v>-91.02429292</v>
      </c>
      <c r="E80" s="568">
        <f>SUM('ACWP by JOB'!C75)</f>
        <v>-104.65849888004661</v>
      </c>
      <c r="F80" s="566">
        <f t="shared" si="26"/>
        <v>1.0024701863436123</v>
      </c>
      <c r="G80" s="567">
        <f t="shared" si="27"/>
        <v>0.8697267197031621</v>
      </c>
      <c r="H80" s="564">
        <f t="shared" si="28"/>
        <v>-0.22429291999999634</v>
      </c>
      <c r="I80" s="437">
        <f t="shared" si="29"/>
        <v>13.634205960046614</v>
      </c>
      <c r="J80" s="443"/>
      <c r="K80" s="830">
        <f>SUM(K68:K79)</f>
        <v>3.1</v>
      </c>
      <c r="L80" s="831">
        <f>SUM('BCWP by JOB'!J75)</f>
        <v>3.77570708</v>
      </c>
      <c r="M80" s="831">
        <f>SUM('ACWP by JOB'!K75)</f>
        <v>0</v>
      </c>
      <c r="N80" s="832">
        <f>+L80/K80</f>
        <v>1.2179700258064516</v>
      </c>
      <c r="O80" s="833" t="e">
        <f>+L80/M80</f>
        <v>#DIV/0!</v>
      </c>
      <c r="P80" s="834">
        <f t="shared" si="30"/>
        <v>0.67570708</v>
      </c>
      <c r="Q80" s="835">
        <f t="shared" si="31"/>
        <v>3.77570708</v>
      </c>
      <c r="R80" s="604">
        <f>SUM(R66:R79)</f>
        <v>4326</v>
      </c>
      <c r="S80" s="462">
        <f>+C80/R80</f>
        <v>-0.02098936662043458</v>
      </c>
      <c r="T80" s="463">
        <f t="shared" si="32"/>
        <v>-0.02104121426722145</v>
      </c>
      <c r="U80" s="462">
        <f t="shared" si="33"/>
        <v>-0.024192903116053308</v>
      </c>
      <c r="V80" s="891">
        <f>SUM(V68:V79)</f>
        <v>5208.001421229586</v>
      </c>
      <c r="W80" s="304"/>
      <c r="X80" s="893">
        <f t="shared" si="34"/>
        <v>882.0014212295864</v>
      </c>
      <c r="Y80" s="1392"/>
    </row>
    <row r="81" spans="1:25" s="440" customFormat="1" ht="12.75" customHeight="1" thickBot="1">
      <c r="A81" s="646"/>
      <c r="B81" s="460"/>
      <c r="C81" s="448"/>
      <c r="D81" s="448"/>
      <c r="E81" s="449"/>
      <c r="F81" s="450"/>
      <c r="G81" s="451"/>
      <c r="H81" s="452"/>
      <c r="I81" s="453"/>
      <c r="J81" s="443"/>
      <c r="K81" s="852"/>
      <c r="L81" s="852"/>
      <c r="M81" s="853"/>
      <c r="N81" s="854"/>
      <c r="O81" s="855"/>
      <c r="P81" s="856"/>
      <c r="Q81" s="857"/>
      <c r="R81" s="1047" t="s">
        <v>1011</v>
      </c>
      <c r="S81" s="1048"/>
      <c r="T81" s="1049"/>
      <c r="U81" s="1048"/>
      <c r="V81" s="383">
        <f>2.5*202</f>
        <v>505</v>
      </c>
      <c r="W81" s="14"/>
      <c r="X81" s="14">
        <f>+V81</f>
        <v>505</v>
      </c>
      <c r="Y81" s="967"/>
    </row>
    <row r="82" spans="1:28" s="440" customFormat="1" ht="20.25" customHeight="1" thickBot="1">
      <c r="A82" s="647"/>
      <c r="B82" s="426" t="s">
        <v>853</v>
      </c>
      <c r="C82" s="1015">
        <f>SUM(C80,C65,C37,C9)</f>
        <v>8924.88</v>
      </c>
      <c r="D82" s="1013">
        <f>SUM(D80,D65,D37,D9)</f>
        <v>8088.97358731</v>
      </c>
      <c r="E82" s="568">
        <f>SUM(E80,E65,E37,E9)</f>
        <v>7235.213562535117</v>
      </c>
      <c r="F82" s="566">
        <f>+D82/C82</f>
        <v>0.9063397588886349</v>
      </c>
      <c r="G82" s="570">
        <f>+D82/E82</f>
        <v>1.118000666793827</v>
      </c>
      <c r="H82" s="564">
        <f t="shared" si="28"/>
        <v>-835.9064126899993</v>
      </c>
      <c r="I82" s="437">
        <f>+D82-E82</f>
        <v>853.7600247748833</v>
      </c>
      <c r="J82" s="464"/>
      <c r="K82" s="1027">
        <f>SUM(K80,K65,K37,K9)</f>
        <v>1185.47</v>
      </c>
      <c r="L82" s="1014">
        <f>SUM(L80,L65,L37,L9)</f>
        <v>1039.4264873099999</v>
      </c>
      <c r="M82" s="1014">
        <f>SUM(M80,M65,M37,M9)</f>
        <v>1086.612</v>
      </c>
      <c r="N82" s="858">
        <f>+L82/K82</f>
        <v>0.8768053913721983</v>
      </c>
      <c r="O82" s="859">
        <f>+L82/M82</f>
        <v>0.9565755645161288</v>
      </c>
      <c r="P82" s="860">
        <f t="shared" si="30"/>
        <v>-146.04351269000017</v>
      </c>
      <c r="Q82" s="861">
        <f>+L82-M82</f>
        <v>-47.18551269000022</v>
      </c>
      <c r="R82" s="602">
        <f>SUM(R80,R65,R37,R9)</f>
        <v>50853</v>
      </c>
      <c r="S82" s="465">
        <f>+C82/R82</f>
        <v>0.17550351011739718</v>
      </c>
      <c r="T82" s="466">
        <f t="shared" si="32"/>
        <v>0.15906580904391088</v>
      </c>
      <c r="U82" s="465">
        <f t="shared" si="33"/>
        <v>0.14227702520077706</v>
      </c>
      <c r="V82" s="602"/>
      <c r="W82" s="604"/>
      <c r="Y82" s="967"/>
      <c r="Z82" s="439">
        <f>+V82-R82</f>
        <v>-50853</v>
      </c>
      <c r="AB82" s="1037">
        <f>SUM(Z12:Z81)</f>
        <v>1516.8000000000002</v>
      </c>
    </row>
    <row r="83" spans="1:26" s="440" customFormat="1" ht="15" customHeight="1">
      <c r="A83" s="967"/>
      <c r="B83" s="968"/>
      <c r="C83" s="442"/>
      <c r="D83" s="442"/>
      <c r="E83" s="442"/>
      <c r="F83" s="969"/>
      <c r="G83" s="970"/>
      <c r="H83" s="971"/>
      <c r="I83" s="973"/>
      <c r="J83" s="973"/>
      <c r="K83" s="979"/>
      <c r="L83" s="979"/>
      <c r="M83" s="979"/>
      <c r="N83" s="980"/>
      <c r="O83" s="981"/>
      <c r="P83" s="1377"/>
      <c r="Q83" s="1376" t="s">
        <v>855</v>
      </c>
      <c r="R83" s="1378">
        <f>SUM('Baseline Reconciliation'!N132)</f>
        <v>14380</v>
      </c>
      <c r="S83" s="972"/>
      <c r="T83" s="972"/>
      <c r="U83" s="972"/>
      <c r="V83" s="604"/>
      <c r="W83" s="604"/>
      <c r="Y83" s="967"/>
      <c r="Z83" s="439">
        <f>+V83-R83</f>
        <v>-14380</v>
      </c>
    </row>
    <row r="84" spans="1:26" s="440" customFormat="1" ht="15" customHeight="1">
      <c r="A84" s="967"/>
      <c r="C84" s="442"/>
      <c r="D84" s="442"/>
      <c r="E84" s="442"/>
      <c r="F84" s="969"/>
      <c r="G84" s="970"/>
      <c r="H84" s="971"/>
      <c r="I84" s="973"/>
      <c r="J84" s="973"/>
      <c r="K84" s="979"/>
      <c r="L84" s="979"/>
      <c r="M84" s="979"/>
      <c r="N84" s="980"/>
      <c r="O84" s="981"/>
      <c r="P84" s="1377"/>
      <c r="Q84" s="1376" t="s">
        <v>31</v>
      </c>
      <c r="R84" s="1378">
        <f>SUM('Baseline Reconciliation'!F134)</f>
        <v>67178.138</v>
      </c>
      <c r="S84" s="974">
        <f>SUM('Baseline Reconciliation'!G134)</f>
        <v>0</v>
      </c>
      <c r="T84" s="974">
        <f>SUM('Baseline Reconciliation'!H134)</f>
        <v>6264</v>
      </c>
      <c r="U84" s="974">
        <f>SUM('Baseline Reconciliation'!I134)</f>
        <v>16688</v>
      </c>
      <c r="V84" s="974"/>
      <c r="W84" s="604"/>
      <c r="Y84" s="967"/>
      <c r="Z84" s="439"/>
    </row>
    <row r="85" spans="1:26" s="440" customFormat="1" ht="16.5" customHeight="1" thickBot="1">
      <c r="A85" s="967"/>
      <c r="B85" s="968"/>
      <c r="C85" s="442"/>
      <c r="D85" s="442"/>
      <c r="E85" s="442"/>
      <c r="F85" s="969"/>
      <c r="G85" s="970"/>
      <c r="H85" s="971"/>
      <c r="I85" s="973"/>
      <c r="J85" s="973"/>
      <c r="K85" s="979"/>
      <c r="L85" s="979"/>
      <c r="M85" s="1381"/>
      <c r="N85" s="1382"/>
      <c r="O85" s="1383"/>
      <c r="P85" s="1384"/>
      <c r="Q85" s="1375" t="s">
        <v>852</v>
      </c>
      <c r="R85" s="1385">
        <f>SUM(R82:R84)</f>
        <v>132411.138</v>
      </c>
      <c r="S85" s="972"/>
      <c r="T85" s="972"/>
      <c r="U85" s="972"/>
      <c r="V85" s="604"/>
      <c r="Y85" s="967"/>
      <c r="Z85" s="1044">
        <f>+V85-R85</f>
        <v>-132411.138</v>
      </c>
    </row>
    <row r="86" spans="1:27" s="440" customFormat="1" ht="16.5" customHeight="1">
      <c r="A86" s="967"/>
      <c r="B86" s="983"/>
      <c r="C86" s="442"/>
      <c r="D86" s="442"/>
      <c r="E86" s="442"/>
      <c r="F86" s="969"/>
      <c r="G86" s="970"/>
      <c r="H86" s="971"/>
      <c r="I86" s="973"/>
      <c r="J86" s="973"/>
      <c r="K86" s="979"/>
      <c r="L86" s="979"/>
      <c r="M86" s="979"/>
      <c r="N86" s="980"/>
      <c r="O86" s="981"/>
      <c r="P86" s="1377"/>
      <c r="Q86" s="1001" t="s">
        <v>27</v>
      </c>
      <c r="R86" s="1378">
        <f>SUM(Z87:Z88)</f>
        <v>1781.5920460879256</v>
      </c>
      <c r="S86" s="972"/>
      <c r="T86" s="972"/>
      <c r="U86" s="972"/>
      <c r="V86" s="604"/>
      <c r="Y86" s="967"/>
      <c r="Z86" s="1040">
        <f>SUM(X72:X78,Z72:Z78,X52,X42,Z42,Z52,X12,Z12,X22:X24,Z22:Z24,X28,Z28,X35,Z35)</f>
        <v>5308.800000000001</v>
      </c>
      <c r="AA86" s="1041" t="s">
        <v>1012</v>
      </c>
    </row>
    <row r="87" spans="1:27" s="440" customFormat="1" ht="16.5" customHeight="1">
      <c r="A87" s="967"/>
      <c r="B87" s="968"/>
      <c r="C87" s="442"/>
      <c r="D87" s="442"/>
      <c r="E87" s="442"/>
      <c r="F87" s="969"/>
      <c r="G87" s="970"/>
      <c r="H87" s="971"/>
      <c r="I87" s="973"/>
      <c r="J87" s="973"/>
      <c r="K87" s="979"/>
      <c r="L87" s="979"/>
      <c r="M87" s="979"/>
      <c r="N87" s="980"/>
      <c r="O87" s="981"/>
      <c r="P87" s="1377"/>
      <c r="Q87" s="1376" t="s">
        <v>29</v>
      </c>
      <c r="R87" s="1378">
        <f>SUM(Z86)/1.4</f>
        <v>3792.000000000001</v>
      </c>
      <c r="S87" s="972"/>
      <c r="T87" s="972"/>
      <c r="U87" s="972"/>
      <c r="V87" s="604"/>
      <c r="Y87" s="967"/>
      <c r="Z87" s="1040">
        <f>SUM(X61:X64,X58:X59,X27,X17:X20,X6:X8)</f>
        <v>1276.5920460879256</v>
      </c>
      <c r="AA87" s="1041" t="s">
        <v>1008</v>
      </c>
    </row>
    <row r="88" spans="1:27" s="440" customFormat="1" ht="16.5" customHeight="1">
      <c r="A88" s="967"/>
      <c r="B88" s="968"/>
      <c r="C88" s="442"/>
      <c r="D88" s="442"/>
      <c r="E88" s="442"/>
      <c r="F88" s="969"/>
      <c r="G88" s="970"/>
      <c r="H88" s="971"/>
      <c r="I88" s="973"/>
      <c r="J88" s="973"/>
      <c r="K88" s="979"/>
      <c r="L88" s="979"/>
      <c r="M88" s="979"/>
      <c r="N88" s="980"/>
      <c r="O88" s="981"/>
      <c r="P88" s="1377"/>
      <c r="Q88" s="1376" t="s">
        <v>30</v>
      </c>
      <c r="R88" s="1378">
        <f>+R87*0.4</f>
        <v>1516.8000000000004</v>
      </c>
      <c r="S88" s="972"/>
      <c r="T88" s="972"/>
      <c r="U88" s="972"/>
      <c r="V88" s="604"/>
      <c r="Y88" s="967"/>
      <c r="Z88" s="1038">
        <f>SUM(X81)</f>
        <v>505</v>
      </c>
      <c r="AA88" s="1042" t="s">
        <v>1013</v>
      </c>
    </row>
    <row r="89" spans="1:27" s="1" customFormat="1" ht="16.5" customHeight="1" thickBot="1">
      <c r="A89" s="645"/>
      <c r="B89" s="441"/>
      <c r="C89" s="294"/>
      <c r="D89" s="294"/>
      <c r="E89" s="294"/>
      <c r="F89" s="295"/>
      <c r="G89" s="296"/>
      <c r="H89" s="297"/>
      <c r="I89" s="975"/>
      <c r="J89" s="975"/>
      <c r="K89" s="976"/>
      <c r="L89" s="976"/>
      <c r="M89" s="976"/>
      <c r="N89" s="977"/>
      <c r="O89" s="978"/>
      <c r="P89" s="1379"/>
      <c r="Q89" s="1375" t="s">
        <v>28</v>
      </c>
      <c r="R89" s="1386">
        <f>SUM(R85:R88)</f>
        <v>139501.53004608792</v>
      </c>
      <c r="V89" s="606"/>
      <c r="Y89" s="18"/>
      <c r="Z89" s="1040">
        <f>SUM(Z87:Z88)</f>
        <v>1781.5920460879256</v>
      </c>
      <c r="AA89" s="1043"/>
    </row>
    <row r="90" spans="1:27" s="1" customFormat="1" ht="16.5" customHeight="1">
      <c r="A90" s="645"/>
      <c r="B90" s="441"/>
      <c r="C90" s="294"/>
      <c r="D90" s="294"/>
      <c r="E90" s="294"/>
      <c r="F90" s="295"/>
      <c r="G90" s="296"/>
      <c r="H90" s="297"/>
      <c r="I90" s="975"/>
      <c r="J90" s="975"/>
      <c r="K90" s="976"/>
      <c r="L90" s="976"/>
      <c r="M90" s="976"/>
      <c r="N90" s="977"/>
      <c r="O90" s="978"/>
      <c r="P90" s="1379"/>
      <c r="Q90" s="1376"/>
      <c r="R90" s="1380"/>
      <c r="V90" s="606"/>
      <c r="Y90" s="18"/>
      <c r="Z90" s="1040"/>
      <c r="AA90" s="1043"/>
    </row>
    <row r="91" spans="1:25" s="1" customFormat="1" ht="16.5" customHeight="1">
      <c r="A91" s="645"/>
      <c r="B91" s="441"/>
      <c r="C91" s="294"/>
      <c r="D91" s="294"/>
      <c r="E91" s="294"/>
      <c r="F91" s="295"/>
      <c r="G91" s="296"/>
      <c r="H91" s="297"/>
      <c r="I91" s="975"/>
      <c r="J91" s="975"/>
      <c r="K91" s="976"/>
      <c r="L91" s="976"/>
      <c r="M91" s="976"/>
      <c r="N91" s="977"/>
      <c r="O91" s="978"/>
      <c r="P91" s="1379"/>
      <c r="Q91" s="1376"/>
      <c r="R91" s="1380"/>
      <c r="V91" s="606"/>
      <c r="X91" s="1040"/>
      <c r="Y91" s="1394"/>
    </row>
    <row r="92" spans="1:26" ht="15">
      <c r="A92" s="648"/>
      <c r="B92" s="607" t="s">
        <v>575</v>
      </c>
      <c r="C92" s="608">
        <f>SUM(C58,C57,C47:C48,C52,C7)</f>
        <v>1848</v>
      </c>
      <c r="D92" s="608">
        <f>SUM(D58,D57,D47:D48,D52,D7)</f>
        <v>1595.7000355199998</v>
      </c>
      <c r="E92" s="608">
        <f>SUM(E58,E57,E47:E48,E52,E7)</f>
        <v>1256.9705876727492</v>
      </c>
      <c r="F92" s="246">
        <f>+D92/C92</f>
        <v>0.8634740451948051</v>
      </c>
      <c r="G92" s="247">
        <f>+D92/E92</f>
        <v>1.269480806606939</v>
      </c>
      <c r="H92" s="247"/>
      <c r="I92" s="248">
        <f>+D92-E92</f>
        <v>338.72944784725064</v>
      </c>
      <c r="J92" s="248"/>
      <c r="K92" s="609">
        <f>SUM(K58,K57,K47:K48,K52,K7)</f>
        <v>147</v>
      </c>
      <c r="L92" s="609">
        <f>SUM(L58,L57,L47:L48,L52,L7)</f>
        <v>222.75903551999994</v>
      </c>
      <c r="M92" s="609">
        <f>SUM(M58,M57,M47:M48,M52,M7)</f>
        <v>153.52</v>
      </c>
      <c r="N92" s="303">
        <f>+L92/K92</f>
        <v>1.5153675885714282</v>
      </c>
      <c r="O92" s="307">
        <f>+L92/M92</f>
        <v>1.451009871808233</v>
      </c>
      <c r="P92" s="307"/>
      <c r="Q92" s="2">
        <f>+L92-M92</f>
        <v>69.23903551999993</v>
      </c>
      <c r="R92" s="606"/>
      <c r="S92" s="606"/>
      <c r="T92" s="606"/>
      <c r="U92" s="606"/>
      <c r="V92" s="606"/>
      <c r="W92" s="606"/>
      <c r="Z92" s="1280">
        <f>+Z89+Z87</f>
        <v>3058.184092175851</v>
      </c>
    </row>
    <row r="93" spans="2:17" ht="15">
      <c r="B93" s="244" t="s">
        <v>576</v>
      </c>
      <c r="C93" s="245">
        <f>+C82-C92</f>
        <v>7076.879999999999</v>
      </c>
      <c r="D93" s="245">
        <f>+D82-D92</f>
        <v>6493.27355179</v>
      </c>
      <c r="E93" s="245">
        <f>+E82-E92</f>
        <v>5978.242974862367</v>
      </c>
      <c r="F93" s="246">
        <f>+D93/C93</f>
        <v>0.9175333694777926</v>
      </c>
      <c r="G93" s="247">
        <f>+D93/E93</f>
        <v>1.086150827106436</v>
      </c>
      <c r="H93" s="247"/>
      <c r="I93" s="248">
        <f>+D93-E93</f>
        <v>515.0305769276329</v>
      </c>
      <c r="J93" s="248"/>
      <c r="K93" s="306">
        <f>+K82-K92</f>
        <v>1038.47</v>
      </c>
      <c r="L93" s="306">
        <f>+L82-L92</f>
        <v>816.6674517899999</v>
      </c>
      <c r="M93" s="306">
        <f>+M82-M92</f>
        <v>933.0920000000001</v>
      </c>
      <c r="N93" s="303">
        <f>+L93/K93</f>
        <v>0.7864141013125077</v>
      </c>
      <c r="O93" s="307">
        <f>+L93/M93</f>
        <v>0.8752271499380552</v>
      </c>
      <c r="P93" s="307"/>
      <c r="Q93" s="2">
        <f>+L93-M93</f>
        <v>-116.42454821000024</v>
      </c>
    </row>
    <row r="94" spans="2:17" ht="15">
      <c r="B94" s="444"/>
      <c r="C94" s="241">
        <f>SUM(C92:C93)</f>
        <v>8924.88</v>
      </c>
      <c r="D94" s="241">
        <f>SUM(D92:D93)</f>
        <v>8088.97358731</v>
      </c>
      <c r="E94" s="241">
        <f>SUM(E92:E93)</f>
        <v>7235.213562535117</v>
      </c>
      <c r="F94" s="252"/>
      <c r="G94" s="253"/>
      <c r="H94" s="254"/>
      <c r="I94" s="255"/>
      <c r="J94" s="255"/>
      <c r="K94" s="306"/>
      <c r="L94" s="306"/>
      <c r="M94" s="306"/>
      <c r="N94" s="292"/>
      <c r="O94" s="308"/>
      <c r="P94" s="293"/>
      <c r="Q94" s="3"/>
    </row>
    <row r="95" spans="2:17" ht="15">
      <c r="B95" s="444"/>
      <c r="F95" s="252"/>
      <c r="G95" s="253"/>
      <c r="H95" s="254"/>
      <c r="I95" s="255"/>
      <c r="J95" s="255"/>
      <c r="K95" s="306"/>
      <c r="L95" s="306"/>
      <c r="M95" s="306"/>
      <c r="N95" s="292"/>
      <c r="O95" s="308"/>
      <c r="P95" s="293"/>
      <c r="Q95" s="3"/>
    </row>
    <row r="96" spans="5:13" ht="12.75">
      <c r="E96" s="9"/>
      <c r="M96" s="9"/>
    </row>
    <row r="97" spans="5:24" ht="12.75">
      <c r="E97" s="9"/>
      <c r="M97" s="9"/>
      <c r="X97" s="1039"/>
    </row>
    <row r="98" spans="5:13" ht="12.75">
      <c r="E98" s="9"/>
      <c r="M98" s="9"/>
    </row>
    <row r="99" spans="3:13" ht="12.75">
      <c r="C99" s="424">
        <f>SUM(C60,C19)</f>
        <v>410</v>
      </c>
      <c r="D99" s="424">
        <f>SUM(D60,D19)</f>
        <v>293.9564833</v>
      </c>
      <c r="E99" s="424">
        <f>SUM(E60,E19)</f>
        <v>255.78887252260068</v>
      </c>
      <c r="F99" s="565">
        <f>+D99/C99</f>
        <v>0.7169670324390244</v>
      </c>
      <c r="G99" s="569">
        <f>+D99/E99</f>
        <v>1.1492152899420085</v>
      </c>
      <c r="H99" s="563">
        <f>+D99-C99</f>
        <v>-116.0435167</v>
      </c>
      <c r="I99" s="425">
        <f>+D99-E99</f>
        <v>38.16761077739932</v>
      </c>
      <c r="M99" s="9"/>
    </row>
    <row r="100" spans="2:13" ht="12.75">
      <c r="B100" s="444" t="s">
        <v>1110</v>
      </c>
      <c r="E100" s="9"/>
      <c r="M100" s="9"/>
    </row>
    <row r="101" spans="2:13" ht="15">
      <c r="B101" s="607" t="s">
        <v>575</v>
      </c>
      <c r="C101" s="241">
        <f>SUM(C58,C47:C48,C52)</f>
        <v>1621</v>
      </c>
      <c r="D101" s="241">
        <f>SUM(D58,D47:D48,D52)</f>
        <v>1401.6408360199998</v>
      </c>
      <c r="E101" s="241">
        <f>SUM(E58,E47:E48,E52)</f>
        <v>1116.9625876727494</v>
      </c>
      <c r="F101" s="870">
        <f>+D101/C101</f>
        <v>0.8646766415916101</v>
      </c>
      <c r="G101" s="882">
        <f>+D101/E101</f>
        <v>1.2548682037241665</v>
      </c>
      <c r="H101" s="871">
        <f>+D101-C101</f>
        <v>-219.35916398000018</v>
      </c>
      <c r="I101" s="883">
        <f>+D101-E101</f>
        <v>284.6782483472505</v>
      </c>
      <c r="M101" s="9"/>
    </row>
    <row r="102" spans="2:13" ht="15">
      <c r="B102" s="244" t="s">
        <v>576</v>
      </c>
      <c r="C102" s="241">
        <f>SUM(C65-C101)</f>
        <v>1980.4</v>
      </c>
      <c r="D102" s="241">
        <f>SUM(D65-D101)</f>
        <v>1689.7309688600008</v>
      </c>
      <c r="E102" s="241">
        <f>SUM(E65-E101)</f>
        <v>1659.3830656395246</v>
      </c>
      <c r="F102" s="870">
        <f>+D102/C102</f>
        <v>0.8532271101090693</v>
      </c>
      <c r="G102" s="882">
        <f>+D102/E102</f>
        <v>1.0182886663416564</v>
      </c>
      <c r="H102" s="871">
        <f>+D102-C102</f>
        <v>-290.66903113999933</v>
      </c>
      <c r="I102" s="883">
        <f>+D102-E102</f>
        <v>30.347903220476155</v>
      </c>
      <c r="M102" s="9"/>
    </row>
    <row r="103" spans="3:13" ht="12.75">
      <c r="C103" s="241">
        <f>SUM(C101:C102)</f>
        <v>3601.4</v>
      </c>
      <c r="D103" s="241">
        <f>SUM(D101:D102)</f>
        <v>3091.3718048800006</v>
      </c>
      <c r="E103" s="241">
        <f>SUM(E101:E102)</f>
        <v>2776.345653312274</v>
      </c>
      <c r="F103" s="870">
        <f>+D103/C103</f>
        <v>0.858380575576165</v>
      </c>
      <c r="G103" s="882">
        <f>+D103/E103</f>
        <v>1.1134679146279534</v>
      </c>
      <c r="H103" s="871">
        <f>+D103-C103</f>
        <v>-510.0281951199995</v>
      </c>
      <c r="I103" s="883">
        <f>+D103-E103</f>
        <v>315.02615156772663</v>
      </c>
      <c r="M103" s="9"/>
    </row>
    <row r="104" spans="5:13" ht="12.75">
      <c r="E104" s="9"/>
      <c r="M104" s="9"/>
    </row>
    <row r="105" spans="5:13" ht="12.75">
      <c r="E105" s="9"/>
      <c r="M105" s="9"/>
    </row>
    <row r="106" spans="5:13" ht="12.75">
      <c r="E106" s="9"/>
      <c r="M106" s="9"/>
    </row>
    <row r="107" spans="5:13" ht="12.75">
      <c r="E107" s="9"/>
      <c r="M107" s="9"/>
    </row>
    <row r="108" spans="5:13" ht="12.75">
      <c r="E108" s="9"/>
      <c r="M108" s="9"/>
    </row>
    <row r="109" spans="5:13" ht="12.75">
      <c r="E109" s="9"/>
      <c r="M109" s="9"/>
    </row>
    <row r="110" spans="5:13" ht="12.75">
      <c r="E110" s="9"/>
      <c r="M110" s="9"/>
    </row>
    <row r="111" spans="5:13" ht="12.75">
      <c r="E111" s="9"/>
      <c r="M111" s="9"/>
    </row>
    <row r="112" spans="5:13" ht="12.75">
      <c r="E112" s="9"/>
      <c r="M112" s="9"/>
    </row>
    <row r="113" spans="5:13" ht="12.75">
      <c r="E113" s="9"/>
      <c r="M113" s="9"/>
    </row>
    <row r="114" spans="5:13" ht="12.75">
      <c r="E114" s="9"/>
      <c r="M114" s="9"/>
    </row>
    <row r="115" spans="5:13" ht="12.75">
      <c r="E115" s="9"/>
      <c r="M115" s="9"/>
    </row>
    <row r="116" spans="5:13" ht="12.75">
      <c r="E116" s="9"/>
      <c r="M116" s="9"/>
    </row>
    <row r="117" spans="5:13" ht="12.75">
      <c r="E117" s="9"/>
      <c r="M117" s="9"/>
    </row>
    <row r="118" spans="5:13" ht="12.75">
      <c r="E118" s="9"/>
      <c r="M118" s="9"/>
    </row>
    <row r="119" spans="5:13" ht="12.75">
      <c r="E119" s="9"/>
      <c r="M119" s="9"/>
    </row>
    <row r="120" spans="5:13" ht="12.75">
      <c r="E120" s="9"/>
      <c r="M120" s="9"/>
    </row>
    <row r="121" spans="5:13" ht="12.75">
      <c r="E121" s="9"/>
      <c r="M121" s="9"/>
    </row>
    <row r="122" spans="5:13" ht="12.75">
      <c r="E122" s="9"/>
      <c r="M122" s="9"/>
    </row>
    <row r="123" spans="5:13" ht="12.75">
      <c r="E123" s="9"/>
      <c r="M123" s="9"/>
    </row>
    <row r="124" spans="5:13" ht="12.75">
      <c r="E124" s="9"/>
      <c r="M124" s="9"/>
    </row>
    <row r="125" spans="5:13" ht="12.75">
      <c r="E125" s="9"/>
      <c r="M125" s="9"/>
    </row>
    <row r="126" spans="5:13" ht="12.75">
      <c r="E126" s="9"/>
      <c r="M126" s="9"/>
    </row>
    <row r="127" spans="5:13" ht="12.75">
      <c r="E127" s="9"/>
      <c r="M127" s="9"/>
    </row>
    <row r="128" spans="5:13" ht="12.75">
      <c r="E128" s="9"/>
      <c r="M128" s="9"/>
    </row>
    <row r="129" spans="5:13" ht="12.75">
      <c r="E129" s="9"/>
      <c r="M129" s="9"/>
    </row>
    <row r="130" spans="5:13" ht="12.75">
      <c r="E130" s="9"/>
      <c r="M130" s="9"/>
    </row>
    <row r="131" spans="5:13" ht="12.75">
      <c r="E131" s="9"/>
      <c r="M131" s="9"/>
    </row>
    <row r="132" spans="5:13" ht="12.75">
      <c r="E132" s="9"/>
      <c r="M132" s="9"/>
    </row>
    <row r="133" spans="5:13" ht="12.75">
      <c r="E133" s="9"/>
      <c r="M133" s="9"/>
    </row>
    <row r="134" spans="5:13" ht="12.75">
      <c r="E134" s="9"/>
      <c r="M134" s="9"/>
    </row>
    <row r="135" spans="5:13" ht="12.75">
      <c r="E135" s="9"/>
      <c r="M135" s="9"/>
    </row>
    <row r="136" spans="5:13" ht="12.75">
      <c r="E136" s="9"/>
      <c r="M136" s="9"/>
    </row>
    <row r="137" spans="5:13" ht="12.75">
      <c r="E137" s="9"/>
      <c r="M137" s="9"/>
    </row>
    <row r="138" spans="5:13" ht="12.75">
      <c r="E138" s="9"/>
      <c r="M138" s="9"/>
    </row>
    <row r="139" spans="5:13" ht="12.75">
      <c r="E139" s="9"/>
      <c r="M139" s="9"/>
    </row>
    <row r="140" spans="5:13" ht="12.75">
      <c r="E140" s="9"/>
      <c r="M140" s="9"/>
    </row>
    <row r="141" spans="5:13" ht="12.75">
      <c r="E141" s="9"/>
      <c r="M141" s="9"/>
    </row>
    <row r="142" spans="5:13" ht="12.75">
      <c r="E142" s="9"/>
      <c r="M142" s="9"/>
    </row>
    <row r="143" spans="5:13" ht="12.75">
      <c r="E143" s="9"/>
      <c r="M143" s="9"/>
    </row>
    <row r="144" spans="5:13" ht="12.75">
      <c r="E144" s="9"/>
      <c r="M144" s="9"/>
    </row>
    <row r="145" spans="5:13" ht="12.75">
      <c r="E145" s="9"/>
      <c r="M145" s="9"/>
    </row>
    <row r="146" spans="5:13" ht="12.75">
      <c r="E146" s="9"/>
      <c r="M146" s="9"/>
    </row>
    <row r="147" spans="5:13" ht="12.75">
      <c r="E147" s="9"/>
      <c r="M147" s="9"/>
    </row>
    <row r="148" spans="5:13" ht="12.75">
      <c r="E148" s="9"/>
      <c r="M148" s="9"/>
    </row>
    <row r="149" spans="5:13" ht="12.75">
      <c r="E149" s="9"/>
      <c r="M149" s="9"/>
    </row>
    <row r="150" spans="5:13" ht="12.75">
      <c r="E150" s="9"/>
      <c r="M150" s="9"/>
    </row>
    <row r="151" spans="5:13" ht="12.75">
      <c r="E151" s="9"/>
      <c r="M151" s="9"/>
    </row>
    <row r="152" spans="5:13" ht="12.75">
      <c r="E152" s="9"/>
      <c r="M152" s="9"/>
    </row>
    <row r="153" spans="5:13" ht="12.75">
      <c r="E153" s="9"/>
      <c r="M153" s="9"/>
    </row>
    <row r="154" spans="5:13" ht="12.75">
      <c r="E154" s="9"/>
      <c r="M154" s="9"/>
    </row>
    <row r="155" spans="5:13" ht="12.75">
      <c r="E155" s="9"/>
      <c r="M155" s="9"/>
    </row>
    <row r="156" spans="5:13" ht="12.75">
      <c r="E156" s="9"/>
      <c r="M156" s="9"/>
    </row>
    <row r="157" spans="5:13" ht="12.75">
      <c r="E157" s="9"/>
      <c r="M157" s="9"/>
    </row>
    <row r="158" spans="5:13" ht="12.75">
      <c r="E158" s="9"/>
      <c r="M158" s="9"/>
    </row>
    <row r="159" spans="5:13" ht="12.75">
      <c r="E159" s="9"/>
      <c r="M159" s="9"/>
    </row>
    <row r="160" spans="5:13" ht="12.75">
      <c r="E160" s="9"/>
      <c r="M160" s="9"/>
    </row>
    <row r="161" spans="5:13" ht="12.75">
      <c r="E161" s="9"/>
      <c r="M161" s="9"/>
    </row>
    <row r="162" spans="5:13" ht="12.75">
      <c r="E162" s="9"/>
      <c r="M162" s="9"/>
    </row>
    <row r="163" spans="5:13" ht="12.75">
      <c r="E163" s="9"/>
      <c r="M163" s="9"/>
    </row>
  </sheetData>
  <mergeCells count="4">
    <mergeCell ref="A6:A9"/>
    <mergeCell ref="A12:A37"/>
    <mergeCell ref="A39:A65"/>
    <mergeCell ref="A68:A80"/>
  </mergeCells>
  <conditionalFormatting sqref="F21:F36 N21:N36 N40:N43 N45:N46 N49 N51:N53 N55:N56 N63:N64 N69:N74">
    <cfRule type="expression" priority="1" dxfId="0" stopIfTrue="1">
      <formula>ISERROR(F21:F36)</formula>
    </cfRule>
  </conditionalFormatting>
  <conditionalFormatting sqref="O13 O15 G24 O24 G21:G22 O21:O22">
    <cfRule type="expression" priority="2" dxfId="0" stopIfTrue="1">
      <formula>ISERROR(G13:G71)</formula>
    </cfRule>
  </conditionalFormatting>
  <conditionalFormatting sqref="F43 F40:F41">
    <cfRule type="expression" priority="3" dxfId="0" stopIfTrue="1">
      <formula>ISERROR(F40:F79)</formula>
    </cfRule>
  </conditionalFormatting>
  <conditionalFormatting sqref="G29 O29">
    <cfRule type="expression" priority="4" dxfId="0" stopIfTrue="1">
      <formula>ISERROR(G29:G93)</formula>
    </cfRule>
  </conditionalFormatting>
  <conditionalFormatting sqref="G30 O30">
    <cfRule type="expression" priority="5" dxfId="0" stopIfTrue="1">
      <formula>ISERROR(G30:G93)</formula>
    </cfRule>
  </conditionalFormatting>
  <conditionalFormatting sqref="F48 N48">
    <cfRule type="expression" priority="6" dxfId="0" stopIfTrue="1">
      <formula>ISERROR(F48:F93)</formula>
    </cfRule>
  </conditionalFormatting>
  <conditionalFormatting sqref="F49">
    <cfRule type="expression" priority="7" dxfId="0" stopIfTrue="1">
      <formula>ISERROR(F49:F93)</formula>
    </cfRule>
  </conditionalFormatting>
  <conditionalFormatting sqref="G25 O25">
    <cfRule type="expression" priority="8" dxfId="0" stopIfTrue="1">
      <formula>ISERROR(G25:G82)</formula>
    </cfRule>
  </conditionalFormatting>
  <conditionalFormatting sqref="F44 N44">
    <cfRule type="expression" priority="9" dxfId="0" stopIfTrue="1">
      <formula>ISERROR(F44:F82)</formula>
    </cfRule>
  </conditionalFormatting>
  <conditionalFormatting sqref="G23 O23 G101:G103">
    <cfRule type="expression" priority="10" dxfId="0" stopIfTrue="1">
      <formula>ISERROR(G23:G82)</formula>
    </cfRule>
  </conditionalFormatting>
  <conditionalFormatting sqref="F42 F101:F103">
    <cfRule type="expression" priority="11" dxfId="0" stopIfTrue="1">
      <formula>ISERROR(F42:F82)</formula>
    </cfRule>
  </conditionalFormatting>
  <conditionalFormatting sqref="G99">
    <cfRule type="expression" priority="12" dxfId="0" stopIfTrue="1">
      <formula>ISERROR(G99:G152)</formula>
    </cfRule>
  </conditionalFormatting>
  <conditionalFormatting sqref="F99">
    <cfRule type="expression" priority="13" dxfId="0" stopIfTrue="1">
      <formula>ISERROR(F99:F133)</formula>
    </cfRule>
  </conditionalFormatting>
  <conditionalFormatting sqref="G28 O28">
    <cfRule type="expression" priority="14" dxfId="0" stopIfTrue="1">
      <formula>ISERROR(G28:G93)</formula>
    </cfRule>
  </conditionalFormatting>
  <conditionalFormatting sqref="F47 N47">
    <cfRule type="expression" priority="15" dxfId="0" stopIfTrue="1">
      <formula>ISERROR(F47:F93)</formula>
    </cfRule>
  </conditionalFormatting>
  <conditionalFormatting sqref="O50 O54 O44 G31:G67 O65:O67 O31:O39 O47:O48 O58:O62">
    <cfRule type="expression" priority="16" dxfId="0" stopIfTrue="1">
      <formula>ISERROR(G31:G93)</formula>
    </cfRule>
  </conditionalFormatting>
  <conditionalFormatting sqref="N54 N50 F50:F67 N57:N62 N65:N67">
    <cfRule type="expression" priority="17" dxfId="0" stopIfTrue="1">
      <formula>ISERROR(F50:F93)</formula>
    </cfRule>
  </conditionalFormatting>
  <conditionalFormatting sqref="N68:O68 O57">
    <cfRule type="expression" priority="18" dxfId="1" stopIfTrue="1">
      <formula>ISERROR(N57:N99)</formula>
    </cfRule>
  </conditionalFormatting>
  <conditionalFormatting sqref="N75:N79">
    <cfRule type="expression" priority="19" dxfId="0" stopIfTrue="1">
      <formula>ISERROR(N75:N92)</formula>
    </cfRule>
  </conditionalFormatting>
  <conditionalFormatting sqref="O40:O43 O45:O46 O51:O53 O55:O56 O63:O64 O69:O79 O49">
    <cfRule type="expression" priority="20" dxfId="0" stopIfTrue="1">
      <formula>ISERROR(O40:O100)</formula>
    </cfRule>
  </conditionalFormatting>
  <conditionalFormatting sqref="G68:G79">
    <cfRule type="expression" priority="21" dxfId="0" stopIfTrue="1">
      <formula>ISERROR(G68:G129)</formula>
    </cfRule>
  </conditionalFormatting>
  <conditionalFormatting sqref="F68:F79">
    <cfRule type="expression" priority="22" dxfId="0" stopIfTrue="1">
      <formula>ISERROR(F68:F110)</formula>
    </cfRule>
  </conditionalFormatting>
  <conditionalFormatting sqref="G26:G27 O26:O27">
    <cfRule type="expression" priority="23" dxfId="0" stopIfTrue="1">
      <formula>ISERROR(G26:G92)</formula>
    </cfRule>
  </conditionalFormatting>
  <conditionalFormatting sqref="F45:F46">
    <cfRule type="expression" priority="24" dxfId="0" stopIfTrue="1">
      <formula>ISERROR(F45:F92)</formula>
    </cfRule>
  </conditionalFormatting>
  <conditionalFormatting sqref="F80:F91 N80:N91">
    <cfRule type="expression" priority="25" dxfId="0" stopIfTrue="1">
      <formula>ISERROR($F$6:$F$82)</formula>
    </cfRule>
  </conditionalFormatting>
  <conditionalFormatting sqref="F6:G20 N6:N20 O6:O12 O14 O16:O20">
    <cfRule type="expression" priority="26" dxfId="0" stopIfTrue="1">
      <formula>ISERROR($F$6:$G$79)</formula>
    </cfRule>
  </conditionalFormatting>
  <conditionalFormatting sqref="E35">
    <cfRule type="expression" priority="27" dxfId="0" stopIfTrue="1">
      <formula>ISERROR($F$21:$G$37)</formula>
    </cfRule>
  </conditionalFormatting>
  <conditionalFormatting sqref="F37:F39 N37:N39">
    <cfRule type="expression" priority="28" dxfId="0" stopIfTrue="1">
      <formula>ISERROR($F$24:$F$37)</formula>
    </cfRule>
  </conditionalFormatting>
  <printOptions gridLines="1"/>
  <pageMargins left="0.17" right="0.17" top="0.25" bottom="0.25" header="0.21" footer="0.17"/>
  <pageSetup fitToHeight="1" fitToWidth="1" horizontalDpi="600" verticalDpi="600" orientation="landscape" paperSize="218" scale="74" r:id="rId2"/>
  <headerFooter alignWithMargins="0">
    <oddFooter>&amp;C&amp;F                    &amp;A             &amp;D      &amp;T</oddFooter>
  </headerFooter>
  <ignoredErrors>
    <ignoredError sqref="K66:L66 O13:O15 L82:N82 N21:O36 F21:J36 F40:J66 F68:J80 N47:N48 N80 N44 N57:N62 N54 N50 F82:J82 M65:N66 F92:N93 F96:N96 F89:N89" evalError="1"/>
    <ignoredError sqref="P82:Q82 O38:O39 P68:Q80 P38:P66 Q39:Q66 P92:Q93 P89" formula="1"/>
    <ignoredError sqref="O58:O62 O80 O82 O65:O66 O50 O54 O44 O47:O48 O92:O93 O89" evalError="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workbookViewId="0" topLeftCell="A26">
      <selection activeCell="E39" sqref="E39"/>
    </sheetView>
  </sheetViews>
  <sheetFormatPr defaultColWidth="9.140625" defaultRowHeight="12.75"/>
  <cols>
    <col min="1" max="1" width="46.4218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4.00390625" style="86" customWidth="1"/>
    <col min="8" max="8" width="3.140625" style="86" customWidth="1"/>
    <col min="9" max="9" width="5.28125" style="86" customWidth="1"/>
    <col min="10" max="10" width="7.140625" style="86" customWidth="1"/>
    <col min="11" max="11" width="10.140625" style="86" customWidth="1"/>
    <col min="12" max="12" width="29.8515625" style="86" customWidth="1"/>
    <col min="13" max="13" width="10.140625" style="278" customWidth="1"/>
    <col min="14" max="14" width="10.140625" style="86" customWidth="1"/>
    <col min="15" max="15" width="12.8515625" style="86" customWidth="1"/>
    <col min="16" max="18" width="10.140625" style="86" customWidth="1"/>
    <col min="19" max="19" width="8.00390625" style="86" customWidth="1"/>
    <col min="20" max="25" width="10.140625" style="86" customWidth="1"/>
    <col min="26" max="16384" width="13.140625" style="86" customWidth="1"/>
  </cols>
  <sheetData>
    <row r="1" spans="1:21" ht="13.5" thickBot="1">
      <c r="A1" s="25"/>
      <c r="B1" s="25"/>
      <c r="C1" s="25"/>
      <c r="D1" s="25"/>
      <c r="E1" s="25"/>
      <c r="F1" s="25"/>
      <c r="G1" s="25"/>
      <c r="H1" s="25"/>
      <c r="I1" s="221"/>
      <c r="J1" s="221"/>
      <c r="K1" s="221"/>
      <c r="L1" s="25"/>
      <c r="M1" s="271"/>
      <c r="N1" s="25"/>
      <c r="O1" s="25"/>
      <c r="P1" s="25"/>
      <c r="Q1" s="25"/>
      <c r="R1" s="25"/>
      <c r="S1"/>
      <c r="T1"/>
      <c r="U1"/>
    </row>
    <row r="2" spans="1:21" ht="18.75">
      <c r="A2" s="26" t="s">
        <v>537</v>
      </c>
      <c r="B2" s="27"/>
      <c r="C2" s="27"/>
      <c r="D2" s="28"/>
      <c r="E2" s="28"/>
      <c r="F2" s="28"/>
      <c r="G2" s="29"/>
      <c r="H2" s="30" t="s">
        <v>232</v>
      </c>
      <c r="I2" s="221"/>
      <c r="J2" s="221"/>
      <c r="K2" s="221"/>
      <c r="L2" s="25"/>
      <c r="M2" s="271"/>
      <c r="N2" s="25"/>
      <c r="O2" s="25"/>
      <c r="P2" s="25"/>
      <c r="Q2" s="25"/>
      <c r="R2" s="25"/>
      <c r="S2"/>
      <c r="T2"/>
      <c r="U2"/>
    </row>
    <row r="3" spans="1:21" ht="16.5" thickBot="1">
      <c r="A3" s="1437" t="s">
        <v>67</v>
      </c>
      <c r="B3" s="1438"/>
      <c r="C3" s="1438"/>
      <c r="D3" s="1439"/>
      <c r="E3" s="31" t="s">
        <v>65</v>
      </c>
      <c r="F3" s="32" t="s">
        <v>69</v>
      </c>
      <c r="G3" s="33" t="s">
        <v>66</v>
      </c>
      <c r="H3" s="30"/>
      <c r="I3" s="221"/>
      <c r="J3" s="221"/>
      <c r="K3" s="221"/>
      <c r="L3" s="25"/>
      <c r="M3" s="271"/>
      <c r="N3" s="25"/>
      <c r="O3" s="25"/>
      <c r="P3" s="25"/>
      <c r="Q3" s="25"/>
      <c r="R3" s="25"/>
      <c r="S3"/>
      <c r="T3"/>
      <c r="U3"/>
    </row>
    <row r="4" spans="1:21" ht="20.25">
      <c r="A4" s="236" t="s">
        <v>577</v>
      </c>
      <c r="B4" s="34"/>
      <c r="C4" s="34"/>
      <c r="D4" s="34"/>
      <c r="E4" s="237" t="s">
        <v>533</v>
      </c>
      <c r="F4" s="35"/>
      <c r="G4" s="611">
        <v>39416</v>
      </c>
      <c r="H4" s="36"/>
      <c r="I4" s="1050"/>
      <c r="J4" s="1050"/>
      <c r="K4" s="1050"/>
      <c r="L4" s="37"/>
      <c r="M4" s="272"/>
      <c r="N4" s="37"/>
      <c r="O4" s="37"/>
      <c r="P4" s="37"/>
      <c r="Q4" s="37"/>
      <c r="R4" s="37"/>
      <c r="S4"/>
      <c r="T4"/>
      <c r="U4"/>
    </row>
    <row r="5" spans="1:21" ht="4.5" customHeight="1">
      <c r="A5" s="205"/>
      <c r="B5" s="230"/>
      <c r="C5" s="193"/>
      <c r="D5" s="198"/>
      <c r="E5" s="199"/>
      <c r="F5" s="193"/>
      <c r="G5" s="206"/>
      <c r="H5" s="25"/>
      <c r="I5" s="221"/>
      <c r="J5" s="221"/>
      <c r="K5" s="221"/>
      <c r="L5" s="25"/>
      <c r="M5" s="271"/>
      <c r="N5" s="25"/>
      <c r="O5" s="25"/>
      <c r="P5" s="25"/>
      <c r="Q5" s="25"/>
      <c r="R5" s="25"/>
      <c r="S5"/>
      <c r="T5"/>
      <c r="U5"/>
    </row>
    <row r="6" spans="1:21" ht="6" customHeight="1" thickBot="1">
      <c r="A6" s="1440"/>
      <c r="B6" s="1441"/>
      <c r="C6" s="1441"/>
      <c r="D6" s="1441"/>
      <c r="E6" s="190"/>
      <c r="F6" s="39"/>
      <c r="G6" s="40"/>
      <c r="H6" s="25"/>
      <c r="I6" s="221"/>
      <c r="J6" s="221"/>
      <c r="K6" s="221"/>
      <c r="L6" s="25"/>
      <c r="M6" s="271"/>
      <c r="N6" s="25"/>
      <c r="O6" s="25"/>
      <c r="P6" s="25"/>
      <c r="Q6" s="25"/>
      <c r="R6" s="41"/>
      <c r="S6"/>
      <c r="T6"/>
      <c r="U6"/>
    </row>
    <row r="7" spans="1:21" ht="4.5" customHeight="1" thickBot="1">
      <c r="A7" s="1442"/>
      <c r="B7" s="1442"/>
      <c r="C7" s="1442"/>
      <c r="D7" s="1443"/>
      <c r="E7" s="1442"/>
      <c r="F7" s="1443"/>
      <c r="G7" s="1443"/>
      <c r="H7"/>
      <c r="I7" s="337"/>
      <c r="J7" s="337"/>
      <c r="K7" s="337"/>
      <c r="L7"/>
      <c r="M7" s="273"/>
      <c r="N7"/>
      <c r="O7"/>
      <c r="P7"/>
      <c r="Q7"/>
      <c r="R7"/>
      <c r="S7"/>
      <c r="T7"/>
      <c r="U7"/>
    </row>
    <row r="8" spans="1:21" ht="14.25">
      <c r="A8" s="1444" t="s">
        <v>49</v>
      </c>
      <c r="B8" s="1445"/>
      <c r="C8" s="1445"/>
      <c r="D8" s="1446"/>
      <c r="E8" s="1446"/>
      <c r="F8" s="1446"/>
      <c r="G8" s="1447"/>
      <c r="H8"/>
      <c r="I8" s="337"/>
      <c r="J8" s="337"/>
      <c r="K8" s="337"/>
      <c r="L8"/>
      <c r="M8" s="273"/>
      <c r="N8"/>
      <c r="O8"/>
      <c r="P8"/>
      <c r="Q8"/>
      <c r="R8"/>
      <c r="S8"/>
      <c r="T8"/>
      <c r="U8"/>
    </row>
    <row r="9" spans="1:21" ht="12.75">
      <c r="A9" s="1448"/>
      <c r="B9" s="1449"/>
      <c r="C9" s="1449"/>
      <c r="D9" s="1450"/>
      <c r="E9" s="1450"/>
      <c r="F9" s="1450"/>
      <c r="G9" s="1451"/>
      <c r="H9"/>
      <c r="I9" s="337"/>
      <c r="J9" s="337"/>
      <c r="K9" s="337"/>
      <c r="L9"/>
      <c r="M9" s="273"/>
      <c r="N9"/>
      <c r="O9"/>
      <c r="P9"/>
      <c r="Q9"/>
      <c r="R9"/>
      <c r="S9"/>
      <c r="T9"/>
      <c r="U9"/>
    </row>
    <row r="10" spans="1:21" ht="12.75">
      <c r="A10" s="1448"/>
      <c r="B10" s="1449"/>
      <c r="C10" s="1449"/>
      <c r="D10" s="1450"/>
      <c r="E10" s="1450"/>
      <c r="F10" s="1450"/>
      <c r="G10" s="1451"/>
      <c r="H10"/>
      <c r="I10" s="337"/>
      <c r="J10" s="337"/>
      <c r="K10" s="337"/>
      <c r="L10"/>
      <c r="M10" s="273"/>
      <c r="N10"/>
      <c r="O10"/>
      <c r="P10"/>
      <c r="Q10"/>
      <c r="R10"/>
      <c r="S10"/>
      <c r="T10"/>
      <c r="U10"/>
    </row>
    <row r="11" spans="1:21" ht="12.75">
      <c r="A11" s="1448"/>
      <c r="B11" s="1449"/>
      <c r="C11" s="1449"/>
      <c r="D11" s="1450"/>
      <c r="E11" s="1450"/>
      <c r="F11" s="1450"/>
      <c r="G11" s="1451"/>
      <c r="H11"/>
      <c r="I11" s="337"/>
      <c r="J11" s="337"/>
      <c r="K11" s="337"/>
      <c r="L11"/>
      <c r="M11" s="273"/>
      <c r="N11"/>
      <c r="O11"/>
      <c r="P11"/>
      <c r="Q11"/>
      <c r="R11"/>
      <c r="S11"/>
      <c r="T11"/>
      <c r="U11"/>
    </row>
    <row r="12" spans="1:22" ht="15">
      <c r="A12" s="1452"/>
      <c r="B12" s="1450"/>
      <c r="C12" s="1450"/>
      <c r="D12" s="1450"/>
      <c r="E12" s="1450"/>
      <c r="F12" s="1450"/>
      <c r="G12" s="1451"/>
      <c r="H12"/>
      <c r="I12" s="337"/>
      <c r="J12" s="337"/>
      <c r="K12" s="337"/>
      <c r="L12"/>
      <c r="M12" s="273"/>
      <c r="N12"/>
      <c r="O12" s="914" t="s">
        <v>567</v>
      </c>
      <c r="P12" s="914" t="s">
        <v>115</v>
      </c>
      <c r="Q12" s="914">
        <v>1361</v>
      </c>
      <c r="R12" s="915" t="s">
        <v>116</v>
      </c>
      <c r="S12" s="915">
        <v>39353</v>
      </c>
      <c r="T12" s="915">
        <v>39386</v>
      </c>
      <c r="U12" s="916">
        <v>39417</v>
      </c>
      <c r="V12" s="926">
        <v>2</v>
      </c>
    </row>
    <row r="13" spans="1:22" ht="15">
      <c r="A13" s="1452"/>
      <c r="B13" s="1450"/>
      <c r="C13" s="1450"/>
      <c r="D13" s="1450"/>
      <c r="E13" s="1450"/>
      <c r="F13" s="1450"/>
      <c r="G13" s="1451"/>
      <c r="H13"/>
      <c r="I13" s="337"/>
      <c r="J13" s="337"/>
      <c r="K13" s="337"/>
      <c r="L13"/>
      <c r="M13" s="273"/>
      <c r="N13"/>
      <c r="O13" s="914" t="s">
        <v>565</v>
      </c>
      <c r="P13" s="914" t="s">
        <v>583</v>
      </c>
      <c r="Q13" s="914">
        <v>1421</v>
      </c>
      <c r="R13" s="915" t="s">
        <v>110</v>
      </c>
      <c r="S13" s="915">
        <v>39329</v>
      </c>
      <c r="T13" s="917" t="s">
        <v>846</v>
      </c>
      <c r="U13" s="916">
        <v>39387</v>
      </c>
      <c r="V13" s="926">
        <v>2</v>
      </c>
    </row>
    <row r="14" spans="1:21" ht="12.75">
      <c r="A14" s="1453"/>
      <c r="B14" s="1454"/>
      <c r="C14" s="1454"/>
      <c r="D14" s="1454"/>
      <c r="E14" s="1454"/>
      <c r="F14" s="1454"/>
      <c r="G14" s="1455"/>
      <c r="H14"/>
      <c r="I14" s="337"/>
      <c r="J14" s="337"/>
      <c r="K14" s="337"/>
      <c r="L14"/>
      <c r="M14" s="273"/>
      <c r="N14"/>
      <c r="O14"/>
      <c r="P14"/>
      <c r="Q14"/>
      <c r="R14"/>
      <c r="S14"/>
      <c r="T14"/>
      <c r="U14"/>
    </row>
    <row r="15" spans="1:22" ht="15">
      <c r="A15" s="1456" t="s">
        <v>50</v>
      </c>
      <c r="B15" s="1457"/>
      <c r="C15" s="1457"/>
      <c r="D15" s="1458"/>
      <c r="E15" s="1458"/>
      <c r="F15" s="1458"/>
      <c r="G15" s="1459"/>
      <c r="H15"/>
      <c r="I15" s="337"/>
      <c r="J15" s="337"/>
      <c r="K15" s="337"/>
      <c r="L15"/>
      <c r="M15" s="273"/>
      <c r="N15"/>
      <c r="O15" s="321" t="s">
        <v>197</v>
      </c>
      <c r="P15" s="321" t="s">
        <v>92</v>
      </c>
      <c r="Q15" s="321">
        <v>1431</v>
      </c>
      <c r="R15" s="321" t="s">
        <v>198</v>
      </c>
      <c r="S15" s="931">
        <v>39345</v>
      </c>
      <c r="T15" s="931">
        <v>39458</v>
      </c>
      <c r="U15" s="932">
        <v>39417</v>
      </c>
      <c r="V15" s="933">
        <v>2</v>
      </c>
    </row>
    <row r="16" spans="1:21" ht="12.75">
      <c r="A16" s="1448"/>
      <c r="B16" s="1449"/>
      <c r="C16" s="1449"/>
      <c r="D16" s="1450"/>
      <c r="E16" s="1450"/>
      <c r="F16" s="1450"/>
      <c r="G16" s="1451"/>
      <c r="H16"/>
      <c r="I16" s="337"/>
      <c r="J16" s="337"/>
      <c r="K16" s="337"/>
      <c r="L16"/>
      <c r="M16" s="273"/>
      <c r="N16"/>
      <c r="O16"/>
      <c r="P16"/>
      <c r="Q16"/>
      <c r="R16"/>
      <c r="S16"/>
      <c r="T16"/>
      <c r="U16"/>
    </row>
    <row r="17" spans="1:21" ht="12.75">
      <c r="A17" s="1448"/>
      <c r="B17" s="1449"/>
      <c r="C17" s="1449"/>
      <c r="D17" s="1450"/>
      <c r="E17" s="1450"/>
      <c r="F17" s="1450"/>
      <c r="G17" s="1451"/>
      <c r="H17"/>
      <c r="I17" s="337"/>
      <c r="J17" s="337"/>
      <c r="K17" s="337"/>
      <c r="L17"/>
      <c r="M17" s="273"/>
      <c r="N17"/>
      <c r="O17"/>
      <c r="P17"/>
      <c r="Q17"/>
      <c r="R17"/>
      <c r="S17"/>
      <c r="T17"/>
      <c r="U17"/>
    </row>
    <row r="18" spans="1:21" ht="12.75">
      <c r="A18" s="1448"/>
      <c r="B18" s="1449"/>
      <c r="C18" s="1449"/>
      <c r="D18" s="1450"/>
      <c r="E18" s="1450"/>
      <c r="F18" s="1450"/>
      <c r="G18" s="1451"/>
      <c r="H18"/>
      <c r="I18" s="337"/>
      <c r="J18" s="337"/>
      <c r="K18" s="337"/>
      <c r="L18"/>
      <c r="M18" s="273"/>
      <c r="N18"/>
      <c r="O18"/>
      <c r="P18"/>
      <c r="Q18"/>
      <c r="R18"/>
      <c r="S18"/>
      <c r="T18"/>
      <c r="U18"/>
    </row>
    <row r="19" spans="1:21" ht="12.75">
      <c r="A19" s="1448"/>
      <c r="B19" s="1449"/>
      <c r="C19" s="1449"/>
      <c r="D19" s="1450"/>
      <c r="E19" s="1450"/>
      <c r="F19" s="1450"/>
      <c r="G19" s="1451"/>
      <c r="H19"/>
      <c r="I19" s="337"/>
      <c r="J19" s="337"/>
      <c r="K19" s="337"/>
      <c r="L19"/>
      <c r="M19" s="273"/>
      <c r="N19"/>
      <c r="O19"/>
      <c r="P19"/>
      <c r="Q19"/>
      <c r="R19"/>
      <c r="S19"/>
      <c r="T19"/>
      <c r="U19"/>
    </row>
    <row r="20" spans="1:21" ht="12.75">
      <c r="A20" s="1452"/>
      <c r="B20" s="1450"/>
      <c r="C20" s="1450"/>
      <c r="D20" s="1450"/>
      <c r="E20" s="1450"/>
      <c r="F20" s="1450"/>
      <c r="G20" s="1451"/>
      <c r="H20"/>
      <c r="I20" s="337"/>
      <c r="J20" s="337"/>
      <c r="K20" s="337"/>
      <c r="L20"/>
      <c r="M20" s="273"/>
      <c r="N20"/>
      <c r="O20"/>
      <c r="P20"/>
      <c r="Q20"/>
      <c r="R20"/>
      <c r="S20"/>
      <c r="T20"/>
      <c r="U20"/>
    </row>
    <row r="21" spans="1:21" ht="12.75">
      <c r="A21" s="1452"/>
      <c r="B21" s="1450"/>
      <c r="C21" s="1450"/>
      <c r="D21" s="1450"/>
      <c r="E21" s="1450"/>
      <c r="F21" s="1450"/>
      <c r="G21" s="1451"/>
      <c r="H21"/>
      <c r="I21" s="337"/>
      <c r="J21" s="337"/>
      <c r="K21" s="337"/>
      <c r="L21"/>
      <c r="M21" s="273"/>
      <c r="N21"/>
      <c r="O21"/>
      <c r="P21"/>
      <c r="Q21"/>
      <c r="R21"/>
      <c r="S21"/>
      <c r="T21"/>
      <c r="U21"/>
    </row>
    <row r="22" spans="1:21" ht="12.75">
      <c r="A22" s="1453"/>
      <c r="B22" s="1454"/>
      <c r="C22" s="1454"/>
      <c r="D22" s="1454"/>
      <c r="E22" s="1454"/>
      <c r="F22" s="1454"/>
      <c r="G22" s="1455"/>
      <c r="H22"/>
      <c r="I22" s="337"/>
      <c r="J22" s="337"/>
      <c r="K22" s="337"/>
      <c r="L22"/>
      <c r="M22" s="273"/>
      <c r="N22"/>
      <c r="O22"/>
      <c r="P22"/>
      <c r="Q22"/>
      <c r="R22"/>
      <c r="S22"/>
      <c r="T22"/>
      <c r="U22"/>
    </row>
    <row r="23" spans="1:21" ht="14.25">
      <c r="A23" s="1456" t="s">
        <v>64</v>
      </c>
      <c r="B23" s="1457"/>
      <c r="C23" s="1457"/>
      <c r="D23" s="1458"/>
      <c r="E23" s="1458"/>
      <c r="F23" s="1458"/>
      <c r="G23" s="1459"/>
      <c r="H23"/>
      <c r="I23" s="337"/>
      <c r="J23" s="337"/>
      <c r="K23" s="337"/>
      <c r="L23"/>
      <c r="M23" s="273"/>
      <c r="N23"/>
      <c r="O23"/>
      <c r="P23"/>
      <c r="Q23"/>
      <c r="R23"/>
      <c r="S23"/>
      <c r="T23"/>
      <c r="U23"/>
    </row>
    <row r="24" spans="1:14" ht="12.75">
      <c r="A24" s="1448"/>
      <c r="B24" s="1449"/>
      <c r="C24" s="1449"/>
      <c r="D24" s="1450"/>
      <c r="E24" s="1450"/>
      <c r="F24" s="1450"/>
      <c r="G24" s="1451"/>
      <c r="H24"/>
      <c r="I24" s="337"/>
      <c r="J24" s="337"/>
      <c r="K24" s="337"/>
      <c r="L24"/>
      <c r="M24" s="273"/>
      <c r="N24"/>
    </row>
    <row r="25" spans="1:21" ht="12.75">
      <c r="A25" s="1448"/>
      <c r="B25" s="1449"/>
      <c r="C25" s="1449"/>
      <c r="D25" s="1450"/>
      <c r="E25" s="1450"/>
      <c r="F25" s="1450"/>
      <c r="G25" s="1451"/>
      <c r="H25" s="25"/>
      <c r="I25" s="221"/>
      <c r="J25" s="221"/>
      <c r="K25" s="221"/>
      <c r="L25" s="25"/>
      <c r="M25" s="271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448"/>
      <c r="B26" s="1449"/>
      <c r="C26" s="1449"/>
      <c r="D26" s="1450"/>
      <c r="E26" s="1450"/>
      <c r="F26" s="1450"/>
      <c r="G26" s="1451"/>
      <c r="H26" s="25"/>
      <c r="I26" s="221"/>
      <c r="J26" s="221"/>
      <c r="K26" s="221"/>
      <c r="L26" s="25"/>
      <c r="M26" s="271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1448"/>
      <c r="B27" s="1449"/>
      <c r="C27" s="1449"/>
      <c r="D27" s="1450"/>
      <c r="E27" s="1450"/>
      <c r="F27" s="1450"/>
      <c r="G27" s="1451"/>
      <c r="H27" s="25"/>
      <c r="I27" s="221"/>
      <c r="J27" s="221"/>
      <c r="K27" s="221"/>
      <c r="L27" s="25"/>
      <c r="M27" s="271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1452"/>
      <c r="B28" s="1450"/>
      <c r="C28" s="1450"/>
      <c r="D28" s="1450"/>
      <c r="E28" s="1450"/>
      <c r="F28" s="1450"/>
      <c r="G28" s="1451"/>
      <c r="H28" s="25"/>
      <c r="I28" s="221"/>
      <c r="J28" s="221"/>
      <c r="K28" s="221"/>
      <c r="L28" s="25"/>
      <c r="M28" s="271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1452"/>
      <c r="B29" s="1450"/>
      <c r="C29" s="1450"/>
      <c r="D29" s="1450"/>
      <c r="E29" s="1450"/>
      <c r="F29" s="1450"/>
      <c r="G29" s="1451"/>
      <c r="H29" s="25"/>
      <c r="I29" s="221"/>
      <c r="J29" s="221"/>
      <c r="K29" s="221"/>
      <c r="L29" s="25"/>
      <c r="M29" s="271"/>
      <c r="N29" s="25"/>
      <c r="O29" s="25"/>
      <c r="P29" s="25"/>
      <c r="Q29" s="25"/>
      <c r="R29" s="25"/>
      <c r="S29" s="25"/>
      <c r="T29" s="25"/>
      <c r="U29" s="25"/>
    </row>
    <row r="30" spans="1:21" ht="13.5" thickBot="1">
      <c r="A30" s="1460"/>
      <c r="B30" s="1461"/>
      <c r="C30" s="1461"/>
      <c r="D30" s="1461"/>
      <c r="E30" s="1461"/>
      <c r="F30" s="1461"/>
      <c r="G30" s="1462"/>
      <c r="H30" s="25"/>
      <c r="I30" s="221"/>
      <c r="J30" s="221"/>
      <c r="K30" s="221"/>
      <c r="L30" s="25"/>
      <c r="M30" s="271"/>
      <c r="N30" s="25"/>
      <c r="O30" s="25"/>
      <c r="P30" s="25"/>
      <c r="Q30" s="25"/>
      <c r="R30" s="25"/>
      <c r="S30" s="25"/>
      <c r="T30" s="25"/>
      <c r="U30" s="25"/>
    </row>
    <row r="31" spans="1:21" ht="6.75" customHeight="1" thickBot="1">
      <c r="A31" s="42"/>
      <c r="B31" s="42"/>
      <c r="C31" s="42"/>
      <c r="D31" s="42"/>
      <c r="E31" s="42"/>
      <c r="F31" s="42"/>
      <c r="G31" s="42"/>
      <c r="H31" s="25"/>
      <c r="I31" s="221"/>
      <c r="J31" s="221"/>
      <c r="K31" s="221"/>
      <c r="L31" s="25"/>
      <c r="M31" s="271"/>
      <c r="N31" s="25"/>
      <c r="O31" s="25"/>
      <c r="P31" s="25"/>
      <c r="Q31" s="25"/>
      <c r="R31" s="25"/>
      <c r="S31" s="25"/>
      <c r="T31" s="25"/>
      <c r="U31" s="25"/>
    </row>
    <row r="32" spans="1:21" ht="15.75" customHeight="1" thickBot="1">
      <c r="A32" s="1463" t="s">
        <v>294</v>
      </c>
      <c r="B32" s="1464"/>
      <c r="C32" s="1464"/>
      <c r="D32" s="1465"/>
      <c r="E32" s="1465"/>
      <c r="F32" s="1465"/>
      <c r="G32" s="1466"/>
      <c r="H32" s="25"/>
      <c r="I32" s="221"/>
      <c r="J32" s="221"/>
      <c r="K32" s="221" t="s">
        <v>99</v>
      </c>
      <c r="L32" s="25" t="s">
        <v>100</v>
      </c>
      <c r="M32" s="271" t="s">
        <v>102</v>
      </c>
      <c r="N32" s="25" t="s">
        <v>103</v>
      </c>
      <c r="O32" s="25" t="s">
        <v>549</v>
      </c>
      <c r="P32" s="25" t="s">
        <v>105</v>
      </c>
      <c r="Q32" s="25" t="s">
        <v>758</v>
      </c>
      <c r="R32" s="25" t="s">
        <v>101</v>
      </c>
      <c r="S32" s="25" t="s">
        <v>760</v>
      </c>
      <c r="T32" s="25" t="s">
        <v>1024</v>
      </c>
      <c r="U32" s="25"/>
    </row>
    <row r="33" spans="1:41" ht="25.5">
      <c r="A33" s="927" t="s">
        <v>1016</v>
      </c>
      <c r="B33" s="928" t="s">
        <v>238</v>
      </c>
      <c r="C33" s="928" t="s">
        <v>142</v>
      </c>
      <c r="D33" s="257" t="s">
        <v>538</v>
      </c>
      <c r="E33" s="257" t="s">
        <v>539</v>
      </c>
      <c r="F33" s="257" t="s">
        <v>545</v>
      </c>
      <c r="G33" s="258" t="s">
        <v>1033</v>
      </c>
      <c r="H33" s="281"/>
      <c r="I33" s="243" t="s">
        <v>1032</v>
      </c>
      <c r="J33" s="1051"/>
      <c r="K33" s="1051" t="s">
        <v>565</v>
      </c>
      <c r="L33" s="281" t="s">
        <v>583</v>
      </c>
      <c r="M33" s="1083">
        <v>1421</v>
      </c>
      <c r="N33" s="281" t="s">
        <v>110</v>
      </c>
      <c r="O33" s="1079">
        <v>39329</v>
      </c>
      <c r="P33" s="1079" t="s">
        <v>1017</v>
      </c>
      <c r="Q33" s="1080">
        <v>39387</v>
      </c>
      <c r="R33" s="908">
        <v>2</v>
      </c>
      <c r="S33" s="1103"/>
      <c r="T33" s="908" t="s">
        <v>1027</v>
      </c>
      <c r="U33" s="908"/>
      <c r="V33" s="908"/>
      <c r="W33" s="908"/>
      <c r="Y33" s="281"/>
      <c r="Z33" s="281"/>
      <c r="AA33" s="281"/>
      <c r="AB33" s="25"/>
      <c r="AC33" s="38"/>
      <c r="AD33" s="38"/>
      <c r="AE33" s="38"/>
      <c r="AF33" s="38"/>
      <c r="AG33" s="274" t="s">
        <v>102</v>
      </c>
      <c r="AH33" s="38" t="s">
        <v>103</v>
      </c>
      <c r="AI33" s="38" t="s">
        <v>548</v>
      </c>
      <c r="AJ33" s="38" t="s">
        <v>549</v>
      </c>
      <c r="AK33" s="250" t="s">
        <v>104</v>
      </c>
      <c r="AL33" s="38" t="s">
        <v>105</v>
      </c>
      <c r="AM33" s="38" t="s">
        <v>582</v>
      </c>
      <c r="AN33" s="38" t="s">
        <v>582</v>
      </c>
      <c r="AO33" s="25"/>
    </row>
    <row r="34" spans="1:41" ht="12.75">
      <c r="A34" s="929" t="s">
        <v>1055</v>
      </c>
      <c r="B34" s="1102">
        <v>1421</v>
      </c>
      <c r="C34" s="1104" t="s">
        <v>110</v>
      </c>
      <c r="D34" s="1105">
        <v>39329</v>
      </c>
      <c r="E34" s="1105" t="s">
        <v>1017</v>
      </c>
      <c r="F34" s="1106">
        <v>39387</v>
      </c>
      <c r="G34" s="1107"/>
      <c r="H34" s="243"/>
      <c r="I34" s="243" t="s">
        <v>1032</v>
      </c>
      <c r="J34" s="243"/>
      <c r="K34" s="1074" t="s">
        <v>1025</v>
      </c>
      <c r="L34" s="1074" t="s">
        <v>1026</v>
      </c>
      <c r="M34" s="1084">
        <v>1302</v>
      </c>
      <c r="N34" s="1060" t="s">
        <v>116</v>
      </c>
      <c r="O34" s="1086">
        <v>39427</v>
      </c>
      <c r="P34" s="1086">
        <v>39430</v>
      </c>
      <c r="Q34" s="1089"/>
      <c r="R34" s="1061">
        <v>3</v>
      </c>
      <c r="S34" s="1061">
        <v>57</v>
      </c>
      <c r="T34" s="910" t="s">
        <v>1027</v>
      </c>
      <c r="U34" s="910"/>
      <c r="V34" s="908"/>
      <c r="W34" s="908"/>
      <c r="Y34" s="243"/>
      <c r="Z34" s="243"/>
      <c r="AA34" s="243"/>
      <c r="AB34" s="25"/>
      <c r="AC34" s="38"/>
      <c r="AD34" s="38"/>
      <c r="AE34" s="38"/>
      <c r="AF34" s="38"/>
      <c r="AG34" s="274">
        <v>8205</v>
      </c>
      <c r="AH34" s="38" t="s">
        <v>107</v>
      </c>
      <c r="AI34" s="38" t="s">
        <v>553</v>
      </c>
      <c r="AJ34" s="250">
        <v>39325</v>
      </c>
      <c r="AK34" s="268" t="s">
        <v>554</v>
      </c>
      <c r="AL34" s="250">
        <v>39346</v>
      </c>
      <c r="AM34" s="250">
        <v>-14</v>
      </c>
      <c r="AN34" s="38">
        <v>-14</v>
      </c>
      <c r="AO34" s="25"/>
    </row>
    <row r="35" spans="1:41" ht="12.75">
      <c r="A35" s="929" t="s">
        <v>1056</v>
      </c>
      <c r="B35" s="1081">
        <v>1302</v>
      </c>
      <c r="C35" s="1060" t="s">
        <v>116</v>
      </c>
      <c r="D35" s="1086">
        <v>39427</v>
      </c>
      <c r="E35" s="1086">
        <v>39430</v>
      </c>
      <c r="F35" s="1089"/>
      <c r="G35" s="1093">
        <v>57</v>
      </c>
      <c r="H35" s="243"/>
      <c r="I35" s="243" t="s">
        <v>1032</v>
      </c>
      <c r="J35" s="243"/>
      <c r="K35" s="1074" t="s">
        <v>589</v>
      </c>
      <c r="L35" s="1074" t="s">
        <v>590</v>
      </c>
      <c r="M35" s="1084">
        <v>1501</v>
      </c>
      <c r="N35" s="1060" t="s">
        <v>112</v>
      </c>
      <c r="O35" s="1087">
        <v>39346</v>
      </c>
      <c r="P35" s="1087">
        <v>39430</v>
      </c>
      <c r="Q35" s="1090"/>
      <c r="R35" s="1063">
        <v>3</v>
      </c>
      <c r="S35" s="1063">
        <v>106</v>
      </c>
      <c r="T35" s="911" t="s">
        <v>1027</v>
      </c>
      <c r="U35" s="913"/>
      <c r="V35" s="908"/>
      <c r="W35" s="908"/>
      <c r="Y35" s="243"/>
      <c r="Z35" s="243"/>
      <c r="AA35" s="243"/>
      <c r="AB35" s="25"/>
      <c r="AC35" s="38"/>
      <c r="AD35" s="38"/>
      <c r="AE35" s="38"/>
      <c r="AF35" s="38"/>
      <c r="AG35" s="274">
        <v>1806</v>
      </c>
      <c r="AH35" s="38" t="s">
        <v>109</v>
      </c>
      <c r="AI35" s="38" t="s">
        <v>556</v>
      </c>
      <c r="AJ35" s="250">
        <v>39336</v>
      </c>
      <c r="AK35" s="268" t="s">
        <v>557</v>
      </c>
      <c r="AL35" s="250">
        <v>39358</v>
      </c>
      <c r="AM35" s="250">
        <v>-16</v>
      </c>
      <c r="AN35" s="38">
        <v>-16</v>
      </c>
      <c r="AO35" s="25"/>
    </row>
    <row r="36" spans="1:41" ht="12.75">
      <c r="A36" s="929" t="s">
        <v>1057</v>
      </c>
      <c r="B36" s="1081">
        <v>1501</v>
      </c>
      <c r="C36" s="1060" t="s">
        <v>112</v>
      </c>
      <c r="D36" s="1087">
        <v>39346</v>
      </c>
      <c r="E36" s="1087">
        <v>39430</v>
      </c>
      <c r="F36" s="1090"/>
      <c r="G36" s="1094">
        <v>106</v>
      </c>
      <c r="H36" s="243"/>
      <c r="I36" s="243" t="s">
        <v>1032</v>
      </c>
      <c r="J36" s="243"/>
      <c r="K36" s="1074" t="s">
        <v>197</v>
      </c>
      <c r="L36" s="1074" t="s">
        <v>92</v>
      </c>
      <c r="M36" s="1084">
        <v>1431</v>
      </c>
      <c r="N36" s="1060" t="s">
        <v>198</v>
      </c>
      <c r="O36" s="1087">
        <v>39345</v>
      </c>
      <c r="P36" s="1087">
        <v>39458</v>
      </c>
      <c r="Q36" s="1090">
        <v>39417</v>
      </c>
      <c r="R36" s="1063">
        <v>2</v>
      </c>
      <c r="S36" s="1063">
        <v>-39</v>
      </c>
      <c r="T36" s="913" t="s">
        <v>1027</v>
      </c>
      <c r="U36" s="913"/>
      <c r="V36" s="908"/>
      <c r="W36" s="908"/>
      <c r="Y36" s="243"/>
      <c r="Z36" s="243"/>
      <c r="AA36" s="243"/>
      <c r="AB36" s="25"/>
      <c r="AC36" s="38"/>
      <c r="AD36" s="38"/>
      <c r="AE36" s="38"/>
      <c r="AF36" s="38"/>
      <c r="AG36" s="274">
        <v>1421</v>
      </c>
      <c r="AH36" s="38" t="s">
        <v>110</v>
      </c>
      <c r="AI36" s="264">
        <v>39268</v>
      </c>
      <c r="AJ36" s="250">
        <v>39281</v>
      </c>
      <c r="AK36" s="268" t="s">
        <v>558</v>
      </c>
      <c r="AL36" s="38" t="s">
        <v>559</v>
      </c>
      <c r="AM36" s="38">
        <v>12</v>
      </c>
      <c r="AN36" s="38">
        <v>12</v>
      </c>
      <c r="AO36" s="25"/>
    </row>
    <row r="37" spans="1:41" ht="12.75">
      <c r="A37" s="929" t="s">
        <v>1058</v>
      </c>
      <c r="B37" s="1109">
        <v>1431</v>
      </c>
      <c r="C37" s="1110" t="s">
        <v>198</v>
      </c>
      <c r="D37" s="1111">
        <v>39345</v>
      </c>
      <c r="E37" s="1111">
        <v>39458</v>
      </c>
      <c r="F37" s="1112">
        <v>39417</v>
      </c>
      <c r="G37" s="1113">
        <v>-39</v>
      </c>
      <c r="H37" s="243"/>
      <c r="I37" s="243" t="s">
        <v>1032</v>
      </c>
      <c r="J37" s="243"/>
      <c r="K37" s="1074" t="s">
        <v>572</v>
      </c>
      <c r="L37" s="1074" t="s">
        <v>585</v>
      </c>
      <c r="M37" s="1084">
        <v>1302</v>
      </c>
      <c r="N37" s="1060" t="s">
        <v>116</v>
      </c>
      <c r="O37" s="1088">
        <v>39531</v>
      </c>
      <c r="P37" s="1088">
        <v>39476</v>
      </c>
      <c r="Q37" s="1091"/>
      <c r="R37" s="1064">
        <v>3</v>
      </c>
      <c r="S37" s="1064">
        <v>54</v>
      </c>
      <c r="T37" s="86" t="s">
        <v>1027</v>
      </c>
      <c r="W37" s="908"/>
      <c r="Y37" s="243"/>
      <c r="Z37" s="243"/>
      <c r="AA37" s="243"/>
      <c r="AB37" s="25"/>
      <c r="AC37" s="38"/>
      <c r="AD37" s="38"/>
      <c r="AE37" s="38"/>
      <c r="AF37" s="38"/>
      <c r="AG37" s="274">
        <v>1806</v>
      </c>
      <c r="AH37" s="38" t="s">
        <v>109</v>
      </c>
      <c r="AI37" s="38" t="s">
        <v>556</v>
      </c>
      <c r="AJ37" s="250">
        <v>39336</v>
      </c>
      <c r="AK37" s="268" t="s">
        <v>561</v>
      </c>
      <c r="AL37" s="250">
        <v>39367</v>
      </c>
      <c r="AM37" s="250">
        <v>-23</v>
      </c>
      <c r="AN37" s="38">
        <v>-23</v>
      </c>
      <c r="AO37" s="25"/>
    </row>
    <row r="38" spans="1:41" ht="15">
      <c r="A38" s="929" t="s">
        <v>1059</v>
      </c>
      <c r="B38" s="1081">
        <v>1302</v>
      </c>
      <c r="C38" s="1060" t="s">
        <v>116</v>
      </c>
      <c r="D38" s="1088">
        <v>39531</v>
      </c>
      <c r="E38" s="1088">
        <v>39483</v>
      </c>
      <c r="F38" s="1091"/>
      <c r="G38" s="1095">
        <v>54</v>
      </c>
      <c r="H38" s="243"/>
      <c r="I38" s="243" t="s">
        <v>1032</v>
      </c>
      <c r="J38" s="243"/>
      <c r="K38" s="1074" t="s">
        <v>573</v>
      </c>
      <c r="L38" s="1074" t="s">
        <v>119</v>
      </c>
      <c r="M38" s="1084">
        <v>1416</v>
      </c>
      <c r="N38" s="1060" t="s">
        <v>110</v>
      </c>
      <c r="O38" s="1087">
        <v>39461</v>
      </c>
      <c r="P38" s="1087">
        <v>39477</v>
      </c>
      <c r="Q38" s="1090"/>
      <c r="R38" s="1063">
        <v>3</v>
      </c>
      <c r="S38" s="1063">
        <v>24</v>
      </c>
      <c r="T38" s="922" t="s">
        <v>1027</v>
      </c>
      <c r="U38" s="923"/>
      <c r="V38" s="908"/>
      <c r="W38" s="918"/>
      <c r="Y38" s="243"/>
      <c r="Z38" s="243"/>
      <c r="AA38" s="243"/>
      <c r="AB38" s="25"/>
      <c r="AC38" s="38"/>
      <c r="AD38" s="38"/>
      <c r="AE38" s="38"/>
      <c r="AF38" s="38"/>
      <c r="AG38" s="274">
        <v>1416</v>
      </c>
      <c r="AH38" s="38" t="s">
        <v>110</v>
      </c>
      <c r="AI38" s="250">
        <v>39295</v>
      </c>
      <c r="AJ38" s="250">
        <v>39407</v>
      </c>
      <c r="AK38" s="268" t="s">
        <v>561</v>
      </c>
      <c r="AL38" s="250">
        <v>39407</v>
      </c>
      <c r="AM38" s="250">
        <v>0</v>
      </c>
      <c r="AN38" s="38">
        <v>0</v>
      </c>
      <c r="AO38" s="25"/>
    </row>
    <row r="39" spans="1:41" ht="12.75">
      <c r="A39" s="929" t="s">
        <v>1060</v>
      </c>
      <c r="B39" s="1081">
        <v>1416</v>
      </c>
      <c r="C39" s="1060" t="s">
        <v>110</v>
      </c>
      <c r="D39" s="1087">
        <v>39461</v>
      </c>
      <c r="E39" s="1087">
        <v>39477</v>
      </c>
      <c r="F39" s="1090"/>
      <c r="G39" s="1094">
        <v>24</v>
      </c>
      <c r="H39" s="243"/>
      <c r="I39" s="243" t="s">
        <v>1032</v>
      </c>
      <c r="J39" s="243"/>
      <c r="K39" s="1074" t="s">
        <v>574</v>
      </c>
      <c r="L39" s="1074" t="s">
        <v>759</v>
      </c>
      <c r="M39" s="1084">
        <v>1421</v>
      </c>
      <c r="N39" s="1060" t="s">
        <v>110</v>
      </c>
      <c r="O39" s="1086">
        <v>39454</v>
      </c>
      <c r="P39" s="1086">
        <v>39482</v>
      </c>
      <c r="Q39" s="1090"/>
      <c r="R39" s="1061">
        <v>3</v>
      </c>
      <c r="S39" s="1061">
        <v>429</v>
      </c>
      <c r="T39" s="909" t="s">
        <v>1027</v>
      </c>
      <c r="U39" s="910"/>
      <c r="V39" s="908"/>
      <c r="W39" s="908"/>
      <c r="Y39" s="243"/>
      <c r="Z39" s="243"/>
      <c r="AA39" s="243"/>
      <c r="AB39" s="25"/>
      <c r="AC39" s="38"/>
      <c r="AD39" s="38"/>
      <c r="AE39" s="38"/>
      <c r="AF39" s="38"/>
      <c r="AG39" s="274">
        <v>1803</v>
      </c>
      <c r="AH39" s="38" t="s">
        <v>194</v>
      </c>
      <c r="AI39" s="38" t="s">
        <v>193</v>
      </c>
      <c r="AJ39" s="250">
        <v>39276</v>
      </c>
      <c r="AK39" s="250" t="s">
        <v>550</v>
      </c>
      <c r="AL39" s="38" t="s">
        <v>551</v>
      </c>
      <c r="AM39" s="38">
        <v>-2</v>
      </c>
      <c r="AN39" s="38">
        <v>-2</v>
      </c>
      <c r="AO39" s="25"/>
    </row>
    <row r="40" spans="1:41" ht="12.75">
      <c r="A40" s="929" t="s">
        <v>1061</v>
      </c>
      <c r="B40" s="1081">
        <v>1421</v>
      </c>
      <c r="C40" s="1060" t="s">
        <v>110</v>
      </c>
      <c r="D40" s="1086">
        <v>39454</v>
      </c>
      <c r="E40" s="1086">
        <v>39482</v>
      </c>
      <c r="F40" s="1090"/>
      <c r="G40" s="1093">
        <v>429</v>
      </c>
      <c r="H40" s="243"/>
      <c r="I40" s="243" t="s">
        <v>1032</v>
      </c>
      <c r="J40" s="243"/>
      <c r="K40" s="1074" t="s">
        <v>586</v>
      </c>
      <c r="L40" s="1074" t="s">
        <v>588</v>
      </c>
      <c r="M40" s="1084">
        <v>1702</v>
      </c>
      <c r="N40" s="1060" t="s">
        <v>112</v>
      </c>
      <c r="O40" s="1087">
        <v>39412</v>
      </c>
      <c r="P40" s="1087">
        <v>39485</v>
      </c>
      <c r="Q40" s="1090"/>
      <c r="R40" s="1063">
        <v>3</v>
      </c>
      <c r="S40" s="1063">
        <v>32</v>
      </c>
      <c r="T40" s="912" t="s">
        <v>1027</v>
      </c>
      <c r="U40" s="913"/>
      <c r="V40" s="908"/>
      <c r="W40" s="918"/>
      <c r="Y40" s="243"/>
      <c r="Z40" s="243"/>
      <c r="AA40" s="243"/>
      <c r="AB40" s="25"/>
      <c r="AC40" s="38"/>
      <c r="AD40" s="38"/>
      <c r="AE40" s="38"/>
      <c r="AF40" s="38"/>
      <c r="AG40" s="274">
        <v>1501</v>
      </c>
      <c r="AH40" s="38" t="s">
        <v>112</v>
      </c>
      <c r="AI40" s="38" t="s">
        <v>563</v>
      </c>
      <c r="AJ40" s="250">
        <v>39283</v>
      </c>
      <c r="AK40" s="250" t="s">
        <v>564</v>
      </c>
      <c r="AL40" s="38" t="s">
        <v>564</v>
      </c>
      <c r="AM40" s="38">
        <v>0</v>
      </c>
      <c r="AN40" s="38">
        <v>0</v>
      </c>
      <c r="AO40" s="59"/>
    </row>
    <row r="41" spans="1:41" ht="12.75">
      <c r="A41" s="929" t="s">
        <v>1062</v>
      </c>
      <c r="B41" s="1081">
        <v>1702</v>
      </c>
      <c r="C41" s="1060" t="s">
        <v>112</v>
      </c>
      <c r="D41" s="1087">
        <v>39412</v>
      </c>
      <c r="E41" s="1087">
        <v>39485</v>
      </c>
      <c r="F41" s="1090"/>
      <c r="G41" s="1094">
        <v>32</v>
      </c>
      <c r="H41" s="243"/>
      <c r="I41" s="243" t="s">
        <v>1032</v>
      </c>
      <c r="J41" s="243"/>
      <c r="K41" s="1074" t="s">
        <v>199</v>
      </c>
      <c r="L41" s="1074" t="s">
        <v>200</v>
      </c>
      <c r="M41" s="1084">
        <v>1803</v>
      </c>
      <c r="N41" s="1060" t="s">
        <v>194</v>
      </c>
      <c r="O41" s="1087">
        <v>39407</v>
      </c>
      <c r="P41" s="1087">
        <v>39497</v>
      </c>
      <c r="Q41" s="1090"/>
      <c r="R41" s="1063">
        <v>3</v>
      </c>
      <c r="S41" s="1063">
        <v>69</v>
      </c>
      <c r="T41" s="86" t="s">
        <v>1027</v>
      </c>
      <c r="W41" s="908"/>
      <c r="Y41" s="243"/>
      <c r="Z41" s="243"/>
      <c r="AA41" s="243"/>
      <c r="AB41" s="25"/>
      <c r="AC41" s="38"/>
      <c r="AD41" s="38"/>
      <c r="AE41" s="38"/>
      <c r="AF41" s="38"/>
      <c r="AG41" s="274">
        <v>3101</v>
      </c>
      <c r="AH41" s="38" t="s">
        <v>196</v>
      </c>
      <c r="AI41" s="38"/>
      <c r="AJ41" s="250">
        <v>39331</v>
      </c>
      <c r="AK41" s="250"/>
      <c r="AL41" s="38" t="s">
        <v>581</v>
      </c>
      <c r="AM41" s="38">
        <v>19</v>
      </c>
      <c r="AN41" s="38">
        <v>19</v>
      </c>
      <c r="AO41" s="25"/>
    </row>
    <row r="42" spans="1:41" ht="14.25">
      <c r="A42" s="929" t="s">
        <v>1063</v>
      </c>
      <c r="B42" s="1081">
        <v>1803</v>
      </c>
      <c r="C42" s="1060" t="s">
        <v>194</v>
      </c>
      <c r="D42" s="1087">
        <v>39407</v>
      </c>
      <c r="E42" s="1087">
        <v>39497</v>
      </c>
      <c r="F42" s="1090"/>
      <c r="G42" s="1094">
        <v>69</v>
      </c>
      <c r="H42" s="284"/>
      <c r="I42" s="243" t="s">
        <v>1032</v>
      </c>
      <c r="J42" s="284"/>
      <c r="K42" s="1074" t="s">
        <v>593</v>
      </c>
      <c r="L42" s="1074" t="s">
        <v>594</v>
      </c>
      <c r="M42" s="1084">
        <v>1702</v>
      </c>
      <c r="N42" s="1060" t="s">
        <v>112</v>
      </c>
      <c r="O42" s="1087">
        <v>39482</v>
      </c>
      <c r="P42" s="1087">
        <v>39520</v>
      </c>
      <c r="Q42" s="1090">
        <v>39569</v>
      </c>
      <c r="R42" s="1063">
        <v>2</v>
      </c>
      <c r="S42" s="1063">
        <v>32</v>
      </c>
      <c r="T42" s="924" t="s">
        <v>1027</v>
      </c>
      <c r="U42" s="925"/>
      <c r="V42" s="908"/>
      <c r="W42" s="908"/>
      <c r="Y42" s="261"/>
      <c r="Z42" s="261"/>
      <c r="AA42" s="261"/>
      <c r="AB42" s="25"/>
      <c r="AC42" s="38"/>
      <c r="AD42" s="38"/>
      <c r="AE42" s="38"/>
      <c r="AF42" s="38"/>
      <c r="AG42" s="275">
        <v>1431</v>
      </c>
      <c r="AH42" s="38" t="s">
        <v>198</v>
      </c>
      <c r="AI42" s="250">
        <v>39345</v>
      </c>
      <c r="AJ42" s="250"/>
      <c r="AK42" s="250">
        <v>39349</v>
      </c>
      <c r="AL42" s="250"/>
      <c r="AM42" s="38">
        <v>-2</v>
      </c>
      <c r="AN42" s="38">
        <v>-2</v>
      </c>
      <c r="AO42" s="25"/>
    </row>
    <row r="43" spans="1:41" ht="12.75">
      <c r="A43" s="929" t="s">
        <v>1064</v>
      </c>
      <c r="B43" s="1099">
        <v>1702</v>
      </c>
      <c r="C43" s="261" t="s">
        <v>112</v>
      </c>
      <c r="D43" s="1100">
        <v>39482</v>
      </c>
      <c r="E43" s="1100">
        <v>39520</v>
      </c>
      <c r="F43" s="1101">
        <v>39569</v>
      </c>
      <c r="G43" s="1094">
        <v>32</v>
      </c>
      <c r="H43" s="243"/>
      <c r="I43" s="243" t="s">
        <v>1032</v>
      </c>
      <c r="J43" s="243"/>
      <c r="K43" s="1074" t="s">
        <v>591</v>
      </c>
      <c r="L43" s="1074" t="s">
        <v>592</v>
      </c>
      <c r="M43" s="1084">
        <v>1352</v>
      </c>
      <c r="N43" s="1060" t="s">
        <v>116</v>
      </c>
      <c r="O43" s="1087">
        <v>39595</v>
      </c>
      <c r="P43" s="1087">
        <v>39539</v>
      </c>
      <c r="Q43" s="1090">
        <v>39692</v>
      </c>
      <c r="R43" s="1063">
        <v>2</v>
      </c>
      <c r="S43" s="1063">
        <v>54</v>
      </c>
      <c r="T43" s="912" t="s">
        <v>1027</v>
      </c>
      <c r="U43" s="913"/>
      <c r="V43" s="908"/>
      <c r="W43" s="908"/>
      <c r="Y43" s="243"/>
      <c r="Z43" s="243"/>
      <c r="AA43" s="243"/>
      <c r="AB43" s="25"/>
      <c r="AC43" s="38"/>
      <c r="AD43" s="38"/>
      <c r="AE43" s="38"/>
      <c r="AF43" s="38"/>
      <c r="AG43" s="274">
        <v>8205</v>
      </c>
      <c r="AH43" s="38" t="s">
        <v>107</v>
      </c>
      <c r="AI43" s="250">
        <v>39329</v>
      </c>
      <c r="AJ43" s="250">
        <v>39370</v>
      </c>
      <c r="AK43" s="250">
        <v>39349</v>
      </c>
      <c r="AL43" s="250">
        <v>39388</v>
      </c>
      <c r="AM43" s="250">
        <v>-14</v>
      </c>
      <c r="AN43" s="38">
        <v>-14</v>
      </c>
      <c r="AO43" s="25"/>
    </row>
    <row r="44" spans="1:41" ht="15">
      <c r="A44" s="929" t="s">
        <v>1065</v>
      </c>
      <c r="B44" s="1099">
        <v>1352</v>
      </c>
      <c r="C44" s="261" t="s">
        <v>116</v>
      </c>
      <c r="D44" s="1100">
        <v>39595</v>
      </c>
      <c r="E44" s="1100">
        <v>39190</v>
      </c>
      <c r="F44" s="1101">
        <v>39692</v>
      </c>
      <c r="G44" s="1094">
        <v>54</v>
      </c>
      <c r="H44" s="243"/>
      <c r="I44" s="243" t="s">
        <v>1032</v>
      </c>
      <c r="J44" s="243"/>
      <c r="K44" s="1074" t="s">
        <v>1018</v>
      </c>
      <c r="L44" s="1074" t="s">
        <v>1019</v>
      </c>
      <c r="M44" s="1084">
        <v>1601</v>
      </c>
      <c r="N44" s="1060" t="s">
        <v>1020</v>
      </c>
      <c r="O44" s="1087">
        <v>39540</v>
      </c>
      <c r="P44" s="1087">
        <v>39540</v>
      </c>
      <c r="Q44" s="1090"/>
      <c r="R44" s="1066">
        <v>3</v>
      </c>
      <c r="S44" s="1066">
        <v>96</v>
      </c>
      <c r="T44" s="922" t="s">
        <v>1027</v>
      </c>
      <c r="U44" s="923"/>
      <c r="V44" s="908"/>
      <c r="W44" s="918"/>
      <c r="Y44" s="280"/>
      <c r="Z44" s="280"/>
      <c r="AA44" s="280"/>
      <c r="AB44" s="25"/>
      <c r="AC44" s="38"/>
      <c r="AD44" s="38"/>
      <c r="AE44" s="38"/>
      <c r="AF44" s="38"/>
      <c r="AG44" s="274">
        <v>1416</v>
      </c>
      <c r="AH44" s="38" t="s">
        <v>110</v>
      </c>
      <c r="AI44" s="38" t="s">
        <v>569</v>
      </c>
      <c r="AJ44" s="250">
        <v>39392</v>
      </c>
      <c r="AK44" s="250" t="s">
        <v>569</v>
      </c>
      <c r="AL44" s="250">
        <v>39392</v>
      </c>
      <c r="AM44" s="250">
        <v>0</v>
      </c>
      <c r="AN44" s="38">
        <v>0</v>
      </c>
      <c r="AO44" s="59"/>
    </row>
    <row r="45" spans="1:41" ht="14.25">
      <c r="A45" s="929" t="s">
        <v>1066</v>
      </c>
      <c r="B45" s="1081">
        <v>1601</v>
      </c>
      <c r="C45" s="1060" t="s">
        <v>1020</v>
      </c>
      <c r="D45" s="1087">
        <v>39540</v>
      </c>
      <c r="E45" s="1087">
        <v>39540</v>
      </c>
      <c r="F45" s="1090"/>
      <c r="G45" s="1096">
        <v>96</v>
      </c>
      <c r="H45" s="284"/>
      <c r="I45" s="243" t="s">
        <v>1032</v>
      </c>
      <c r="J45" s="284"/>
      <c r="K45" s="1074" t="s">
        <v>1021</v>
      </c>
      <c r="L45" s="1074" t="s">
        <v>1022</v>
      </c>
      <c r="M45" s="1084">
        <v>1354</v>
      </c>
      <c r="N45" s="1060" t="s">
        <v>116</v>
      </c>
      <c r="O45" s="1087"/>
      <c r="P45" s="1087">
        <v>39554</v>
      </c>
      <c r="Q45" s="1090"/>
      <c r="R45" s="1067">
        <v>3</v>
      </c>
      <c r="S45" s="1067">
        <v>0</v>
      </c>
      <c r="T45" s="912" t="s">
        <v>1027</v>
      </c>
      <c r="U45" s="913"/>
      <c r="V45" s="908"/>
      <c r="W45" s="908"/>
      <c r="Y45" s="280"/>
      <c r="Z45" s="280"/>
      <c r="AA45" s="280"/>
      <c r="AB45" s="25"/>
      <c r="AC45" s="38"/>
      <c r="AD45" s="38"/>
      <c r="AE45" s="38"/>
      <c r="AF45" s="38"/>
      <c r="AG45" s="275">
        <v>1421</v>
      </c>
      <c r="AH45" s="38" t="s">
        <v>110</v>
      </c>
      <c r="AI45" s="38"/>
      <c r="AJ45" s="250">
        <v>39329</v>
      </c>
      <c r="AK45" s="250"/>
      <c r="AL45" s="38" t="s">
        <v>584</v>
      </c>
      <c r="AM45" s="38">
        <v>-23</v>
      </c>
      <c r="AN45" s="38">
        <v>-23</v>
      </c>
      <c r="AO45" s="25"/>
    </row>
    <row r="46" spans="1:41" ht="14.25">
      <c r="A46" s="929" t="s">
        <v>1067</v>
      </c>
      <c r="B46" s="1081">
        <v>1354</v>
      </c>
      <c r="C46" s="1060" t="s">
        <v>116</v>
      </c>
      <c r="D46" s="1087"/>
      <c r="E46" s="1087">
        <v>39554</v>
      </c>
      <c r="F46" s="1090"/>
      <c r="G46" s="1097">
        <v>0</v>
      </c>
      <c r="H46" s="284"/>
      <c r="I46" s="243" t="s">
        <v>1032</v>
      </c>
      <c r="J46" s="284"/>
      <c r="K46" s="1074" t="s">
        <v>1023</v>
      </c>
      <c r="L46" s="1074" t="s">
        <v>867</v>
      </c>
      <c r="M46" s="1084">
        <v>1550</v>
      </c>
      <c r="N46" s="1060" t="s">
        <v>112</v>
      </c>
      <c r="O46" s="1087" t="s">
        <v>868</v>
      </c>
      <c r="P46" s="1087" t="s">
        <v>869</v>
      </c>
      <c r="Q46" s="1090">
        <v>39722</v>
      </c>
      <c r="R46" s="1067">
        <v>2</v>
      </c>
      <c r="S46" s="1067">
        <v>62</v>
      </c>
      <c r="T46" s="912" t="s">
        <v>1027</v>
      </c>
      <c r="U46" s="913"/>
      <c r="V46" s="908"/>
      <c r="W46" s="908"/>
      <c r="Y46" s="280"/>
      <c r="Z46" s="280"/>
      <c r="AA46" s="280"/>
      <c r="AB46" s="25"/>
      <c r="AC46" s="38"/>
      <c r="AD46" s="38"/>
      <c r="AE46" s="38"/>
      <c r="AF46" s="38"/>
      <c r="AG46" s="275">
        <v>1302</v>
      </c>
      <c r="AH46" s="38" t="s">
        <v>116</v>
      </c>
      <c r="AI46" s="38"/>
      <c r="AJ46" s="250">
        <v>39427</v>
      </c>
      <c r="AK46" s="250"/>
      <c r="AL46" s="250">
        <v>39374</v>
      </c>
      <c r="AM46" s="250">
        <v>35</v>
      </c>
      <c r="AN46" s="38">
        <v>35</v>
      </c>
      <c r="AO46" s="25"/>
    </row>
    <row r="47" spans="1:41" ht="14.25">
      <c r="A47" s="929" t="s">
        <v>1068</v>
      </c>
      <c r="B47" s="1099">
        <v>1550</v>
      </c>
      <c r="C47" s="261" t="s">
        <v>112</v>
      </c>
      <c r="D47" s="1100" t="s">
        <v>868</v>
      </c>
      <c r="E47" s="1100" t="s">
        <v>869</v>
      </c>
      <c r="F47" s="1101">
        <v>39722</v>
      </c>
      <c r="G47" s="1097">
        <v>62</v>
      </c>
      <c r="H47" s="284"/>
      <c r="I47" s="243" t="s">
        <v>1032</v>
      </c>
      <c r="J47" s="284"/>
      <c r="K47" s="1075" t="s">
        <v>1030</v>
      </c>
      <c r="L47" s="1076" t="s">
        <v>1031</v>
      </c>
      <c r="M47" s="1082">
        <v>1810</v>
      </c>
      <c r="N47" s="1085" t="s">
        <v>202</v>
      </c>
      <c r="O47" s="1087">
        <v>39577</v>
      </c>
      <c r="P47" s="1087">
        <v>39591</v>
      </c>
      <c r="Q47" s="1090">
        <v>39692</v>
      </c>
      <c r="R47" s="1067">
        <v>2</v>
      </c>
      <c r="S47" s="1067">
        <v>-39</v>
      </c>
      <c r="T47" s="912" t="s">
        <v>1027</v>
      </c>
      <c r="U47" s="913"/>
      <c r="V47" s="908"/>
      <c r="W47" s="908"/>
      <c r="Y47" s="243"/>
      <c r="Z47" s="243"/>
      <c r="AA47" s="243"/>
      <c r="AB47" s="25"/>
      <c r="AC47" s="38"/>
      <c r="AD47" s="38"/>
      <c r="AE47" s="38"/>
      <c r="AF47" s="38"/>
      <c r="AG47" s="276">
        <v>1361</v>
      </c>
      <c r="AH47" s="38" t="s">
        <v>116</v>
      </c>
      <c r="AI47" s="38"/>
      <c r="AJ47" s="250">
        <v>39353</v>
      </c>
      <c r="AK47" s="250"/>
      <c r="AL47" s="250">
        <v>39374</v>
      </c>
      <c r="AM47" s="250">
        <v>-15</v>
      </c>
      <c r="AN47" s="38">
        <v>-15</v>
      </c>
      <c r="AO47" s="25"/>
    </row>
    <row r="48" spans="1:41" ht="12.75">
      <c r="A48" s="929" t="s">
        <v>1069</v>
      </c>
      <c r="B48" s="1114">
        <v>1810</v>
      </c>
      <c r="C48" s="1115" t="s">
        <v>202</v>
      </c>
      <c r="D48" s="1111">
        <v>39577</v>
      </c>
      <c r="E48" s="1111">
        <v>39591</v>
      </c>
      <c r="F48" s="1112">
        <v>39692</v>
      </c>
      <c r="G48" s="1116">
        <v>-39</v>
      </c>
      <c r="H48" s="243"/>
      <c r="I48" s="243" t="s">
        <v>1032</v>
      </c>
      <c r="J48" s="243"/>
      <c r="K48" s="1077" t="s">
        <v>1028</v>
      </c>
      <c r="L48" s="1077" t="s">
        <v>1029</v>
      </c>
      <c r="M48" s="1084">
        <v>1354</v>
      </c>
      <c r="N48" s="1068" t="s">
        <v>116</v>
      </c>
      <c r="O48" s="1087"/>
      <c r="P48" s="1087">
        <v>39602</v>
      </c>
      <c r="Q48" s="1090"/>
      <c r="R48" s="1067">
        <v>3</v>
      </c>
      <c r="S48" s="1067">
        <v>0</v>
      </c>
      <c r="T48" s="86" t="s">
        <v>1027</v>
      </c>
      <c r="W48" s="908"/>
      <c r="Y48" s="280"/>
      <c r="Z48" s="280"/>
      <c r="AA48" s="280"/>
      <c r="AB48" s="25"/>
      <c r="AC48" s="38"/>
      <c r="AD48" s="38"/>
      <c r="AE48" s="38"/>
      <c r="AF48" s="38"/>
      <c r="AG48" s="274">
        <v>1803</v>
      </c>
      <c r="AH48" s="38" t="s">
        <v>194</v>
      </c>
      <c r="AI48" s="38"/>
      <c r="AJ48" s="250">
        <v>39407</v>
      </c>
      <c r="AK48" s="250"/>
      <c r="AL48" s="250">
        <v>39384</v>
      </c>
      <c r="AM48" s="250">
        <v>17</v>
      </c>
      <c r="AN48" s="38">
        <v>17</v>
      </c>
      <c r="AO48" s="25"/>
    </row>
    <row r="49" spans="1:41" ht="12.75">
      <c r="A49" s="929" t="s">
        <v>1070</v>
      </c>
      <c r="B49" s="1081">
        <v>1354</v>
      </c>
      <c r="C49" s="1068" t="s">
        <v>116</v>
      </c>
      <c r="D49" s="1087"/>
      <c r="E49" s="1087">
        <v>39602</v>
      </c>
      <c r="F49" s="1090"/>
      <c r="G49" s="1097">
        <v>0</v>
      </c>
      <c r="H49" s="243"/>
      <c r="I49" s="243" t="s">
        <v>1032</v>
      </c>
      <c r="J49" s="243"/>
      <c r="K49" s="1077" t="s">
        <v>849</v>
      </c>
      <c r="L49" s="1077" t="s">
        <v>850</v>
      </c>
      <c r="M49" s="1084">
        <v>1803</v>
      </c>
      <c r="N49" s="1068" t="s">
        <v>194</v>
      </c>
      <c r="O49" s="1087">
        <v>39603</v>
      </c>
      <c r="P49" s="1087">
        <v>39603</v>
      </c>
      <c r="Q49" s="1090"/>
      <c r="R49" s="1067">
        <v>3</v>
      </c>
      <c r="S49" s="1067">
        <v>69</v>
      </c>
      <c r="T49" s="912" t="s">
        <v>1027</v>
      </c>
      <c r="U49" s="913"/>
      <c r="V49" s="908"/>
      <c r="W49" s="908"/>
      <c r="Y49" s="280"/>
      <c r="Z49" s="280"/>
      <c r="AA49" s="280"/>
      <c r="AB49" s="25"/>
      <c r="AC49" s="38"/>
      <c r="AD49" s="38"/>
      <c r="AE49" s="38"/>
      <c r="AF49" s="38"/>
      <c r="AG49" s="274">
        <v>8205</v>
      </c>
      <c r="AH49" s="38" t="s">
        <v>107</v>
      </c>
      <c r="AI49" s="250">
        <v>39371</v>
      </c>
      <c r="AJ49" s="250">
        <v>39493</v>
      </c>
      <c r="AK49" s="250">
        <v>39391</v>
      </c>
      <c r="AL49" s="250">
        <v>39513</v>
      </c>
      <c r="AM49" s="250">
        <v>-14</v>
      </c>
      <c r="AN49" s="38">
        <v>-14</v>
      </c>
      <c r="AO49" s="59"/>
    </row>
    <row r="50" spans="1:41" ht="12.75">
      <c r="A50" s="929" t="s">
        <v>1071</v>
      </c>
      <c r="B50" s="1081">
        <v>1803</v>
      </c>
      <c r="C50" s="1068" t="s">
        <v>194</v>
      </c>
      <c r="D50" s="1087">
        <v>39603</v>
      </c>
      <c r="E50" s="1087">
        <v>39603</v>
      </c>
      <c r="F50" s="1090"/>
      <c r="G50" s="1097">
        <v>69</v>
      </c>
      <c r="H50" s="243"/>
      <c r="I50" s="243" t="s">
        <v>1032</v>
      </c>
      <c r="J50" s="243"/>
      <c r="K50" s="1074" t="s">
        <v>847</v>
      </c>
      <c r="L50" s="1074" t="s">
        <v>848</v>
      </c>
      <c r="M50" s="1084">
        <v>1451</v>
      </c>
      <c r="N50" s="1060" t="s">
        <v>204</v>
      </c>
      <c r="O50" s="1087">
        <v>39644</v>
      </c>
      <c r="P50" s="1087">
        <v>39629</v>
      </c>
      <c r="Q50" s="1090">
        <v>39753</v>
      </c>
      <c r="R50" s="1069">
        <v>2</v>
      </c>
      <c r="S50" s="1069">
        <v>44</v>
      </c>
      <c r="T50" s="920" t="s">
        <v>1027</v>
      </c>
      <c r="U50" s="921"/>
      <c r="V50" s="919"/>
      <c r="W50" s="908"/>
      <c r="Y50" s="280"/>
      <c r="Z50" s="280"/>
      <c r="AA50" s="280"/>
      <c r="AB50" s="25"/>
      <c r="AC50" s="38"/>
      <c r="AD50" s="38"/>
      <c r="AE50" s="38"/>
      <c r="AF50" s="38"/>
      <c r="AG50" s="274">
        <v>1361</v>
      </c>
      <c r="AH50" s="38" t="s">
        <v>116</v>
      </c>
      <c r="AI50" s="38" t="s">
        <v>571</v>
      </c>
      <c r="AJ50" s="250">
        <v>39409</v>
      </c>
      <c r="AK50" s="250" t="s">
        <v>571</v>
      </c>
      <c r="AL50" s="250">
        <v>39409</v>
      </c>
      <c r="AM50" s="250">
        <v>0</v>
      </c>
      <c r="AN50" s="38">
        <v>0</v>
      </c>
      <c r="AO50" s="59"/>
    </row>
    <row r="51" spans="1:41" ht="12.75">
      <c r="A51" s="929" t="s">
        <v>1072</v>
      </c>
      <c r="B51" s="1099">
        <v>1451</v>
      </c>
      <c r="C51" s="261" t="s">
        <v>204</v>
      </c>
      <c r="D51" s="1100">
        <v>39644</v>
      </c>
      <c r="E51" s="1100">
        <v>39629</v>
      </c>
      <c r="F51" s="1101">
        <v>39753</v>
      </c>
      <c r="G51" s="1108">
        <v>2</v>
      </c>
      <c r="H51" s="1069">
        <v>44</v>
      </c>
      <c r="I51" s="243"/>
      <c r="J51" s="243"/>
      <c r="N51" s="937"/>
      <c r="T51" s="912"/>
      <c r="U51" s="913"/>
      <c r="V51" s="908"/>
      <c r="W51" s="908"/>
      <c r="Y51" s="280"/>
      <c r="Z51" s="280"/>
      <c r="AA51" s="280"/>
      <c r="AB51" s="25"/>
      <c r="AC51" s="38"/>
      <c r="AD51" s="38"/>
      <c r="AE51" s="38"/>
      <c r="AF51" s="38"/>
      <c r="AG51" s="274">
        <v>1302</v>
      </c>
      <c r="AH51" s="38" t="s">
        <v>116</v>
      </c>
      <c r="AI51" s="250">
        <v>39528</v>
      </c>
      <c r="AJ51" s="250">
        <v>39531</v>
      </c>
      <c r="AK51" s="250">
        <v>39435</v>
      </c>
      <c r="AL51" s="250">
        <v>39436</v>
      </c>
      <c r="AM51" s="250">
        <v>60</v>
      </c>
      <c r="AN51" s="38">
        <v>60</v>
      </c>
      <c r="AO51" s="25"/>
    </row>
    <row r="52" spans="1:41" ht="5.25" customHeight="1" thickBot="1">
      <c r="A52" s="1098"/>
      <c r="B52" s="642"/>
      <c r="C52" s="642"/>
      <c r="D52" s="642"/>
      <c r="E52" s="642"/>
      <c r="F52" s="642"/>
      <c r="G52" s="266"/>
      <c r="H52" s="38"/>
      <c r="I52" s="38"/>
      <c r="J52" s="38"/>
      <c r="T52" s="626"/>
      <c r="U52" s="626"/>
      <c r="Y52" s="38"/>
      <c r="Z52" s="38"/>
      <c r="AA52" s="38"/>
      <c r="AB52" s="71"/>
      <c r="AC52" s="38"/>
      <c r="AD52" s="38"/>
      <c r="AE52" s="38"/>
      <c r="AF52" s="38"/>
      <c r="AG52" s="274">
        <v>1421</v>
      </c>
      <c r="AH52" s="250" t="s">
        <v>110</v>
      </c>
      <c r="AI52" s="38"/>
      <c r="AJ52" s="259">
        <v>39454</v>
      </c>
      <c r="AK52" s="250"/>
      <c r="AL52" s="270">
        <v>39485</v>
      </c>
      <c r="AM52" s="270">
        <v>-23</v>
      </c>
      <c r="AN52" s="4">
        <v>-23</v>
      </c>
      <c r="AO52" s="25"/>
    </row>
    <row r="53" spans="1:41" ht="15">
      <c r="A53" s="66"/>
      <c r="B53" s="67"/>
      <c r="C53" s="67"/>
      <c r="D53" s="68" t="s">
        <v>542</v>
      </c>
      <c r="E53" s="69"/>
      <c r="F53" s="69"/>
      <c r="G53" s="70"/>
      <c r="H53" s="38"/>
      <c r="I53" s="38"/>
      <c r="J53" s="38"/>
      <c r="T53" s="243"/>
      <c r="U53" s="243"/>
      <c r="Y53" s="38"/>
      <c r="Z53" s="38"/>
      <c r="AA53" s="38"/>
      <c r="AB53" s="71"/>
      <c r="AC53" s="38"/>
      <c r="AD53" s="38"/>
      <c r="AE53" s="38"/>
      <c r="AF53" s="38"/>
      <c r="AG53" s="274">
        <v>1501</v>
      </c>
      <c r="AH53" s="250" t="s">
        <v>112</v>
      </c>
      <c r="AI53" s="250">
        <v>39346</v>
      </c>
      <c r="AJ53" s="259">
        <v>39346</v>
      </c>
      <c r="AK53" s="250">
        <v>39499</v>
      </c>
      <c r="AL53" s="270">
        <v>39499</v>
      </c>
      <c r="AM53" s="270">
        <v>-100</v>
      </c>
      <c r="AN53" s="4">
        <v>-100</v>
      </c>
      <c r="AO53"/>
    </row>
    <row r="54" spans="1:41" ht="14.25">
      <c r="A54" s="1467"/>
      <c r="B54" s="1468"/>
      <c r="C54" s="1468"/>
      <c r="D54" s="1469"/>
      <c r="E54" s="207"/>
      <c r="F54" s="72" t="s">
        <v>540</v>
      </c>
      <c r="G54" s="72" t="s">
        <v>541</v>
      </c>
      <c r="H54" s="282"/>
      <c r="I54" s="287"/>
      <c r="J54" s="287"/>
      <c r="T54" s="641"/>
      <c r="U54" s="284"/>
      <c r="V54" s="287"/>
      <c r="W54" s="282"/>
      <c r="X54" s="282"/>
      <c r="Y54" s="282"/>
      <c r="Z54" s="282"/>
      <c r="AA54" s="282"/>
      <c r="AB54" s="71"/>
      <c r="AC54" s="38"/>
      <c r="AD54" s="38"/>
      <c r="AE54" s="38"/>
      <c r="AF54" s="38"/>
      <c r="AG54" s="274">
        <v>1352</v>
      </c>
      <c r="AH54" s="250" t="s">
        <v>116</v>
      </c>
      <c r="AI54" s="251"/>
      <c r="AJ54" s="260">
        <v>39595</v>
      </c>
      <c r="AK54" s="250"/>
      <c r="AL54" s="270">
        <v>39510</v>
      </c>
      <c r="AM54" s="270">
        <v>60</v>
      </c>
      <c r="AN54" s="4">
        <v>60</v>
      </c>
      <c r="AO54"/>
    </row>
    <row r="55" spans="1:41" ht="15.75">
      <c r="A55" s="1470"/>
      <c r="B55" s="1471"/>
      <c r="C55" s="1471"/>
      <c r="D55" s="1472"/>
      <c r="E55" s="73" t="s">
        <v>54</v>
      </c>
      <c r="F55" s="619">
        <f>SUM('COST PERFORMANCE BY RLM &amp; JOB'!C82)</f>
        <v>8924.88</v>
      </c>
      <c r="G55" s="620">
        <f>SUM('COST PERFORMANCE BY RLM &amp; JOB'!K82)</f>
        <v>1185.47</v>
      </c>
      <c r="H55" s="616"/>
      <c r="I55" s="616"/>
      <c r="J55" s="285"/>
      <c r="T55" s="285"/>
      <c r="U55" s="285"/>
      <c r="V55" s="285"/>
      <c r="W55" s="285"/>
      <c r="X55" s="285"/>
      <c r="Y55" s="285"/>
      <c r="Z55" s="285"/>
      <c r="AA55" s="285"/>
      <c r="AB55" s="71"/>
      <c r="AC55" s="38"/>
      <c r="AD55" s="38"/>
      <c r="AE55" s="243"/>
      <c r="AF55" s="243"/>
      <c r="AG55" s="277">
        <v>1810</v>
      </c>
      <c r="AH55" s="250" t="s">
        <v>202</v>
      </c>
      <c r="AI55" s="49">
        <v>39479</v>
      </c>
      <c r="AJ55" s="259">
        <v>39484</v>
      </c>
      <c r="AK55" s="49">
        <v>39511</v>
      </c>
      <c r="AL55" s="270">
        <v>39514</v>
      </c>
      <c r="AM55" s="270">
        <v>-22</v>
      </c>
      <c r="AN55" s="4">
        <v>-22</v>
      </c>
      <c r="AO55"/>
    </row>
    <row r="56" spans="1:41" ht="15.75">
      <c r="A56" s="1470"/>
      <c r="B56" s="1471"/>
      <c r="C56" s="1471"/>
      <c r="D56" s="1472"/>
      <c r="E56" s="73" t="s">
        <v>55</v>
      </c>
      <c r="F56" s="619">
        <f>SUM('COST PERFORMANCE BY RLM &amp; JOB'!D82)</f>
        <v>8088.97358731</v>
      </c>
      <c r="G56" s="620">
        <f>SUM('COST PERFORMANCE BY RLM &amp; JOB'!L82)</f>
        <v>1039.4264873099999</v>
      </c>
      <c r="H56" s="616"/>
      <c r="I56" s="616"/>
      <c r="J56" s="285"/>
      <c r="T56" s="285"/>
      <c r="U56" s="285"/>
      <c r="V56" s="285"/>
      <c r="W56" s="285"/>
      <c r="X56" s="285"/>
      <c r="Y56" s="285"/>
      <c r="Z56" s="285"/>
      <c r="AA56" s="285"/>
      <c r="AB56" s="71"/>
      <c r="AC56" s="38"/>
      <c r="AD56" s="38"/>
      <c r="AE56" s="38"/>
      <c r="AF56" s="38"/>
      <c r="AG56" s="274">
        <v>8205</v>
      </c>
      <c r="AH56" s="250" t="s">
        <v>107</v>
      </c>
      <c r="AI56" s="250">
        <v>39496</v>
      </c>
      <c r="AJ56" s="259">
        <v>39608</v>
      </c>
      <c r="AK56" s="250">
        <v>39514</v>
      </c>
      <c r="AL56" s="270">
        <v>39626</v>
      </c>
      <c r="AM56" s="270">
        <v>-14</v>
      </c>
      <c r="AN56" s="4">
        <v>-14</v>
      </c>
      <c r="AO56"/>
    </row>
    <row r="57" spans="1:41" ht="15.75">
      <c r="A57" s="1470"/>
      <c r="B57" s="1471"/>
      <c r="C57" s="1471"/>
      <c r="D57" s="1472"/>
      <c r="E57" s="73" t="s">
        <v>56</v>
      </c>
      <c r="F57" s="619">
        <f>SUM('COST PERFORMANCE BY RLM &amp; JOB'!E82)</f>
        <v>7235.213562535117</v>
      </c>
      <c r="G57" s="620">
        <f>SUM('COST PERFORMANCE BY RLM &amp; JOB'!M82)</f>
        <v>1086.612</v>
      </c>
      <c r="H57" s="616"/>
      <c r="I57" s="616"/>
      <c r="J57" s="285"/>
      <c r="T57" s="285"/>
      <c r="U57" s="285"/>
      <c r="V57" s="285"/>
      <c r="W57" s="285"/>
      <c r="X57" s="285"/>
      <c r="Y57" s="285"/>
      <c r="Z57" s="285"/>
      <c r="AA57" s="285"/>
      <c r="AB57" s="71"/>
      <c r="AC57" s="38"/>
      <c r="AD57" s="38"/>
      <c r="AE57" s="38"/>
      <c r="AF57" s="38"/>
      <c r="AG57" s="274">
        <v>1702</v>
      </c>
      <c r="AH57" s="250" t="s">
        <v>112</v>
      </c>
      <c r="AI57" s="250"/>
      <c r="AJ57" s="259">
        <v>39482</v>
      </c>
      <c r="AK57" s="250"/>
      <c r="AL57" s="270">
        <v>39534</v>
      </c>
      <c r="AM57" s="270">
        <v>-38</v>
      </c>
      <c r="AN57" s="4">
        <v>-38</v>
      </c>
      <c r="AO57"/>
    </row>
    <row r="58" spans="1:41" ht="15.75">
      <c r="A58" s="1470"/>
      <c r="B58" s="1471"/>
      <c r="C58" s="1471"/>
      <c r="D58" s="1472"/>
      <c r="E58" s="73" t="s">
        <v>57</v>
      </c>
      <c r="F58" s="619">
        <f>+F56-F57</f>
        <v>853.7600247748833</v>
      </c>
      <c r="G58" s="621"/>
      <c r="H58" s="610"/>
      <c r="I58" s="610"/>
      <c r="J58" s="38"/>
      <c r="T58" s="74"/>
      <c r="U58" s="966"/>
      <c r="V58" s="38"/>
      <c r="W58" s="38"/>
      <c r="X58" s="38"/>
      <c r="Y58" s="38"/>
      <c r="Z58" s="38"/>
      <c r="AA58" s="38"/>
      <c r="AB58" s="71"/>
      <c r="AG58" s="278"/>
      <c r="AO58"/>
    </row>
    <row r="59" spans="1:21" ht="15.75">
      <c r="A59" s="1470"/>
      <c r="B59" s="1471"/>
      <c r="C59" s="1471"/>
      <c r="D59" s="1472"/>
      <c r="E59" s="73" t="s">
        <v>58</v>
      </c>
      <c r="F59" s="619">
        <f>+F56-F55</f>
        <v>-835.9064126899993</v>
      </c>
      <c r="G59" s="621"/>
      <c r="H59" s="610"/>
      <c r="I59" s="907"/>
      <c r="J59" s="267"/>
      <c r="K59" s="1074"/>
      <c r="L59" s="1074"/>
      <c r="M59" s="1073"/>
      <c r="N59" s="1072"/>
      <c r="O59" s="1062"/>
      <c r="P59" s="1062"/>
      <c r="Q59" s="1065"/>
      <c r="R59" s="1070"/>
      <c r="S59" s="1070"/>
      <c r="T59" s="270"/>
      <c r="U59" s="337"/>
    </row>
    <row r="60" spans="1:21" ht="15.75">
      <c r="A60" s="1470"/>
      <c r="B60" s="1471"/>
      <c r="C60" s="1471"/>
      <c r="D60" s="1472"/>
      <c r="E60" s="73" t="s">
        <v>59</v>
      </c>
      <c r="F60" s="622">
        <f>+F56/F57</f>
        <v>1.118000666793827</v>
      </c>
      <c r="G60" s="623">
        <f>+G56/G57</f>
        <v>0.9565755645161288</v>
      </c>
      <c r="H60" s="610"/>
      <c r="I60" s="610"/>
      <c r="J60" s="38"/>
      <c r="K60" s="1074"/>
      <c r="L60" s="1074"/>
      <c r="M60" s="1071"/>
      <c r="N60" s="1072"/>
      <c r="O60" s="1062"/>
      <c r="P60" s="1062"/>
      <c r="Q60" s="1065"/>
      <c r="R60" s="1070"/>
      <c r="S60" s="1070"/>
      <c r="T60" s="270"/>
      <c r="U60" s="337"/>
    </row>
    <row r="61" spans="1:21" ht="15.75">
      <c r="A61" s="1470"/>
      <c r="B61" s="1471"/>
      <c r="C61" s="1471"/>
      <c r="D61" s="1472"/>
      <c r="E61" s="73" t="s">
        <v>60</v>
      </c>
      <c r="F61" s="622">
        <f>+F56/F55</f>
        <v>0.9063397588886349</v>
      </c>
      <c r="G61" s="623">
        <f>+G56/G55</f>
        <v>0.8768053913721983</v>
      </c>
      <c r="H61" s="610"/>
      <c r="I61" s="610"/>
      <c r="J61" s="38"/>
      <c r="K61" s="1074"/>
      <c r="L61" s="1074"/>
      <c r="M61" s="1071"/>
      <c r="N61" s="1072"/>
      <c r="O61" s="1062"/>
      <c r="P61" s="1062"/>
      <c r="Q61" s="1065"/>
      <c r="R61" s="1070"/>
      <c r="S61" s="1070"/>
      <c r="T61" s="270"/>
      <c r="U61"/>
    </row>
    <row r="62" spans="1:21" ht="15">
      <c r="A62" s="1470"/>
      <c r="B62" s="1471"/>
      <c r="C62" s="1471"/>
      <c r="D62" s="1472"/>
      <c r="E62" s="73" t="s">
        <v>52</v>
      </c>
      <c r="F62" s="183">
        <f>SUM('COST PERFORMANCE BY RLM &amp; JOB'!R82)+'Baseline Reconciliation'!F134</f>
        <v>118031.138</v>
      </c>
      <c r="G62" s="210"/>
      <c r="H62" s="610"/>
      <c r="I62" s="610"/>
      <c r="J62" s="38"/>
      <c r="K62" s="1078"/>
      <c r="L62" s="1078"/>
      <c r="M62" s="274"/>
      <c r="N62" s="250"/>
      <c r="O62" s="250"/>
      <c r="P62" s="259"/>
      <c r="Q62" s="1058"/>
      <c r="R62" s="4"/>
      <c r="S62" s="270"/>
      <c r="T62" s="4"/>
      <c r="U62" s="930"/>
    </row>
    <row r="63" spans="1:21" ht="15">
      <c r="A63" s="1470"/>
      <c r="B63" s="1471"/>
      <c r="C63" s="1471"/>
      <c r="D63" s="1472"/>
      <c r="E63" s="73" t="s">
        <v>53</v>
      </c>
      <c r="F63" s="184">
        <f>SUM('COST PERFORMANCE BY RLM &amp; JOB'!V82)+'Baseline Reconciliation'!F134</f>
        <v>67178.138</v>
      </c>
      <c r="G63" s="210"/>
      <c r="H63" s="610"/>
      <c r="I63" s="610"/>
      <c r="J63" s="38"/>
      <c r="K63" s="38"/>
      <c r="L63" s="38"/>
      <c r="M63" s="274"/>
      <c r="N63" s="250"/>
      <c r="O63" s="250"/>
      <c r="P63" s="259"/>
      <c r="Q63" s="38"/>
      <c r="R63" s="4"/>
      <c r="S63" s="270"/>
      <c r="T63" s="270"/>
      <c r="U63"/>
    </row>
    <row r="64" spans="1:21" ht="12.75">
      <c r="A64" s="1470"/>
      <c r="B64" s="1471"/>
      <c r="C64" s="1471"/>
      <c r="D64" s="1472"/>
      <c r="E64" s="211" t="s">
        <v>51</v>
      </c>
      <c r="F64" s="212"/>
      <c r="G64" s="213"/>
      <c r="H64" s="610"/>
      <c r="I64" s="610"/>
      <c r="J64" s="38"/>
      <c r="K64" s="243"/>
      <c r="L64" s="243"/>
      <c r="M64" s="277"/>
      <c r="N64" s="250"/>
      <c r="O64" s="49"/>
      <c r="P64" s="259"/>
      <c r="Q64" s="243"/>
      <c r="R64" s="4"/>
      <c r="S64" s="270"/>
      <c r="T64" s="270"/>
      <c r="U64"/>
    </row>
    <row r="65" spans="1:21" ht="12.75">
      <c r="A65" s="1470"/>
      <c r="B65" s="1471"/>
      <c r="C65" s="1471"/>
      <c r="D65" s="1472"/>
      <c r="E65" s="75" t="s">
        <v>61</v>
      </c>
      <c r="F65" s="1476"/>
      <c r="G65" s="1477"/>
      <c r="H65" s="71"/>
      <c r="I65" s="38"/>
      <c r="J65" s="38"/>
      <c r="K65" s="38"/>
      <c r="L65" s="38"/>
      <c r="M65" s="274"/>
      <c r="N65" s="250"/>
      <c r="O65" s="250"/>
      <c r="P65" s="259"/>
      <c r="Q65" s="38"/>
      <c r="R65" s="4"/>
      <c r="S65" s="270"/>
      <c r="T65" s="270"/>
      <c r="U65"/>
    </row>
    <row r="66" spans="1:21" ht="12.75">
      <c r="A66" s="1470"/>
      <c r="B66" s="1471"/>
      <c r="C66" s="1471"/>
      <c r="D66" s="1472"/>
      <c r="E66" s="1478"/>
      <c r="F66" s="1479"/>
      <c r="G66" s="1480"/>
      <c r="H66" s="71"/>
      <c r="I66" s="38"/>
      <c r="J66" s="38"/>
      <c r="K66" s="38"/>
      <c r="L66" s="38"/>
      <c r="M66" s="274"/>
      <c r="N66" s="250"/>
      <c r="O66" s="250"/>
      <c r="P66" s="260"/>
      <c r="Q66" s="38"/>
      <c r="R66" s="4"/>
      <c r="S66" s="270"/>
      <c r="T66" s="270"/>
      <c r="U66"/>
    </row>
    <row r="67" spans="1:21" ht="12.75">
      <c r="A67" s="1473"/>
      <c r="B67" s="1474"/>
      <c r="C67" s="1474"/>
      <c r="D67" s="1475"/>
      <c r="E67" s="1481"/>
      <c r="F67" s="1482"/>
      <c r="G67" s="1483"/>
      <c r="H67" s="25"/>
      <c r="I67" s="38"/>
      <c r="J67" s="38"/>
      <c r="K67" s="38"/>
      <c r="L67" s="38"/>
      <c r="M67" s="274"/>
      <c r="N67" s="250"/>
      <c r="O67" s="250"/>
      <c r="P67" s="260"/>
      <c r="Q67" s="38"/>
      <c r="R67" s="4"/>
      <c r="S67" s="270"/>
      <c r="T67" s="270"/>
      <c r="U67"/>
    </row>
    <row r="68" spans="1:21" ht="12.75">
      <c r="A68" s="1484" t="s">
        <v>543</v>
      </c>
      <c r="B68" s="1485"/>
      <c r="C68" s="1485"/>
      <c r="D68" s="1486"/>
      <c r="E68" s="1486"/>
      <c r="F68" s="1486"/>
      <c r="G68" s="1487"/>
      <c r="H68" s="25"/>
      <c r="I68" s="38"/>
      <c r="J68" s="38"/>
      <c r="K68" s="38"/>
      <c r="L68" s="38"/>
      <c r="M68" s="274"/>
      <c r="N68" s="250"/>
      <c r="O68" s="250"/>
      <c r="P68" s="259"/>
      <c r="Q68" s="38"/>
      <c r="R68" s="4"/>
      <c r="S68" s="270"/>
      <c r="T68" s="270"/>
      <c r="U68"/>
    </row>
    <row r="69" spans="1:21" ht="12.75">
      <c r="A69" s="1488" t="s">
        <v>70</v>
      </c>
      <c r="B69" s="1489"/>
      <c r="C69" s="1489"/>
      <c r="D69" s="1490"/>
      <c r="E69" s="76" t="s">
        <v>71</v>
      </c>
      <c r="F69" s="77"/>
      <c r="G69" s="78"/>
      <c r="H69" s="25"/>
      <c r="I69" s="38"/>
      <c r="J69" s="38"/>
      <c r="K69" s="38"/>
      <c r="L69" s="38"/>
      <c r="M69" s="274"/>
      <c r="N69" s="250"/>
      <c r="O69" s="250"/>
      <c r="P69" s="259"/>
      <c r="Q69" s="38"/>
      <c r="R69" s="4"/>
      <c r="S69" s="270"/>
      <c r="T69" s="270"/>
      <c r="U69" s="930"/>
    </row>
    <row r="70" spans="1:21" ht="12.75">
      <c r="A70" s="1491"/>
      <c r="B70" s="1492"/>
      <c r="C70" s="1492"/>
      <c r="D70" s="1493"/>
      <c r="E70" s="1492"/>
      <c r="F70" s="1493"/>
      <c r="G70" s="1499"/>
      <c r="H70" s="25"/>
      <c r="I70" s="38"/>
      <c r="J70" s="38"/>
      <c r="K70" s="38"/>
      <c r="L70" s="38"/>
      <c r="M70" s="274"/>
      <c r="N70" s="250"/>
      <c r="O70" s="250"/>
      <c r="P70" s="259"/>
      <c r="Q70" s="38"/>
      <c r="R70" s="4"/>
      <c r="S70" s="270"/>
      <c r="T70" s="270"/>
      <c r="U70"/>
    </row>
    <row r="71" spans="1:21" ht="12.75">
      <c r="A71" s="1494"/>
      <c r="B71" s="1495"/>
      <c r="C71" s="1495"/>
      <c r="D71" s="1479"/>
      <c r="E71" s="1495"/>
      <c r="F71" s="1479"/>
      <c r="G71" s="1500"/>
      <c r="H71" s="25"/>
      <c r="I71" s="38"/>
      <c r="J71" s="38"/>
      <c r="K71" s="38"/>
      <c r="L71" s="38"/>
      <c r="M71" s="274"/>
      <c r="N71" s="250"/>
      <c r="O71" s="250"/>
      <c r="P71" s="259"/>
      <c r="Q71" s="38"/>
      <c r="R71" s="4"/>
      <c r="S71" s="270"/>
      <c r="T71" s="270"/>
      <c r="U71"/>
    </row>
    <row r="72" spans="1:21" ht="12.75">
      <c r="A72" s="1494"/>
      <c r="B72" s="1495"/>
      <c r="C72" s="1495"/>
      <c r="D72" s="1479"/>
      <c r="E72" s="1495"/>
      <c r="F72" s="1479"/>
      <c r="G72" s="1500"/>
      <c r="H72" s="25"/>
      <c r="I72" s="38"/>
      <c r="J72" s="38"/>
      <c r="K72" s="243"/>
      <c r="L72" s="243"/>
      <c r="M72" s="277"/>
      <c r="N72" s="250"/>
      <c r="O72" s="49"/>
      <c r="P72" s="259"/>
      <c r="Q72" s="243"/>
      <c r="R72" s="4"/>
      <c r="S72" s="270"/>
      <c r="T72" s="270"/>
      <c r="U72"/>
    </row>
    <row r="73" spans="1:21" ht="12.75">
      <c r="A73" s="1494"/>
      <c r="B73" s="1495"/>
      <c r="C73" s="1495"/>
      <c r="D73" s="1479"/>
      <c r="E73" s="1495"/>
      <c r="F73" s="1479"/>
      <c r="G73" s="1500"/>
      <c r="H73" s="25"/>
      <c r="I73" s="38"/>
      <c r="J73" s="38"/>
      <c r="K73" s="38"/>
      <c r="L73" s="38"/>
      <c r="M73" s="274"/>
      <c r="N73" s="250"/>
      <c r="O73" s="250"/>
      <c r="P73" s="259"/>
      <c r="Q73" s="38"/>
      <c r="R73" s="4"/>
      <c r="S73" s="4"/>
      <c r="T73" s="4"/>
      <c r="U73"/>
    </row>
    <row r="74" spans="1:21" ht="12.75">
      <c r="A74" s="1496"/>
      <c r="B74" s="1479"/>
      <c r="C74" s="1479"/>
      <c r="D74" s="1479"/>
      <c r="E74" s="1479"/>
      <c r="F74" s="1479"/>
      <c r="G74" s="1500"/>
      <c r="H74" s="71"/>
      <c r="I74" s="38"/>
      <c r="J74" s="38"/>
      <c r="K74" s="38"/>
      <c r="L74" s="38"/>
      <c r="M74" s="274"/>
      <c r="N74" s="250"/>
      <c r="O74" s="250"/>
      <c r="P74" s="259"/>
      <c r="Q74" s="38"/>
      <c r="R74" s="4"/>
      <c r="S74" s="4"/>
      <c r="T74" s="4"/>
      <c r="U74"/>
    </row>
    <row r="75" spans="1:21" ht="14.25">
      <c r="A75" s="1496"/>
      <c r="B75" s="1479"/>
      <c r="C75" s="1479"/>
      <c r="D75" s="1479"/>
      <c r="E75" s="1479"/>
      <c r="F75" s="1479"/>
      <c r="G75" s="1500"/>
      <c r="H75" s="71"/>
      <c r="I75" s="38"/>
      <c r="J75" s="38"/>
      <c r="K75" s="38"/>
      <c r="L75" s="38"/>
      <c r="M75" s="274"/>
      <c r="N75" s="250"/>
      <c r="O75" s="640"/>
      <c r="P75" s="259"/>
      <c r="Q75" s="4"/>
      <c r="R75" s="4"/>
      <c r="S75" s="4"/>
      <c r="T75" s="4"/>
      <c r="U75"/>
    </row>
    <row r="76" spans="1:21" ht="15.75" thickBot="1">
      <c r="A76" s="1497"/>
      <c r="B76" s="1498"/>
      <c r="C76" s="1498"/>
      <c r="D76" s="1498"/>
      <c r="E76" s="1498"/>
      <c r="F76" s="1498"/>
      <c r="G76" s="1501"/>
      <c r="H76" s="25"/>
      <c r="I76" s="38"/>
      <c r="J76" s="38"/>
      <c r="K76" s="38"/>
      <c r="L76" s="38"/>
      <c r="M76" s="274"/>
      <c r="N76" s="250"/>
      <c r="O76" s="285"/>
      <c r="P76" s="259"/>
      <c r="Q76" s="4"/>
      <c r="R76" s="4"/>
      <c r="S76" s="4"/>
      <c r="T76" s="4"/>
      <c r="U76"/>
    </row>
    <row r="77" spans="1:21" ht="17.25" customHeight="1" thickBot="1">
      <c r="A77" s="42"/>
      <c r="B77" s="42"/>
      <c r="C77" s="42"/>
      <c r="D77" s="42"/>
      <c r="E77" s="42"/>
      <c r="F77" s="42"/>
      <c r="G77" s="42"/>
      <c r="H77" s="25"/>
      <c r="I77" s="4"/>
      <c r="J77" s="4"/>
      <c r="K77" s="4"/>
      <c r="L77" s="4"/>
      <c r="M77" s="279"/>
      <c r="N77" s="4"/>
      <c r="O77" s="285"/>
      <c r="P77" s="4"/>
      <c r="Q77" s="4"/>
      <c r="R77" s="4"/>
      <c r="S77" s="4"/>
      <c r="T77" s="4"/>
      <c r="U77"/>
    </row>
    <row r="78" spans="1:21" ht="15">
      <c r="A78" s="79" t="s">
        <v>63</v>
      </c>
      <c r="B78" s="80"/>
      <c r="C78" s="80"/>
      <c r="D78" s="81"/>
      <c r="E78" s="82"/>
      <c r="F78" s="83"/>
      <c r="G78" s="84"/>
      <c r="H78" s="25"/>
      <c r="I78" s="4"/>
      <c r="J78" s="4"/>
      <c r="K78" s="4"/>
      <c r="L78" s="4"/>
      <c r="M78" s="279"/>
      <c r="N78" s="4"/>
      <c r="O78" s="285"/>
      <c r="P78" s="4"/>
      <c r="Q78" s="4"/>
      <c r="R78" s="4"/>
      <c r="S78" s="4"/>
      <c r="T78" s="4"/>
      <c r="U78"/>
    </row>
    <row r="79" spans="1:21" ht="12.75">
      <c r="A79" s="214" t="s">
        <v>544</v>
      </c>
      <c r="B79" s="215"/>
      <c r="C79" s="215"/>
      <c r="D79" s="217" t="s">
        <v>62</v>
      </c>
      <c r="E79" s="218" t="s">
        <v>546</v>
      </c>
      <c r="F79" s="219"/>
      <c r="G79" s="220"/>
      <c r="H79" s="25"/>
      <c r="I79" s="4"/>
      <c r="J79" s="4"/>
      <c r="K79" s="4"/>
      <c r="L79" s="4"/>
      <c r="M79" s="279"/>
      <c r="N79" s="4"/>
      <c r="O79" s="38"/>
      <c r="P79" s="4"/>
      <c r="Q79" s="4"/>
      <c r="R79" s="4"/>
      <c r="S79" s="4"/>
      <c r="T79" s="4"/>
      <c r="U79"/>
    </row>
    <row r="80" spans="1:21" ht="12.75">
      <c r="A80" s="1502"/>
      <c r="B80" s="216"/>
      <c r="C80" s="216"/>
      <c r="D80" s="1502"/>
      <c r="E80" s="1502"/>
      <c r="F80" s="1504"/>
      <c r="G80" s="1505"/>
      <c r="H80" s="25"/>
      <c r="I80" s="4"/>
      <c r="J80" s="4"/>
      <c r="K80" s="4"/>
      <c r="L80" s="4"/>
      <c r="M80" s="279"/>
      <c r="N80" s="4"/>
      <c r="O80" s="49"/>
      <c r="P80" s="4"/>
      <c r="Q80" s="4"/>
      <c r="R80" s="4"/>
      <c r="S80" s="4"/>
      <c r="T80" s="4"/>
      <c r="U80"/>
    </row>
    <row r="81" spans="1:21" ht="12.75">
      <c r="A81" s="1503"/>
      <c r="B81" s="43"/>
      <c r="C81" s="43"/>
      <c r="D81" s="1503"/>
      <c r="E81" s="1503"/>
      <c r="F81" s="1450"/>
      <c r="G81" s="1506"/>
      <c r="H81" s="25"/>
      <c r="I81" s="337"/>
      <c r="J81" s="337"/>
      <c r="K81" s="337"/>
      <c r="L81"/>
      <c r="M81" s="273"/>
      <c r="N81"/>
      <c r="O81" s="250"/>
      <c r="P81"/>
      <c r="Q81"/>
      <c r="R81"/>
      <c r="S81"/>
      <c r="T81" s="4"/>
      <c r="U81"/>
    </row>
    <row r="82" spans="1:21" ht="12.75">
      <c r="A82" s="1507"/>
      <c r="B82" s="85"/>
      <c r="C82" s="85"/>
      <c r="D82" s="1507"/>
      <c r="E82" s="1507"/>
      <c r="F82" s="1450"/>
      <c r="G82" s="1506"/>
      <c r="H82"/>
      <c r="I82" s="337"/>
      <c r="J82" s="337"/>
      <c r="K82" s="337"/>
      <c r="L82"/>
      <c r="M82" s="273"/>
      <c r="N82"/>
      <c r="O82" s="250"/>
      <c r="P82"/>
      <c r="Q82"/>
      <c r="R82"/>
      <c r="S82"/>
      <c r="T82" s="4"/>
      <c r="U82"/>
    </row>
    <row r="83" spans="1:21" ht="12.75">
      <c r="A83" s="1508"/>
      <c r="B83" s="44"/>
      <c r="C83" s="44"/>
      <c r="D83" s="1508"/>
      <c r="E83" s="1508"/>
      <c r="F83" s="1454"/>
      <c r="G83" s="1509"/>
      <c r="H83"/>
      <c r="I83" s="337"/>
      <c r="J83" s="337"/>
      <c r="K83" s="337"/>
      <c r="L83"/>
      <c r="M83" s="273"/>
      <c r="N83"/>
      <c r="O83" s="250"/>
      <c r="P83"/>
      <c r="Q83"/>
      <c r="R83"/>
      <c r="S83"/>
      <c r="T83" s="4"/>
      <c r="U83"/>
    </row>
    <row r="84" spans="1:21" ht="12.75">
      <c r="A84"/>
      <c r="B84"/>
      <c r="C84"/>
      <c r="D84"/>
      <c r="E84"/>
      <c r="F84"/>
      <c r="G84"/>
      <c r="H84"/>
      <c r="I84" s="337"/>
      <c r="J84" s="337"/>
      <c r="K84" s="337"/>
      <c r="L84"/>
      <c r="M84" s="273"/>
      <c r="N84"/>
      <c r="O84" s="250"/>
      <c r="P84"/>
      <c r="Q84"/>
      <c r="R84"/>
      <c r="S84"/>
      <c r="T84" s="4"/>
      <c r="U84"/>
    </row>
    <row r="85" spans="1:21" ht="12.75">
      <c r="A85"/>
      <c r="B85"/>
      <c r="C85"/>
      <c r="D85"/>
      <c r="E85"/>
      <c r="F85"/>
      <c r="G85"/>
      <c r="H85"/>
      <c r="I85" s="337"/>
      <c r="J85" s="337"/>
      <c r="K85" s="337"/>
      <c r="L85"/>
      <c r="M85" s="273"/>
      <c r="N85"/>
      <c r="O85" s="49"/>
      <c r="P85"/>
      <c r="Q85"/>
      <c r="R85"/>
      <c r="S85"/>
      <c r="T85" s="4"/>
      <c r="U85"/>
    </row>
    <row r="86" spans="1:21" ht="12.75">
      <c r="A86"/>
      <c r="B86"/>
      <c r="C86"/>
      <c r="D86"/>
      <c r="E86"/>
      <c r="F86"/>
      <c r="G86"/>
      <c r="H86"/>
      <c r="I86" s="337"/>
      <c r="J86" s="337"/>
      <c r="K86" s="337"/>
      <c r="L86"/>
      <c r="M86" s="273"/>
      <c r="N86"/>
      <c r="O86" s="250"/>
      <c r="P86"/>
      <c r="Q86"/>
      <c r="R86"/>
      <c r="S86"/>
      <c r="T86" s="4"/>
      <c r="U86"/>
    </row>
    <row r="87" spans="15:20" ht="12.75">
      <c r="O87" s="250"/>
      <c r="T87" s="4"/>
    </row>
    <row r="88" spans="15:20" ht="12.75">
      <c r="O88" s="250"/>
      <c r="T88" s="4"/>
    </row>
    <row r="89" spans="15:20" ht="12.75">
      <c r="O89" s="250"/>
      <c r="T89" s="4"/>
    </row>
    <row r="90" spans="15:20" ht="12.75">
      <c r="O90" s="250"/>
      <c r="T90" s="4"/>
    </row>
    <row r="91" spans="15:20" ht="12.75">
      <c r="O91" s="250"/>
      <c r="T91" s="4"/>
    </row>
    <row r="92" spans="15:20" ht="12.75">
      <c r="O92" s="250"/>
      <c r="T92" s="4"/>
    </row>
    <row r="93" spans="15:20" ht="12.75">
      <c r="O93" s="49"/>
      <c r="T93" s="4"/>
    </row>
    <row r="94" ht="12.75">
      <c r="T94" s="4"/>
    </row>
    <row r="95" ht="12.75">
      <c r="T95" s="4"/>
    </row>
    <row r="96" ht="12.75">
      <c r="T96" s="4"/>
    </row>
    <row r="97" ht="12.75">
      <c r="T97" s="4"/>
    </row>
    <row r="98" ht="12.75">
      <c r="T98" s="4"/>
    </row>
    <row r="99" ht="12.75">
      <c r="T99" s="4"/>
    </row>
    <row r="100" ht="12.75">
      <c r="T100" s="4"/>
    </row>
  </sheetData>
  <mergeCells count="24">
    <mergeCell ref="A80:A81"/>
    <mergeCell ref="D80:D81"/>
    <mergeCell ref="E80:G81"/>
    <mergeCell ref="A82:A83"/>
    <mergeCell ref="D82:D83"/>
    <mergeCell ref="E82:G83"/>
    <mergeCell ref="A68:G68"/>
    <mergeCell ref="A69:D69"/>
    <mergeCell ref="A70:D76"/>
    <mergeCell ref="E70:G76"/>
    <mergeCell ref="A23:G23"/>
    <mergeCell ref="A24:G30"/>
    <mergeCell ref="A32:G32"/>
    <mergeCell ref="A54:D67"/>
    <mergeCell ref="F65:G65"/>
    <mergeCell ref="E66:G67"/>
    <mergeCell ref="A8:G8"/>
    <mergeCell ref="A9:G14"/>
    <mergeCell ref="A15:G15"/>
    <mergeCell ref="A16:G22"/>
    <mergeCell ref="A3:D3"/>
    <mergeCell ref="A6:D6"/>
    <mergeCell ref="A7:D7"/>
    <mergeCell ref="E7:G7"/>
  </mergeCells>
  <printOptions/>
  <pageMargins left="0.17" right="0.17" top="0.21" bottom="0.24" header="0.17" footer="0.19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rstrykowsky</cp:lastModifiedBy>
  <cp:lastPrinted>2007-12-17T12:41:23Z</cp:lastPrinted>
  <dcterms:created xsi:type="dcterms:W3CDTF">1999-11-30T18:37:22Z</dcterms:created>
  <dcterms:modified xsi:type="dcterms:W3CDTF">2007-12-17T12:42:40Z</dcterms:modified>
  <cp:category/>
  <cp:version/>
  <cp:contentType/>
  <cp:contentStatus/>
</cp:coreProperties>
</file>