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'Sheet1'!$A$83:$I$100</definedName>
  </definedNames>
  <calcPr fullCalcOnLoad="1"/>
</workbook>
</file>

<file path=xl/sharedStrings.xml><?xml version="1.0" encoding="utf-8"?>
<sst xmlns="http://schemas.openxmlformats.org/spreadsheetml/2006/main" count="209" uniqueCount="147">
  <si>
    <t>Contingency</t>
  </si>
  <si>
    <t>ETC</t>
  </si>
  <si>
    <t>Changes</t>
  </si>
  <si>
    <t>EAC</t>
  </si>
  <si>
    <t>$</t>
  </si>
  <si>
    <t>WBS</t>
  </si>
  <si>
    <t>Total</t>
  </si>
  <si>
    <t>CD-2 Baseline Jan 04</t>
  </si>
  <si>
    <t>Pct of ETC</t>
  </si>
  <si>
    <t>subtotal</t>
  </si>
  <si>
    <t>WBS 7 TC crane capacity upgrade</t>
  </si>
  <si>
    <t>WBS 81 Project oversight</t>
  </si>
  <si>
    <t>WBS 82 Project Engr design &amp; analysis support</t>
  </si>
  <si>
    <t>WBS 18 LOE oversight FY04</t>
  </si>
  <si>
    <t>WBS 18 add'l port installation</t>
  </si>
  <si>
    <t>?</t>
  </si>
  <si>
    <t>%</t>
  </si>
  <si>
    <t>ECP 8 Oct 04</t>
  </si>
  <si>
    <t>Contingency ETC (From Jan 04)</t>
  </si>
  <si>
    <t>Contingency ETC (From Oct 04)</t>
  </si>
  <si>
    <t xml:space="preserve"> </t>
  </si>
  <si>
    <t>NCSX Budget Status</t>
  </si>
  <si>
    <t>Potential Increases</t>
  </si>
  <si>
    <t>WBS 18 FP assy updated dsn est</t>
  </si>
  <si>
    <t>WBS 142 MC winding TRC &amp; conductor testing</t>
  </si>
  <si>
    <t>WBS 142 MC Winding (chill plate instl)</t>
  </si>
  <si>
    <t>WBS 121 add'l VV ports</t>
  </si>
  <si>
    <t>WBS 121 Design</t>
  </si>
  <si>
    <t>WBS 121 VVSA FFP 20% increase</t>
  </si>
  <si>
    <t>WBS 141 MCWF 20% increase</t>
  </si>
  <si>
    <t>WBS 141 MCWF design &amp; analysis</t>
  </si>
  <si>
    <t>WBS 142 MCWF Prototype Winding</t>
  </si>
  <si>
    <t>WBS 121 Port location dsn</t>
  </si>
  <si>
    <t>WBS 141 MCWF port addition impact</t>
  </si>
  <si>
    <t>$260 M&amp;S *1.29 + 18 x 2 x 4 x 40 x $72/hr</t>
  </si>
  <si>
    <t>Forecast thru FY04</t>
  </si>
  <si>
    <t>Eliminate design and fab of full size mockups. Use production articles for training.</t>
  </si>
  <si>
    <t>Risk-low</t>
  </si>
  <si>
    <t>Risk -Moderate</t>
  </si>
  <si>
    <t>Risk-High</t>
  </si>
  <si>
    <t>Risk-Moderate</t>
  </si>
  <si>
    <t>- Risk-high</t>
  </si>
  <si>
    <t>Risk-moderate</t>
  </si>
  <si>
    <t>Approved ECP Changes</t>
  </si>
  <si>
    <t>BAC</t>
  </si>
  <si>
    <t>High =</t>
  </si>
  <si>
    <t>Moderate =</t>
  </si>
  <si>
    <t>Low =</t>
  </si>
  <si>
    <t>Change Candidate. Additional scope or task being pereformed. Additional tech complexity. Offsetting savings not apparent. Cost yet to be estimated.</t>
  </si>
  <si>
    <t>Probable Change Candidate. Additional scope or task being pereformed. Additional tech complexity. Cost yet to be estimated but may be offset.</t>
  </si>
  <si>
    <t>WBS 141 MCWF FFP Proposal</t>
  </si>
  <si>
    <t>WBS 121 VVSA FFP Proposal</t>
  </si>
  <si>
    <t xml:space="preserve">Current issues but future offsets/controls may limit impact. </t>
  </si>
  <si>
    <t>WBS 142 MC Winding Fabrication</t>
  </si>
  <si>
    <t>Managing Cost Pressures</t>
  </si>
  <si>
    <t>July 04</t>
  </si>
  <si>
    <t>Changes to Date</t>
  </si>
  <si>
    <t>WBS 13 Conv Coil Material Analysis</t>
  </si>
  <si>
    <t>WBS 121 VV prototype contracts</t>
  </si>
  <si>
    <t>ECP-6  (April 2004)</t>
  </si>
  <si>
    <t>Change Candidates</t>
  </si>
  <si>
    <t>Cost Risks &amp; Opportunities</t>
  </si>
  <si>
    <t>(To be quanified as part of September Re-baselining)</t>
  </si>
  <si>
    <t>% on ETC</t>
  </si>
  <si>
    <t>WBS 4 Hybrid Power Supply</t>
  </si>
  <si>
    <t>FY04</t>
  </si>
  <si>
    <t xml:space="preserve">WBS 18 Eliminate design of mockups. </t>
  </si>
  <si>
    <t>Est Cost Range</t>
  </si>
  <si>
    <t>Unknown</t>
  </si>
  <si>
    <t>Likely</t>
  </si>
  <si>
    <t>Very Likely</t>
  </si>
  <si>
    <t>FY05</t>
  </si>
  <si>
    <t>FY05/06</t>
  </si>
  <si>
    <t>FY06</t>
  </si>
  <si>
    <t>Future Changes</t>
  </si>
  <si>
    <t>FY04/05</t>
  </si>
  <si>
    <t>+$750</t>
  </si>
  <si>
    <t>+$75</t>
  </si>
  <si>
    <t>&gt;$0</t>
  </si>
  <si>
    <t>-$39</t>
  </si>
  <si>
    <r>
      <t xml:space="preserve">+ $580 </t>
    </r>
    <r>
      <rPr>
        <i/>
        <sz val="12"/>
        <rFont val="Arial"/>
        <family val="2"/>
      </rPr>
      <t>(20%)</t>
    </r>
  </si>
  <si>
    <r>
      <t>+ $970</t>
    </r>
    <r>
      <rPr>
        <i/>
        <sz val="12"/>
        <rFont val="Arial"/>
        <family val="2"/>
      </rPr>
      <t xml:space="preserve"> (20%)</t>
    </r>
  </si>
  <si>
    <t>WBS 121 VV weld joint R&amp;D -full size</t>
  </si>
  <si>
    <t>Scheduled</t>
  </si>
  <si>
    <t>Contingency Setaside</t>
  </si>
  <si>
    <t>RISKS</t>
  </si>
  <si>
    <t>OPPORTUNITIES</t>
  </si>
  <si>
    <t>- $375</t>
  </si>
  <si>
    <t>WBS 142 MC winding R&amp;D</t>
  </si>
  <si>
    <t>+$ 290</t>
  </si>
  <si>
    <t>No impacts to project critical path</t>
  </si>
  <si>
    <t xml:space="preserve">Potential Impact on Critical Path; </t>
  </si>
  <si>
    <t xml:space="preserve"> Impact?</t>
  </si>
  <si>
    <t xml:space="preserve">WBS 14 -  Impact approx 2 weeks due to mod coil </t>
  </si>
  <si>
    <t>winding design and component fabrication</t>
  </si>
  <si>
    <t>WBS 142 Eliminate Full Prototype Winding</t>
  </si>
  <si>
    <t>Schedule</t>
  </si>
  <si>
    <t>Assessment</t>
  </si>
  <si>
    <t>Spent</t>
  </si>
  <si>
    <t>thru Dec 04</t>
  </si>
  <si>
    <t>thru Apr 04</t>
  </si>
  <si>
    <t>Limiters</t>
  </si>
  <si>
    <t>Conventional Coils</t>
  </si>
  <si>
    <t>Modular Coils</t>
  </si>
  <si>
    <t>Structures</t>
  </si>
  <si>
    <t>Coil Services</t>
  </si>
  <si>
    <t>Field Period Assembly</t>
  </si>
  <si>
    <t>Vacuum Vessel</t>
  </si>
  <si>
    <t>Cryostat &amp; Base Sprt Struct</t>
  </si>
  <si>
    <t>Stellarator Core Systems</t>
  </si>
  <si>
    <t>2 -</t>
  </si>
  <si>
    <t>Plasma Heating, Fueling &amp; Vac Systems</t>
  </si>
  <si>
    <t>3 -</t>
  </si>
  <si>
    <t>Diagnostics</t>
  </si>
  <si>
    <t>4 -</t>
  </si>
  <si>
    <t>Electrical Power Systems</t>
  </si>
  <si>
    <t>5 -</t>
  </si>
  <si>
    <t>Central I&amp;C Systems</t>
  </si>
  <si>
    <t>6 -</t>
  </si>
  <si>
    <t>Facility Systems</t>
  </si>
  <si>
    <t>7 -</t>
  </si>
  <si>
    <t>Test Cell Preparation and  Machine Assy</t>
  </si>
  <si>
    <t>8 -</t>
  </si>
  <si>
    <t>Project Oversight and Support</t>
  </si>
  <si>
    <t>Stellarator Core Mngmt/Integr</t>
  </si>
  <si>
    <t>Test Cell Prep/ Machine Assy</t>
  </si>
  <si>
    <t>Heating, Fueling &amp; Vac Sys</t>
  </si>
  <si>
    <t>Project Oversight/Support</t>
  </si>
  <si>
    <t>WBS 1-8 WAF re-estimates</t>
  </si>
  <si>
    <t>Cost Thru May</t>
  </si>
  <si>
    <t>Change</t>
  </si>
  <si>
    <t>WBS 18 Eliminate Full mockup procurement</t>
  </si>
  <si>
    <t>-$1,414</t>
  </si>
  <si>
    <t>Potential - Maintain option of split order</t>
  </si>
  <si>
    <t>Potential - Design workshop Scheduled (second shift possible if needed to maintain sched float)</t>
  </si>
  <si>
    <t>WBS 64 Inductive vs He VV heating</t>
  </si>
  <si>
    <t>WBS 144 MC Fabrication Facility</t>
  </si>
  <si>
    <t>WBS 82 Design Integration</t>
  </si>
  <si>
    <t>Risk Based Contingency</t>
  </si>
  <si>
    <t>+$ 150</t>
  </si>
  <si>
    <t>+$ 1,190</t>
  </si>
  <si>
    <t>WBS 121 Removable Port Extensions</t>
  </si>
  <si>
    <t>+ $150</t>
  </si>
  <si>
    <t>+$1,775</t>
  </si>
  <si>
    <t>WBS 187 Eliminate GPS Metrology System</t>
  </si>
  <si>
    <t>-$129</t>
  </si>
  <si>
    <t>WBS 121 Dsn, Weld joint R&amp;D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</si>
</sst>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&quot;$&quot;#,##0.0"/>
  </numFmts>
  <fonts count="28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u val="single"/>
      <sz val="12"/>
      <name val="Arial"/>
      <family val="0"/>
    </font>
    <font>
      <b/>
      <i/>
      <sz val="12"/>
      <name val="Arial"/>
      <family val="0"/>
    </font>
    <font>
      <sz val="12"/>
      <color indexed="9"/>
      <name val="Arial"/>
      <family val="0"/>
    </font>
    <font>
      <b/>
      <u val="single"/>
      <sz val="16"/>
      <name val="Arial"/>
      <family val="0"/>
    </font>
    <font>
      <b/>
      <i/>
      <sz val="14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i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Continuous" wrapText="1"/>
    </xf>
    <xf numFmtId="0" fontId="4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Continuous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167" fontId="4" fillId="0" borderId="0" xfId="0" applyNumberFormat="1" applyFont="1" applyFill="1" applyBorder="1" applyAlignment="1">
      <alignment wrapText="1"/>
    </xf>
    <xf numFmtId="167" fontId="5" fillId="0" borderId="5" xfId="0" applyNumberFormat="1" applyFont="1" applyFill="1" applyBorder="1" applyAlignment="1">
      <alignment wrapText="1"/>
    </xf>
    <xf numFmtId="167" fontId="4" fillId="0" borderId="0" xfId="0" applyNumberFormat="1" applyFont="1" applyFill="1" applyAlignment="1">
      <alignment wrapText="1"/>
    </xf>
    <xf numFmtId="167" fontId="1" fillId="0" borderId="0" xfId="0" applyNumberFormat="1" applyFont="1" applyFill="1" applyBorder="1" applyAlignment="1">
      <alignment wrapText="1"/>
    </xf>
    <xf numFmtId="9" fontId="1" fillId="0" borderId="9" xfId="2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wrapText="1"/>
    </xf>
    <xf numFmtId="167" fontId="6" fillId="0" borderId="5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wrapText="1"/>
    </xf>
    <xf numFmtId="167" fontId="5" fillId="0" borderId="5" xfId="0" applyNumberFormat="1" applyFont="1" applyBorder="1" applyAlignment="1">
      <alignment wrapText="1"/>
    </xf>
    <xf numFmtId="167" fontId="4" fillId="0" borderId="0" xfId="0" applyNumberFormat="1" applyFont="1" applyBorder="1" applyAlignment="1">
      <alignment wrapText="1"/>
    </xf>
    <xf numFmtId="9" fontId="1" fillId="0" borderId="9" xfId="21" applyFont="1" applyBorder="1" applyAlignment="1">
      <alignment wrapText="1"/>
    </xf>
    <xf numFmtId="167" fontId="6" fillId="0" borderId="5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4" fontId="1" fillId="0" borderId="9" xfId="21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7" fontId="7" fillId="0" borderId="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21" applyNumberFormat="1" applyFont="1" applyBorder="1" applyAlignment="1">
      <alignment wrapText="1"/>
    </xf>
    <xf numFmtId="164" fontId="5" fillId="0" borderId="5" xfId="21" applyNumberFormat="1" applyFont="1" applyBorder="1" applyAlignment="1">
      <alignment wrapText="1"/>
    </xf>
    <xf numFmtId="9" fontId="7" fillId="0" borderId="0" xfId="21" applyNumberFormat="1" applyFont="1" applyBorder="1" applyAlignment="1">
      <alignment wrapText="1"/>
    </xf>
    <xf numFmtId="167" fontId="1" fillId="0" borderId="5" xfId="0" applyNumberFormat="1" applyFont="1" applyBorder="1" applyAlignment="1">
      <alignment wrapText="1"/>
    </xf>
    <xf numFmtId="167" fontId="4" fillId="0" borderId="10" xfId="0" applyNumberFormat="1" applyFont="1" applyBorder="1" applyAlignment="1">
      <alignment wrapText="1"/>
    </xf>
    <xf numFmtId="167" fontId="1" fillId="0" borderId="7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9" fontId="8" fillId="0" borderId="0" xfId="15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right" wrapText="1"/>
    </xf>
    <xf numFmtId="169" fontId="8" fillId="0" borderId="0" xfId="15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7" fontId="1" fillId="0" borderId="0" xfId="0" applyNumberFormat="1" applyFont="1" applyAlignment="1" quotePrefix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 quotePrefix="1">
      <alignment horizontal="right" wrapText="1"/>
    </xf>
    <xf numFmtId="167" fontId="4" fillId="0" borderId="0" xfId="0" applyNumberFormat="1" applyFont="1" applyAlignment="1" quotePrefix="1">
      <alignment horizontal="right" wrapText="1"/>
    </xf>
    <xf numFmtId="169" fontId="1" fillId="0" borderId="0" xfId="15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167" fontId="1" fillId="0" borderId="0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7" fontId="7" fillId="0" borderId="0" xfId="0" applyNumberFormat="1" applyFont="1" applyBorder="1" applyAlignment="1">
      <alignment horizontal="center" wrapText="1"/>
    </xf>
    <xf numFmtId="164" fontId="7" fillId="0" borderId="0" xfId="21" applyNumberFormat="1" applyFont="1" applyBorder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quotePrefix="1">
      <alignment/>
    </xf>
    <xf numFmtId="167" fontId="9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7" fontId="4" fillId="0" borderId="0" xfId="0" applyNumberFormat="1" applyFont="1" applyBorder="1" applyAlignment="1">
      <alignment/>
    </xf>
    <xf numFmtId="16" fontId="4" fillId="0" borderId="0" xfId="0" applyNumberFormat="1" applyFont="1" applyAlignment="1" quotePrefix="1">
      <alignment horizontal="right"/>
    </xf>
    <xf numFmtId="167" fontId="4" fillId="0" borderId="0" xfId="0" applyNumberFormat="1" applyFont="1" applyAlignment="1">
      <alignment/>
    </xf>
    <xf numFmtId="167" fontId="1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Continuous"/>
    </xf>
    <xf numFmtId="167" fontId="4" fillId="0" borderId="0" xfId="0" applyNumberFormat="1" applyFont="1" applyBorder="1" applyAlignment="1">
      <alignment horizontal="centerContinuous"/>
    </xf>
    <xf numFmtId="169" fontId="4" fillId="0" borderId="0" xfId="15" applyNumberFormat="1" applyFont="1" applyBorder="1" applyAlignment="1">
      <alignment wrapText="1"/>
    </xf>
    <xf numFmtId="167" fontId="4" fillId="0" borderId="0" xfId="0" applyNumberFormat="1" applyFont="1" applyBorder="1" applyAlignment="1">
      <alignment wrapText="1"/>
    </xf>
    <xf numFmtId="167" fontId="4" fillId="0" borderId="0" xfId="0" applyNumberFormat="1" applyFont="1" applyAlignment="1">
      <alignment wrapText="1"/>
    </xf>
    <xf numFmtId="169" fontId="4" fillId="0" borderId="0" xfId="15" applyNumberFormat="1" applyFont="1" applyBorder="1" applyAlignment="1">
      <alignment horizontal="centerContinuous" wrapText="1"/>
    </xf>
    <xf numFmtId="167" fontId="4" fillId="0" borderId="0" xfId="0" applyNumberFormat="1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7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21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167" fontId="2" fillId="0" borderId="13" xfId="0" applyNumberFormat="1" applyFont="1" applyFill="1" applyBorder="1" applyAlignment="1">
      <alignment horizontal="center" wrapText="1"/>
    </xf>
    <xf numFmtId="167" fontId="4" fillId="0" borderId="13" xfId="2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7" fontId="4" fillId="0" borderId="13" xfId="0" applyNumberFormat="1" applyFont="1" applyBorder="1" applyAlignment="1">
      <alignment horizontal="center" wrapText="1"/>
    </xf>
    <xf numFmtId="9" fontId="4" fillId="0" borderId="0" xfId="21" applyNumberFormat="1" applyFont="1" applyBorder="1" applyAlignment="1">
      <alignment wrapText="1"/>
    </xf>
    <xf numFmtId="167" fontId="7" fillId="0" borderId="0" xfId="0" applyNumberFormat="1" applyFont="1" applyBorder="1" applyAlignment="1">
      <alignment wrapText="1"/>
    </xf>
    <xf numFmtId="167" fontId="4" fillId="0" borderId="0" xfId="0" applyNumberFormat="1" applyFont="1" applyBorder="1" applyAlignment="1">
      <alignment horizontal="center" wrapText="1"/>
    </xf>
    <xf numFmtId="167" fontId="2" fillId="0" borderId="13" xfId="0" applyNumberFormat="1" applyFont="1" applyBorder="1" applyAlignment="1">
      <alignment horizontal="center" wrapText="1"/>
    </xf>
    <xf numFmtId="167" fontId="2" fillId="0" borderId="13" xfId="21" applyNumberFormat="1" applyFont="1" applyFill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7" fontId="4" fillId="0" borderId="12" xfId="0" applyNumberFormat="1" applyFont="1" applyBorder="1" applyAlignment="1">
      <alignment horizontal="center" wrapText="1"/>
    </xf>
    <xf numFmtId="167" fontId="4" fillId="0" borderId="12" xfId="21" applyNumberFormat="1" applyFont="1" applyBorder="1" applyAlignment="1">
      <alignment horizontal="center" wrapText="1"/>
    </xf>
    <xf numFmtId="164" fontId="4" fillId="0" borderId="0" xfId="21" applyNumberFormat="1" applyFont="1" applyAlignment="1">
      <alignment wrapText="1"/>
    </xf>
    <xf numFmtId="167" fontId="17" fillId="0" borderId="13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9" fontId="1" fillId="0" borderId="9" xfId="21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9" fontId="3" fillId="0" borderId="9" xfId="21" applyNumberFormat="1" applyFont="1" applyFill="1" applyBorder="1" applyAlignment="1">
      <alignment horizontal="center" wrapText="1"/>
    </xf>
    <xf numFmtId="9" fontId="1" fillId="0" borderId="9" xfId="2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wrapText="1"/>
    </xf>
    <xf numFmtId="0" fontId="4" fillId="0" borderId="1" xfId="0" applyFont="1" applyBorder="1" applyAlignment="1">
      <alignment horizontal="centerContinuous" wrapText="1"/>
    </xf>
    <xf numFmtId="0" fontId="4" fillId="0" borderId="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 wrapText="1"/>
    </xf>
    <xf numFmtId="167" fontId="4" fillId="0" borderId="9" xfId="0" applyNumberFormat="1" applyFont="1" applyFill="1" applyBorder="1" applyAlignment="1">
      <alignment horizontal="center" wrapText="1"/>
    </xf>
    <xf numFmtId="167" fontId="7" fillId="0" borderId="5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center" wrapText="1"/>
    </xf>
    <xf numFmtId="167" fontId="2" fillId="0" borderId="5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7" fontId="18" fillId="0" borderId="5" xfId="0" applyNumberFormat="1" applyFont="1" applyFill="1" applyBorder="1" applyAlignment="1">
      <alignment wrapText="1"/>
    </xf>
    <xf numFmtId="167" fontId="2" fillId="0" borderId="9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wrapText="1"/>
    </xf>
    <xf numFmtId="167" fontId="4" fillId="0" borderId="5" xfId="0" applyNumberFormat="1" applyFont="1" applyBorder="1" applyAlignment="1">
      <alignment horizontal="center" wrapText="1"/>
    </xf>
    <xf numFmtId="167" fontId="7" fillId="0" borderId="5" xfId="0" applyNumberFormat="1" applyFont="1" applyBorder="1" applyAlignment="1">
      <alignment wrapText="1"/>
    </xf>
    <xf numFmtId="167" fontId="4" fillId="0" borderId="9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horizontal="center" wrapText="1"/>
    </xf>
    <xf numFmtId="167" fontId="18" fillId="0" borderId="5" xfId="0" applyNumberFormat="1" applyFont="1" applyBorder="1" applyAlignment="1">
      <alignment wrapText="1"/>
    </xf>
    <xf numFmtId="167" fontId="2" fillId="0" borderId="9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wrapText="1"/>
    </xf>
    <xf numFmtId="167" fontId="4" fillId="0" borderId="9" xfId="0" applyNumberFormat="1" applyFont="1" applyBorder="1" applyAlignment="1">
      <alignment wrapText="1"/>
    </xf>
    <xf numFmtId="167" fontId="7" fillId="0" borderId="9" xfId="0" applyNumberFormat="1" applyFont="1" applyBorder="1" applyAlignment="1">
      <alignment horizontal="center" wrapText="1"/>
    </xf>
    <xf numFmtId="167" fontId="7" fillId="0" borderId="0" xfId="0" applyNumberFormat="1" applyFont="1" applyBorder="1" applyAlignment="1">
      <alignment horizontal="center" wrapText="1"/>
    </xf>
    <xf numFmtId="164" fontId="7" fillId="0" borderId="5" xfId="21" applyNumberFormat="1" applyFont="1" applyBorder="1" applyAlignment="1">
      <alignment horizontal="center" wrapText="1"/>
    </xf>
    <xf numFmtId="164" fontId="7" fillId="0" borderId="0" xfId="21" applyNumberFormat="1" applyFont="1" applyBorder="1" applyAlignment="1">
      <alignment wrapText="1"/>
    </xf>
    <xf numFmtId="164" fontId="7" fillId="0" borderId="9" xfId="21" applyNumberFormat="1" applyFont="1" applyBorder="1" applyAlignment="1">
      <alignment wrapText="1"/>
    </xf>
    <xf numFmtId="164" fontId="7" fillId="0" borderId="5" xfId="21" applyNumberFormat="1" applyFont="1" applyBorder="1" applyAlignment="1">
      <alignment wrapText="1"/>
    </xf>
    <xf numFmtId="164" fontId="7" fillId="0" borderId="9" xfId="21" applyNumberFormat="1" applyFont="1" applyBorder="1" applyAlignment="1">
      <alignment horizontal="center" wrapText="1"/>
    </xf>
    <xf numFmtId="164" fontId="7" fillId="0" borderId="0" xfId="21" applyNumberFormat="1" applyFont="1" applyBorder="1" applyAlignment="1">
      <alignment horizontal="center" wrapText="1"/>
    </xf>
    <xf numFmtId="167" fontId="4" fillId="0" borderId="5" xfId="0" applyNumberFormat="1" applyFont="1" applyBorder="1" applyAlignment="1">
      <alignment wrapText="1"/>
    </xf>
    <xf numFmtId="167" fontId="4" fillId="0" borderId="7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wrapText="1"/>
    </xf>
    <xf numFmtId="167" fontId="4" fillId="0" borderId="8" xfId="0" applyNumberFormat="1" applyFont="1" applyBorder="1" applyAlignment="1">
      <alignment wrapText="1"/>
    </xf>
    <xf numFmtId="167" fontId="4" fillId="0" borderId="7" xfId="0" applyNumberFormat="1" applyFont="1" applyBorder="1" applyAlignment="1">
      <alignment wrapText="1"/>
    </xf>
    <xf numFmtId="167" fontId="4" fillId="0" borderId="8" xfId="0" applyNumberFormat="1" applyFont="1" applyBorder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4" fillId="0" borderId="0" xfId="0" applyNumberFormat="1" applyFont="1" applyAlignment="1" quotePrefix="1">
      <alignment horizontal="left"/>
    </xf>
    <xf numFmtId="167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left" wrapText="1"/>
    </xf>
    <xf numFmtId="6" fontId="4" fillId="0" borderId="0" xfId="0" applyNumberFormat="1" applyFont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67" fontId="4" fillId="0" borderId="15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6" fontId="17" fillId="0" borderId="0" xfId="0" applyNumberFormat="1" applyFont="1" applyAlignment="1" quotePrefix="1">
      <alignment horizontal="center" wrapText="1"/>
    </xf>
    <xf numFmtId="0" fontId="17" fillId="0" borderId="0" xfId="0" applyFont="1" applyAlignment="1" quotePrefix="1">
      <alignment horizontal="center" wrapText="1"/>
    </xf>
    <xf numFmtId="167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67" fontId="17" fillId="0" borderId="15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167" fontId="21" fillId="0" borderId="0" xfId="0" applyNumberFormat="1" applyFont="1" applyAlignment="1">
      <alignment wrapText="1"/>
    </xf>
    <xf numFmtId="0" fontId="4" fillId="0" borderId="0" xfId="0" applyFont="1" applyAlignment="1" quotePrefix="1">
      <alignment horizontal="center" wrapText="1"/>
    </xf>
    <xf numFmtId="0" fontId="4" fillId="0" borderId="15" xfId="0" applyFont="1" applyBorder="1" applyAlignment="1" quotePrefix="1">
      <alignment horizontal="center" wrapText="1"/>
    </xf>
    <xf numFmtId="167" fontId="17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Alignment="1" quotePrefix="1">
      <alignment horizontal="center"/>
    </xf>
    <xf numFmtId="0" fontId="22" fillId="0" borderId="0" xfId="0" applyFont="1" applyAlignment="1">
      <alignment wrapText="1"/>
    </xf>
    <xf numFmtId="167" fontId="2" fillId="0" borderId="0" xfId="0" applyNumberFormat="1" applyFont="1" applyBorder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167" fontId="1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169" fontId="15" fillId="0" borderId="0" xfId="15" applyNumberFormat="1" applyFont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167" fontId="23" fillId="0" borderId="0" xfId="0" applyNumberFormat="1" applyFont="1" applyAlignment="1">
      <alignment horizontal="center" wrapText="1"/>
    </xf>
    <xf numFmtId="167" fontId="5" fillId="0" borderId="0" xfId="0" applyNumberFormat="1" applyFont="1" applyBorder="1" applyAlignment="1">
      <alignment wrapText="1"/>
    </xf>
    <xf numFmtId="167" fontId="24" fillId="0" borderId="0" xfId="0" applyNumberFormat="1" applyFont="1" applyBorder="1" applyAlignment="1">
      <alignment horizontal="left" wrapText="1"/>
    </xf>
    <xf numFmtId="167" fontId="24" fillId="0" borderId="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169" fontId="25" fillId="0" borderId="0" xfId="15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9" fontId="26" fillId="0" borderId="0" xfId="15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9" fontId="15" fillId="0" borderId="0" xfId="15" applyNumberFormat="1" applyFont="1" applyAlignment="1">
      <alignment horizontal="left"/>
    </xf>
    <xf numFmtId="0" fontId="4" fillId="0" borderId="14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167" fontId="2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 quotePrefix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/>
    </xf>
    <xf numFmtId="167" fontId="1" fillId="0" borderId="13" xfId="0" applyNumberFormat="1" applyFont="1" applyFill="1" applyBorder="1" applyAlignment="1">
      <alignment horizontal="center" wrapText="1"/>
    </xf>
    <xf numFmtId="167" fontId="3" fillId="0" borderId="13" xfId="0" applyNumberFormat="1" applyFont="1" applyFill="1" applyBorder="1" applyAlignment="1">
      <alignment horizontal="center" wrapText="1"/>
    </xf>
    <xf numFmtId="16" fontId="4" fillId="0" borderId="0" xfId="0" applyNumberFormat="1" applyFont="1" applyAlignment="1">
      <alignment horizontal="right"/>
    </xf>
    <xf numFmtId="167" fontId="4" fillId="0" borderId="0" xfId="0" applyNumberFormat="1" applyFont="1" applyBorder="1" applyAlignment="1">
      <alignment vertical="top"/>
    </xf>
    <xf numFmtId="16" fontId="4" fillId="0" borderId="0" xfId="0" applyNumberFormat="1" applyFont="1" applyAlignment="1" quotePrefix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 quotePrefix="1">
      <alignment horizontal="left" vertical="top" wrapText="1"/>
    </xf>
    <xf numFmtId="167" fontId="4" fillId="0" borderId="0" xfId="0" applyNumberFormat="1" applyFont="1" applyAlignment="1" quotePrefix="1">
      <alignment horizontal="center" vertical="top"/>
    </xf>
    <xf numFmtId="167" fontId="4" fillId="0" borderId="0" xfId="0" applyNumberFormat="1" applyFont="1" applyAlignment="1" quotePrefix="1">
      <alignment horizontal="left" vertical="top"/>
    </xf>
    <xf numFmtId="167" fontId="21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6"/>
  <sheetViews>
    <sheetView showGridLines="0" tabSelected="1" zoomScale="75" zoomScaleNormal="75" workbookViewId="0" topLeftCell="A66">
      <selection activeCell="A83" sqref="A83:H100"/>
    </sheetView>
  </sheetViews>
  <sheetFormatPr defaultColWidth="9.140625" defaultRowHeight="12.75"/>
  <cols>
    <col min="1" max="1" width="42.57421875" style="4" customWidth="1"/>
    <col min="2" max="2" width="11.28125" style="4" customWidth="1"/>
    <col min="3" max="3" width="1.28515625" style="4" customWidth="1"/>
    <col min="4" max="4" width="8.8515625" style="4" customWidth="1"/>
    <col min="5" max="5" width="15.140625" style="4" customWidth="1"/>
    <col min="6" max="6" width="11.57421875" style="4" customWidth="1"/>
    <col min="7" max="7" width="15.421875" style="4" bestFit="1" customWidth="1"/>
    <col min="8" max="8" width="35.421875" style="4" customWidth="1"/>
    <col min="9" max="9" width="15.421875" style="4" bestFit="1" customWidth="1"/>
    <col min="10" max="10" width="6.00390625" style="4" customWidth="1"/>
    <col min="11" max="11" width="32.7109375" style="4" customWidth="1"/>
    <col min="12" max="12" width="21.7109375" style="4" customWidth="1"/>
    <col min="13" max="13" width="11.140625" style="4" customWidth="1"/>
    <col min="14" max="14" width="16.00390625" style="4" customWidth="1"/>
    <col min="15" max="15" width="1.421875" style="4" customWidth="1"/>
    <col min="16" max="17" width="17.421875" style="4" customWidth="1"/>
    <col min="18" max="18" width="13.8515625" style="4" customWidth="1"/>
    <col min="19" max="19" width="7.57421875" style="4" customWidth="1"/>
    <col min="20" max="20" width="4.28125" style="6" customWidth="1"/>
    <col min="21" max="21" width="32.7109375" style="6" customWidth="1"/>
    <col min="22" max="22" width="15.57421875" style="6" customWidth="1"/>
    <col min="23" max="23" width="11.57421875" style="6" customWidth="1"/>
    <col min="24" max="24" width="12.57421875" style="6" customWidth="1"/>
    <col min="25" max="25" width="1.57421875" style="6" customWidth="1"/>
    <col min="26" max="26" width="13.28125" style="4" customWidth="1"/>
    <col min="27" max="27" width="10.140625" style="6" customWidth="1"/>
    <col min="28" max="28" width="12.28125" style="6" customWidth="1"/>
    <col min="29" max="29" width="17.57421875" style="6" customWidth="1"/>
    <col min="30" max="30" width="15.28125" style="6" customWidth="1"/>
    <col min="31" max="31" width="8.140625" style="6" customWidth="1"/>
    <col min="32" max="32" width="9.57421875" style="6" customWidth="1"/>
    <col min="33" max="35" width="15.28125" style="84" customWidth="1"/>
    <col min="36" max="36" width="2.8515625" style="6" customWidth="1"/>
    <col min="37" max="37" width="10.140625" style="4" customWidth="1"/>
    <col min="38" max="38" width="28.7109375" style="6" customWidth="1"/>
    <col min="39" max="39" width="12.28125" style="6" customWidth="1"/>
    <col min="40" max="40" width="12.140625" style="6" customWidth="1"/>
    <col min="41" max="41" width="9.8515625" style="4" bestFit="1" customWidth="1"/>
    <col min="42" max="42" width="9.28125" style="4" bestFit="1" customWidth="1"/>
    <col min="43" max="16384" width="11.7109375" style="4" customWidth="1"/>
  </cols>
  <sheetData>
    <row r="1" spans="19:42" ht="20.25">
      <c r="S1" s="1"/>
      <c r="T1" s="77" t="s">
        <v>21</v>
      </c>
      <c r="U1" s="77"/>
      <c r="V1" s="145"/>
      <c r="W1" s="145"/>
      <c r="X1" s="145"/>
      <c r="Y1" s="145"/>
      <c r="Z1" s="145"/>
      <c r="AA1" s="145"/>
      <c r="AB1" s="145"/>
      <c r="AC1" s="145" t="s">
        <v>20</v>
      </c>
      <c r="AD1" s="145"/>
      <c r="AE1" s="145"/>
      <c r="AF1" s="145"/>
      <c r="AG1" s="146"/>
      <c r="AH1" s="146"/>
      <c r="AI1" s="81"/>
      <c r="AJ1" s="2"/>
      <c r="AK1" s="3"/>
      <c r="AL1" s="2"/>
      <c r="AM1" s="2"/>
      <c r="AN1" s="2"/>
      <c r="AO1" s="3"/>
      <c r="AP1" s="3"/>
    </row>
    <row r="2" spans="19:42" ht="23.25">
      <c r="S2" s="1"/>
      <c r="V2" s="147"/>
      <c r="W2" s="114"/>
      <c r="X2" s="114"/>
      <c r="Y2" s="114"/>
      <c r="Z2" s="79" t="s">
        <v>56</v>
      </c>
      <c r="AA2" s="114"/>
      <c r="AB2" s="114"/>
      <c r="AC2" s="113"/>
      <c r="AD2" s="113"/>
      <c r="AE2" s="113"/>
      <c r="AF2" s="113"/>
      <c r="AG2" s="128"/>
      <c r="AH2" s="128"/>
      <c r="AI2" s="32"/>
      <c r="AJ2" s="5"/>
      <c r="AK2" s="1"/>
      <c r="AL2" s="5"/>
      <c r="AM2" s="5"/>
      <c r="AN2" s="5"/>
      <c r="AO2" s="1"/>
      <c r="AP2" s="1"/>
    </row>
    <row r="3" spans="19:42" ht="19.5" thickBot="1">
      <c r="S3" s="1"/>
      <c r="T3" s="78"/>
      <c r="U3" s="78"/>
      <c r="V3" s="114"/>
      <c r="W3" s="114"/>
      <c r="X3" s="114"/>
      <c r="Y3" s="114"/>
      <c r="Z3" s="114"/>
      <c r="AA3" s="114"/>
      <c r="AB3" s="114"/>
      <c r="AC3" s="113"/>
      <c r="AD3" s="113"/>
      <c r="AE3" s="113"/>
      <c r="AF3" s="113"/>
      <c r="AG3" s="128"/>
      <c r="AH3" s="128"/>
      <c r="AI3" s="32"/>
      <c r="AJ3" s="5"/>
      <c r="AK3" s="1"/>
      <c r="AL3" s="5"/>
      <c r="AM3" s="5"/>
      <c r="AN3" s="5"/>
      <c r="AO3" s="1"/>
      <c r="AP3" s="1"/>
    </row>
    <row r="4" spans="19:42" ht="16.5" thickBot="1">
      <c r="S4" s="1"/>
      <c r="V4" s="148" t="s">
        <v>7</v>
      </c>
      <c r="W4" s="149"/>
      <c r="X4" s="150"/>
      <c r="Y4" s="112" t="s">
        <v>20</v>
      </c>
      <c r="Z4" s="151" t="s">
        <v>59</v>
      </c>
      <c r="AA4" s="152"/>
      <c r="AB4" s="153"/>
      <c r="AC4" s="153"/>
      <c r="AD4" s="153"/>
      <c r="AE4" s="153"/>
      <c r="AF4" s="153"/>
      <c r="AG4" s="128"/>
      <c r="AH4" s="128"/>
      <c r="AI4" s="32"/>
      <c r="AJ4" s="8"/>
      <c r="AK4" s="9"/>
      <c r="AL4" s="7" t="s">
        <v>17</v>
      </c>
      <c r="AM4" s="7"/>
      <c r="AN4" s="7"/>
      <c r="AO4" s="10"/>
      <c r="AP4" s="11"/>
    </row>
    <row r="5" spans="19:43" ht="47.25">
      <c r="S5" s="1"/>
      <c r="V5" s="154"/>
      <c r="W5" s="155" t="s">
        <v>18</v>
      </c>
      <c r="X5" s="156"/>
      <c r="Y5" s="112" t="s">
        <v>20</v>
      </c>
      <c r="Z5" s="157"/>
      <c r="AA5" s="158"/>
      <c r="AB5" s="159"/>
      <c r="AC5" s="159"/>
      <c r="AD5" s="159"/>
      <c r="AE5" s="159"/>
      <c r="AF5" s="159"/>
      <c r="AG5" s="128"/>
      <c r="AH5" s="128"/>
      <c r="AI5" s="32"/>
      <c r="AJ5" s="8"/>
      <c r="AK5" s="13"/>
      <c r="AL5" s="8"/>
      <c r="AM5" s="8"/>
      <c r="AN5" s="8"/>
      <c r="AO5" s="12" t="s">
        <v>19</v>
      </c>
      <c r="AP5" s="14"/>
      <c r="AQ5" s="1"/>
    </row>
    <row r="6" spans="19:43" ht="61.5" thickBot="1">
      <c r="S6" s="1"/>
      <c r="T6" s="239" t="s">
        <v>5</v>
      </c>
      <c r="V6" s="160" t="s">
        <v>44</v>
      </c>
      <c r="W6" s="161" t="s">
        <v>4</v>
      </c>
      <c r="X6" s="162" t="s">
        <v>16</v>
      </c>
      <c r="Y6" s="113" t="s">
        <v>20</v>
      </c>
      <c r="Z6" s="163" t="s">
        <v>2</v>
      </c>
      <c r="AA6" s="164" t="s">
        <v>44</v>
      </c>
      <c r="AB6" s="159"/>
      <c r="AC6" s="159"/>
      <c r="AD6" s="159"/>
      <c r="AE6" s="159"/>
      <c r="AF6" s="159"/>
      <c r="AG6" s="128"/>
      <c r="AH6" s="128"/>
      <c r="AI6" s="32"/>
      <c r="AJ6" s="17"/>
      <c r="AK6" s="18" t="s">
        <v>22</v>
      </c>
      <c r="AL6" s="8" t="s">
        <v>3</v>
      </c>
      <c r="AM6" s="19" t="s">
        <v>35</v>
      </c>
      <c r="AN6" s="19" t="s">
        <v>1</v>
      </c>
      <c r="AO6" s="15" t="s">
        <v>4</v>
      </c>
      <c r="AP6" s="16" t="s">
        <v>16</v>
      </c>
      <c r="AQ6" s="1"/>
    </row>
    <row r="7" spans="19:42" s="27" customFormat="1" ht="15.75">
      <c r="S7" s="20"/>
      <c r="T7" s="21">
        <v>11</v>
      </c>
      <c r="U7" s="241" t="s">
        <v>101</v>
      </c>
      <c r="V7" s="165">
        <v>8</v>
      </c>
      <c r="W7" s="121"/>
      <c r="X7" s="166"/>
      <c r="Y7" s="120" t="s">
        <v>20</v>
      </c>
      <c r="Z7" s="167">
        <f>+AA7-V7</f>
        <v>-0.40000000000000036</v>
      </c>
      <c r="AA7" s="166">
        <v>7.6</v>
      </c>
      <c r="AB7" s="120"/>
      <c r="AC7" s="120"/>
      <c r="AD7" s="120"/>
      <c r="AE7" s="120"/>
      <c r="AF7" s="120"/>
      <c r="AG7" s="168"/>
      <c r="AH7" s="168"/>
      <c r="AI7" s="82"/>
      <c r="AJ7" s="24"/>
      <c r="AK7" s="23"/>
      <c r="AL7" s="22">
        <f aca="true" t="shared" si="0" ref="AL7:AL15">+AK7+AA7</f>
        <v>7.6</v>
      </c>
      <c r="AM7" s="25">
        <v>8</v>
      </c>
      <c r="AN7" s="25">
        <f>+AL7-AM7</f>
        <v>-0.40000000000000036</v>
      </c>
      <c r="AO7" s="25">
        <f>+W7-Z7-AK7</f>
        <v>0.40000000000000036</v>
      </c>
      <c r="AP7" s="26"/>
    </row>
    <row r="8" spans="19:42" s="27" customFormat="1" ht="31.5">
      <c r="S8" s="20"/>
      <c r="T8" s="28">
        <v>12</v>
      </c>
      <c r="U8" s="242" t="s">
        <v>107</v>
      </c>
      <c r="V8" s="165">
        <v>6065</v>
      </c>
      <c r="W8" s="140">
        <v>1776.1291756705637</v>
      </c>
      <c r="X8" s="141">
        <v>0.38858109886439124</v>
      </c>
      <c r="Y8" s="122" t="s">
        <v>20</v>
      </c>
      <c r="Z8" s="167">
        <f aca="true" t="shared" si="1" ref="Z8:Z26">+AA8-V8</f>
        <v>835</v>
      </c>
      <c r="AA8" s="166">
        <v>6900</v>
      </c>
      <c r="AB8" s="120"/>
      <c r="AC8" s="73" t="s">
        <v>43</v>
      </c>
      <c r="AD8" s="120"/>
      <c r="AE8" s="120"/>
      <c r="AF8" s="120"/>
      <c r="AG8" s="168" t="s">
        <v>84</v>
      </c>
      <c r="AH8" s="168"/>
      <c r="AI8" s="82"/>
      <c r="AJ8" s="22"/>
      <c r="AK8" s="23">
        <f>SUM(AK36:AK38)</f>
        <v>0</v>
      </c>
      <c r="AL8" s="22">
        <f t="shared" si="0"/>
        <v>6900</v>
      </c>
      <c r="AM8" s="25">
        <v>3093</v>
      </c>
      <c r="AN8" s="25">
        <f aca="true" t="shared" si="2" ref="AN8:AN24">+AL8-AM8</f>
        <v>3807</v>
      </c>
      <c r="AO8" s="25">
        <f>+W8-Z8-AK8</f>
        <v>941.1291756705637</v>
      </c>
      <c r="AP8" s="26">
        <f aca="true" t="shared" si="3" ref="AP8:AP24">+AO8/AN8</f>
        <v>0.24721018536132483</v>
      </c>
    </row>
    <row r="9" spans="19:42" s="27" customFormat="1" ht="15.75">
      <c r="S9" s="20"/>
      <c r="T9" s="28">
        <v>13</v>
      </c>
      <c r="U9" s="242" t="s">
        <v>102</v>
      </c>
      <c r="V9" s="165">
        <v>4168</v>
      </c>
      <c r="W9" s="140">
        <v>1023.3424778612573</v>
      </c>
      <c r="X9" s="141">
        <v>0.2561976722512922</v>
      </c>
      <c r="Y9" s="122"/>
      <c r="Z9" s="167">
        <f t="shared" si="1"/>
        <v>53</v>
      </c>
      <c r="AA9" s="166">
        <f>4211+10</f>
        <v>4221</v>
      </c>
      <c r="AB9" s="120"/>
      <c r="AD9" s="108"/>
      <c r="AE9" s="108"/>
      <c r="AF9" s="92"/>
      <c r="AG9" s="132"/>
      <c r="AH9" s="168"/>
      <c r="AI9" s="82"/>
      <c r="AJ9" s="22"/>
      <c r="AK9" s="23"/>
      <c r="AL9" s="22">
        <f t="shared" si="0"/>
        <v>4221</v>
      </c>
      <c r="AM9" s="25">
        <v>580</v>
      </c>
      <c r="AN9" s="25">
        <f t="shared" si="2"/>
        <v>3641</v>
      </c>
      <c r="AO9" s="25">
        <f aca="true" t="shared" si="4" ref="AO9:AO24">+W9-Z9-AK9</f>
        <v>970.3424778612573</v>
      </c>
      <c r="AP9" s="26">
        <f t="shared" si="3"/>
        <v>0.2665043883167419</v>
      </c>
    </row>
    <row r="10" spans="19:42" s="27" customFormat="1" ht="15.75">
      <c r="S10" s="20"/>
      <c r="T10" s="28">
        <v>14</v>
      </c>
      <c r="U10" s="242" t="s">
        <v>103</v>
      </c>
      <c r="V10" s="165">
        <v>20548</v>
      </c>
      <c r="W10" s="140">
        <v>5822.676303811537</v>
      </c>
      <c r="X10" s="141">
        <v>0.34351333417068813</v>
      </c>
      <c r="Y10" s="122"/>
      <c r="Z10" s="167">
        <f t="shared" si="1"/>
        <v>-53</v>
      </c>
      <c r="AA10" s="166">
        <f>20505-10</f>
        <v>20495</v>
      </c>
      <c r="AB10" s="120"/>
      <c r="AC10" s="101" t="s">
        <v>146</v>
      </c>
      <c r="AD10" s="92"/>
      <c r="AE10" s="92"/>
      <c r="AF10" s="108">
        <v>500</v>
      </c>
      <c r="AG10" s="117">
        <v>1776</v>
      </c>
      <c r="AH10" s="168"/>
      <c r="AI10" s="82"/>
      <c r="AJ10" s="22"/>
      <c r="AK10" s="23">
        <f>SUM(AK39:AK43)</f>
        <v>0</v>
      </c>
      <c r="AL10" s="22">
        <f t="shared" si="0"/>
        <v>20495</v>
      </c>
      <c r="AM10" s="25">
        <v>9718</v>
      </c>
      <c r="AN10" s="25">
        <f t="shared" si="2"/>
        <v>10777</v>
      </c>
      <c r="AO10" s="25">
        <f t="shared" si="4"/>
        <v>5875.676303811537</v>
      </c>
      <c r="AP10" s="26">
        <f t="shared" si="3"/>
        <v>0.545205187325929</v>
      </c>
    </row>
    <row r="11" spans="19:42" s="27" customFormat="1" ht="15.75">
      <c r="S11" s="20"/>
      <c r="T11" s="28">
        <v>15</v>
      </c>
      <c r="U11" s="242" t="s">
        <v>104</v>
      </c>
      <c r="V11" s="165">
        <v>1450</v>
      </c>
      <c r="W11" s="140">
        <v>441.27951388131953</v>
      </c>
      <c r="X11" s="141">
        <v>0.3066466895903199</v>
      </c>
      <c r="Y11" s="122"/>
      <c r="Z11" s="167">
        <f t="shared" si="1"/>
        <v>-14</v>
      </c>
      <c r="AA11" s="166">
        <v>1436</v>
      </c>
      <c r="AB11" s="120"/>
      <c r="AC11" s="101" t="s">
        <v>136</v>
      </c>
      <c r="AD11" s="92"/>
      <c r="AE11" s="92"/>
      <c r="AF11" s="108">
        <v>218</v>
      </c>
      <c r="AG11" s="117">
        <v>87</v>
      </c>
      <c r="AH11" s="168"/>
      <c r="AI11" s="82"/>
      <c r="AJ11" s="22"/>
      <c r="AK11" s="23"/>
      <c r="AL11" s="22">
        <f t="shared" si="0"/>
        <v>1436</v>
      </c>
      <c r="AM11" s="25">
        <v>171</v>
      </c>
      <c r="AN11" s="25">
        <f t="shared" si="2"/>
        <v>1265</v>
      </c>
      <c r="AO11" s="25">
        <f t="shared" si="4"/>
        <v>455.27951388131953</v>
      </c>
      <c r="AP11" s="26">
        <f t="shared" si="3"/>
        <v>0.35990475405637906</v>
      </c>
    </row>
    <row r="12" spans="19:42" s="27" customFormat="1" ht="15.75">
      <c r="S12" s="20"/>
      <c r="T12" s="28">
        <v>16</v>
      </c>
      <c r="U12" s="242" t="s">
        <v>105</v>
      </c>
      <c r="V12" s="165">
        <v>1037</v>
      </c>
      <c r="W12" s="140">
        <v>248.86004114790745</v>
      </c>
      <c r="X12" s="141">
        <v>0.24001825815473368</v>
      </c>
      <c r="Y12" s="122"/>
      <c r="Z12" s="167">
        <f t="shared" si="1"/>
        <v>0</v>
      </c>
      <c r="AA12" s="166">
        <v>1037</v>
      </c>
      <c r="AB12" s="120"/>
      <c r="AC12" s="103" t="s">
        <v>58</v>
      </c>
      <c r="AD12" s="92"/>
      <c r="AE12" s="92"/>
      <c r="AF12" s="109">
        <v>213</v>
      </c>
      <c r="AG12" s="117"/>
      <c r="AH12" s="168"/>
      <c r="AI12" s="82"/>
      <c r="AJ12" s="22"/>
      <c r="AK12" s="23"/>
      <c r="AL12" s="22">
        <f t="shared" si="0"/>
        <v>1037</v>
      </c>
      <c r="AM12" s="25">
        <v>0</v>
      </c>
      <c r="AN12" s="25">
        <f t="shared" si="2"/>
        <v>1037</v>
      </c>
      <c r="AO12" s="25">
        <f t="shared" si="4"/>
        <v>248.86004114790745</v>
      </c>
      <c r="AP12" s="26">
        <f t="shared" si="3"/>
        <v>0.23998075327667065</v>
      </c>
    </row>
    <row r="13" spans="19:42" s="27" customFormat="1" ht="15.75">
      <c r="S13" s="20"/>
      <c r="T13" s="28">
        <v>17</v>
      </c>
      <c r="U13" s="242" t="s">
        <v>108</v>
      </c>
      <c r="V13" s="165">
        <v>1306</v>
      </c>
      <c r="W13" s="140">
        <v>365.23847910241165</v>
      </c>
      <c r="X13" s="141">
        <v>0.28305979073391163</v>
      </c>
      <c r="Y13" s="122"/>
      <c r="Z13" s="167">
        <f t="shared" si="1"/>
        <v>-6</v>
      </c>
      <c r="AA13" s="166">
        <v>1300</v>
      </c>
      <c r="AB13" s="120"/>
      <c r="AC13" s="103" t="s">
        <v>32</v>
      </c>
      <c r="AD13" s="92"/>
      <c r="AE13" s="92"/>
      <c r="AF13" s="109">
        <v>75</v>
      </c>
      <c r="AG13" s="117"/>
      <c r="AH13" s="168"/>
      <c r="AI13" s="82"/>
      <c r="AJ13" s="22"/>
      <c r="AK13" s="23"/>
      <c r="AL13" s="22">
        <f t="shared" si="0"/>
        <v>1300</v>
      </c>
      <c r="AM13" s="25">
        <v>134</v>
      </c>
      <c r="AN13" s="25">
        <f t="shared" si="2"/>
        <v>1166</v>
      </c>
      <c r="AO13" s="25">
        <f t="shared" si="4"/>
        <v>371.23847910241165</v>
      </c>
      <c r="AP13" s="26">
        <f t="shared" si="3"/>
        <v>0.3183863457139036</v>
      </c>
    </row>
    <row r="14" spans="19:42" s="27" customFormat="1" ht="15.75">
      <c r="S14" s="20"/>
      <c r="T14" s="28">
        <v>18</v>
      </c>
      <c r="U14" s="242" t="s">
        <v>106</v>
      </c>
      <c r="V14" s="165">
        <v>5110</v>
      </c>
      <c r="W14" s="140">
        <v>1471.0973006802403</v>
      </c>
      <c r="X14" s="141">
        <v>0.29165476017053626</v>
      </c>
      <c r="Y14" s="122"/>
      <c r="Z14" s="167">
        <f t="shared" si="1"/>
        <v>54</v>
      </c>
      <c r="AA14" s="166">
        <v>5164</v>
      </c>
      <c r="AB14" s="120"/>
      <c r="AC14" s="101" t="s">
        <v>57</v>
      </c>
      <c r="AD14" s="92"/>
      <c r="AE14" s="92"/>
      <c r="AF14" s="108">
        <v>53</v>
      </c>
      <c r="AG14" s="117"/>
      <c r="AH14" s="168"/>
      <c r="AI14" s="82"/>
      <c r="AJ14" s="22"/>
      <c r="AK14" s="23">
        <f>SUM(AK45:AK46)</f>
        <v>0</v>
      </c>
      <c r="AL14" s="22">
        <f t="shared" si="0"/>
        <v>5164</v>
      </c>
      <c r="AM14" s="25">
        <v>779</v>
      </c>
      <c r="AN14" s="25">
        <f t="shared" si="2"/>
        <v>4385</v>
      </c>
      <c r="AO14" s="25">
        <f t="shared" si="4"/>
        <v>1417.0973006802403</v>
      </c>
      <c r="AP14" s="26">
        <f t="shared" si="3"/>
        <v>0.32316928179709015</v>
      </c>
    </row>
    <row r="15" spans="19:42" s="27" customFormat="1" ht="15.75">
      <c r="S15" s="20"/>
      <c r="T15" s="28">
        <v>19</v>
      </c>
      <c r="U15" s="243" t="s">
        <v>124</v>
      </c>
      <c r="V15" s="169">
        <v>2663</v>
      </c>
      <c r="W15" s="142">
        <v>328.56756060977506</v>
      </c>
      <c r="X15" s="143">
        <v>0.14677254467493137</v>
      </c>
      <c r="Y15" s="122"/>
      <c r="Z15" s="171">
        <f t="shared" si="1"/>
        <v>2</v>
      </c>
      <c r="AA15" s="172">
        <v>2665</v>
      </c>
      <c r="AB15" s="173"/>
      <c r="AC15" s="101" t="s">
        <v>23</v>
      </c>
      <c r="AD15" s="92"/>
      <c r="AE15" s="92"/>
      <c r="AF15" s="108">
        <v>50</v>
      </c>
      <c r="AG15" s="117"/>
      <c r="AH15" s="170"/>
      <c r="AI15" s="83"/>
      <c r="AJ15" s="31"/>
      <c r="AK15" s="30"/>
      <c r="AL15" s="31">
        <f t="shared" si="0"/>
        <v>2665</v>
      </c>
      <c r="AM15" s="29">
        <v>936</v>
      </c>
      <c r="AN15" s="29">
        <f t="shared" si="2"/>
        <v>1729</v>
      </c>
      <c r="AO15" s="25">
        <f t="shared" si="4"/>
        <v>326.56756060977506</v>
      </c>
      <c r="AP15" s="26">
        <f t="shared" si="3"/>
        <v>0.18887655327343844</v>
      </c>
    </row>
    <row r="16" spans="19:42" s="27" customFormat="1" ht="15.75">
      <c r="S16" s="20"/>
      <c r="T16" s="28">
        <v>1</v>
      </c>
      <c r="U16" s="242" t="s">
        <v>109</v>
      </c>
      <c r="V16" s="165">
        <f>SUM(V7:V15)</f>
        <v>42355</v>
      </c>
      <c r="W16" s="140">
        <f>SUM(W7:W15)</f>
        <v>11477.190852765012</v>
      </c>
      <c r="X16" s="141">
        <v>0.31389050391953655</v>
      </c>
      <c r="Y16" s="122"/>
      <c r="Z16" s="167">
        <f t="shared" si="1"/>
        <v>870.5999999999985</v>
      </c>
      <c r="AA16" s="166">
        <f>SUM(AA7:AA15)</f>
        <v>43225.6</v>
      </c>
      <c r="AB16" s="120"/>
      <c r="AC16" s="103" t="s">
        <v>82</v>
      </c>
      <c r="AD16" s="92"/>
      <c r="AE16" s="92"/>
      <c r="AF16" s="109">
        <v>44</v>
      </c>
      <c r="AG16" s="117"/>
      <c r="AH16" s="168"/>
      <c r="AI16" s="82"/>
      <c r="AJ16" s="22"/>
      <c r="AK16" s="23">
        <f>SUM(AK7:AK15)</f>
        <v>0</v>
      </c>
      <c r="AL16" s="22">
        <f>SUM(AL7:AL15)</f>
        <v>43225.6</v>
      </c>
      <c r="AM16" s="25">
        <f>SUM(AM7:AM15)</f>
        <v>15419</v>
      </c>
      <c r="AN16" s="25">
        <f t="shared" si="2"/>
        <v>27806.6</v>
      </c>
      <c r="AO16" s="25">
        <f t="shared" si="4"/>
        <v>10606.590852765014</v>
      </c>
      <c r="AP16" s="26">
        <f t="shared" si="3"/>
        <v>0.3814414870126162</v>
      </c>
    </row>
    <row r="17" spans="19:42" s="27" customFormat="1" ht="15.75">
      <c r="S17" s="20"/>
      <c r="T17" s="28">
        <v>2</v>
      </c>
      <c r="U17" s="109" t="s">
        <v>126</v>
      </c>
      <c r="V17" s="165">
        <v>1630</v>
      </c>
      <c r="W17" s="140">
        <v>204.68753708868252</v>
      </c>
      <c r="X17" s="141">
        <v>0.14417893531093404</v>
      </c>
      <c r="Y17" s="122"/>
      <c r="Z17" s="167">
        <f t="shared" si="1"/>
        <v>63</v>
      </c>
      <c r="AA17" s="166">
        <v>1693</v>
      </c>
      <c r="AB17" s="120"/>
      <c r="AC17" s="103" t="s">
        <v>33</v>
      </c>
      <c r="AD17" s="92"/>
      <c r="AE17" s="92"/>
      <c r="AF17" s="109">
        <v>27</v>
      </c>
      <c r="AG17" s="117"/>
      <c r="AH17" s="168"/>
      <c r="AI17" s="82"/>
      <c r="AJ17" s="22"/>
      <c r="AK17" s="23"/>
      <c r="AL17" s="22">
        <f aca="true" t="shared" si="5" ref="AL17:AL23">+AK17+AA17</f>
        <v>1693</v>
      </c>
      <c r="AM17" s="25">
        <v>531</v>
      </c>
      <c r="AN17" s="25">
        <f t="shared" si="2"/>
        <v>1162</v>
      </c>
      <c r="AO17" s="25">
        <f t="shared" si="4"/>
        <v>141.68753708868252</v>
      </c>
      <c r="AP17" s="26">
        <f t="shared" si="3"/>
        <v>0.12193419715032919</v>
      </c>
    </row>
    <row r="18" spans="19:42" s="27" customFormat="1" ht="15.75">
      <c r="S18" s="20"/>
      <c r="T18" s="28">
        <v>3</v>
      </c>
      <c r="U18" s="109" t="s">
        <v>113</v>
      </c>
      <c r="V18" s="165">
        <v>1685</v>
      </c>
      <c r="W18" s="140">
        <v>399.2023414884876</v>
      </c>
      <c r="X18" s="141">
        <v>0.266252988176034</v>
      </c>
      <c r="Y18" s="122"/>
      <c r="Z18" s="167">
        <f t="shared" si="1"/>
        <v>8</v>
      </c>
      <c r="AA18" s="166">
        <v>1693</v>
      </c>
      <c r="AB18" s="120"/>
      <c r="AC18" s="101" t="s">
        <v>128</v>
      </c>
      <c r="AD18" s="92"/>
      <c r="AE18" s="92"/>
      <c r="AF18" s="108">
        <v>10</v>
      </c>
      <c r="AG18" s="100"/>
      <c r="AH18" s="168"/>
      <c r="AI18" s="82"/>
      <c r="AJ18" s="22"/>
      <c r="AK18" s="23"/>
      <c r="AL18" s="22">
        <f t="shared" si="5"/>
        <v>1693</v>
      </c>
      <c r="AM18" s="25">
        <v>239</v>
      </c>
      <c r="AN18" s="25">
        <f t="shared" si="2"/>
        <v>1454</v>
      </c>
      <c r="AO18" s="25">
        <f t="shared" si="4"/>
        <v>391.2023414884876</v>
      </c>
      <c r="AP18" s="26">
        <f t="shared" si="3"/>
        <v>0.26905250446250867</v>
      </c>
    </row>
    <row r="19" spans="19:42" ht="15.75">
      <c r="S19" s="1"/>
      <c r="T19" s="32">
        <v>4</v>
      </c>
      <c r="U19" s="108" t="s">
        <v>115</v>
      </c>
      <c r="V19" s="174">
        <v>5325</v>
      </c>
      <c r="W19" s="104">
        <v>997.9746647195857</v>
      </c>
      <c r="X19" s="144">
        <v>0.19215813043915386</v>
      </c>
      <c r="Y19" s="130"/>
      <c r="Z19" s="175">
        <f t="shared" si="1"/>
        <v>6</v>
      </c>
      <c r="AA19" s="176">
        <v>5331</v>
      </c>
      <c r="AB19" s="108"/>
      <c r="AC19" s="103" t="s">
        <v>20</v>
      </c>
      <c r="AD19" s="92"/>
      <c r="AE19" s="92"/>
      <c r="AF19" s="109" t="s">
        <v>20</v>
      </c>
      <c r="AG19" s="100"/>
      <c r="AH19" s="132"/>
      <c r="AI19" s="71"/>
      <c r="AJ19" s="35"/>
      <c r="AK19" s="34"/>
      <c r="AL19" s="35">
        <f t="shared" si="5"/>
        <v>5331</v>
      </c>
      <c r="AM19" s="33">
        <v>1566</v>
      </c>
      <c r="AN19" s="33">
        <f t="shared" si="2"/>
        <v>3765</v>
      </c>
      <c r="AO19" s="33">
        <f t="shared" si="4"/>
        <v>991.9746647195857</v>
      </c>
      <c r="AP19" s="36">
        <f t="shared" si="3"/>
        <v>0.26347268651250616</v>
      </c>
    </row>
    <row r="20" spans="19:42" ht="15.75">
      <c r="S20" s="1"/>
      <c r="T20" s="32">
        <v>5</v>
      </c>
      <c r="U20" s="108" t="s">
        <v>117</v>
      </c>
      <c r="V20" s="174">
        <v>2580</v>
      </c>
      <c r="W20" s="104">
        <v>243.6190801630392</v>
      </c>
      <c r="X20" s="144">
        <v>0.09546818142598393</v>
      </c>
      <c r="Y20" s="130"/>
      <c r="Z20" s="175">
        <f t="shared" si="1"/>
        <v>-0.3000000000001819</v>
      </c>
      <c r="AA20" s="176">
        <v>2579.7</v>
      </c>
      <c r="AB20" s="108"/>
      <c r="AC20" s="108"/>
      <c r="AD20" s="108"/>
      <c r="AE20" s="108"/>
      <c r="AF20" s="108"/>
      <c r="AG20" s="132"/>
      <c r="AH20" s="132"/>
      <c r="AI20" s="71"/>
      <c r="AJ20" s="35"/>
      <c r="AK20" s="34"/>
      <c r="AL20" s="35">
        <f t="shared" si="5"/>
        <v>2579.7</v>
      </c>
      <c r="AM20" s="33">
        <v>34</v>
      </c>
      <c r="AN20" s="33">
        <f t="shared" si="2"/>
        <v>2545.7</v>
      </c>
      <c r="AO20" s="33">
        <f t="shared" si="4"/>
        <v>243.91908016303938</v>
      </c>
      <c r="AP20" s="36">
        <f t="shared" si="3"/>
        <v>0.09581611351024842</v>
      </c>
    </row>
    <row r="21" spans="19:42" ht="15.75">
      <c r="S21" s="1"/>
      <c r="T21" s="32">
        <v>6</v>
      </c>
      <c r="U21" s="109" t="s">
        <v>119</v>
      </c>
      <c r="V21" s="174">
        <v>2039</v>
      </c>
      <c r="W21" s="104">
        <v>391.14725147421063</v>
      </c>
      <c r="X21" s="144">
        <v>0.19406176908914827</v>
      </c>
      <c r="Y21" s="130"/>
      <c r="Z21" s="175">
        <f t="shared" si="1"/>
        <v>31.59999999999991</v>
      </c>
      <c r="AA21" s="176">
        <v>2070.6</v>
      </c>
      <c r="AB21" s="108"/>
      <c r="AC21" s="111"/>
      <c r="AD21" s="111"/>
      <c r="AE21" s="111"/>
      <c r="AF21" s="111">
        <f>SUM(AF10:AF20)</f>
        <v>1190</v>
      </c>
      <c r="AG21" s="111">
        <f>SUM(AF10:AF18)</f>
        <v>1190</v>
      </c>
      <c r="AH21" s="132"/>
      <c r="AI21" s="71"/>
      <c r="AJ21" s="35"/>
      <c r="AK21" s="34"/>
      <c r="AL21" s="35">
        <f t="shared" si="5"/>
        <v>2070.6</v>
      </c>
      <c r="AM21" s="33">
        <v>31</v>
      </c>
      <c r="AN21" s="33">
        <f t="shared" si="2"/>
        <v>2039.6</v>
      </c>
      <c r="AO21" s="33">
        <f t="shared" si="4"/>
        <v>359.5472514742107</v>
      </c>
      <c r="AP21" s="36">
        <f t="shared" si="3"/>
        <v>0.17628321802030336</v>
      </c>
    </row>
    <row r="22" spans="19:42" ht="31.5">
      <c r="S22" s="1"/>
      <c r="T22" s="32">
        <v>7</v>
      </c>
      <c r="U22" s="109" t="s">
        <v>125</v>
      </c>
      <c r="V22" s="174">
        <v>4254</v>
      </c>
      <c r="W22" s="104">
        <v>788.1555179095404</v>
      </c>
      <c r="X22" s="144">
        <v>0.19495632192918128</v>
      </c>
      <c r="Y22" s="130"/>
      <c r="Z22" s="175">
        <f t="shared" si="1"/>
        <v>-16.699999999999818</v>
      </c>
      <c r="AA22" s="176">
        <v>4237.3</v>
      </c>
      <c r="AB22" s="108"/>
      <c r="AC22" s="226" t="s">
        <v>90</v>
      </c>
      <c r="AD22" s="226"/>
      <c r="AE22" s="226"/>
      <c r="AF22" s="226"/>
      <c r="AG22" s="226"/>
      <c r="AH22" s="132"/>
      <c r="AI22" s="71"/>
      <c r="AJ22" s="35"/>
      <c r="AK22" s="34">
        <f>SUM(AK47)</f>
        <v>0</v>
      </c>
      <c r="AL22" s="35">
        <f t="shared" si="5"/>
        <v>4237.3</v>
      </c>
      <c r="AM22" s="33">
        <v>566</v>
      </c>
      <c r="AN22" s="33">
        <f t="shared" si="2"/>
        <v>3671.3</v>
      </c>
      <c r="AO22" s="33">
        <f t="shared" si="4"/>
        <v>804.8555179095403</v>
      </c>
      <c r="AP22" s="36">
        <f t="shared" si="3"/>
        <v>0.21922902457155236</v>
      </c>
    </row>
    <row r="23" spans="19:42" ht="15.75">
      <c r="S23" s="1"/>
      <c r="T23" s="32">
        <v>8</v>
      </c>
      <c r="U23" s="108" t="s">
        <v>127</v>
      </c>
      <c r="V23" s="177">
        <f>9611+955</f>
        <v>10566</v>
      </c>
      <c r="W23" s="104">
        <v>1408.0227543914443</v>
      </c>
      <c r="X23" s="144">
        <v>0.16275125524199474</v>
      </c>
      <c r="Y23" s="130"/>
      <c r="Z23" s="178">
        <f t="shared" si="1"/>
        <v>227.39999999999964</v>
      </c>
      <c r="AA23" s="179">
        <f>9810.1+983.3</f>
        <v>10793.4</v>
      </c>
      <c r="AB23" s="180"/>
      <c r="AC23" s="108"/>
      <c r="AD23" s="108"/>
      <c r="AE23" s="108"/>
      <c r="AF23" s="108"/>
      <c r="AG23" s="132"/>
      <c r="AH23" s="135"/>
      <c r="AI23" s="72"/>
      <c r="AJ23" s="38"/>
      <c r="AK23" s="37">
        <f>SUM(AK48:AK49)</f>
        <v>0</v>
      </c>
      <c r="AL23" s="38">
        <f t="shared" si="5"/>
        <v>10793.4</v>
      </c>
      <c r="AM23" s="39">
        <v>4081</v>
      </c>
      <c r="AN23" s="33">
        <f t="shared" si="2"/>
        <v>6712.4</v>
      </c>
      <c r="AO23" s="33">
        <f t="shared" si="4"/>
        <v>1180.6227543914447</v>
      </c>
      <c r="AP23" s="36">
        <f t="shared" si="3"/>
        <v>0.17588682950828985</v>
      </c>
    </row>
    <row r="24" spans="19:42" ht="15.75">
      <c r="S24" s="1"/>
      <c r="T24" s="238" t="s">
        <v>9</v>
      </c>
      <c r="U24" s="5"/>
      <c r="V24" s="174">
        <f>SUM(V16:V23)</f>
        <v>70434</v>
      </c>
      <c r="W24" s="104">
        <f>SUM(W16:W23)</f>
        <v>15910.000000000005</v>
      </c>
      <c r="X24" s="144">
        <f>+W24/V33</f>
        <v>0.256745416989414</v>
      </c>
      <c r="Y24" s="130"/>
      <c r="Z24" s="175">
        <f t="shared" si="1"/>
        <v>1189.5999999999913</v>
      </c>
      <c r="AA24" s="176">
        <f>SUM(AA16:AA23)</f>
        <v>71623.59999999999</v>
      </c>
      <c r="AB24" s="108"/>
      <c r="AC24" s="108"/>
      <c r="AD24" s="108"/>
      <c r="AE24" s="108"/>
      <c r="AF24" s="108"/>
      <c r="AG24" s="132"/>
      <c r="AH24" s="132"/>
      <c r="AI24" s="71"/>
      <c r="AJ24" s="35"/>
      <c r="AK24" s="34">
        <f>SUM(AK16:AK23)</f>
        <v>0</v>
      </c>
      <c r="AL24" s="35">
        <f>SUM(AL16:AL23)</f>
        <v>71623.59999999999</v>
      </c>
      <c r="AM24" s="33">
        <f>SUM(AM16:AM23)</f>
        <v>22467</v>
      </c>
      <c r="AN24" s="33">
        <f t="shared" si="2"/>
        <v>49156.59999999999</v>
      </c>
      <c r="AO24" s="33">
        <f t="shared" si="4"/>
        <v>14720.400000000014</v>
      </c>
      <c r="AP24" s="40">
        <f t="shared" si="3"/>
        <v>0.2994592791201999</v>
      </c>
    </row>
    <row r="25" spans="19:42" ht="15.75">
      <c r="S25" s="1"/>
      <c r="T25" s="239"/>
      <c r="V25" s="174"/>
      <c r="W25" s="108"/>
      <c r="X25" s="181"/>
      <c r="Y25" s="108"/>
      <c r="Z25" s="175"/>
      <c r="AA25" s="176"/>
      <c r="AB25" s="108"/>
      <c r="AC25" s="131"/>
      <c r="AD25" s="131"/>
      <c r="AE25" s="131"/>
      <c r="AF25" s="131"/>
      <c r="AG25" s="183"/>
      <c r="AH25" s="132"/>
      <c r="AI25" s="71"/>
      <c r="AJ25" s="35"/>
      <c r="AK25" s="34"/>
      <c r="AL25" s="35"/>
      <c r="AM25" s="33"/>
      <c r="AN25" s="33"/>
      <c r="AO25" s="1"/>
      <c r="AP25" s="41"/>
    </row>
    <row r="26" spans="19:42" s="45" customFormat="1" ht="15.75">
      <c r="S26" s="42"/>
      <c r="T26" s="239" t="s">
        <v>0</v>
      </c>
      <c r="U26" s="6"/>
      <c r="V26" s="174">
        <v>15910</v>
      </c>
      <c r="W26" s="108"/>
      <c r="X26" s="181"/>
      <c r="Y26" s="108"/>
      <c r="Z26" s="175">
        <f t="shared" si="1"/>
        <v>-1190</v>
      </c>
      <c r="AA26" s="182">
        <v>14720</v>
      </c>
      <c r="AB26" s="131"/>
      <c r="AC26" s="185"/>
      <c r="AD26" s="185"/>
      <c r="AE26" s="185"/>
      <c r="AF26" s="185"/>
      <c r="AG26" s="189"/>
      <c r="AH26" s="183"/>
      <c r="AI26" s="85"/>
      <c r="AJ26" s="43"/>
      <c r="AK26" s="34">
        <f>-AK24</f>
        <v>0</v>
      </c>
      <c r="AL26" s="43">
        <f>+AA26+AK26</f>
        <v>14720</v>
      </c>
      <c r="AM26" s="43"/>
      <c r="AN26" s="43"/>
      <c r="AO26" s="42"/>
      <c r="AP26" s="44"/>
    </row>
    <row r="27" spans="19:42" ht="15">
      <c r="S27" s="1"/>
      <c r="T27" s="240" t="s">
        <v>8</v>
      </c>
      <c r="U27" s="46"/>
      <c r="V27" s="184">
        <f>+V26/(V24-V31)</f>
        <v>0.2567454169894139</v>
      </c>
      <c r="W27" s="185"/>
      <c r="X27" s="186"/>
      <c r="Y27" s="185"/>
      <c r="Z27" s="187"/>
      <c r="AA27" s="188">
        <f>+AA26/(AA24-AA31)</f>
        <v>0.25469948229561756</v>
      </c>
      <c r="AB27" s="185"/>
      <c r="AC27" s="185"/>
      <c r="AD27" s="185"/>
      <c r="AE27" s="185"/>
      <c r="AF27" s="185"/>
      <c r="AG27" s="189"/>
      <c r="AH27" s="189"/>
      <c r="AI27" s="86"/>
      <c r="AJ27" s="47"/>
      <c r="AK27" s="48"/>
      <c r="AL27" s="49">
        <f>+AL26/(AL24-AL31)</f>
        <v>0.29940850547966386</v>
      </c>
      <c r="AM27" s="47"/>
      <c r="AN27" s="47"/>
      <c r="AO27" s="1"/>
      <c r="AP27" s="41"/>
    </row>
    <row r="28" spans="19:42" ht="15.75">
      <c r="S28" s="1"/>
      <c r="T28" s="240"/>
      <c r="U28" s="46"/>
      <c r="V28" s="184"/>
      <c r="W28" s="185"/>
      <c r="X28" s="186"/>
      <c r="Y28" s="185"/>
      <c r="Z28" s="187"/>
      <c r="AA28" s="188"/>
      <c r="AB28" s="185"/>
      <c r="AC28" s="108"/>
      <c r="AD28" s="108"/>
      <c r="AE28" s="108"/>
      <c r="AF28" s="108"/>
      <c r="AG28" s="132"/>
      <c r="AH28" s="189"/>
      <c r="AI28" s="86"/>
      <c r="AJ28" s="47"/>
      <c r="AK28" s="48"/>
      <c r="AL28" s="47"/>
      <c r="AM28" s="47"/>
      <c r="AN28" s="47"/>
      <c r="AO28" s="1"/>
      <c r="AP28" s="41"/>
    </row>
    <row r="29" spans="19:42" ht="15.75">
      <c r="S29" s="1"/>
      <c r="T29" s="238" t="s">
        <v>6</v>
      </c>
      <c r="U29" s="5"/>
      <c r="V29" s="174">
        <f>SUM(V26,V24)</f>
        <v>86344</v>
      </c>
      <c r="W29" s="108"/>
      <c r="X29" s="181"/>
      <c r="Y29" s="108"/>
      <c r="Z29" s="175"/>
      <c r="AA29" s="176">
        <f>SUM(AA26,AA24)</f>
        <v>86343.59999999999</v>
      </c>
      <c r="AB29" s="108"/>
      <c r="AD29" s="108"/>
      <c r="AE29" s="108"/>
      <c r="AF29" s="108"/>
      <c r="AG29" s="132"/>
      <c r="AH29" s="132"/>
      <c r="AI29" s="71"/>
      <c r="AJ29" s="35"/>
      <c r="AK29" s="34"/>
      <c r="AL29" s="35">
        <f>SUM(AL26,AL24)</f>
        <v>86343.59999999999</v>
      </c>
      <c r="AM29" s="35"/>
      <c r="AN29" s="35"/>
      <c r="AO29" s="1"/>
      <c r="AP29" s="41"/>
    </row>
    <row r="30" spans="19:42" ht="15.75">
      <c r="S30" s="1"/>
      <c r="T30" s="238"/>
      <c r="U30" s="5"/>
      <c r="V30" s="174"/>
      <c r="W30" s="108"/>
      <c r="X30" s="181"/>
      <c r="Y30" s="108"/>
      <c r="Z30" s="175"/>
      <c r="AA30" s="176"/>
      <c r="AB30" s="108"/>
      <c r="AC30" s="245"/>
      <c r="AD30" s="108"/>
      <c r="AE30" s="108"/>
      <c r="AF30" s="108"/>
      <c r="AG30" s="132"/>
      <c r="AH30" s="132"/>
      <c r="AI30" s="71"/>
      <c r="AJ30" s="35"/>
      <c r="AK30" s="34"/>
      <c r="AL30" s="35"/>
      <c r="AM30" s="35"/>
      <c r="AN30" s="35"/>
      <c r="AO30" s="1"/>
      <c r="AP30" s="41"/>
    </row>
    <row r="31" spans="19:42" ht="29.25">
      <c r="S31" s="1"/>
      <c r="T31" s="238" t="s">
        <v>98</v>
      </c>
      <c r="U31" s="5"/>
      <c r="V31" s="174">
        <v>8466</v>
      </c>
      <c r="W31" s="236" t="s">
        <v>99</v>
      </c>
      <c r="X31" s="181"/>
      <c r="Y31" s="108"/>
      <c r="Z31" s="237" t="s">
        <v>100</v>
      </c>
      <c r="AA31" s="176">
        <v>13830</v>
      </c>
      <c r="AB31" s="235" t="s">
        <v>20</v>
      </c>
      <c r="AC31" s="246" t="s">
        <v>20</v>
      </c>
      <c r="AD31" s="108"/>
      <c r="AE31" s="108"/>
      <c r="AF31" s="108"/>
      <c r="AG31" s="132"/>
      <c r="AH31" s="132"/>
      <c r="AI31" s="71"/>
      <c r="AJ31" s="35"/>
      <c r="AK31" s="50"/>
      <c r="AL31" s="35">
        <v>22460</v>
      </c>
      <c r="AM31" s="35"/>
      <c r="AN31" s="35"/>
      <c r="AO31" s="1"/>
      <c r="AP31" s="41"/>
    </row>
    <row r="32" spans="19:42" ht="15.75">
      <c r="S32" s="1"/>
      <c r="T32" s="238"/>
      <c r="U32" s="5"/>
      <c r="V32" s="174"/>
      <c r="W32" s="108"/>
      <c r="X32" s="181"/>
      <c r="Y32" s="108"/>
      <c r="Z32" s="190"/>
      <c r="AA32" s="176"/>
      <c r="AB32" s="108"/>
      <c r="AD32" s="108"/>
      <c r="AE32" s="108"/>
      <c r="AF32" s="108"/>
      <c r="AG32" s="132"/>
      <c r="AH32" s="132"/>
      <c r="AI32" s="71"/>
      <c r="AJ32" s="35"/>
      <c r="AK32" s="50"/>
      <c r="AL32" s="35"/>
      <c r="AM32" s="35"/>
      <c r="AN32" s="35"/>
      <c r="AO32" s="1"/>
      <c r="AP32" s="41"/>
    </row>
    <row r="33" spans="19:42" ht="16.5" thickBot="1">
      <c r="S33" s="1"/>
      <c r="T33" s="238" t="s">
        <v>1</v>
      </c>
      <c r="U33" s="5"/>
      <c r="V33" s="191">
        <f>+V24-V31</f>
        <v>61968</v>
      </c>
      <c r="W33" s="192"/>
      <c r="X33" s="193"/>
      <c r="Y33" s="108"/>
      <c r="Z33" s="194"/>
      <c r="AA33" s="195">
        <f>+AA24-AA31</f>
        <v>57793.59999999999</v>
      </c>
      <c r="AB33" s="108"/>
      <c r="AC33" s="247"/>
      <c r="AD33" s="108"/>
      <c r="AE33" s="108"/>
      <c r="AF33" s="108"/>
      <c r="AG33" s="132"/>
      <c r="AH33" s="132"/>
      <c r="AI33" s="71"/>
      <c r="AJ33" s="35"/>
      <c r="AK33" s="52"/>
      <c r="AL33" s="51">
        <f>+AL24-AL31</f>
        <v>49163.59999999999</v>
      </c>
      <c r="AM33" s="51"/>
      <c r="AN33" s="51"/>
      <c r="AO33" s="53"/>
      <c r="AP33" s="54"/>
    </row>
    <row r="34" spans="19:42" ht="15.75">
      <c r="S34" s="1"/>
      <c r="T34" s="5"/>
      <c r="U34" s="5"/>
      <c r="V34" s="108"/>
      <c r="W34" s="108"/>
      <c r="X34" s="108"/>
      <c r="Y34" s="108"/>
      <c r="Z34" s="108"/>
      <c r="AA34" s="108"/>
      <c r="AB34" s="108"/>
      <c r="AD34" s="108"/>
      <c r="AE34" s="108"/>
      <c r="AF34" s="108"/>
      <c r="AG34" s="132"/>
      <c r="AH34" s="132"/>
      <c r="AI34" s="71"/>
      <c r="AJ34" s="35"/>
      <c r="AK34" s="33"/>
      <c r="AL34" s="35"/>
      <c r="AM34" s="35"/>
      <c r="AN34" s="35"/>
      <c r="AO34" s="1"/>
      <c r="AP34" s="1"/>
    </row>
    <row r="35" spans="19:42" ht="15.75">
      <c r="S35" s="1"/>
      <c r="T35" s="5"/>
      <c r="U35" s="5"/>
      <c r="V35" s="92"/>
      <c r="W35" s="92"/>
      <c r="X35" s="92"/>
      <c r="Y35" s="92"/>
      <c r="Z35" s="92"/>
      <c r="AA35" s="92"/>
      <c r="AB35" s="108"/>
      <c r="AC35" s="248"/>
      <c r="AD35" s="108"/>
      <c r="AE35" s="108"/>
      <c r="AF35" s="108"/>
      <c r="AG35" s="132"/>
      <c r="AH35" s="132"/>
      <c r="AI35" s="71"/>
      <c r="AJ35" s="35"/>
      <c r="AK35" s="33"/>
      <c r="AL35" s="35"/>
      <c r="AM35" s="35"/>
      <c r="AN35" s="35"/>
      <c r="AO35" s="1"/>
      <c r="AP35" s="1"/>
    </row>
    <row r="36" spans="19:42" ht="15.75">
      <c r="S36" s="1"/>
      <c r="T36" s="55">
        <v>5</v>
      </c>
      <c r="U36" s="55"/>
      <c r="V36" s="92"/>
      <c r="W36" s="92"/>
      <c r="X36" s="92"/>
      <c r="Y36" s="92"/>
      <c r="Z36" s="92"/>
      <c r="AA36" s="92"/>
      <c r="AB36" s="92"/>
      <c r="AC36" s="247"/>
      <c r="AD36" s="109"/>
      <c r="AE36" s="109"/>
      <c r="AF36" s="109"/>
      <c r="AG36" s="196"/>
      <c r="AH36" s="132"/>
      <c r="AI36" s="70"/>
      <c r="AJ36" s="35"/>
      <c r="AM36" s="33"/>
      <c r="AN36" s="33"/>
      <c r="AO36" s="1"/>
      <c r="AP36" s="1"/>
    </row>
    <row r="37" spans="20:40" ht="78.75">
      <c r="T37" s="57">
        <v>6</v>
      </c>
      <c r="U37" s="57"/>
      <c r="V37" s="92"/>
      <c r="W37" s="92"/>
      <c r="X37" s="92"/>
      <c r="Y37" s="92"/>
      <c r="Z37" s="92"/>
      <c r="AA37" s="92"/>
      <c r="AB37" s="92"/>
      <c r="AC37" s="244" t="s">
        <v>110</v>
      </c>
      <c r="AD37" s="109" t="s">
        <v>111</v>
      </c>
      <c r="AE37" s="109"/>
      <c r="AF37" s="109"/>
      <c r="AG37" s="196"/>
      <c r="AH37" s="196"/>
      <c r="AI37" s="87"/>
      <c r="AJ37" s="58"/>
      <c r="AK37" s="60" t="s">
        <v>37</v>
      </c>
      <c r="AL37" s="59" t="s">
        <v>27</v>
      </c>
      <c r="AM37" s="59"/>
      <c r="AN37" s="59"/>
    </row>
    <row r="38" spans="19:42" ht="45.75">
      <c r="S38" s="1"/>
      <c r="T38" s="57">
        <v>6</v>
      </c>
      <c r="U38" s="57"/>
      <c r="V38" s="92"/>
      <c r="W38" s="92"/>
      <c r="X38" s="92"/>
      <c r="Y38" s="92"/>
      <c r="Z38" s="92"/>
      <c r="AA38" s="92"/>
      <c r="AB38" s="92"/>
      <c r="AC38" s="244" t="s">
        <v>112</v>
      </c>
      <c r="AD38" s="59" t="s">
        <v>113</v>
      </c>
      <c r="AE38" s="59"/>
      <c r="AF38" s="59"/>
      <c r="AG38" s="87"/>
      <c r="AH38" s="196"/>
      <c r="AI38" s="87"/>
      <c r="AJ38" s="35"/>
      <c r="AK38" s="56" t="s">
        <v>38</v>
      </c>
      <c r="AL38" s="33" t="s">
        <v>28</v>
      </c>
      <c r="AM38" s="33"/>
      <c r="AN38" s="33"/>
      <c r="AO38" s="1"/>
      <c r="AP38" s="1"/>
    </row>
    <row r="39" spans="20:45" ht="45.75">
      <c r="T39" s="57">
        <v>6</v>
      </c>
      <c r="U39" s="57"/>
      <c r="AB39" s="4"/>
      <c r="AC39" s="244" t="s">
        <v>114</v>
      </c>
      <c r="AD39" s="33" t="s">
        <v>115</v>
      </c>
      <c r="AE39" s="33"/>
      <c r="AF39" s="33"/>
      <c r="AG39" s="70"/>
      <c r="AH39" s="87"/>
      <c r="AI39" s="87"/>
      <c r="AJ39" s="58"/>
      <c r="AK39" s="61" t="s">
        <v>39</v>
      </c>
      <c r="AL39" s="59" t="s">
        <v>25</v>
      </c>
      <c r="AM39" s="62" t="s">
        <v>34</v>
      </c>
      <c r="AN39" s="63"/>
      <c r="AO39" s="64"/>
      <c r="AP39" s="64"/>
      <c r="AQ39" s="64"/>
      <c r="AR39" s="64"/>
      <c r="AS39" s="64"/>
    </row>
    <row r="40" spans="19:42" ht="45.75">
      <c r="S40" s="1"/>
      <c r="T40" s="57">
        <v>6</v>
      </c>
      <c r="U40" s="57"/>
      <c r="AB40" s="4"/>
      <c r="AC40" s="244" t="s">
        <v>116</v>
      </c>
      <c r="AD40" s="33" t="s">
        <v>117</v>
      </c>
      <c r="AE40" s="33"/>
      <c r="AF40" s="33"/>
      <c r="AG40" s="70"/>
      <c r="AH40" s="70"/>
      <c r="AI40" s="70"/>
      <c r="AJ40" s="35"/>
      <c r="AK40" s="56" t="s">
        <v>40</v>
      </c>
      <c r="AL40" s="33" t="s">
        <v>29</v>
      </c>
      <c r="AM40" s="33"/>
      <c r="AN40" s="33"/>
      <c r="AO40" s="1"/>
      <c r="AP40" s="1"/>
    </row>
    <row r="41" spans="20:40" ht="30.75">
      <c r="T41" s="57">
        <v>6</v>
      </c>
      <c r="U41" s="57"/>
      <c r="AB41" s="4"/>
      <c r="AC41" s="244" t="s">
        <v>118</v>
      </c>
      <c r="AD41" s="59" t="s">
        <v>119</v>
      </c>
      <c r="AE41" s="59"/>
      <c r="AF41" s="59"/>
      <c r="AG41" s="87"/>
      <c r="AH41" s="70"/>
      <c r="AI41" s="70"/>
      <c r="AJ41" s="58"/>
      <c r="AM41" s="59"/>
      <c r="AN41" s="59"/>
    </row>
    <row r="42" spans="20:40" ht="60.75">
      <c r="T42" s="55">
        <v>5</v>
      </c>
      <c r="U42" s="55"/>
      <c r="AB42" s="4"/>
      <c r="AC42" s="244" t="s">
        <v>120</v>
      </c>
      <c r="AD42" s="59" t="s">
        <v>121</v>
      </c>
      <c r="AE42" s="59"/>
      <c r="AF42" s="59"/>
      <c r="AG42" s="87"/>
      <c r="AH42" s="87"/>
      <c r="AI42" s="87"/>
      <c r="AJ42" s="58"/>
      <c r="AK42" s="65" t="s">
        <v>41</v>
      </c>
      <c r="AL42" s="59" t="s">
        <v>31</v>
      </c>
      <c r="AM42" s="59"/>
      <c r="AN42" s="59"/>
    </row>
    <row r="43" spans="20:40" ht="47.25">
      <c r="T43" s="57">
        <v>6</v>
      </c>
      <c r="U43" s="57"/>
      <c r="AB43" s="4"/>
      <c r="AC43" s="244" t="s">
        <v>122</v>
      </c>
      <c r="AD43" s="33" t="s">
        <v>123</v>
      </c>
      <c r="AE43" s="33"/>
      <c r="AF43" s="33"/>
      <c r="AG43" s="70"/>
      <c r="AH43" s="87"/>
      <c r="AI43" s="87"/>
      <c r="AJ43" s="58"/>
      <c r="AK43" s="61" t="s">
        <v>38</v>
      </c>
      <c r="AL43" s="59" t="s">
        <v>24</v>
      </c>
      <c r="AM43" s="59"/>
      <c r="AN43" s="59"/>
    </row>
    <row r="44" spans="19:42" ht="60.75">
      <c r="S44" s="1"/>
      <c r="T44" s="55">
        <v>5</v>
      </c>
      <c r="U44" s="55"/>
      <c r="AB44" s="4"/>
      <c r="AC44" s="247"/>
      <c r="AD44" s="33"/>
      <c r="AE44" s="33"/>
      <c r="AF44" s="33"/>
      <c r="AG44" s="70"/>
      <c r="AH44" s="70"/>
      <c r="AI44" s="70"/>
      <c r="AJ44" s="35"/>
      <c r="AK44" s="66" t="s">
        <v>41</v>
      </c>
      <c r="AL44" s="59" t="s">
        <v>36</v>
      </c>
      <c r="AM44" s="33"/>
      <c r="AN44" s="33"/>
      <c r="AO44" s="1"/>
      <c r="AP44" s="1"/>
    </row>
    <row r="45" spans="20:40" ht="30.75">
      <c r="T45" s="55">
        <v>5</v>
      </c>
      <c r="U45" s="55"/>
      <c r="AB45" s="4"/>
      <c r="AD45" s="59"/>
      <c r="AE45" s="59"/>
      <c r="AF45" s="59"/>
      <c r="AG45" s="87"/>
      <c r="AH45" s="70"/>
      <c r="AI45" s="70"/>
      <c r="AJ45" s="58"/>
      <c r="AK45" s="56" t="s">
        <v>15</v>
      </c>
      <c r="AL45" s="33" t="s">
        <v>14</v>
      </c>
      <c r="AM45" s="59"/>
      <c r="AN45" s="59"/>
    </row>
    <row r="46" spans="19:42" ht="30.75">
      <c r="S46" s="1"/>
      <c r="T46" s="55">
        <v>5</v>
      </c>
      <c r="U46" s="55"/>
      <c r="AB46" s="4"/>
      <c r="AC46" s="247"/>
      <c r="AD46" s="33"/>
      <c r="AE46" s="33"/>
      <c r="AF46" s="33"/>
      <c r="AG46" s="70"/>
      <c r="AH46" s="87"/>
      <c r="AI46" s="87"/>
      <c r="AJ46" s="35"/>
      <c r="AK46" s="60">
        <v>0</v>
      </c>
      <c r="AL46" s="59" t="s">
        <v>13</v>
      </c>
      <c r="AM46" s="33"/>
      <c r="AN46" s="33"/>
      <c r="AO46" s="1"/>
      <c r="AP46" s="1"/>
    </row>
    <row r="47" spans="19:42" ht="30.75">
      <c r="S47" s="1"/>
      <c r="T47" s="5"/>
      <c r="U47" s="5"/>
      <c r="V47" s="35"/>
      <c r="W47" s="4"/>
      <c r="X47" s="33"/>
      <c r="Y47" s="67"/>
      <c r="Z47" s="33">
        <f>SUM(AF10:AF19)</f>
        <v>1190</v>
      </c>
      <c r="AB47" s="4"/>
      <c r="AC47" s="247"/>
      <c r="AD47" s="33"/>
      <c r="AE47" s="33"/>
      <c r="AF47" s="33"/>
      <c r="AG47" s="70"/>
      <c r="AH47" s="70"/>
      <c r="AI47" s="70"/>
      <c r="AJ47" s="35"/>
      <c r="AK47" s="56" t="s">
        <v>39</v>
      </c>
      <c r="AL47" s="33" t="s">
        <v>10</v>
      </c>
      <c r="AM47" s="33"/>
      <c r="AN47" s="33"/>
      <c r="AO47" s="1"/>
      <c r="AP47" s="1"/>
    </row>
    <row r="48" spans="19:42" ht="45.75">
      <c r="S48" s="1"/>
      <c r="T48" s="5"/>
      <c r="U48" s="5"/>
      <c r="V48" s="35"/>
      <c r="W48" s="35"/>
      <c r="X48" s="35"/>
      <c r="Y48" s="67"/>
      <c r="Z48" s="33"/>
      <c r="AA48" s="33"/>
      <c r="AB48" s="33"/>
      <c r="AC48" s="247"/>
      <c r="AD48" s="59"/>
      <c r="AE48" s="59"/>
      <c r="AF48" s="59"/>
      <c r="AG48" s="87"/>
      <c r="AH48" s="70"/>
      <c r="AI48" s="70"/>
      <c r="AJ48" s="35"/>
      <c r="AK48" s="56" t="s">
        <v>42</v>
      </c>
      <c r="AL48" s="33" t="s">
        <v>11</v>
      </c>
      <c r="AM48" s="33"/>
      <c r="AN48" s="33"/>
      <c r="AO48" s="1"/>
      <c r="AP48" s="1"/>
    </row>
    <row r="49" spans="10:40" ht="46.5">
      <c r="J49" s="105" t="s">
        <v>21</v>
      </c>
      <c r="K49" s="105"/>
      <c r="L49" s="106"/>
      <c r="M49" s="106"/>
      <c r="N49" s="106"/>
      <c r="O49" s="107"/>
      <c r="P49" s="108"/>
      <c r="Q49" s="108"/>
      <c r="R49" s="108"/>
      <c r="S49" s="109"/>
      <c r="T49" s="92"/>
      <c r="U49" s="92"/>
      <c r="AC49" s="249"/>
      <c r="AD49" s="58"/>
      <c r="AE49" s="58"/>
      <c r="AF49" s="58"/>
      <c r="AG49" s="88"/>
      <c r="AH49" s="87"/>
      <c r="AI49" s="87"/>
      <c r="AJ49" s="58"/>
      <c r="AK49" s="56" t="s">
        <v>40</v>
      </c>
      <c r="AL49" s="33" t="s">
        <v>12</v>
      </c>
      <c r="AM49" s="59"/>
      <c r="AN49" s="59"/>
    </row>
    <row r="50" spans="10:40" ht="23.25">
      <c r="J50" s="92"/>
      <c r="K50" s="92"/>
      <c r="L50" s="79" t="s">
        <v>74</v>
      </c>
      <c r="M50" s="106"/>
      <c r="N50" s="106"/>
      <c r="O50" s="110"/>
      <c r="P50" s="111"/>
      <c r="Q50" s="111"/>
      <c r="R50" s="111"/>
      <c r="S50" s="109"/>
      <c r="T50" s="92"/>
      <c r="U50" s="92"/>
      <c r="AD50" s="58"/>
      <c r="AE50" s="58"/>
      <c r="AF50" s="58"/>
      <c r="AG50" s="88"/>
      <c r="AH50" s="88"/>
      <c r="AI50" s="88"/>
      <c r="AJ50" s="58"/>
      <c r="AK50" s="60"/>
      <c r="AL50" s="59"/>
      <c r="AM50" s="59"/>
      <c r="AN50" s="59"/>
    </row>
    <row r="51" spans="10:40" ht="16.5" thickBot="1">
      <c r="J51" s="92"/>
      <c r="K51" s="92"/>
      <c r="L51" s="92"/>
      <c r="M51" s="92"/>
      <c r="N51" s="112"/>
      <c r="O51" s="112" t="s">
        <v>20</v>
      </c>
      <c r="P51" s="113"/>
      <c r="Q51" s="114"/>
      <c r="R51" s="108"/>
      <c r="S51" s="109"/>
      <c r="T51" s="92"/>
      <c r="U51" s="92"/>
      <c r="AD51" s="58"/>
      <c r="AE51" s="58"/>
      <c r="AF51" s="58"/>
      <c r="AG51" s="88"/>
      <c r="AH51" s="88"/>
      <c r="AI51" s="88"/>
      <c r="AJ51" s="58"/>
      <c r="AK51" s="59">
        <f>SUM(AK36:AK50)</f>
        <v>0</v>
      </c>
      <c r="AL51" s="59"/>
      <c r="AM51" s="59"/>
      <c r="AN51" s="59"/>
    </row>
    <row r="52" spans="10:40" ht="32.25" thickBot="1">
      <c r="J52" s="125"/>
      <c r="K52" s="92"/>
      <c r="L52" s="253" t="s">
        <v>59</v>
      </c>
      <c r="M52" s="115"/>
      <c r="N52" s="115"/>
      <c r="O52" s="112" t="s">
        <v>20</v>
      </c>
      <c r="P52" s="92"/>
      <c r="Q52" s="92"/>
      <c r="R52" s="92"/>
      <c r="S52" s="92"/>
      <c r="T52" s="92"/>
      <c r="U52" s="92"/>
      <c r="AD52" s="58"/>
      <c r="AE52" s="58"/>
      <c r="AF52" s="58"/>
      <c r="AG52" s="88"/>
      <c r="AH52" s="88"/>
      <c r="AI52" s="88"/>
      <c r="AJ52" s="58"/>
      <c r="AK52" s="59"/>
      <c r="AL52" s="59"/>
      <c r="AM52" s="59"/>
      <c r="AN52" s="59"/>
    </row>
    <row r="53" spans="10:40" ht="16.5" thickBot="1">
      <c r="J53" s="125" t="s">
        <v>5</v>
      </c>
      <c r="K53" s="92"/>
      <c r="L53" s="116" t="s">
        <v>44</v>
      </c>
      <c r="M53" s="116" t="s">
        <v>130</v>
      </c>
      <c r="N53" s="116" t="s">
        <v>3</v>
      </c>
      <c r="O53" s="113" t="s">
        <v>20</v>
      </c>
      <c r="P53" s="73" t="s">
        <v>60</v>
      </c>
      <c r="Q53" s="92"/>
      <c r="R53" s="92"/>
      <c r="S53" s="92"/>
      <c r="T53" s="92"/>
      <c r="U53" s="92"/>
      <c r="AD53" s="68"/>
      <c r="AE53" s="68"/>
      <c r="AF53" s="68"/>
      <c r="AG53" s="89"/>
      <c r="AH53" s="88"/>
      <c r="AI53" s="88"/>
      <c r="AJ53" s="58"/>
      <c r="AK53" s="59"/>
      <c r="AL53" s="59"/>
      <c r="AM53" s="59"/>
      <c r="AN53" s="59"/>
    </row>
    <row r="54" spans="10:40" ht="15.75">
      <c r="J54" s="272">
        <v>11</v>
      </c>
      <c r="K54" s="273" t="s">
        <v>101</v>
      </c>
      <c r="L54" s="277">
        <v>7.6</v>
      </c>
      <c r="M54" s="119"/>
      <c r="N54" s="277">
        <f>+M54+L54</f>
        <v>7.6</v>
      </c>
      <c r="O54" s="120" t="s">
        <v>20</v>
      </c>
      <c r="P54" s="92"/>
      <c r="Q54" s="92"/>
      <c r="R54" s="92"/>
      <c r="S54" s="92"/>
      <c r="T54" s="92"/>
      <c r="U54" s="92"/>
      <c r="AH54" s="89"/>
      <c r="AI54" s="89"/>
      <c r="AJ54" s="68"/>
      <c r="AK54" s="59"/>
      <c r="AL54" s="59"/>
      <c r="AM54" s="68"/>
      <c r="AN54" s="68"/>
    </row>
    <row r="55" spans="10:38" ht="15.75">
      <c r="J55" s="274">
        <v>12</v>
      </c>
      <c r="K55" s="275" t="s">
        <v>107</v>
      </c>
      <c r="L55" s="277">
        <v>6900</v>
      </c>
      <c r="M55" s="118">
        <f>SUM(S55)</f>
        <v>300</v>
      </c>
      <c r="N55" s="277">
        <f>+M55+L55</f>
        <v>7200</v>
      </c>
      <c r="O55" s="122" t="s">
        <v>20</v>
      </c>
      <c r="P55" s="101" t="s">
        <v>26</v>
      </c>
      <c r="Q55" s="91"/>
      <c r="R55" s="92"/>
      <c r="S55" s="123">
        <v>300</v>
      </c>
      <c r="T55" s="92"/>
      <c r="U55" s="92"/>
      <c r="AK55" s="69"/>
      <c r="AL55" s="68"/>
    </row>
    <row r="56" spans="10:21" ht="15.75">
      <c r="J56" s="274">
        <v>13</v>
      </c>
      <c r="K56" s="275" t="s">
        <v>102</v>
      </c>
      <c r="L56" s="277">
        <f>4211+10</f>
        <v>4221</v>
      </c>
      <c r="M56" s="118"/>
      <c r="N56" s="277">
        <f aca="true" t="shared" si="6" ref="N56:N62">+M56+L56</f>
        <v>4221</v>
      </c>
      <c r="O56" s="122"/>
      <c r="P56" s="92"/>
      <c r="Q56" s="92"/>
      <c r="R56" s="92"/>
      <c r="S56" s="92"/>
      <c r="T56" s="92"/>
      <c r="U56" s="92"/>
    </row>
    <row r="57" spans="10:21" ht="15.75">
      <c r="J57" s="274">
        <v>14</v>
      </c>
      <c r="K57" s="275" t="s">
        <v>103</v>
      </c>
      <c r="L57" s="277">
        <f>20505-10</f>
        <v>20495</v>
      </c>
      <c r="M57" s="118">
        <f>SUM(S57:S59)</f>
        <v>490</v>
      </c>
      <c r="N57" s="277">
        <f t="shared" si="6"/>
        <v>20985</v>
      </c>
      <c r="O57" s="122"/>
      <c r="P57" s="103" t="s">
        <v>30</v>
      </c>
      <c r="Q57" s="91"/>
      <c r="R57" s="92"/>
      <c r="S57" s="124">
        <v>498</v>
      </c>
      <c r="T57" s="92"/>
      <c r="U57" s="92"/>
    </row>
    <row r="58" spans="10:21" ht="15.75">
      <c r="J58" s="274">
        <v>15</v>
      </c>
      <c r="K58" s="275" t="s">
        <v>104</v>
      </c>
      <c r="L58" s="277">
        <v>1436</v>
      </c>
      <c r="M58" s="118"/>
      <c r="N58" s="277">
        <f t="shared" si="6"/>
        <v>1436</v>
      </c>
      <c r="O58" s="122"/>
      <c r="P58" s="103" t="s">
        <v>88</v>
      </c>
      <c r="Q58" s="92"/>
      <c r="R58" s="92"/>
      <c r="S58" s="124">
        <v>257</v>
      </c>
      <c r="T58" s="92"/>
      <c r="U58" s="92"/>
    </row>
    <row r="59" spans="10:21" ht="15.75">
      <c r="J59" s="274">
        <v>16</v>
      </c>
      <c r="K59" s="275" t="s">
        <v>105</v>
      </c>
      <c r="L59" s="277">
        <v>1037</v>
      </c>
      <c r="M59" s="118"/>
      <c r="N59" s="277">
        <f t="shared" si="6"/>
        <v>1037</v>
      </c>
      <c r="O59" s="122"/>
      <c r="P59" s="91" t="s">
        <v>95</v>
      </c>
      <c r="Q59" s="92"/>
      <c r="R59" s="92"/>
      <c r="S59" s="221">
        <v>-265</v>
      </c>
      <c r="T59" s="92"/>
      <c r="U59" s="92"/>
    </row>
    <row r="60" spans="10:21" ht="15.75">
      <c r="J60" s="274">
        <v>17</v>
      </c>
      <c r="K60" s="275" t="s">
        <v>108</v>
      </c>
      <c r="L60" s="277">
        <v>1300</v>
      </c>
      <c r="M60" s="118"/>
      <c r="N60" s="277">
        <f t="shared" si="6"/>
        <v>1300</v>
      </c>
      <c r="O60" s="122"/>
      <c r="T60" s="92"/>
      <c r="U60" s="92"/>
    </row>
    <row r="61" spans="10:21" ht="15.75">
      <c r="J61" s="274">
        <v>18</v>
      </c>
      <c r="K61" s="275" t="s">
        <v>106</v>
      </c>
      <c r="L61" s="277">
        <v>5164</v>
      </c>
      <c r="M61" s="139">
        <f>SUM(S61)</f>
        <v>-160</v>
      </c>
      <c r="N61" s="277">
        <f t="shared" si="6"/>
        <v>5004</v>
      </c>
      <c r="O61" s="122"/>
      <c r="P61" s="125" t="s">
        <v>131</v>
      </c>
      <c r="Q61" s="92"/>
      <c r="R61" s="92"/>
      <c r="S61" s="221">
        <v>-160</v>
      </c>
      <c r="T61" s="92"/>
      <c r="U61" s="92"/>
    </row>
    <row r="62" spans="10:21" ht="15.75">
      <c r="J62" s="274">
        <v>19</v>
      </c>
      <c r="K62" s="276" t="s">
        <v>124</v>
      </c>
      <c r="L62" s="278">
        <v>2665</v>
      </c>
      <c r="M62" s="126"/>
      <c r="N62" s="278">
        <f t="shared" si="6"/>
        <v>2665</v>
      </c>
      <c r="O62" s="122"/>
      <c r="T62" s="92"/>
      <c r="U62" s="92"/>
    </row>
    <row r="63" spans="10:21" ht="15.75">
      <c r="J63" s="250">
        <v>1</v>
      </c>
      <c r="K63" s="242" t="s">
        <v>109</v>
      </c>
      <c r="L63" s="118">
        <f>SUM(L54:L62)</f>
        <v>43225.6</v>
      </c>
      <c r="M63" s="118"/>
      <c r="N63" s="127">
        <f>SUM(N54:N62)</f>
        <v>43855.6</v>
      </c>
      <c r="P63" s="101"/>
      <c r="Q63" s="92"/>
      <c r="R63" s="92"/>
      <c r="S63" s="124"/>
      <c r="T63" s="92"/>
      <c r="U63" s="92"/>
    </row>
    <row r="64" spans="10:21" ht="15.75">
      <c r="J64" s="250">
        <v>2</v>
      </c>
      <c r="K64" s="109" t="s">
        <v>126</v>
      </c>
      <c r="L64" s="118">
        <v>1693</v>
      </c>
      <c r="M64" s="118"/>
      <c r="N64" s="127">
        <f aca="true" t="shared" si="7" ref="N64:N70">+M64+L64</f>
        <v>1693</v>
      </c>
      <c r="P64" s="101" t="s">
        <v>137</v>
      </c>
      <c r="Q64" s="92"/>
      <c r="R64" s="92"/>
      <c r="S64" s="222">
        <v>80</v>
      </c>
      <c r="T64" s="92"/>
      <c r="U64" s="92"/>
    </row>
    <row r="65" spans="10:21" ht="15.75">
      <c r="J65" s="250">
        <v>3</v>
      </c>
      <c r="K65" s="109" t="s">
        <v>113</v>
      </c>
      <c r="L65" s="118">
        <v>1693</v>
      </c>
      <c r="M65" s="118"/>
      <c r="N65" s="127">
        <f t="shared" si="7"/>
        <v>1693</v>
      </c>
      <c r="P65" s="92"/>
      <c r="Q65" s="92"/>
      <c r="R65" s="92"/>
      <c r="S65" s="124">
        <f>SUM(S55:S64)</f>
        <v>710</v>
      </c>
      <c r="T65" s="92"/>
      <c r="U65" s="92"/>
    </row>
    <row r="66" spans="10:21" ht="15.75">
      <c r="J66" s="251">
        <v>4</v>
      </c>
      <c r="K66" s="108" t="s">
        <v>115</v>
      </c>
      <c r="L66" s="129">
        <v>5331</v>
      </c>
      <c r="M66" s="129"/>
      <c r="N66" s="127">
        <f t="shared" si="7"/>
        <v>5331</v>
      </c>
      <c r="O66" s="130"/>
      <c r="T66" s="92"/>
      <c r="U66" s="92"/>
    </row>
    <row r="67" spans="10:21" ht="15.75">
      <c r="J67" s="251">
        <v>5</v>
      </c>
      <c r="K67" s="108" t="s">
        <v>117</v>
      </c>
      <c r="L67" s="129">
        <v>2579.7</v>
      </c>
      <c r="M67" s="129"/>
      <c r="N67" s="127">
        <f t="shared" si="7"/>
        <v>2579.7</v>
      </c>
      <c r="O67" s="130"/>
      <c r="P67" s="92"/>
      <c r="Q67" s="92"/>
      <c r="R67" s="92"/>
      <c r="S67" s="92"/>
      <c r="T67" s="92"/>
      <c r="U67" s="92"/>
    </row>
    <row r="68" spans="10:21" ht="15.75">
      <c r="J68" s="251">
        <v>6</v>
      </c>
      <c r="K68" s="109" t="s">
        <v>119</v>
      </c>
      <c r="L68" s="129">
        <v>2070.6</v>
      </c>
      <c r="M68" s="129"/>
      <c r="N68" s="127">
        <f t="shared" si="7"/>
        <v>2070.6</v>
      </c>
      <c r="O68" s="130"/>
      <c r="Q68" s="92"/>
      <c r="R68" s="92"/>
      <c r="S68" s="92"/>
      <c r="T68" s="92"/>
      <c r="U68" s="228" t="s">
        <v>91</v>
      </c>
    </row>
    <row r="69" spans="10:21" ht="16.5" customHeight="1">
      <c r="J69" s="251">
        <v>7</v>
      </c>
      <c r="K69" s="109" t="s">
        <v>125</v>
      </c>
      <c r="L69" s="129">
        <v>4237.3</v>
      </c>
      <c r="M69" s="129"/>
      <c r="N69" s="127">
        <f t="shared" si="7"/>
        <v>4237.3</v>
      </c>
      <c r="O69" s="130"/>
      <c r="Q69" s="96"/>
      <c r="R69" s="96"/>
      <c r="S69" s="96"/>
      <c r="T69" s="92"/>
      <c r="U69" s="229" t="s">
        <v>93</v>
      </c>
    </row>
    <row r="70" spans="10:21" ht="15" customHeight="1">
      <c r="J70" s="251">
        <v>8</v>
      </c>
      <c r="K70" s="108" t="s">
        <v>127</v>
      </c>
      <c r="L70" s="133">
        <f>9810.1+983.3</f>
        <v>10793.4</v>
      </c>
      <c r="M70" s="133">
        <f>SUM(S63:S64)</f>
        <v>80</v>
      </c>
      <c r="N70" s="134">
        <f t="shared" si="7"/>
        <v>10873.4</v>
      </c>
      <c r="O70" s="130"/>
      <c r="Q70" s="96"/>
      <c r="R70" s="96"/>
      <c r="S70" s="96"/>
      <c r="T70" s="92"/>
      <c r="U70" s="229" t="s">
        <v>94</v>
      </c>
    </row>
    <row r="71" spans="10:21" ht="16.5" thickBot="1">
      <c r="J71" s="251" t="s">
        <v>9</v>
      </c>
      <c r="K71" s="113"/>
      <c r="L71" s="136">
        <f>SUM(L63:L70)</f>
        <v>71623.59999999999</v>
      </c>
      <c r="M71" s="136">
        <f>SUM(M54:M70)</f>
        <v>710</v>
      </c>
      <c r="N71" s="137">
        <f>SUM(N63:N70)</f>
        <v>72333.59999999999</v>
      </c>
      <c r="O71" s="130"/>
      <c r="T71" s="92"/>
      <c r="U71" s="92"/>
    </row>
    <row r="72" spans="10:21" ht="15.75">
      <c r="J72" s="125"/>
      <c r="K72" s="92"/>
      <c r="L72" s="132"/>
      <c r="M72" s="108"/>
      <c r="N72" s="108"/>
      <c r="O72" s="108"/>
      <c r="P72" s="131"/>
      <c r="Q72" s="132"/>
      <c r="R72" s="113"/>
      <c r="S72" s="92"/>
      <c r="T72" s="92"/>
      <c r="U72" s="92"/>
    </row>
    <row r="73" spans="10:21" ht="15.75">
      <c r="J73" s="251" t="s">
        <v>0</v>
      </c>
      <c r="K73" s="153"/>
      <c r="L73" s="132">
        <v>14720</v>
      </c>
      <c r="M73" s="109">
        <f>-M71</f>
        <v>-710</v>
      </c>
      <c r="N73" s="109">
        <f>SUM(L73:M73)</f>
        <v>14010</v>
      </c>
      <c r="O73" s="92"/>
      <c r="Q73" s="64"/>
      <c r="R73" s="125"/>
      <c r="S73" s="125"/>
      <c r="T73" s="92"/>
      <c r="U73" s="92"/>
    </row>
    <row r="74" spans="10:21" ht="15.75">
      <c r="J74" s="125" t="s">
        <v>129</v>
      </c>
      <c r="K74" s="125"/>
      <c r="N74" s="223">
        <v>15338</v>
      </c>
      <c r="O74" s="92"/>
      <c r="Q74" s="111"/>
      <c r="R74" s="227"/>
      <c r="S74" s="227"/>
      <c r="T74" s="92"/>
      <c r="U74" s="92"/>
    </row>
    <row r="75" spans="10:21" ht="15.75">
      <c r="J75" s="125" t="s">
        <v>1</v>
      </c>
      <c r="K75" s="202"/>
      <c r="L75" s="92"/>
      <c r="M75" s="92"/>
      <c r="N75" s="109">
        <f>+N71-N74</f>
        <v>56995.59999999999</v>
      </c>
      <c r="O75" s="92"/>
      <c r="P75" s="92"/>
      <c r="Q75" s="109"/>
      <c r="R75" s="92"/>
      <c r="S75" s="92"/>
      <c r="T75" s="92"/>
      <c r="U75" s="92"/>
    </row>
    <row r="76" spans="10:25" ht="15.75">
      <c r="J76" s="64"/>
      <c r="K76" s="231"/>
      <c r="T76" s="57"/>
      <c r="U76" s="57"/>
      <c r="Y76" s="4"/>
    </row>
    <row r="77" spans="10:32" ht="15.75">
      <c r="J77" s="252" t="s">
        <v>63</v>
      </c>
      <c r="K77" s="232"/>
      <c r="L77" s="92"/>
      <c r="M77" s="92"/>
      <c r="N77" s="138">
        <f>+N73/N75</f>
        <v>0.24580844837145327</v>
      </c>
      <c r="T77" s="57"/>
      <c r="U77" s="57"/>
      <c r="Y77" s="4"/>
      <c r="AF77" s="74"/>
    </row>
    <row r="78" spans="31:33" ht="15.75">
      <c r="AE78" s="74"/>
      <c r="AF78" s="74"/>
      <c r="AG78" s="90"/>
    </row>
    <row r="79" spans="31:33" ht="15.75">
      <c r="AE79" s="74"/>
      <c r="AF79" s="74"/>
      <c r="AG79" s="90"/>
    </row>
    <row r="80" spans="1:33" ht="20.25">
      <c r="A80" s="95" t="s">
        <v>61</v>
      </c>
      <c r="B80" s="96"/>
      <c r="C80" s="96"/>
      <c r="D80" s="96"/>
      <c r="E80" s="96"/>
      <c r="F80" s="96"/>
      <c r="G80" s="96"/>
      <c r="H80" s="96"/>
      <c r="I80" s="96"/>
      <c r="AE80" s="74"/>
      <c r="AF80" s="74"/>
      <c r="AG80" s="90"/>
    </row>
    <row r="81" spans="1:33" ht="15.75">
      <c r="A81" s="80" t="s">
        <v>62</v>
      </c>
      <c r="B81" s="97"/>
      <c r="C81" s="96"/>
      <c r="D81" s="98"/>
      <c r="E81" s="97"/>
      <c r="F81" s="97"/>
      <c r="G81" s="97"/>
      <c r="H81" s="97"/>
      <c r="I81" s="97"/>
      <c r="AE81" s="74"/>
      <c r="AF81" s="74"/>
      <c r="AG81" s="90"/>
    </row>
    <row r="82" spans="1:33" ht="15.75">
      <c r="A82" s="80"/>
      <c r="B82" s="97"/>
      <c r="C82" s="96"/>
      <c r="D82" s="98"/>
      <c r="E82" s="97"/>
      <c r="F82" s="97"/>
      <c r="G82" s="206"/>
      <c r="H82" s="206"/>
      <c r="AE82" s="74"/>
      <c r="AF82" s="74"/>
      <c r="AG82" s="90"/>
    </row>
    <row r="83" spans="2:33" ht="30.75">
      <c r="B83" s="6"/>
      <c r="D83" s="209"/>
      <c r="E83" s="210" t="s">
        <v>67</v>
      </c>
      <c r="F83" s="211"/>
      <c r="G83" s="206" t="s">
        <v>138</v>
      </c>
      <c r="H83" s="206" t="s">
        <v>96</v>
      </c>
      <c r="AE83" s="74"/>
      <c r="AF83" s="74"/>
      <c r="AG83" s="90"/>
    </row>
    <row r="84" spans="1:33" ht="31.5">
      <c r="A84"/>
      <c r="B84" s="254" t="s">
        <v>83</v>
      </c>
      <c r="C84" s="92"/>
      <c r="D84" s="233" t="s">
        <v>70</v>
      </c>
      <c r="E84" s="233" t="s">
        <v>69</v>
      </c>
      <c r="F84" s="233" t="s">
        <v>68</v>
      </c>
      <c r="G84" s="255" t="s">
        <v>97</v>
      </c>
      <c r="H84" s="255" t="s">
        <v>92</v>
      </c>
      <c r="AE84" s="74"/>
      <c r="AF84" s="74"/>
      <c r="AG84" s="90"/>
    </row>
    <row r="85" spans="1:33" ht="26.25">
      <c r="A85" s="217" t="s">
        <v>85</v>
      </c>
      <c r="B85" s="99"/>
      <c r="C85" s="92"/>
      <c r="D85" s="204"/>
      <c r="E85" s="197"/>
      <c r="F85" s="197"/>
      <c r="G85" s="206"/>
      <c r="H85" s="206"/>
      <c r="AE85" s="74"/>
      <c r="AF85" s="74"/>
      <c r="AG85" s="90"/>
    </row>
    <row r="86" spans="1:33" ht="15.75">
      <c r="A86" s="101" t="s">
        <v>51</v>
      </c>
      <c r="B86" s="102" t="s">
        <v>55</v>
      </c>
      <c r="C86" s="92"/>
      <c r="D86" s="200" t="s">
        <v>78</v>
      </c>
      <c r="E86" s="224" t="s">
        <v>80</v>
      </c>
      <c r="F86" s="198"/>
      <c r="G86" s="218">
        <v>1160</v>
      </c>
      <c r="H86" s="208"/>
      <c r="S86" s="93"/>
      <c r="AE86" s="74"/>
      <c r="AF86" s="74"/>
      <c r="AG86" s="90"/>
    </row>
    <row r="87" spans="1:40" s="288" customFormat="1" ht="30">
      <c r="A87" s="280" t="s">
        <v>50</v>
      </c>
      <c r="B87" s="281" t="s">
        <v>55</v>
      </c>
      <c r="C87" s="282"/>
      <c r="D87" s="283" t="s">
        <v>78</v>
      </c>
      <c r="E87" s="284" t="s">
        <v>81</v>
      </c>
      <c r="F87" s="285"/>
      <c r="G87" s="286">
        <v>1920</v>
      </c>
      <c r="H87" s="287" t="s">
        <v>133</v>
      </c>
      <c r="S87" s="289"/>
      <c r="T87" s="290"/>
      <c r="U87" s="290"/>
      <c r="V87" s="290"/>
      <c r="W87" s="290"/>
      <c r="X87" s="290"/>
      <c r="Y87" s="290"/>
      <c r="AA87" s="290"/>
      <c r="AB87" s="290"/>
      <c r="AC87" s="290"/>
      <c r="AD87" s="290"/>
      <c r="AE87" s="291"/>
      <c r="AF87" s="291"/>
      <c r="AG87" s="292"/>
      <c r="AH87" s="293"/>
      <c r="AI87" s="293"/>
      <c r="AJ87" s="290"/>
      <c r="AL87" s="290"/>
      <c r="AM87" s="290"/>
      <c r="AN87" s="290"/>
    </row>
    <row r="88" spans="1:33" ht="15.75">
      <c r="A88" s="101" t="s">
        <v>141</v>
      </c>
      <c r="B88" s="279" t="s">
        <v>65</v>
      </c>
      <c r="C88" s="92"/>
      <c r="D88" s="200"/>
      <c r="E88" s="224" t="s">
        <v>142</v>
      </c>
      <c r="F88" s="198"/>
      <c r="G88" s="218"/>
      <c r="H88" s="206"/>
      <c r="S88" s="93"/>
      <c r="AE88" s="74"/>
      <c r="AF88" s="74"/>
      <c r="AG88" s="90"/>
    </row>
    <row r="89" spans="1:33" ht="15.75">
      <c r="A89" s="103" t="s">
        <v>88</v>
      </c>
      <c r="B89" s="99" t="s">
        <v>65</v>
      </c>
      <c r="C89" s="92"/>
      <c r="D89" s="199"/>
      <c r="E89" s="219"/>
      <c r="F89" s="219" t="s">
        <v>89</v>
      </c>
      <c r="G89" s="218">
        <v>223</v>
      </c>
      <c r="H89" s="230"/>
      <c r="S89" s="93"/>
      <c r="AE89" s="74"/>
      <c r="AF89" s="74"/>
      <c r="AG89" s="90"/>
    </row>
    <row r="90" spans="1:33" ht="15.75">
      <c r="A90" s="101" t="s">
        <v>137</v>
      </c>
      <c r="B90" s="99" t="s">
        <v>65</v>
      </c>
      <c r="C90" s="92"/>
      <c r="D90" s="202"/>
      <c r="E90" s="219"/>
      <c r="F90" s="219" t="s">
        <v>139</v>
      </c>
      <c r="G90" s="218">
        <f>597-34</f>
        <v>563</v>
      </c>
      <c r="H90" s="208"/>
      <c r="S90" s="93"/>
      <c r="T90" s="94"/>
      <c r="U90" s="94"/>
      <c r="V90" s="93"/>
      <c r="AE90" s="74"/>
      <c r="AF90" s="74"/>
      <c r="AG90" s="90"/>
    </row>
    <row r="91" spans="1:40" s="264" customFormat="1" ht="60">
      <c r="A91" s="256" t="s">
        <v>53</v>
      </c>
      <c r="B91" s="257" t="s">
        <v>72</v>
      </c>
      <c r="C91" s="258"/>
      <c r="D91" s="259"/>
      <c r="E91" s="260"/>
      <c r="F91" s="261" t="s">
        <v>76</v>
      </c>
      <c r="G91" s="262">
        <f>1630-257+265</f>
        <v>1638</v>
      </c>
      <c r="H91" s="263" t="s">
        <v>134</v>
      </c>
      <c r="S91" s="265"/>
      <c r="T91" s="266"/>
      <c r="U91" s="266"/>
      <c r="V91" s="265"/>
      <c r="W91" s="267"/>
      <c r="X91" s="267"/>
      <c r="Y91" s="267"/>
      <c r="AA91" s="267"/>
      <c r="AB91" s="267"/>
      <c r="AC91" s="267"/>
      <c r="AD91" s="267"/>
      <c r="AE91" s="268" t="s">
        <v>54</v>
      </c>
      <c r="AF91" s="269"/>
      <c r="AG91" s="270"/>
      <c r="AH91" s="271"/>
      <c r="AI91" s="271"/>
      <c r="AJ91" s="267"/>
      <c r="AL91" s="267"/>
      <c r="AM91" s="267"/>
      <c r="AN91" s="267"/>
    </row>
    <row r="92" spans="1:33" ht="16.5" thickBot="1">
      <c r="A92" s="101" t="s">
        <v>14</v>
      </c>
      <c r="B92" s="99" t="s">
        <v>73</v>
      </c>
      <c r="C92" s="92"/>
      <c r="D92" s="205"/>
      <c r="E92" s="220" t="s">
        <v>77</v>
      </c>
      <c r="F92" s="203"/>
      <c r="G92" s="218">
        <v>58</v>
      </c>
      <c r="H92" s="218"/>
      <c r="I92" s="75"/>
      <c r="S92" s="93"/>
      <c r="T92" s="94"/>
      <c r="U92" s="94"/>
      <c r="V92" s="4"/>
      <c r="AE92" s="74"/>
      <c r="AF92" s="74"/>
      <c r="AG92" s="90"/>
    </row>
    <row r="93" spans="4:33" ht="16.5" thickTop="1">
      <c r="D93" s="200" t="s">
        <v>78</v>
      </c>
      <c r="E93" s="224" t="s">
        <v>143</v>
      </c>
      <c r="F93" s="224" t="s">
        <v>140</v>
      </c>
      <c r="G93" s="234">
        <f>SUM(G86:G92)</f>
        <v>5562</v>
      </c>
      <c r="H93" s="234"/>
      <c r="S93" s="93"/>
      <c r="T93" s="4"/>
      <c r="U93" s="4"/>
      <c r="V93" s="93"/>
      <c r="AE93" s="74"/>
      <c r="AF93" s="74"/>
      <c r="AG93" s="90"/>
    </row>
    <row r="94" spans="7:26" ht="3" customHeight="1">
      <c r="G94" s="225"/>
      <c r="H94" s="225"/>
      <c r="S94" s="93"/>
      <c r="T94" s="4"/>
      <c r="U94" s="4"/>
      <c r="V94" s="94"/>
      <c r="Z94" s="75"/>
    </row>
    <row r="95" spans="1:26" ht="26.25">
      <c r="A95" s="217" t="s">
        <v>86</v>
      </c>
      <c r="G95" s="225"/>
      <c r="H95" s="225"/>
      <c r="S95" s="93"/>
      <c r="Z95" s="75"/>
    </row>
    <row r="96" spans="1:26" ht="15.75">
      <c r="A96" s="103" t="s">
        <v>66</v>
      </c>
      <c r="B96" s="99" t="s">
        <v>65</v>
      </c>
      <c r="C96" s="92"/>
      <c r="D96" s="199"/>
      <c r="E96" s="201"/>
      <c r="F96" s="212" t="s">
        <v>79</v>
      </c>
      <c r="S96" s="93"/>
      <c r="Z96" s="75"/>
    </row>
    <row r="97" spans="1:26" ht="15.75">
      <c r="A97" s="103" t="s">
        <v>144</v>
      </c>
      <c r="B97" s="99" t="s">
        <v>71</v>
      </c>
      <c r="C97" s="92"/>
      <c r="D97" s="199"/>
      <c r="E97" s="212" t="s">
        <v>145</v>
      </c>
      <c r="F97" s="212"/>
      <c r="S97" s="93"/>
      <c r="Z97" s="75"/>
    </row>
    <row r="98" spans="1:26" ht="15.75">
      <c r="A98" s="103" t="s">
        <v>135</v>
      </c>
      <c r="B98" s="99" t="s">
        <v>71</v>
      </c>
      <c r="C98" s="92"/>
      <c r="D98" s="199"/>
      <c r="E98" s="200"/>
      <c r="F98" s="213" t="s">
        <v>87</v>
      </c>
      <c r="I98" s="75"/>
      <c r="Z98" s="75"/>
    </row>
    <row r="99" spans="1:26" ht="16.5" thickBot="1">
      <c r="A99" s="91" t="s">
        <v>64</v>
      </c>
      <c r="B99" s="99" t="s">
        <v>75</v>
      </c>
      <c r="C99" s="92"/>
      <c r="D99" s="214"/>
      <c r="E99" s="215"/>
      <c r="F99" s="216">
        <v>-1000</v>
      </c>
      <c r="I99" s="75"/>
      <c r="J99" s="92"/>
      <c r="N99" s="92"/>
      <c r="O99" s="92"/>
      <c r="P99" s="92"/>
      <c r="Q99" s="92"/>
      <c r="R99" s="92"/>
      <c r="Z99" s="75"/>
    </row>
    <row r="100" spans="5:26" ht="16.5" thickTop="1">
      <c r="E100" s="212" t="s">
        <v>145</v>
      </c>
      <c r="F100" s="212" t="s">
        <v>132</v>
      </c>
      <c r="G100" s="207"/>
      <c r="H100" s="207"/>
      <c r="I100" s="75"/>
      <c r="Z100" s="75"/>
    </row>
    <row r="101" spans="7:26" ht="15.75">
      <c r="G101" s="207"/>
      <c r="H101" s="207"/>
      <c r="Z101" s="75"/>
    </row>
    <row r="102" ht="15.75">
      <c r="Z102" s="75"/>
    </row>
    <row r="103" ht="15.75">
      <c r="Z103" s="75"/>
    </row>
    <row r="104" ht="15.75">
      <c r="Z104" s="75"/>
    </row>
    <row r="105" ht="15.75">
      <c r="Z105" s="75"/>
    </row>
    <row r="106" ht="15.75">
      <c r="Z106" s="75"/>
    </row>
    <row r="112" spans="22:23" ht="15.75">
      <c r="V112" s="6" t="s">
        <v>45</v>
      </c>
      <c r="W112" s="75" t="s">
        <v>48</v>
      </c>
    </row>
    <row r="114" spans="22:23" ht="15.75">
      <c r="V114" s="6" t="s">
        <v>46</v>
      </c>
      <c r="W114" s="75" t="s">
        <v>49</v>
      </c>
    </row>
    <row r="116" spans="22:23" ht="15.75">
      <c r="V116" s="6" t="s">
        <v>47</v>
      </c>
      <c r="W116" s="76" t="s">
        <v>52</v>
      </c>
    </row>
  </sheetData>
  <printOptions horizontalCentered="1" verticalCentered="1"/>
  <pageMargins left="0.35" right="0.2" top="0.75" bottom="0.72" header="0.23" footer="0.2"/>
  <pageSetup fitToHeight="1" fitToWidth="1" horizontalDpi="600" verticalDpi="600" orientation="landscape" scale="84" r:id="rId1"/>
  <headerFooter alignWithMargins="0">
    <oddFooter>&amp;R&amp;F  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2004-05-26T18:27:01Z</cp:lastPrinted>
  <dcterms:created xsi:type="dcterms:W3CDTF">2002-03-21T16:35:03Z</dcterms:created>
  <dcterms:modified xsi:type="dcterms:W3CDTF">2004-06-07T15:11:59Z</dcterms:modified>
  <cp:category/>
  <cp:version/>
  <cp:contentType/>
  <cp:contentStatus/>
</cp:coreProperties>
</file>