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Default Extension="jpeg" ContentType="image/jpeg"/>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11895" tabRatio="1000" firstSheet="5" activeTab="9"/>
  </bookViews>
  <sheets>
    <sheet name="RiskOpportunities may06" sheetId="1" r:id="rId1"/>
    <sheet name="Budget Reconciliation may06" sheetId="2" r:id="rId2"/>
    <sheet name="EC36 vs EC38 job comparision" sheetId="3" r:id="rId3"/>
    <sheet name="Contingency Analysis may06" sheetId="4" r:id="rId4"/>
    <sheet name="LEHMAN WORKSHEET" sheetId="5" r:id="rId5"/>
    <sheet name="ECP38 reconciliation" sheetId="6" r:id="rId6"/>
    <sheet name="Budget Summary may06" sheetId="7" r:id="rId7"/>
    <sheet name="Mpwr job" sheetId="8" r:id="rId8"/>
    <sheet name="Mpwr smry" sheetId="9" r:id="rId9"/>
    <sheet name="Milestones may06" sheetId="10" r:id="rId10"/>
    <sheet name="EIO IMPACT" sheetId="11" r:id="rId11"/>
    <sheet name="Summary Schedule may06" sheetId="12" r:id="rId12"/>
    <sheet name="Funding may06" sheetId="13" r:id="rId13"/>
    <sheet name="financial status may06" sheetId="14" r:id="rId14"/>
  </sheets>
  <definedNames>
    <definedName name="_xlnm.Print_Area" localSheetId="6">'Budget Summary may06'!$C$3:$L$29</definedName>
    <definedName name="_xlnm.Print_Area" localSheetId="3">'Contingency Analysis may06'!$C$5:$H$94</definedName>
    <definedName name="_xlnm.Print_Area" localSheetId="5">'ECP38 reconciliation'!$A$1:$J$125</definedName>
    <definedName name="_xlnm.Print_Area" localSheetId="10">'EIO IMPACT'!$E$1:$AL$25</definedName>
    <definedName name="_xlnm.Print_Area" localSheetId="13">'financial status may06'!$D$2:$E$44</definedName>
    <definedName name="_xlnm.Print_Area" localSheetId="4">'LEHMAN WORKSHEET'!$A$1:$H$63</definedName>
    <definedName name="_xlnm.Print_Area" localSheetId="11">'Summary Schedule may06'!$I$2:$CP$82</definedName>
  </definedNames>
  <calcPr fullCalcOnLoad="1"/>
</workbook>
</file>

<file path=xl/comments5.xml><?xml version="1.0" encoding="utf-8"?>
<comments xmlns="http://schemas.openxmlformats.org/spreadsheetml/2006/main">
  <authors>
    <author>SC</author>
  </authors>
  <commentList>
    <comment ref="O4" authorId="0">
      <text>
        <r>
          <rPr>
            <b/>
            <sz val="8"/>
            <rFont val="Tahoma"/>
            <family val="0"/>
          </rPr>
          <t>SC:</t>
        </r>
        <r>
          <rPr>
            <sz val="8"/>
            <rFont val="Tahoma"/>
            <family val="0"/>
          </rPr>
          <t xml:space="preserve">
The committee believes that the NCSX Team has made a credible estimate of the base costs and applied an appropriate level of contingency made on the basis of technical and schedule risk.
The base costs estimates have benefited significantly from preliminary manufacturing feasibility studies performed by potential vendors of both the Modular Coil forms and the Vacuum Vessel.  The NCSX Team has performed significant analysis of the components deemed to be the most technically risky (modular coils and VV).  They have included an appropriate level of manufacturing R&amp;D to mitigate these risks.
</t>
        </r>
      </text>
    </comment>
    <comment ref="O14" authorId="0">
      <text>
        <r>
          <rPr>
            <b/>
            <sz val="8"/>
            <rFont val="Tahoma"/>
            <family val="0"/>
          </rPr>
          <t>SC:</t>
        </r>
        <r>
          <rPr>
            <sz val="8"/>
            <rFont val="Tahoma"/>
            <family val="0"/>
          </rPr>
          <t xml:space="preserve">
Refurbishment of existing systems.
</t>
        </r>
      </text>
    </comment>
    <comment ref="O19" authorId="0">
      <text>
        <r>
          <rPr>
            <b/>
            <sz val="8"/>
            <rFont val="Tahoma"/>
            <family val="0"/>
          </rPr>
          <t>SC:</t>
        </r>
        <r>
          <rPr>
            <sz val="8"/>
            <rFont val="Tahoma"/>
            <family val="0"/>
          </rPr>
          <t xml:space="preserve">
Viable budget estimate for planned effort using new hardware.</t>
        </r>
      </text>
    </comment>
    <comment ref="O25" authorId="0">
      <text>
        <r>
          <rPr>
            <b/>
            <sz val="8"/>
            <rFont val="Tahoma"/>
            <family val="0"/>
          </rPr>
          <t>SC:</t>
        </r>
        <r>
          <rPr>
            <sz val="8"/>
            <rFont val="Tahoma"/>
            <family val="0"/>
          </rPr>
          <t xml:space="preserve">
All technology and costing data drawn from NSTX.</t>
        </r>
      </text>
    </comment>
    <comment ref="O32" authorId="0">
      <text>
        <r>
          <rPr>
            <b/>
            <sz val="8"/>
            <rFont val="Tahoma"/>
            <family val="0"/>
          </rPr>
          <t>SC:</t>
        </r>
        <r>
          <rPr>
            <sz val="8"/>
            <rFont val="Tahoma"/>
            <family val="0"/>
          </rPr>
          <t xml:space="preserve">
Install computers &amp; networks &amp; connect existing software systems for controls and data acquisition.</t>
        </r>
      </text>
    </comment>
    <comment ref="O33" authorId="0">
      <text>
        <r>
          <rPr>
            <b/>
            <sz val="8"/>
            <rFont val="Tahoma"/>
            <family val="0"/>
          </rPr>
          <t>SC:</t>
        </r>
        <r>
          <rPr>
            <sz val="8"/>
            <rFont val="Tahoma"/>
            <family val="0"/>
          </rPr>
          <t xml:space="preserve">
Layout and install standard computer networks.
</t>
        </r>
      </text>
    </comment>
    <comment ref="O34" authorId="0">
      <text>
        <r>
          <rPr>
            <b/>
            <sz val="8"/>
            <rFont val="Tahoma"/>
            <family val="0"/>
          </rPr>
          <t>SC:</t>
        </r>
        <r>
          <rPr>
            <sz val="8"/>
            <rFont val="Tahoma"/>
            <family val="0"/>
          </rPr>
          <t xml:space="preserve">
EPICS control configuration and testing for 5 systems--lots of experience.</t>
        </r>
      </text>
    </comment>
    <comment ref="O35" authorId="0">
      <text>
        <r>
          <rPr>
            <b/>
            <sz val="8"/>
            <rFont val="Tahoma"/>
            <family val="0"/>
          </rPr>
          <t>SC:</t>
        </r>
        <r>
          <rPr>
            <sz val="8"/>
            <rFont val="Tahoma"/>
            <family val="0"/>
          </rPr>
          <t xml:space="preserve">
Install computer hardware and configure MDS Plus data acquisition--lots of experience</t>
        </r>
      </text>
    </comment>
    <comment ref="O36" authorId="0">
      <text>
        <r>
          <rPr>
            <b/>
            <sz val="8"/>
            <rFont val="Tahoma"/>
            <family val="0"/>
          </rPr>
          <t>SC:</t>
        </r>
        <r>
          <rPr>
            <sz val="8"/>
            <rFont val="Tahoma"/>
            <family val="0"/>
          </rPr>
          <t xml:space="preserve">
Design and deploy timing and synchronization system based on NSTX.</t>
        </r>
      </text>
    </comment>
    <comment ref="O37" authorId="0">
      <text>
        <r>
          <rPr>
            <b/>
            <sz val="8"/>
            <rFont val="Tahoma"/>
            <family val="0"/>
          </rPr>
          <t>SC:</t>
        </r>
        <r>
          <rPr>
            <sz val="8"/>
            <rFont val="Tahoma"/>
            <family val="0"/>
          </rPr>
          <t xml:space="preserve">
Clone NSTX real-time control systems</t>
        </r>
      </text>
    </comment>
    <comment ref="O38" authorId="0">
      <text>
        <r>
          <rPr>
            <b/>
            <sz val="8"/>
            <rFont val="Tahoma"/>
            <family val="0"/>
          </rPr>
          <t>SC:</t>
        </r>
        <r>
          <rPr>
            <sz val="8"/>
            <rFont val="Tahoma"/>
            <family val="0"/>
          </rPr>
          <t xml:space="preserve">
Layout and install safety interlock systems</t>
        </r>
      </text>
    </comment>
    <comment ref="O39" authorId="0">
      <text>
        <r>
          <rPr>
            <b/>
            <sz val="8"/>
            <rFont val="Tahoma"/>
            <family val="0"/>
          </rPr>
          <t>SC:</t>
        </r>
        <r>
          <rPr>
            <sz val="8"/>
            <rFont val="Tahoma"/>
            <family val="0"/>
          </rPr>
          <t xml:space="preserve">
Computers for first plasma and PA system in control room</t>
        </r>
      </text>
    </comment>
    <comment ref="O41" authorId="0">
      <text>
        <r>
          <rPr>
            <b/>
            <sz val="8"/>
            <rFont val="Tahoma"/>
            <family val="0"/>
          </rPr>
          <t>SC:</t>
        </r>
        <r>
          <rPr>
            <sz val="8"/>
            <rFont val="Tahoma"/>
            <family val="0"/>
          </rPr>
          <t xml:space="preserve">
Extensive use of existing systems with refurbishing.  Recent experience with NSTX for cost estimates</t>
        </r>
      </text>
    </comment>
    <comment ref="O54" authorId="0">
      <text>
        <r>
          <rPr>
            <b/>
            <sz val="8"/>
            <rFont val="Tahoma"/>
            <family val="0"/>
          </rPr>
          <t>SC:</t>
        </r>
        <r>
          <rPr>
            <sz val="8"/>
            <rFont val="Tahoma"/>
            <family val="0"/>
          </rPr>
          <t xml:space="preserve">
Cost reasonable based on review
</t>
        </r>
      </text>
    </comment>
  </commentList>
</comments>
</file>

<file path=xl/sharedStrings.xml><?xml version="1.0" encoding="utf-8"?>
<sst xmlns="http://schemas.openxmlformats.org/spreadsheetml/2006/main" count="1321" uniqueCount="826">
  <si>
    <t>pmb puts and takes</t>
  </si>
  <si>
    <t>contingency puts and takes</t>
  </si>
  <si>
    <t>wbs1</t>
  </si>
  <si>
    <t>wbs13</t>
  </si>
  <si>
    <t>wbs 141</t>
  </si>
  <si>
    <t>wbs142</t>
  </si>
  <si>
    <t>wbs18</t>
  </si>
  <si>
    <t>wbs82</t>
  </si>
  <si>
    <t>red</t>
  </si>
  <si>
    <t>Cum PMB</t>
  </si>
  <si>
    <t>NCSX Critical Path Summary Schedule</t>
  </si>
  <si>
    <t>FY02</t>
  </si>
  <si>
    <t>M</t>
  </si>
  <si>
    <t>J</t>
  </si>
  <si>
    <t>A</t>
  </si>
  <si>
    <t>S</t>
  </si>
  <si>
    <t>O</t>
  </si>
  <si>
    <t>N</t>
  </si>
  <si>
    <t>D</t>
  </si>
  <si>
    <t>F</t>
  </si>
  <si>
    <t xml:space="preserve"> CDR</t>
  </si>
  <si>
    <t>DOE Milestones</t>
  </si>
  <si>
    <t xml:space="preserve">MC/VV PDR   </t>
  </si>
  <si>
    <t xml:space="preserve">CD-2 </t>
  </si>
  <si>
    <t xml:space="preserve">EIR </t>
  </si>
  <si>
    <t>CD-3 Start of Fab</t>
  </si>
  <si>
    <t>Pumpdown Vac Vsl</t>
  </si>
  <si>
    <t>Start of Preliminary Design</t>
  </si>
  <si>
    <t>Vac Vsl FDR</t>
  </si>
  <si>
    <t>Modular Coil FDR</t>
  </si>
  <si>
    <t xml:space="preserve">Joule #1 Authorize Protype Fab   </t>
  </si>
  <si>
    <t xml:space="preserve">   Joule #1 Award VVSA,MWCF,Cond </t>
  </si>
  <si>
    <t>ORA</t>
  </si>
  <si>
    <t xml:space="preserve">Joule #2 Demonstarte Winding Process  on 3-D Surface     </t>
  </si>
  <si>
    <t xml:space="preserve">   Joule #2 Cmplt Assy TRC</t>
  </si>
  <si>
    <t xml:space="preserve">Joule #3 First Prototype Casting Produced for Machining   </t>
  </si>
  <si>
    <t xml:space="preserve">   Joule #3 Mod Coil Winding Type C FDR</t>
  </si>
  <si>
    <t xml:space="preserve">CD-4 Completion of MIE Project   </t>
  </si>
  <si>
    <t xml:space="preserve">Joule #4 CD-3 Prereq Complete  </t>
  </si>
  <si>
    <t>VACUUM VESSEL</t>
  </si>
  <si>
    <t>Title I &amp; II Design</t>
  </si>
  <si>
    <t>Vessel Award</t>
  </si>
  <si>
    <t>Manuf Devel</t>
  </si>
  <si>
    <t>Vessel Fab</t>
  </si>
  <si>
    <t>MODULAR COILS</t>
  </si>
  <si>
    <t>Title I &amp; II MCWF</t>
  </si>
  <si>
    <t>Twisted Racetrack Fabrication</t>
  </si>
  <si>
    <t>Title II Design for Winding</t>
  </si>
  <si>
    <t>Type C</t>
  </si>
  <si>
    <t>Type B</t>
  </si>
  <si>
    <t>Type A</t>
  </si>
  <si>
    <t>Component Fabrication</t>
  </si>
  <si>
    <t>MCWF Manufacturing Development</t>
  </si>
  <si>
    <t>Fabricate Prototype Type  "C"</t>
  </si>
  <si>
    <t xml:space="preserve"> Award Winding Form Contract  </t>
  </si>
  <si>
    <t>Fab Winding Forms</t>
  </si>
  <si>
    <t>VPI,Clamps,&amp; Test</t>
  </si>
  <si>
    <t>FIELD PERIOD ASSEMBLY</t>
  </si>
  <si>
    <t>MACHINE ASSEMBLY</t>
  </si>
  <si>
    <t>Install Supports and Lower PF Coils</t>
  </si>
  <si>
    <t>Install,align, connect Field Period Assemblies</t>
  </si>
  <si>
    <t>Legend:</t>
  </si>
  <si>
    <t xml:space="preserve"> Pump Down</t>
  </si>
  <si>
    <t>Completed Task</t>
  </si>
  <si>
    <t>Connect to Ancilliary Systems</t>
  </si>
  <si>
    <t>Critical Paths</t>
  </si>
  <si>
    <t>Install Cryostat &amp; PTP</t>
  </si>
  <si>
    <t>Off critical path</t>
  </si>
  <si>
    <t>Startup Testing and E-Beam Mapping</t>
  </si>
  <si>
    <t>Ancilliary Systems Installation</t>
  </si>
  <si>
    <t>First Plasma</t>
  </si>
  <si>
    <t>C1</t>
  </si>
  <si>
    <t>B6</t>
  </si>
  <si>
    <t>B5</t>
  </si>
  <si>
    <t>B4</t>
  </si>
  <si>
    <t>B3</t>
  </si>
  <si>
    <t>C2</t>
  </si>
  <si>
    <t>C3</t>
  </si>
  <si>
    <t>C4</t>
  </si>
  <si>
    <t>C5</t>
  </si>
  <si>
    <t>C6</t>
  </si>
  <si>
    <t>A1</t>
  </si>
  <si>
    <t>A3</t>
  </si>
  <si>
    <t>A4</t>
  </si>
  <si>
    <t>A5</t>
  </si>
  <si>
    <t>A6</t>
  </si>
  <si>
    <t>A2</t>
  </si>
  <si>
    <t>B1</t>
  </si>
  <si>
    <t>B2</t>
  </si>
  <si>
    <t>Modular Coil Winding Form Delivery Schedule</t>
  </si>
  <si>
    <t>Free Float</t>
  </si>
  <si>
    <t>3 winding lines 2 shifts</t>
  </si>
  <si>
    <t>2 shfits for field period</t>
  </si>
  <si>
    <t>2 shifts Machine Assembly</t>
  </si>
  <si>
    <t>for coil winding</t>
  </si>
  <si>
    <t>assembly</t>
  </si>
  <si>
    <t>Sep</t>
  </si>
  <si>
    <t>Oct</t>
  </si>
  <si>
    <t>Nov</t>
  </si>
  <si>
    <t xml:space="preserve">2) </t>
  </si>
  <si>
    <t>Winding plan basis;</t>
  </si>
  <si>
    <t>a)  first coil taking 50% longer.</t>
  </si>
  <si>
    <t>b)  2 winding stations with 3 winding teams. 3rd team dedicated to 2nd shift for winding only. Chill plate ,bagging VPI pre done on 1st shift only.</t>
  </si>
  <si>
    <t>c) 2nd shift utilized for first 10 coils only.</t>
  </si>
  <si>
    <t>d) all shifts based  5 days/week 70% of winding ops utilize 10hr/days. Some  overtime and all Saturday's held back as contingency.</t>
  </si>
  <si>
    <t>CD-1</t>
  </si>
  <si>
    <t>FY03</t>
  </si>
  <si>
    <t>FY04</t>
  </si>
  <si>
    <t>FY05</t>
  </si>
  <si>
    <t>FY06</t>
  </si>
  <si>
    <t>FY07</t>
  </si>
  <si>
    <t>FY08</t>
  </si>
  <si>
    <t>FY09</t>
  </si>
  <si>
    <t>ACT CODE</t>
  </si>
  <si>
    <t>12 - Vacuum Vessel Systems</t>
  </si>
  <si>
    <t>13 - Conventional Coils</t>
  </si>
  <si>
    <t>14 - Modular Coils</t>
  </si>
  <si>
    <t>15 - Structures</t>
  </si>
  <si>
    <t>16 - Coil Services</t>
  </si>
  <si>
    <t>18 - Field Period Assembly</t>
  </si>
  <si>
    <t>19 - Stellarator Core Management and Integration</t>
  </si>
  <si>
    <t>21 - Fueling Systems</t>
  </si>
  <si>
    <t>31 - Magnetic Diagnostics</t>
  </si>
  <si>
    <t>39 - Diagnostics Integration</t>
  </si>
  <si>
    <t>41 - AC Power</t>
  </si>
  <si>
    <t>43 - DC Systems</t>
  </si>
  <si>
    <t>61 - Water Systems</t>
  </si>
  <si>
    <t>62 - Cryogenic Systems</t>
  </si>
  <si>
    <t>63 - Utility Systems</t>
  </si>
  <si>
    <t>82 - Project Engineering</t>
  </si>
  <si>
    <t>84 - Project Physics</t>
  </si>
  <si>
    <t>Contingency</t>
  </si>
  <si>
    <t>DCMA</t>
  </si>
  <si>
    <t>FY2003</t>
  </si>
  <si>
    <t>FY2004</t>
  </si>
  <si>
    <t>FY2005</t>
  </si>
  <si>
    <t>FY2006</t>
  </si>
  <si>
    <t>FY2007</t>
  </si>
  <si>
    <t>FY2008</t>
  </si>
  <si>
    <t>FY2009</t>
  </si>
  <si>
    <t>TOTAL</t>
  </si>
  <si>
    <t>17 - Cryostat and Base Support Struct</t>
  </si>
  <si>
    <t>19 - Stellarator Core Mgt &amp; Integr</t>
  </si>
  <si>
    <t>1  Stellarator Core Systems</t>
  </si>
  <si>
    <t>2 Heating, Fueling &amp; Vac Sys</t>
  </si>
  <si>
    <t>3 Diagnostics</t>
  </si>
  <si>
    <t>4 Electrical Power Sys</t>
  </si>
  <si>
    <t>5 Central I&amp;C Sys</t>
  </si>
  <si>
    <t>6 Facility Sys</t>
  </si>
  <si>
    <t>7 Test Cell Prep &amp; MachAssy</t>
  </si>
  <si>
    <t>8 Project Oversight &amp; Support</t>
  </si>
  <si>
    <t>subtotal</t>
  </si>
  <si>
    <t>TEC =</t>
  </si>
  <si>
    <t>BCWP</t>
  </si>
  <si>
    <t>ACWP</t>
  </si>
  <si>
    <t>Contingency balance</t>
  </si>
  <si>
    <t>ECP-38</t>
  </si>
  <si>
    <t>CV</t>
  </si>
  <si>
    <t>Unrecoverable Cost Variances</t>
  </si>
  <si>
    <t>Magnetic Diagnostics</t>
  </si>
  <si>
    <t>Other</t>
  </si>
  <si>
    <t>ecp38</t>
  </si>
  <si>
    <t>ecp36</t>
  </si>
  <si>
    <t>ecp38 - 36</t>
  </si>
  <si>
    <t>JJJJ</t>
  </si>
  <si>
    <t>vv dsn</t>
  </si>
  <si>
    <t>vv hw</t>
  </si>
  <si>
    <t>pf1a</t>
  </si>
  <si>
    <t>trim coils</t>
  </si>
  <si>
    <t>tf</t>
  </si>
  <si>
    <t>mc dsn</t>
  </si>
  <si>
    <t>mcwf title iii</t>
  </si>
  <si>
    <t>1421d</t>
  </si>
  <si>
    <t>1421h</t>
  </si>
  <si>
    <t>interface hw</t>
  </si>
  <si>
    <t>winding</t>
  </si>
  <si>
    <t>I set of fixture</t>
  </si>
  <si>
    <t>350c bakeout</t>
  </si>
  <si>
    <t>saddleloops and term boxes</t>
  </si>
  <si>
    <t>ebeam</t>
  </si>
  <si>
    <t>plasama control</t>
  </si>
  <si>
    <t>project mgmt</t>
  </si>
  <si>
    <t>wbs 82</t>
  </si>
  <si>
    <t>CCCP</t>
  </si>
  <si>
    <t>other</t>
  </si>
  <si>
    <t>cont</t>
  </si>
  <si>
    <t>o</t>
  </si>
  <si>
    <t>cv</t>
  </si>
  <si>
    <t>ba</t>
  </si>
  <si>
    <t>cum plan</t>
  </si>
  <si>
    <t>ba cum</t>
  </si>
  <si>
    <t>dcma</t>
  </si>
  <si>
    <t>Modular Coil Winding Operations</t>
  </si>
  <si>
    <t>Risk</t>
  </si>
  <si>
    <t>Opportunity</t>
  </si>
  <si>
    <t>%</t>
  </si>
  <si>
    <t xml:space="preserve">12 </t>
  </si>
  <si>
    <t xml:space="preserve">13 </t>
  </si>
  <si>
    <t xml:space="preserve">14 </t>
  </si>
  <si>
    <t xml:space="preserve">15 </t>
  </si>
  <si>
    <t xml:space="preserve">16 </t>
  </si>
  <si>
    <t xml:space="preserve">17 </t>
  </si>
  <si>
    <t xml:space="preserve">18 </t>
  </si>
  <si>
    <t xml:space="preserve">19 </t>
  </si>
  <si>
    <t xml:space="preserve">21 </t>
  </si>
  <si>
    <t xml:space="preserve">22 </t>
  </si>
  <si>
    <t xml:space="preserve">25 </t>
  </si>
  <si>
    <t xml:space="preserve">31 </t>
  </si>
  <si>
    <t xml:space="preserve">36 </t>
  </si>
  <si>
    <t xml:space="preserve">38 </t>
  </si>
  <si>
    <t xml:space="preserve">39 </t>
  </si>
  <si>
    <t xml:space="preserve">41 </t>
  </si>
  <si>
    <t xml:space="preserve">43 </t>
  </si>
  <si>
    <t xml:space="preserve">44 </t>
  </si>
  <si>
    <t xml:space="preserve">45 </t>
  </si>
  <si>
    <t xml:space="preserve">46 </t>
  </si>
  <si>
    <t xml:space="preserve">51 </t>
  </si>
  <si>
    <t xml:space="preserve">52 </t>
  </si>
  <si>
    <t xml:space="preserve">53 </t>
  </si>
  <si>
    <t xml:space="preserve">54 </t>
  </si>
  <si>
    <t xml:space="preserve">55 </t>
  </si>
  <si>
    <t xml:space="preserve">56 </t>
  </si>
  <si>
    <t xml:space="preserve">57 </t>
  </si>
  <si>
    <t xml:space="preserve">58 </t>
  </si>
  <si>
    <t xml:space="preserve">61 </t>
  </si>
  <si>
    <t xml:space="preserve">62 </t>
  </si>
  <si>
    <t xml:space="preserve">63 </t>
  </si>
  <si>
    <t xml:space="preserve">64 </t>
  </si>
  <si>
    <t xml:space="preserve">65 </t>
  </si>
  <si>
    <t xml:space="preserve">71 </t>
  </si>
  <si>
    <t xml:space="preserve">72 </t>
  </si>
  <si>
    <t xml:space="preserve">73 </t>
  </si>
  <si>
    <t xml:space="preserve">74 </t>
  </si>
  <si>
    <t xml:space="preserve">75 </t>
  </si>
  <si>
    <t xml:space="preserve">76 </t>
  </si>
  <si>
    <t xml:space="preserve">81 </t>
  </si>
  <si>
    <t xml:space="preserve">82 </t>
  </si>
  <si>
    <t xml:space="preserve">84 </t>
  </si>
  <si>
    <t xml:space="preserve">85 </t>
  </si>
  <si>
    <t xml:space="preserve">AA </t>
  </si>
  <si>
    <t>Total Sum of Contingency $</t>
  </si>
  <si>
    <t>VVSA Contract</t>
  </si>
  <si>
    <t>MCWF Contract</t>
  </si>
  <si>
    <t>WBS 12-18</t>
  </si>
  <si>
    <t xml:space="preserve">WBS 19,81 &amp; 82 </t>
  </si>
  <si>
    <t>WBS 2-7 &amp; 85 (BOP)</t>
  </si>
  <si>
    <t>PMB</t>
  </si>
  <si>
    <t>Total</t>
  </si>
  <si>
    <t xml:space="preserve"> %</t>
  </si>
  <si>
    <t>Original BA</t>
  </si>
  <si>
    <t>New BA</t>
  </si>
  <si>
    <t>BA cum old</t>
  </si>
  <si>
    <t>BA cum new</t>
  </si>
  <si>
    <t>PMB cum</t>
  </si>
  <si>
    <t xml:space="preserve"> BA</t>
  </si>
  <si>
    <t>Cum BA</t>
  </si>
  <si>
    <t>Cum BO</t>
  </si>
  <si>
    <t>NCSX Milestone Status</t>
  </si>
  <si>
    <t>CD-2</t>
  </si>
  <si>
    <t>Baseline</t>
  </si>
  <si>
    <t>float</t>
  </si>
  <si>
    <t>Forecast</t>
  </si>
  <si>
    <t>Actual</t>
  </si>
  <si>
    <t>master schedule</t>
  </si>
  <si>
    <t xml:space="preserve">Milestone float </t>
  </si>
  <si>
    <t>Level I</t>
  </si>
  <si>
    <t xml:space="preserve">M-0110     </t>
  </si>
  <si>
    <t xml:space="preserve">CD-2                                             </t>
  </si>
  <si>
    <t xml:space="preserve">M-0115     </t>
  </si>
  <si>
    <t xml:space="preserve">CD-3                                             </t>
  </si>
  <si>
    <t xml:space="preserve">1201-500   </t>
  </si>
  <si>
    <t>Level II</t>
  </si>
  <si>
    <t xml:space="preserve">Vacuum Vessel &amp; Modular Coil Prel Dsn Rvw                           </t>
  </si>
  <si>
    <t xml:space="preserve">1403-08    </t>
  </si>
  <si>
    <t xml:space="preserve">Performance Baseline Review                      </t>
  </si>
  <si>
    <t xml:space="preserve">1203-341   </t>
  </si>
  <si>
    <t xml:space="preserve">Conduct VVSA FDR                                 </t>
  </si>
  <si>
    <t xml:space="preserve">1403-51    </t>
  </si>
  <si>
    <t xml:space="preserve">Mod Coil Winding Form Final Design Review        </t>
  </si>
  <si>
    <t>1408-143.1</t>
  </si>
  <si>
    <t>Award MC Conductor Contract</t>
  </si>
  <si>
    <t xml:space="preserve">121-6-9    </t>
  </si>
  <si>
    <t xml:space="preserve">Award VV Production Vendor </t>
  </si>
  <si>
    <t xml:space="preserve">C-081      </t>
  </si>
  <si>
    <t xml:space="preserve">Award MCWF Mfg Contract       </t>
  </si>
  <si>
    <t xml:space="preserve">C-121.1    </t>
  </si>
  <si>
    <t xml:space="preserve">First MCWF Delivered                             </t>
  </si>
  <si>
    <t xml:space="preserve">131-035    </t>
  </si>
  <si>
    <t>Begin TF Coil fabrication activities</t>
  </si>
  <si>
    <t xml:space="preserve">P1-021.1   </t>
  </si>
  <si>
    <t xml:space="preserve">Complete First Mod Coil Fabrication              </t>
  </si>
  <si>
    <t xml:space="preserve">121-038.1  </t>
  </si>
  <si>
    <t xml:space="preserve">Vacuum Vessel Sectors Delivered                          </t>
  </si>
  <si>
    <t xml:space="preserve">C-501B1    </t>
  </si>
  <si>
    <t xml:space="preserve">Last MCWF Delivered                              </t>
  </si>
  <si>
    <t xml:space="preserve">141-036    </t>
  </si>
  <si>
    <t xml:space="preserve">PF Coils  Awarded                                </t>
  </si>
  <si>
    <t>S3P1-101</t>
  </si>
  <si>
    <t xml:space="preserve">Begin Assembly of First Field Period             </t>
  </si>
  <si>
    <t xml:space="preserve">All TF Coils Delivered                           </t>
  </si>
  <si>
    <t>S4P3-115</t>
  </si>
  <si>
    <t xml:space="preserve">Last Field Period Assembled                      </t>
  </si>
  <si>
    <t>7503-250</t>
  </si>
  <si>
    <t xml:space="preserve">Begin Vac Vsl Pumpdown                           </t>
  </si>
  <si>
    <t>7503-330</t>
  </si>
  <si>
    <t xml:space="preserve">Begin Cryostat Installation                      </t>
  </si>
  <si>
    <t xml:space="preserve">730.1250   </t>
  </si>
  <si>
    <t xml:space="preserve">Operational Readiness                            </t>
  </si>
  <si>
    <t xml:space="preserve">920.004    </t>
  </si>
  <si>
    <t xml:space="preserve">Begin Start-up Testing                           </t>
  </si>
  <si>
    <t xml:space="preserve">M-0120     </t>
  </si>
  <si>
    <t xml:space="preserve">CD-4                                             </t>
  </si>
  <si>
    <t xml:space="preserve">1404-109.J </t>
  </si>
  <si>
    <t>Joule</t>
  </si>
  <si>
    <t xml:space="preserve">FY04 JOULE  #1-Authorize Prototype Fab       </t>
  </si>
  <si>
    <t xml:space="preserve">1406-040   </t>
  </si>
  <si>
    <t xml:space="preserve">FY04 JOULE  #2-Begin winding on 3D surface   </t>
  </si>
  <si>
    <t xml:space="preserve">1404-110.J </t>
  </si>
  <si>
    <t xml:space="preserve">FY04 JOULE  #3-Prototype Casting Ready for Machining      </t>
  </si>
  <si>
    <t xml:space="preserve">C-081.1    </t>
  </si>
  <si>
    <t xml:space="preserve">FY04 JOULE  #4  -  CD-3 Readiness            </t>
  </si>
  <si>
    <t xml:space="preserve">FY05 JOULE  #1- VVSA, MCWF and MC Copper Conductor Awarded      </t>
  </si>
  <si>
    <t>1406-017.3</t>
  </si>
  <si>
    <t xml:space="preserve">FY05 JOULE  #2- Cmplt Assy of twisted racetrack    </t>
  </si>
  <si>
    <t>1403-20</t>
  </si>
  <si>
    <t xml:space="preserve">FY05 JOULE  #3- Mod Coil Winding Type C  FDR        </t>
  </si>
  <si>
    <t>P1-011J</t>
  </si>
  <si>
    <t xml:space="preserve">FY05 JOULE  #4- Complete Winding First MC     </t>
  </si>
  <si>
    <t>1351-195x</t>
  </si>
  <si>
    <t>P2-041joul</t>
  </si>
  <si>
    <t>mcwf-311</t>
  </si>
  <si>
    <t>FY07 JOULE Complete Winding of 1/2 of Modular Coils</t>
  </si>
  <si>
    <t xml:space="preserve">RES </t>
  </si>
  <si>
    <t>RESOURCE</t>
  </si>
  <si>
    <t xml:space="preserve">  OCT FY06</t>
  </si>
  <si>
    <t xml:space="preserve">  NOV FY06</t>
  </si>
  <si>
    <t xml:space="preserve">  DEC FY06</t>
  </si>
  <si>
    <t xml:space="preserve">  JAN FY06</t>
  </si>
  <si>
    <t xml:space="preserve">  FEB FY06</t>
  </si>
  <si>
    <t xml:space="preserve">  MAR FY06</t>
  </si>
  <si>
    <t xml:space="preserve">  APR FY06</t>
  </si>
  <si>
    <t xml:space="preserve">  MAY FY06</t>
  </si>
  <si>
    <t xml:space="preserve">  JUN FY06</t>
  </si>
  <si>
    <t xml:space="preserve">  JUL FY06</t>
  </si>
  <si>
    <t xml:space="preserve">  AUG FY06</t>
  </si>
  <si>
    <t xml:space="preserve">  SEP FY06</t>
  </si>
  <si>
    <t xml:space="preserve">  OCT FY07</t>
  </si>
  <si>
    <t xml:space="preserve">  NOV FY07</t>
  </si>
  <si>
    <t xml:space="preserve">  DEC FY07</t>
  </si>
  <si>
    <t xml:space="preserve">  JAN FY07</t>
  </si>
  <si>
    <t xml:space="preserve">  FEB FY07</t>
  </si>
  <si>
    <t xml:space="preserve">  MAR FY07</t>
  </si>
  <si>
    <t xml:space="preserve">  APR FY07</t>
  </si>
  <si>
    <t xml:space="preserve">  MAY FY07</t>
  </si>
  <si>
    <t xml:space="preserve">  JUN FY07</t>
  </si>
  <si>
    <t xml:space="preserve">  JUL FY07</t>
  </si>
  <si>
    <t xml:space="preserve">  AUG FY07</t>
  </si>
  <si>
    <t xml:space="preserve">  SEP FY07</t>
  </si>
  <si>
    <t xml:space="preserve">  OCT FY08</t>
  </si>
  <si>
    <t xml:space="preserve">  NOV FY08</t>
  </si>
  <si>
    <t xml:space="preserve">  DEC FY08</t>
  </si>
  <si>
    <t xml:space="preserve">  JAN FY08</t>
  </si>
  <si>
    <t xml:space="preserve">  FEB FY08</t>
  </si>
  <si>
    <t xml:space="preserve">  MAR FY08</t>
  </si>
  <si>
    <t xml:space="preserve">  APR FY08</t>
  </si>
  <si>
    <t xml:space="preserve">  MAY FY08</t>
  </si>
  <si>
    <t xml:space="preserve">  JUN FY08</t>
  </si>
  <si>
    <t xml:space="preserve">  JUL FY08</t>
  </si>
  <si>
    <t xml:space="preserve">  AUG FY08</t>
  </si>
  <si>
    <t xml:space="preserve">  SEP FY08</t>
  </si>
  <si>
    <t xml:space="preserve">  OCT FY09</t>
  </si>
  <si>
    <t xml:space="preserve">  NOV FY09</t>
  </si>
  <si>
    <t xml:space="preserve">  DEC FY09</t>
  </si>
  <si>
    <t xml:space="preserve">  JAN FY09</t>
  </si>
  <si>
    <t xml:space="preserve">  FEB FY09</t>
  </si>
  <si>
    <t xml:space="preserve">  MAR FY09</t>
  </si>
  <si>
    <t xml:space="preserve">  APR FY09</t>
  </si>
  <si>
    <t xml:space="preserve">  MAY FY09</t>
  </si>
  <si>
    <t xml:space="preserve">  JUN FY09</t>
  </si>
  <si>
    <t xml:space="preserve">  JUL FY09</t>
  </si>
  <si>
    <t xml:space="preserve">  AUG FY09</t>
  </si>
  <si>
    <t xml:space="preserve">  SEP FY09</t>
  </si>
  <si>
    <t>EA//EM</t>
  </si>
  <si>
    <t>EA//SM</t>
  </si>
  <si>
    <t>EC//EM</t>
  </si>
  <si>
    <t>EC//SM</t>
  </si>
  <si>
    <t>EE//AM</t>
  </si>
  <si>
    <t>EE//EM</t>
  </si>
  <si>
    <t>EE//SM</t>
  </si>
  <si>
    <t>EE//TB</t>
  </si>
  <si>
    <t>EM//EM</t>
  </si>
  <si>
    <t>EM//SM</t>
  </si>
  <si>
    <t>EM//TB</t>
  </si>
  <si>
    <t>ORNLEM</t>
  </si>
  <si>
    <t>PPPL Engr</t>
  </si>
  <si>
    <t>PPPL Tecnicians</t>
  </si>
  <si>
    <t>ORNL Engrs</t>
  </si>
  <si>
    <t>oct</t>
  </si>
  <si>
    <t>nov</t>
  </si>
  <si>
    <t>dec</t>
  </si>
  <si>
    <t>jan</t>
  </si>
  <si>
    <t>feb</t>
  </si>
  <si>
    <t>mar</t>
  </si>
  <si>
    <t>apr</t>
  </si>
  <si>
    <t>may</t>
  </si>
  <si>
    <t>jun</t>
  </si>
  <si>
    <t>jul</t>
  </si>
  <si>
    <t>aug</t>
  </si>
  <si>
    <t>sep</t>
  </si>
  <si>
    <t>Techs ecp36</t>
  </si>
  <si>
    <t>incl cont risk</t>
  </si>
  <si>
    <t/>
  </si>
  <si>
    <t>OCT FY06</t>
  </si>
  <si>
    <t>NOV FY06</t>
  </si>
  <si>
    <t>DEC FY06</t>
  </si>
  <si>
    <t>JAN FY06</t>
  </si>
  <si>
    <t>FEB FY06</t>
  </si>
  <si>
    <t>MAR FY06</t>
  </si>
  <si>
    <t>APR FY06</t>
  </si>
  <si>
    <t>MAY FY06</t>
  </si>
  <si>
    <t>JUN FY06</t>
  </si>
  <si>
    <t>JUL FY06</t>
  </si>
  <si>
    <t>AUG FY06</t>
  </si>
  <si>
    <t>SEP FY06</t>
  </si>
  <si>
    <t>OCT FY07</t>
  </si>
  <si>
    <t>NOV FY07</t>
  </si>
  <si>
    <t>DEC FY07</t>
  </si>
  <si>
    <t>JAN FY07</t>
  </si>
  <si>
    <t>FEB FY07</t>
  </si>
  <si>
    <t>MAR FY07</t>
  </si>
  <si>
    <t>APR FY07</t>
  </si>
  <si>
    <t>MAY FY07</t>
  </si>
  <si>
    <t>JUN FY07</t>
  </si>
  <si>
    <t>JUL FY07</t>
  </si>
  <si>
    <t>AUG FY07</t>
  </si>
  <si>
    <t>SEP FY07</t>
  </si>
  <si>
    <t>OCT FY08</t>
  </si>
  <si>
    <t>NOV FY08</t>
  </si>
  <si>
    <t>DEC FY08</t>
  </si>
  <si>
    <t>JAN FY08</t>
  </si>
  <si>
    <t>FEB FY08</t>
  </si>
  <si>
    <t>MAR FY08</t>
  </si>
  <si>
    <t>APR FY08</t>
  </si>
  <si>
    <t>MAY FY08</t>
  </si>
  <si>
    <t>JUN FY08</t>
  </si>
  <si>
    <t>JUL FY08</t>
  </si>
  <si>
    <t>AUG FY08</t>
  </si>
  <si>
    <t>SEP FY08</t>
  </si>
  <si>
    <t>OCT FY09</t>
  </si>
  <si>
    <t>NOV FY09</t>
  </si>
  <si>
    <t>DEC FY09</t>
  </si>
  <si>
    <t>JAN FY09</t>
  </si>
  <si>
    <t>FEB FY09</t>
  </si>
  <si>
    <t>MAR FY09</t>
  </si>
  <si>
    <t>APR FY09</t>
  </si>
  <si>
    <t>MAY FY09</t>
  </si>
  <si>
    <t>JUN FY09</t>
  </si>
  <si>
    <t>JUL FY09</t>
  </si>
  <si>
    <t>AUG FY09</t>
  </si>
  <si>
    <t>SEP FY09</t>
  </si>
  <si>
    <t>OCT FY10</t>
  </si>
  <si>
    <t>NOV FY10</t>
  </si>
  <si>
    <t>DEC FY10</t>
  </si>
  <si>
    <t>Modular Coil</t>
  </si>
  <si>
    <t>TF Coil</t>
  </si>
  <si>
    <t>Field Period Assy</t>
  </si>
  <si>
    <t>Machine Assy</t>
  </si>
  <si>
    <t>risk</t>
  </si>
  <si>
    <t>FP Assy</t>
  </si>
  <si>
    <t>Mach Assy</t>
  </si>
  <si>
    <t>Mod Coil</t>
  </si>
  <si>
    <t>Machine Time (wks)</t>
  </si>
  <si>
    <t xml:space="preserve"> </t>
  </si>
  <si>
    <t>EIO</t>
  </si>
  <si>
    <t>26 (A)</t>
  </si>
  <si>
    <t>MWF#</t>
  </si>
  <si>
    <t xml:space="preserve">    Project Forecast</t>
  </si>
  <si>
    <t>Proj Forecast</t>
  </si>
  <si>
    <t>ECP36 %</t>
  </si>
  <si>
    <t>CPI</t>
  </si>
  <si>
    <t xml:space="preserve">451 - System Design and Interfaces              </t>
  </si>
  <si>
    <t xml:space="preserve">452 - Electrical Systems Support                </t>
  </si>
  <si>
    <t>453 - System Testing (PTP's)</t>
  </si>
  <si>
    <t>611 - C-Site Cooling System</t>
  </si>
  <si>
    <t xml:space="preserve">612 - NB Water Cooling Systems                  </t>
  </si>
  <si>
    <t>613 - Vacuum Pumping System</t>
  </si>
  <si>
    <t>614 - Bakeout Water System</t>
  </si>
  <si>
    <t>621 - LN2-LHe Supply System</t>
  </si>
  <si>
    <t>622 - LN2 Coil Cooling Supply</t>
  </si>
  <si>
    <t xml:space="preserve">623 - GN2 Cryostat Cooling System               </t>
  </si>
  <si>
    <t xml:space="preserve">650 - Facility Systems Integration              </t>
  </si>
  <si>
    <t xml:space="preserve">740 - Machine Assembly Planning and Oversight   </t>
  </si>
  <si>
    <t>Changes</t>
  </si>
  <si>
    <t>44 - Control and protection Systems</t>
  </si>
  <si>
    <t>45 - Power System Design and Integration</t>
  </si>
  <si>
    <t>46 - FCPC Building Modifications</t>
  </si>
  <si>
    <t>51 - TCP/IP Infrastructure Systems</t>
  </si>
  <si>
    <t>52 - Central Instrumentation &amp; Control</t>
  </si>
  <si>
    <t>53 - Data Acquisition &amp; Facility Computing</t>
  </si>
  <si>
    <t>54 - Facility Timing &amp; Synchronization</t>
  </si>
  <si>
    <t>55 - Real Time Plasma &amp; Power Supply Control Sys</t>
  </si>
  <si>
    <t>56 - Central Safety Interlock Systems</t>
  </si>
  <si>
    <t>58 - Central I&amp;C management and Integration</t>
  </si>
  <si>
    <t>65 - Facility Systems Integration</t>
  </si>
  <si>
    <t>71 - Shield Wall Seismic Modifications</t>
  </si>
  <si>
    <t>72 - Control Room Refurbishment</t>
  </si>
  <si>
    <t>73 - Platform Design &amp; Fabrication</t>
  </si>
  <si>
    <t>74 - Machine Assembly Planning and Oversight</t>
  </si>
  <si>
    <t>75 - Test Cell and Basement Assembly Operations</t>
  </si>
  <si>
    <t>76 - Tooling Design &amp; Fabrication</t>
  </si>
  <si>
    <t>81 - Project Management and Control</t>
  </si>
  <si>
    <t>85 - Integrated Systems Testing</t>
  </si>
  <si>
    <t>SUBTOTAL WBS 1</t>
  </si>
  <si>
    <t>SUBTOTAL WBS 2</t>
  </si>
  <si>
    <t>SUBTOTAL WBS 3</t>
  </si>
  <si>
    <t>SUBTOTAL WBS 4</t>
  </si>
  <si>
    <t>SUBTOTAL WBS 5</t>
  </si>
  <si>
    <t>SUBTOTAL WBS 6</t>
  </si>
  <si>
    <t>SUBTOTAL WBS 7</t>
  </si>
  <si>
    <t>SUBTOTAL WBS 8</t>
  </si>
  <si>
    <t>NCSX rebaseline reconciliation</t>
  </si>
  <si>
    <t>173-Spacer manipulator</t>
  </si>
  <si>
    <t>111 - Limiters</t>
  </si>
  <si>
    <t>121 - Vacuum Vessel Assembly</t>
  </si>
  <si>
    <t xml:space="preserve">122 - Vacuum Vessel Thermal Insulation          </t>
  </si>
  <si>
    <t xml:space="preserve">123 - Vacuum Vessel Heating and Cooling Distrib </t>
  </si>
  <si>
    <t>124 - Vacuum Vessel Supports</t>
  </si>
  <si>
    <t>125 - Vacuum Vessel Local I&amp;C</t>
  </si>
  <si>
    <t xml:space="preserve">130 - Conventional Coil Design                  </t>
  </si>
  <si>
    <t>131 - TF Coils</t>
  </si>
  <si>
    <t>132 - PF Coils</t>
  </si>
  <si>
    <t>133 - External Trim Coils</t>
  </si>
  <si>
    <t>134 - Conventional Coil Local</t>
  </si>
  <si>
    <t xml:space="preserve">141 - Modular Coil Winding Form                 </t>
  </si>
  <si>
    <t xml:space="preserve">142 - Modular Coil Windings and Assembly        </t>
  </si>
  <si>
    <t>143 - Modular Coil Local I&amp;C</t>
  </si>
  <si>
    <t xml:space="preserve">144 - Modular Coil Winding Facility &amp; Fixtures  </t>
  </si>
  <si>
    <t>151 - Coil Support Structure</t>
  </si>
  <si>
    <t>161 - LN2 Distribution</t>
  </si>
  <si>
    <t>162 - Electrical Leads</t>
  </si>
  <si>
    <t>163 - Coil Protection System</t>
  </si>
  <si>
    <t>171 -Cryostat</t>
  </si>
  <si>
    <t>172 - Base Support Structure</t>
  </si>
  <si>
    <t xml:space="preserve">181 - Field Period Assembly Planning/Oversight  </t>
  </si>
  <si>
    <t xml:space="preserve">182 - TFTR Test Cell Area preparations          </t>
  </si>
  <si>
    <t xml:space="preserve">183 - Receive Inspect  and Test Coils           </t>
  </si>
  <si>
    <t xml:space="preserve">184 - Receive  Inspect  and Test VV             </t>
  </si>
  <si>
    <t>185 - Assemble Field Periods</t>
  </si>
  <si>
    <t xml:space="preserve">186 - Tooling Design and Fabrication            </t>
  </si>
  <si>
    <t>187 - Measurement Systems</t>
  </si>
  <si>
    <t xml:space="preserve">191 - Stellarator Core Management &amp; Oversight   </t>
  </si>
  <si>
    <t xml:space="preserve">192 - Stellarator Core Integration &amp; Analysis   </t>
  </si>
  <si>
    <t xml:space="preserve">411 - Auxliary AC Power Systems                 </t>
  </si>
  <si>
    <t xml:space="preserve">412 - Experimental AC Power Systems             </t>
  </si>
  <si>
    <t>431 - C-Site DC Systems</t>
  </si>
  <si>
    <t>432 - D-to-C Site DC Systems</t>
  </si>
  <si>
    <t>433 - D-Site DC Systems</t>
  </si>
  <si>
    <t>441 - Electrical Interlocks</t>
  </si>
  <si>
    <t>442 - Kirk Key Interlocks</t>
  </si>
  <si>
    <t xml:space="preserve">443 - Real Time Control Systems                 </t>
  </si>
  <si>
    <t>444 - Instrument Systems</t>
  </si>
  <si>
    <t>445 - Coil protection Systems</t>
  </si>
  <si>
    <t xml:space="preserve">741 - Planning Prior to Machine Assembly        </t>
  </si>
  <si>
    <t>742 - Construction Management</t>
  </si>
  <si>
    <t xml:space="preserve">750 - Test Cell &amp; Basement Assembly Operations  </t>
  </si>
  <si>
    <t>PPPL Allocations</t>
  </si>
  <si>
    <t>17 - Cryostat and Base Support Structure</t>
  </si>
  <si>
    <t>22 - Torus Vacuum Pumping Systems</t>
  </si>
  <si>
    <t>25 - Neutral Beam Injection System</t>
  </si>
  <si>
    <t>36 - Edge and Divertor Diagnostics</t>
  </si>
  <si>
    <t>38 - Electron Beam (EB) Mapping</t>
  </si>
  <si>
    <t>DCMA Support</t>
  </si>
  <si>
    <t>ECP-036</t>
  </si>
  <si>
    <t>AAA</t>
  </si>
  <si>
    <t>CCC</t>
  </si>
  <si>
    <t>DDD</t>
  </si>
  <si>
    <t>etc</t>
  </si>
  <si>
    <t>ETC/rates</t>
  </si>
  <si>
    <t>WBS</t>
  </si>
  <si>
    <t>WBS Title</t>
  </si>
  <si>
    <t>Project Estimate</t>
  </si>
  <si>
    <t>DOE Assessment</t>
  </si>
  <si>
    <t>Variance ($K)</t>
  </si>
  <si>
    <t>Comments</t>
  </si>
  <si>
    <t>Comment</t>
  </si>
  <si>
    <t>Base Cost ($K)</t>
  </si>
  <si>
    <t>Base To Date</t>
  </si>
  <si>
    <t>Base To Go</t>
  </si>
  <si>
    <t>Total ($K)</t>
  </si>
  <si>
    <t>To Date</t>
  </si>
  <si>
    <t>To Go</t>
  </si>
  <si>
    <t xml:space="preserve">Contingency </t>
  </si>
  <si>
    <t>Cost</t>
  </si>
  <si>
    <t>$</t>
  </si>
  <si>
    <t xml:space="preserve">Stellarator Core Systems </t>
  </si>
  <si>
    <t>In Vessel Components</t>
  </si>
  <si>
    <t>Vacuum Vessel Systems</t>
  </si>
  <si>
    <t>Conventional Coils</t>
  </si>
  <si>
    <t>Mod Coils</t>
  </si>
  <si>
    <t>Coil Support Structures</t>
  </si>
  <si>
    <t>Coil Services</t>
  </si>
  <si>
    <t>Cryostat &amp; Base Support Structure</t>
  </si>
  <si>
    <t>Field Period Assembly</t>
  </si>
  <si>
    <t>Tooling Design &amp; Fabrication</t>
  </si>
  <si>
    <t xml:space="preserve">Stellarator Core Mgmt. &amp; Integration </t>
  </si>
  <si>
    <t xml:space="preserve">Plasma Heating Fueling &amp; Vac Systems </t>
  </si>
  <si>
    <t>Fueling Systems</t>
  </si>
  <si>
    <t>Torus Vacuum Pump</t>
  </si>
  <si>
    <t>Wall Conditioning System</t>
  </si>
  <si>
    <t>Neutral Beam Injection System</t>
  </si>
  <si>
    <t xml:space="preserve">Diagnostics </t>
  </si>
  <si>
    <t>Profile Diagnostics</t>
  </si>
  <si>
    <t>Edge &amp; Divertor Diagnostics</t>
  </si>
  <si>
    <t>Electron Beam (EB) Mapping</t>
  </si>
  <si>
    <t>Diagnostics Integration</t>
  </si>
  <si>
    <t xml:space="preserve">Electrical Power Systems </t>
  </si>
  <si>
    <t xml:space="preserve">AC Power </t>
  </si>
  <si>
    <t xml:space="preserve">AC/DC Converter </t>
  </si>
  <si>
    <t xml:space="preserve">DC Systems </t>
  </si>
  <si>
    <t>Control &amp; protection system</t>
  </si>
  <si>
    <t>Power System Design &amp; Integration</t>
  </si>
  <si>
    <t>FCPC Building Modification</t>
  </si>
  <si>
    <t xml:space="preserve">Central I&amp;C Systems </t>
  </si>
  <si>
    <t>TCP/IP Infrastructure System</t>
  </si>
  <si>
    <t>Central Instrumentation &amp; Controls System</t>
  </si>
  <si>
    <t xml:space="preserve">Data Acquisition &amp; Facility Computing </t>
  </si>
  <si>
    <t>Facility Timing &amp; Synchronization System</t>
  </si>
  <si>
    <t>Real Time Plasma &amp; Power Control Systems</t>
  </si>
  <si>
    <t>Central Safety Interlock System</t>
  </si>
  <si>
    <t>Control Room Facility</t>
  </si>
  <si>
    <t xml:space="preserve">Facility Systems </t>
  </si>
  <si>
    <t xml:space="preserve">Water Cooling Systems </t>
  </si>
  <si>
    <t>Cryogenic System</t>
  </si>
  <si>
    <t xml:space="preserve">Utility Systems </t>
  </si>
  <si>
    <t xml:space="preserve">Bakeout System </t>
  </si>
  <si>
    <t xml:space="preserve">Facility System </t>
  </si>
  <si>
    <t xml:space="preserve">Test Cell Preparation &amp; Machine Assy </t>
  </si>
  <si>
    <t>Shield Wall Reconfiguration</t>
  </si>
  <si>
    <t>Control Room Refurbishment</t>
  </si>
  <si>
    <t xml:space="preserve">Platform Design </t>
  </si>
  <si>
    <t xml:space="preserve">Planning/Oversight </t>
  </si>
  <si>
    <t>Machine Assembly Planning &amp; Oversight</t>
  </si>
  <si>
    <t xml:space="preserve">Project Oversight &amp; Support </t>
  </si>
  <si>
    <t>Project Management &amp; Control</t>
  </si>
  <si>
    <t xml:space="preserve">Project Engineering </t>
  </si>
  <si>
    <t>Environmental &amp; Safety/QA/QC in overhead</t>
  </si>
  <si>
    <t>Project Physics</t>
  </si>
  <si>
    <t>Integrated System Testing</t>
  </si>
  <si>
    <t xml:space="preserve">A </t>
  </si>
  <si>
    <t xml:space="preserve"> Allocations</t>
  </si>
  <si>
    <t>Central I&amp;C management and Integration</t>
  </si>
  <si>
    <t>EIO Forecast</t>
  </si>
  <si>
    <t>12 - Vacuum Vessel Systems (wo/VVSA)</t>
  </si>
  <si>
    <t>14 - Modular Coils (wo/MCWF)</t>
  </si>
  <si>
    <t>ETC Updates &amp; Design Changes</t>
  </si>
  <si>
    <t>Proposed PMB</t>
  </si>
  <si>
    <t>Total Proposed Change</t>
  </si>
  <si>
    <t>ECP-39</t>
  </si>
  <si>
    <t>Joule #4 Cmplt Winding First MC</t>
  </si>
  <si>
    <t>Joule FY06-Complt fab one VVSA and two modular coils</t>
  </si>
  <si>
    <t xml:space="preserve">Station 2-Wind </t>
  </si>
  <si>
    <t>Station 3-Wind</t>
  </si>
  <si>
    <t>Stage 1: Attach Cooling,Diag, Insulation</t>
  </si>
  <si>
    <t>Stage 2: Pre-Assemble Mod Coils</t>
  </si>
  <si>
    <t>Stage 3: MC Installation</t>
  </si>
  <si>
    <t>Stage 4: Assemble 1st Period</t>
  </si>
  <si>
    <t>Stage 4: Assemble 2nd Period</t>
  </si>
  <si>
    <t>Stage 4: Assemble 3rd Period</t>
  </si>
  <si>
    <t>2 shift operation</t>
  </si>
  <si>
    <t>FY06 JOULE  Complete Fabr. of one VVSA and two Mod Coils</t>
  </si>
  <si>
    <t>EAC</t>
  </si>
  <si>
    <t>BO (EAC + Cont)</t>
  </si>
  <si>
    <t>Current Baseline (ECP-43)</t>
  </si>
  <si>
    <t>ETC</t>
  </si>
  <si>
    <t>New PMB (ECP-44)</t>
  </si>
  <si>
    <t>VVSA,MCWF,&amp;TF Contract</t>
  </si>
  <si>
    <t>Balance of Project</t>
  </si>
  <si>
    <t xml:space="preserve">Nov05 lehman </t>
  </si>
  <si>
    <t>Vac Vsl hardware design</t>
  </si>
  <si>
    <t>VVSA Contract oversight</t>
  </si>
  <si>
    <t>TF Fab Facility</t>
  </si>
  <si>
    <t>TF coil- fabrication</t>
  </si>
  <si>
    <t>TF coil -PPPL oversight/title III</t>
  </si>
  <si>
    <t>combine base ,&amp; coil support struct into one procurement</t>
  </si>
  <si>
    <t>Simpler design to be fabricated by PPPL</t>
  </si>
  <si>
    <t>Cryogenic test facility (job 1414)</t>
  </si>
  <si>
    <t xml:space="preserve"> MC winding (job 1451 &amp; 1459)</t>
  </si>
  <si>
    <t xml:space="preserve">Mod Coil interface design </t>
  </si>
  <si>
    <t>Mod Coil interface hardware</t>
  </si>
  <si>
    <t>WBS 17 cryostat and base support</t>
  </si>
  <si>
    <t>Metrology H/W maint and support (job 1804)</t>
  </si>
  <si>
    <t>WBS 18 Field period assy fuxtures &amp; prep</t>
  </si>
  <si>
    <t>Fueling and Vacuum Pumping</t>
  </si>
  <si>
    <t>Magnetic Diagmnostics</t>
  </si>
  <si>
    <t>E-beam mapping diagnostic hardware</t>
  </si>
  <si>
    <t>Edge &amp; diverter diagnostics</t>
  </si>
  <si>
    <t>Electrical Power Systems</t>
  </si>
  <si>
    <t>Water systems</t>
  </si>
  <si>
    <t>Project management office</t>
  </si>
  <si>
    <t>Proj Engr (Reierson,Dudek, Simmons)</t>
  </si>
  <si>
    <t>Design Integration (brown, Designer)</t>
  </si>
  <si>
    <t>Systems Analysis (Brooks)</t>
  </si>
  <si>
    <t>Dimensional Control (Stratton, Raftopolous)</t>
  </si>
  <si>
    <t xml:space="preserve">wbs 85 PTP &amp; ISTP startup </t>
  </si>
  <si>
    <t>other cost variances</t>
  </si>
  <si>
    <t>Design of heater tape, cooling tubes and associated hardware</t>
  </si>
  <si>
    <t>TF Coil  Hardware fabrication</t>
  </si>
  <si>
    <t>TF outsourcing efforts (documentation, travel, evaluation)</t>
  </si>
  <si>
    <t>Modular Coil Design</t>
  </si>
  <si>
    <t>Purchase of a third Romer arm and computer</t>
  </si>
  <si>
    <t>Engineering and fabrication of vacuum vessel saddle loops.</t>
  </si>
  <si>
    <t>Revisions to the C-site power systems and cabling design</t>
  </si>
  <si>
    <t xml:space="preserve">NCSX test cell electrical power upgrades </t>
  </si>
  <si>
    <t>Test Cell Preparations</t>
  </si>
  <si>
    <t>Project management team (PPPL &amp; ORNL) and overhead allocations</t>
  </si>
  <si>
    <t>RLM oversight</t>
  </si>
  <si>
    <t>Integrated stellarator modeling and analysis (ie mod coil coil-to-coil  and machine support)</t>
  </si>
  <si>
    <t>Increase in fabrication cost ($1,473 contract award)</t>
  </si>
  <si>
    <t xml:space="preserve">Estimate reduced in recognition of TF cost. </t>
  </si>
  <si>
    <t>Central solenoid support structure fabrication</t>
  </si>
  <si>
    <t>Increase to oversee outsourcing of fabrication (average of 1 trip/week). Risk mitigation due to vendor history.</t>
  </si>
  <si>
    <t>Completion of test facility and testing of modular coil</t>
  </si>
  <si>
    <t>rate variance</t>
  </si>
  <si>
    <t>* includes anticipated rates variances</t>
  </si>
  <si>
    <t>Estimate growth (including overtime and second shift differential) into mid-FY07.</t>
  </si>
  <si>
    <t>Completion of Type A &amp; B modular coil design</t>
  </si>
  <si>
    <t>Elimination of redundant assembly and hardware drawings.</t>
  </si>
  <si>
    <t>Additional analysis of joint and resultant design modifications</t>
  </si>
  <si>
    <t>Shims, bolts, washers and bladder hardware.</t>
  </si>
  <si>
    <t xml:space="preserve">Additional assembly steps and includes hands-on senior field supervisor. </t>
  </si>
  <si>
    <t>Metrology engr supervision (raftopolous) stage 1 FP assy</t>
  </si>
  <si>
    <t>FP assy tooling &amp; fixtures -engr&amp; design increase</t>
  </si>
  <si>
    <t>FP assy stage 1</t>
  </si>
  <si>
    <t>Simplified systems design using existing  pumping system (tested on VVSA).</t>
  </si>
  <si>
    <t>Controls and protection</t>
  </si>
  <si>
    <t>eliminate DC shunts and simplify overload protection</t>
  </si>
  <si>
    <t>AC power</t>
  </si>
  <si>
    <t>Minimal ex-test cell AC power and grounding</t>
  </si>
  <si>
    <t>DC power</t>
  </si>
  <si>
    <t>Power loop design and C-site rectifier maintenance\</t>
  </si>
  <si>
    <t>Local TCP/IP network infrastructure</t>
  </si>
  <si>
    <t xml:space="preserve"> TCP/IP network </t>
  </si>
  <si>
    <t>Central Facilities I&amp;C</t>
  </si>
  <si>
    <t>Diagnostic Data Acquisition &amp; computing</t>
  </si>
  <si>
    <t>The NSTX infrastructure will be used where possible.</t>
  </si>
  <si>
    <t>Facility timing &amp; synchronization</t>
  </si>
  <si>
    <t>Use timing device designs in use on NSTX</t>
  </si>
  <si>
    <t>Real time plasma control</t>
  </si>
  <si>
    <t>PC based "LabVIEW" will produce open-loop power supply commands.</t>
  </si>
  <si>
    <t>Central Safety &amp; Interlokcs</t>
  </si>
  <si>
    <t>Oversight</t>
  </si>
  <si>
    <t>Central I&amp;C Integr and oversight</t>
  </si>
  <si>
    <t>Once through potable water system for vacuum pumps only</t>
  </si>
  <si>
    <t>Eliminate TC floor resurface and completion of control rm floors</t>
  </si>
  <si>
    <t>2 shift ops on select tasks (reduced support crews</t>
  </si>
  <si>
    <t>Machine assembly</t>
  </si>
  <si>
    <t>Machine assy preparations</t>
  </si>
  <si>
    <t>Increased RLM oversight and Project engineering</t>
  </si>
  <si>
    <t>Increase designer and engineer time for global design interface.</t>
  </si>
  <si>
    <t>Global machine modeling and analysis</t>
  </si>
  <si>
    <t>Dimensional control supervision.</t>
  </si>
  <si>
    <t>Reduced operational and startup procdures plus allocation of startup staff</t>
  </si>
  <si>
    <t>Anticipated FY06 rate variance and allocations</t>
  </si>
  <si>
    <t>Magnetic Diagnostic design and fabrication</t>
  </si>
  <si>
    <t xml:space="preserve">Anticipated FY06 rate variance  </t>
  </si>
  <si>
    <t>PF coil procurement &amp; design</t>
  </si>
  <si>
    <t>WBS 12</t>
  </si>
  <si>
    <t xml:space="preserve">WBS </t>
  </si>
  <si>
    <t>WBS 13</t>
  </si>
  <si>
    <t>WBS 14</t>
  </si>
  <si>
    <t>WBS 17</t>
  </si>
  <si>
    <t>WBS 18</t>
  </si>
  <si>
    <t>WBS 3</t>
  </si>
  <si>
    <t>WBS 4</t>
  </si>
  <si>
    <t>WBS 7</t>
  </si>
  <si>
    <t>WBS 81</t>
  </si>
  <si>
    <t>WBS 82</t>
  </si>
  <si>
    <t>ETC Updates</t>
  </si>
  <si>
    <t>FP assy tooling &amp; fixtures</t>
  </si>
  <si>
    <t>Fixtures re-estimate plus add'l stage 5 fixture.</t>
  </si>
  <si>
    <t>ETC Updates (continued)</t>
  </si>
  <si>
    <t>WBS 2</t>
  </si>
  <si>
    <t>WBS 51</t>
  </si>
  <si>
    <t>WBS 52</t>
  </si>
  <si>
    <t>WBS 53</t>
  </si>
  <si>
    <t>WBS 54</t>
  </si>
  <si>
    <t>WBS 55</t>
  </si>
  <si>
    <t>WBS 56</t>
  </si>
  <si>
    <t>WBS 58</t>
  </si>
  <si>
    <t>WBS 61</t>
  </si>
  <si>
    <t>WBS 75</t>
  </si>
  <si>
    <t>WBS 85</t>
  </si>
  <si>
    <t>WBS 13,15</t>
  </si>
  <si>
    <t>Fabricate PF coils at ASIPP</t>
  </si>
  <si>
    <t>Simpler Cryostat Design</t>
  </si>
  <si>
    <t>Aggressive machine assembly schedule using 2 shifts. Saves two months and LOE cost</t>
  </si>
  <si>
    <t>BCWS</t>
  </si>
  <si>
    <t>contingency</t>
  </si>
  <si>
    <t>on remaining scope</t>
  </si>
  <si>
    <t>complete</t>
  </si>
  <si>
    <t>spent</t>
  </si>
  <si>
    <t>TEC</t>
  </si>
  <si>
    <t>Budget</t>
  </si>
  <si>
    <t>Budget (BA plus c/o)=</t>
  </si>
  <si>
    <t>EAC (FY06)=</t>
  </si>
  <si>
    <t>+/-</t>
  </si>
  <si>
    <t>Support of MTM leak testing of the VVSA, and NCR reconciliation</t>
  </si>
  <si>
    <t>Facility design , testing and modifications in support of the upcoming mod. coil  cold test</t>
  </si>
  <si>
    <t>Alternate configurations studied.</t>
  </si>
  <si>
    <t xml:space="preserve">Base ,&amp; coil support struct </t>
  </si>
  <si>
    <t>Increase to full time metrology engr to support completion of mod coil fabr plus field period assembly tasks thru FY07.</t>
  </si>
  <si>
    <t>Additional engr and designer support to design field period assy fixtures.</t>
  </si>
  <si>
    <t>Metrology hardware &amp; software maintenance, replacement parts, calibration</t>
  </si>
  <si>
    <t>Vac Vsl hardware design and hardware</t>
  </si>
  <si>
    <t>Completion of thermal insulation, heater tape and assembly drawings. Port Insulation increase.</t>
  </si>
  <si>
    <t>Re-evaluate in 6 months.</t>
  </si>
  <si>
    <t>Project Engineering &amp; Configuration Control , Design Integration, Systems Analysis, Dimensional Control</t>
  </si>
  <si>
    <t xml:space="preserve">Balance of DOE exposure should EIO deliver ahead of the project schedule. </t>
  </si>
  <si>
    <t>MCWF Delivery Incentives</t>
  </si>
  <si>
    <t>Anticipated levels included through mid-FY07 to support field period assembly, completion of stellarator core systems designs. Potential for added support in out-years covered in the contingency analysis.</t>
  </si>
  <si>
    <t>Unanticipated work, facility mods, initial learning curve/efficiencies.</t>
  </si>
  <si>
    <t>Use of collaration for e-beam mapping</t>
  </si>
  <si>
    <t>Share  camera from NSTX</t>
  </si>
  <si>
    <t>Local Control</t>
  </si>
  <si>
    <t>Use of locks and physical barriers</t>
  </si>
  <si>
    <t>TF Contract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</si>
</sst>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0_);[Red]\(&quot;$&quot;#,##0.0\)"/>
    <numFmt numFmtId="168" formatCode="_(* #,##0.0_);_(* \(#,##0.0\);_(* &quot;-&quot;?_);_(@_)"/>
    <numFmt numFmtId="169" formatCode="0.000%"/>
    <numFmt numFmtId="170" formatCode="\+\ 0.00;\-\ 0.00"/>
    <numFmt numFmtId="171" formatCode="[Red]\+\ 0.00;[Blue]\-\ 0.00"/>
    <numFmt numFmtId="172" formatCode="[Red]\+\ 0.0;[Blue]\-\ 0.0"/>
    <numFmt numFmtId="173" formatCode="[Red]\+\ 0;[Blue]\-\ 0"/>
    <numFmt numFmtId="174" formatCode="0.0000"/>
    <numFmt numFmtId="175" formatCode="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0_);_(* \(#,##0.000\);_(* &quot;-&quot;???_);_(@_)"/>
    <numFmt numFmtId="182" formatCode="_(&quot;$&quot;* #,##0_);_(&quot;$&quot;* \(#,##0\);_(&quot;$&quot;* &quot;-&quot;??_);_(@_)"/>
    <numFmt numFmtId="183" formatCode="_(&quot;$&quot;* #,##0.0_);_(&quot;$&quot;* \(#,##0.0\);_(&quot;$&quot;* &quot;-&quot;??_);_(@_)"/>
    <numFmt numFmtId="184" formatCode="[$-409]mmm\-yy;@"/>
    <numFmt numFmtId="185" formatCode="0.00_)"/>
    <numFmt numFmtId="186" formatCode="0.00000"/>
    <numFmt numFmtId="187" formatCode="_(&quot;$&quot;* #,##0.000_);_(&quot;$&quot;* \(#,##0.000\);_(&quot;$&quot;* &quot;-&quot;??_);_(@_)"/>
    <numFmt numFmtId="188" formatCode="0.0000%"/>
    <numFmt numFmtId="189" formatCode="_(&quot;$&quot;* #,##0.0000_);_(&quot;$&quot;* \(#,##0.0000\);_(&quot;$&quot;* &quot;-&quot;??_);_(@_)"/>
    <numFmt numFmtId="190" formatCode="0.00000000"/>
    <numFmt numFmtId="191" formatCode="0.0000000"/>
    <numFmt numFmtId="192" formatCode="0.000000"/>
    <numFmt numFmtId="193" formatCode="_(* #,##0.000_);_(* \(#,##0.000\);_(* &quot;-&quot;??_);_(@_)"/>
    <numFmt numFmtId="194" formatCode="mmm\-yyyy"/>
    <numFmt numFmtId="195" formatCode="dd\-mmm\-yy_)"/>
    <numFmt numFmtId="196" formatCode="m/d/yy;@"/>
    <numFmt numFmtId="197" formatCode="mmm"/>
    <numFmt numFmtId="198" formatCode="m"/>
    <numFmt numFmtId="199" formatCode="mm"/>
    <numFmt numFmtId="200" formatCode="[$-409]dddd\,\ mmmm\ dd\,\ yyyy"/>
    <numFmt numFmtId="201" formatCode="[$-409]mmmmm;@"/>
    <numFmt numFmtId="202" formatCode="\ "/>
    <numFmt numFmtId="203" formatCode="&quot;$&quot;#,##0"/>
    <numFmt numFmtId="204" formatCode="&quot;$&quot;#,##0.00"/>
    <numFmt numFmtId="205" formatCode="&quot;$&quot;#,##0.0"/>
  </numFmts>
  <fonts count="79">
    <font>
      <sz val="10"/>
      <name val="Arial"/>
      <family val="0"/>
    </font>
    <font>
      <u val="singleAccounting"/>
      <sz val="10"/>
      <name val="Arial"/>
      <family val="0"/>
    </font>
    <font>
      <b/>
      <sz val="10"/>
      <name val="Arial"/>
      <family val="2"/>
    </font>
    <font>
      <b/>
      <sz val="12"/>
      <name val="Arial"/>
      <family val="2"/>
    </font>
    <font>
      <sz val="8"/>
      <name val="Arial"/>
      <family val="0"/>
    </font>
    <font>
      <b/>
      <u val="single"/>
      <sz val="10"/>
      <name val="Arial"/>
      <family val="2"/>
    </font>
    <font>
      <u val="single"/>
      <sz val="10"/>
      <name val="Arial"/>
      <family val="0"/>
    </font>
    <font>
      <b/>
      <u val="single"/>
      <sz val="12"/>
      <name val="Arial"/>
      <family val="2"/>
    </font>
    <font>
      <b/>
      <sz val="10"/>
      <color indexed="12"/>
      <name val="Arial"/>
      <family val="2"/>
    </font>
    <font>
      <u val="single"/>
      <sz val="10"/>
      <color indexed="12"/>
      <name val="Arial"/>
      <family val="0"/>
    </font>
    <font>
      <u val="single"/>
      <sz val="10"/>
      <color indexed="36"/>
      <name val="Arial"/>
      <family val="0"/>
    </font>
    <font>
      <sz val="11"/>
      <name val="Arial"/>
      <family val="0"/>
    </font>
    <font>
      <b/>
      <sz val="11"/>
      <name val="Arial"/>
      <family val="0"/>
    </font>
    <font>
      <b/>
      <sz val="11"/>
      <color indexed="8"/>
      <name val="Arial"/>
      <family val="0"/>
    </font>
    <font>
      <sz val="11"/>
      <color indexed="8"/>
      <name val="Arial"/>
      <family val="0"/>
    </font>
    <font>
      <b/>
      <sz val="10"/>
      <name val="Courier"/>
      <family val="3"/>
    </font>
    <font>
      <i/>
      <sz val="10"/>
      <name val="Arial"/>
      <family val="2"/>
    </font>
    <font>
      <i/>
      <u val="singleAccounting"/>
      <sz val="10"/>
      <name val="Arial"/>
      <family val="2"/>
    </font>
    <font>
      <b/>
      <sz val="20"/>
      <name val="Arial"/>
      <family val="2"/>
    </font>
    <font>
      <b/>
      <sz val="17.5"/>
      <name val="Arial"/>
      <family val="2"/>
    </font>
    <font>
      <sz val="13.75"/>
      <name val="Arial"/>
      <family val="2"/>
    </font>
    <font>
      <b/>
      <sz val="13.75"/>
      <name val="Arial"/>
      <family val="2"/>
    </font>
    <font>
      <b/>
      <sz val="16"/>
      <name val="Arial"/>
      <family val="2"/>
    </font>
    <font>
      <b/>
      <sz val="16"/>
      <color indexed="10"/>
      <name val="Arial"/>
      <family val="2"/>
    </font>
    <font>
      <b/>
      <i/>
      <sz val="16"/>
      <name val="Arial"/>
      <family val="2"/>
    </font>
    <font>
      <b/>
      <sz val="16"/>
      <color indexed="12"/>
      <name val="Arial"/>
      <family val="2"/>
    </font>
    <font>
      <i/>
      <sz val="14"/>
      <name val="Arial"/>
      <family val="2"/>
    </font>
    <font>
      <sz val="48"/>
      <name val="Arial"/>
      <family val="2"/>
    </font>
    <font>
      <sz val="9"/>
      <name val="Arial Narrow"/>
      <family val="2"/>
    </font>
    <font>
      <sz val="16"/>
      <name val="Arial"/>
      <family val="2"/>
    </font>
    <font>
      <u val="single"/>
      <sz val="16"/>
      <name val="Arial"/>
      <family val="2"/>
    </font>
    <font>
      <b/>
      <sz val="8"/>
      <name val="Arial"/>
      <family val="2"/>
    </font>
    <font>
      <u val="single"/>
      <sz val="14"/>
      <name val="Arial"/>
      <family val="2"/>
    </font>
    <font>
      <i/>
      <sz val="8"/>
      <color indexed="23"/>
      <name val="Arial"/>
      <family val="2"/>
    </font>
    <font>
      <sz val="10"/>
      <color indexed="8"/>
      <name val="Arial"/>
      <family val="2"/>
    </font>
    <font>
      <i/>
      <sz val="8"/>
      <color indexed="8"/>
      <name val="Arial"/>
      <family val="2"/>
    </font>
    <font>
      <i/>
      <sz val="10"/>
      <color indexed="8"/>
      <name val="Arial"/>
      <family val="2"/>
    </font>
    <font>
      <sz val="11"/>
      <color indexed="9"/>
      <name val="Arial"/>
      <family val="2"/>
    </font>
    <font>
      <sz val="8"/>
      <name val="Arial Narrow"/>
      <family val="2"/>
    </font>
    <font>
      <b/>
      <u val="single"/>
      <sz val="16"/>
      <name val="Arial"/>
      <family val="2"/>
    </font>
    <font>
      <sz val="12"/>
      <name val="Arial"/>
      <family val="2"/>
    </font>
    <font>
      <i/>
      <sz val="12"/>
      <name val="Arial"/>
      <family val="2"/>
    </font>
    <font>
      <sz val="14"/>
      <name val="Arial"/>
      <family val="2"/>
    </font>
    <font>
      <b/>
      <u val="single"/>
      <sz val="22"/>
      <name val="Arial"/>
      <family val="2"/>
    </font>
    <font>
      <b/>
      <i/>
      <sz val="14"/>
      <name val="Arial"/>
      <family val="2"/>
    </font>
    <font>
      <b/>
      <u val="single"/>
      <sz val="14"/>
      <name val="Arial"/>
      <family val="2"/>
    </font>
    <font>
      <b/>
      <sz val="14"/>
      <name val="Arial"/>
      <family val="2"/>
    </font>
    <font>
      <b/>
      <i/>
      <u val="single"/>
      <sz val="14"/>
      <name val="Arial"/>
      <family val="2"/>
    </font>
    <font>
      <sz val="9"/>
      <name val="Arial"/>
      <family val="2"/>
    </font>
    <font>
      <b/>
      <sz val="18"/>
      <name val="Arial"/>
      <family val="2"/>
    </font>
    <font>
      <b/>
      <sz val="13.5"/>
      <name val="Arial"/>
      <family val="2"/>
    </font>
    <font>
      <b/>
      <i/>
      <u val="single"/>
      <sz val="9"/>
      <color indexed="12"/>
      <name val="Arial"/>
      <family val="2"/>
    </font>
    <font>
      <i/>
      <sz val="9"/>
      <color indexed="12"/>
      <name val="Arial"/>
      <family val="2"/>
    </font>
    <font>
      <b/>
      <i/>
      <sz val="10"/>
      <name val="Arial"/>
      <family val="2"/>
    </font>
    <font>
      <b/>
      <u val="singleAccounting"/>
      <sz val="10"/>
      <name val="Arial"/>
      <family val="2"/>
    </font>
    <font>
      <b/>
      <i/>
      <sz val="11"/>
      <name val="Arial"/>
      <family val="0"/>
    </font>
    <font>
      <b/>
      <sz val="10"/>
      <name val="Times New Roman"/>
      <family val="1"/>
    </font>
    <font>
      <sz val="10"/>
      <name val="Times New Roman"/>
      <family val="1"/>
    </font>
    <font>
      <b/>
      <sz val="8"/>
      <name val="Tahoma"/>
      <family val="0"/>
    </font>
    <font>
      <sz val="8"/>
      <name val="Tahoma"/>
      <family val="0"/>
    </font>
    <font>
      <b/>
      <sz val="14"/>
      <name val="Times New Roman"/>
      <family val="1"/>
    </font>
    <font>
      <sz val="12"/>
      <color indexed="8"/>
      <name val="Arial"/>
      <family val="2"/>
    </font>
    <font>
      <b/>
      <sz val="9"/>
      <name val="Arial Narrow"/>
      <family val="2"/>
    </font>
    <font>
      <u val="single"/>
      <sz val="11"/>
      <name val="Arial"/>
      <family val="2"/>
    </font>
    <font>
      <i/>
      <sz val="9"/>
      <name val="Arial"/>
      <family val="2"/>
    </font>
    <font>
      <u val="single"/>
      <sz val="12"/>
      <color indexed="8"/>
      <name val="Arial"/>
      <family val="2"/>
    </font>
    <font>
      <u val="single"/>
      <sz val="10"/>
      <color indexed="8"/>
      <name val="Arial"/>
      <family val="2"/>
    </font>
    <font>
      <u val="single"/>
      <sz val="11"/>
      <color indexed="8"/>
      <name val="Arial"/>
      <family val="2"/>
    </font>
    <font>
      <sz val="10"/>
      <color indexed="12"/>
      <name val="Arial"/>
      <family val="2"/>
    </font>
    <font>
      <sz val="10"/>
      <color indexed="10"/>
      <name val="Arial"/>
      <family val="2"/>
    </font>
    <font>
      <sz val="14"/>
      <color indexed="8"/>
      <name val="Arial"/>
      <family val="2"/>
    </font>
    <font>
      <sz val="14"/>
      <color indexed="12"/>
      <name val="Arial"/>
      <family val="2"/>
    </font>
    <font>
      <b/>
      <sz val="11"/>
      <color indexed="12"/>
      <name val="Arial"/>
      <family val="2"/>
    </font>
    <font>
      <b/>
      <u val="single"/>
      <sz val="14"/>
      <color indexed="8"/>
      <name val="Arial"/>
      <family val="2"/>
    </font>
    <font>
      <b/>
      <u val="single"/>
      <sz val="16"/>
      <color indexed="8"/>
      <name val="Arial"/>
      <family val="2"/>
    </font>
    <font>
      <b/>
      <sz val="14"/>
      <color indexed="8"/>
      <name val="Arial"/>
      <family val="2"/>
    </font>
    <font>
      <b/>
      <sz val="14"/>
      <color indexed="12"/>
      <name val="Arial"/>
      <family val="2"/>
    </font>
    <font>
      <b/>
      <sz val="14"/>
      <color indexed="10"/>
      <name val="Arial"/>
      <family val="2"/>
    </font>
    <font>
      <b/>
      <sz val="10"/>
      <color indexed="10"/>
      <name val="Arial"/>
      <family val="2"/>
    </font>
  </fonts>
  <fills count="12">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15"/>
        <bgColor indexed="64"/>
      </patternFill>
    </fill>
    <fill>
      <patternFill patternType="solid">
        <fgColor indexed="14"/>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63"/>
        <bgColor indexed="64"/>
      </patternFill>
    </fill>
    <fill>
      <patternFill patternType="solid">
        <fgColor indexed="11"/>
        <bgColor indexed="64"/>
      </patternFill>
    </fill>
  </fills>
  <borders count="69">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double"/>
    </border>
    <border>
      <left style="medium"/>
      <right style="medium"/>
      <top>
        <color indexed="63"/>
      </top>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medium"/>
      <top style="thin"/>
      <bottom style="thin"/>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thin"/>
      <bottom style="double"/>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style="double"/>
    </border>
    <border>
      <left>
        <color indexed="63"/>
      </left>
      <right>
        <color indexed="63"/>
      </right>
      <top style="thin"/>
      <bottom style="double"/>
    </border>
    <border>
      <left style="mediumDashed">
        <color indexed="23"/>
      </left>
      <right style="mediumDashed">
        <color indexed="23"/>
      </right>
      <top>
        <color indexed="63"/>
      </top>
      <bottom>
        <color indexed="63"/>
      </bottom>
    </border>
    <border>
      <left style="mediumDashed">
        <color indexed="23"/>
      </left>
      <right style="mediumDashed">
        <color indexed="23"/>
      </right>
      <top style="mediumDashed">
        <color indexed="23"/>
      </top>
      <bottom>
        <color indexed="63"/>
      </bottom>
    </border>
    <border>
      <left style="mediumDashed">
        <color indexed="23"/>
      </left>
      <right>
        <color indexed="63"/>
      </right>
      <top style="mediumDashed">
        <color indexed="23"/>
      </top>
      <bottom>
        <color indexed="63"/>
      </bottom>
    </border>
    <border>
      <left>
        <color indexed="63"/>
      </left>
      <right style="mediumDashed">
        <color indexed="23"/>
      </right>
      <top style="mediumDashed">
        <color indexed="23"/>
      </top>
      <bottom>
        <color indexed="63"/>
      </bottom>
    </border>
    <border>
      <left style="mediumDashed">
        <color indexed="23"/>
      </left>
      <right style="mediumDashed">
        <color indexed="55"/>
      </right>
      <top style="medium"/>
      <bottom>
        <color indexed="63"/>
      </bottom>
    </border>
    <border>
      <left>
        <color indexed="63"/>
      </left>
      <right style="mediumDashed">
        <color indexed="55"/>
      </right>
      <top style="medium"/>
      <bottom>
        <color indexed="63"/>
      </bottom>
    </border>
    <border>
      <left style="mediumDashed">
        <color indexed="23"/>
      </left>
      <right>
        <color indexed="63"/>
      </right>
      <top>
        <color indexed="63"/>
      </top>
      <bottom>
        <color indexed="63"/>
      </bottom>
    </border>
    <border>
      <left>
        <color indexed="63"/>
      </left>
      <right style="mediumDashed">
        <color indexed="23"/>
      </right>
      <top>
        <color indexed="63"/>
      </top>
      <bottom>
        <color indexed="63"/>
      </bottom>
    </border>
    <border>
      <left style="mediumDashed">
        <color indexed="23"/>
      </left>
      <right style="mediumDashed">
        <color indexed="55"/>
      </right>
      <top>
        <color indexed="63"/>
      </top>
      <bottom>
        <color indexed="63"/>
      </bottom>
    </border>
    <border>
      <left>
        <color indexed="63"/>
      </left>
      <right style="mediumDashed">
        <color indexed="55"/>
      </right>
      <top>
        <color indexed="63"/>
      </top>
      <bottom>
        <color indexed="63"/>
      </bottom>
    </border>
    <border>
      <left style="mediumDashed">
        <color indexed="23"/>
      </left>
      <right style="mediumDashed">
        <color indexed="23"/>
      </right>
      <top>
        <color indexed="63"/>
      </top>
      <bottom style="medium"/>
    </border>
    <border>
      <left style="mediumDashed">
        <color indexed="23"/>
      </left>
      <right style="mediumDashed">
        <color indexed="55"/>
      </right>
      <top>
        <color indexed="63"/>
      </top>
      <bottom style="medium"/>
    </border>
    <border>
      <left>
        <color indexed="63"/>
      </left>
      <right style="mediumDashed">
        <color indexed="55"/>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20">
    <xf numFmtId="0" fontId="0" fillId="0" borderId="0" xfId="0" applyAlignment="1">
      <alignment/>
    </xf>
    <xf numFmtId="165" fontId="0" fillId="0" borderId="0" xfId="15" applyNumberFormat="1" applyAlignment="1">
      <alignment/>
    </xf>
    <xf numFmtId="0" fontId="0" fillId="0" borderId="0" xfId="0" applyFill="1" applyAlignment="1">
      <alignment/>
    </xf>
    <xf numFmtId="0" fontId="0" fillId="0" borderId="0" xfId="0" applyFont="1" applyFill="1" applyAlignment="1">
      <alignment/>
    </xf>
    <xf numFmtId="165" fontId="0" fillId="0" borderId="0" xfId="0" applyNumberFormat="1" applyFill="1" applyAlignment="1">
      <alignment/>
    </xf>
    <xf numFmtId="165" fontId="1" fillId="0" borderId="0" xfId="0" applyNumberFormat="1" applyFont="1" applyFill="1" applyAlignment="1">
      <alignment/>
    </xf>
    <xf numFmtId="0" fontId="2" fillId="0" borderId="0" xfId="0" applyFont="1" applyFill="1" applyAlignment="1">
      <alignment/>
    </xf>
    <xf numFmtId="165" fontId="2" fillId="0" borderId="0" xfId="15" applyNumberFormat="1" applyFont="1" applyFill="1" applyAlignment="1">
      <alignment/>
    </xf>
    <xf numFmtId="0" fontId="0" fillId="0" borderId="0" xfId="0"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165" fontId="0" fillId="0" borderId="0" xfId="15" applyNumberFormat="1" applyFill="1" applyBorder="1" applyAlignment="1">
      <alignment/>
    </xf>
    <xf numFmtId="0" fontId="0" fillId="0" borderId="0" xfId="0" applyBorder="1" applyAlignment="1">
      <alignment/>
    </xf>
    <xf numFmtId="43" fontId="0" fillId="0" borderId="0" xfId="15" applyNumberFormat="1" applyFill="1" applyBorder="1" applyAlignment="1">
      <alignment/>
    </xf>
    <xf numFmtId="166" fontId="0" fillId="0" borderId="0" xfId="21" applyNumberFormat="1" applyFill="1" applyAlignment="1">
      <alignment horizontal="left"/>
    </xf>
    <xf numFmtId="0" fontId="6" fillId="0" borderId="0" xfId="0" applyFont="1" applyFill="1" applyAlignment="1">
      <alignment/>
    </xf>
    <xf numFmtId="165" fontId="2" fillId="0" borderId="0" xfId="0" applyNumberFormat="1" applyFont="1" applyFill="1" applyAlignment="1">
      <alignment/>
    </xf>
    <xf numFmtId="0" fontId="0" fillId="0" borderId="0" xfId="0" applyAlignment="1">
      <alignment horizontal="center"/>
    </xf>
    <xf numFmtId="0" fontId="11" fillId="0" borderId="0" xfId="0" applyFont="1" applyBorder="1" applyAlignment="1">
      <alignment vertical="top" wrapText="1"/>
    </xf>
    <xf numFmtId="0" fontId="13" fillId="0" borderId="0" xfId="0" applyFont="1" applyBorder="1" applyAlignment="1">
      <alignment vertical="top" wrapText="1"/>
    </xf>
    <xf numFmtId="165" fontId="0" fillId="0" borderId="0" xfId="15" applyNumberFormat="1" applyBorder="1" applyAlignment="1">
      <alignment/>
    </xf>
    <xf numFmtId="9" fontId="0" fillId="0" borderId="0" xfId="21" applyBorder="1" applyAlignment="1">
      <alignment/>
    </xf>
    <xf numFmtId="166" fontId="0" fillId="0" borderId="0" xfId="21" applyNumberFormat="1" applyBorder="1" applyAlignment="1">
      <alignment/>
    </xf>
    <xf numFmtId="165" fontId="15" fillId="0" borderId="0" xfId="15" applyNumberFormat="1" applyFont="1" applyBorder="1" applyAlignment="1">
      <alignment/>
    </xf>
    <xf numFmtId="0" fontId="5" fillId="0" borderId="0" xfId="0" applyFont="1" applyFill="1" applyAlignment="1">
      <alignment horizontal="center" wrapText="1"/>
    </xf>
    <xf numFmtId="0" fontId="5" fillId="0" borderId="0" xfId="0" applyFont="1" applyAlignment="1">
      <alignment horizontal="center"/>
    </xf>
    <xf numFmtId="165" fontId="0" fillId="0" borderId="0" xfId="0" applyNumberFormat="1" applyFill="1" applyAlignment="1">
      <alignment horizontal="center"/>
    </xf>
    <xf numFmtId="9" fontId="0" fillId="0" borderId="0" xfId="21" applyAlignment="1">
      <alignment horizontal="center"/>
    </xf>
    <xf numFmtId="165" fontId="1" fillId="0" borderId="0" xfId="0" applyNumberFormat="1" applyFont="1" applyFill="1" applyAlignment="1">
      <alignment horizontal="center"/>
    </xf>
    <xf numFmtId="166" fontId="0" fillId="0" borderId="0" xfId="21" applyNumberFormat="1" applyAlignment="1">
      <alignment horizontal="center"/>
    </xf>
    <xf numFmtId="165" fontId="2" fillId="0" borderId="0" xfId="0" applyNumberFormat="1" applyFont="1" applyFill="1" applyAlignment="1">
      <alignment horizontal="center"/>
    </xf>
    <xf numFmtId="0" fontId="16" fillId="0" borderId="1" xfId="0" applyFont="1" applyBorder="1" applyAlignment="1">
      <alignment/>
    </xf>
    <xf numFmtId="9" fontId="16" fillId="0" borderId="2" xfId="21" applyFont="1" applyBorder="1" applyAlignment="1">
      <alignment horizontal="center"/>
    </xf>
    <xf numFmtId="0" fontId="16" fillId="0" borderId="3" xfId="0" applyFont="1" applyBorder="1" applyAlignment="1">
      <alignment/>
    </xf>
    <xf numFmtId="9" fontId="16" fillId="0" borderId="4" xfId="21" applyFont="1" applyBorder="1" applyAlignment="1">
      <alignment horizontal="center"/>
    </xf>
    <xf numFmtId="9" fontId="17" fillId="0" borderId="4" xfId="21" applyFont="1" applyBorder="1" applyAlignment="1">
      <alignment horizontal="center"/>
    </xf>
    <xf numFmtId="0" fontId="16" fillId="0" borderId="5" xfId="0" applyFont="1" applyBorder="1" applyAlignment="1">
      <alignment/>
    </xf>
    <xf numFmtId="166" fontId="16" fillId="0" borderId="6" xfId="21" applyNumberFormat="1" applyFont="1" applyBorder="1" applyAlignment="1">
      <alignment horizontal="center"/>
    </xf>
    <xf numFmtId="0" fontId="6" fillId="0" borderId="0" xfId="0" applyFont="1" applyFill="1" applyAlignment="1">
      <alignment horizontal="right"/>
    </xf>
    <xf numFmtId="183" fontId="0" fillId="0" borderId="0" xfId="17" applyNumberFormat="1" applyFill="1" applyAlignment="1">
      <alignment/>
    </xf>
    <xf numFmtId="183" fontId="0" fillId="0" borderId="0" xfId="17" applyNumberFormat="1" applyFont="1" applyFill="1" applyAlignment="1">
      <alignment/>
    </xf>
    <xf numFmtId="183" fontId="2" fillId="0" borderId="0" xfId="17" applyNumberFormat="1" applyFont="1" applyFill="1" applyAlignment="1">
      <alignment/>
    </xf>
    <xf numFmtId="9" fontId="0" fillId="0" borderId="0" xfId="21" applyFill="1" applyAlignment="1">
      <alignment/>
    </xf>
    <xf numFmtId="165" fontId="0" fillId="0" borderId="0" xfId="15" applyNumberFormat="1" applyFill="1" applyAlignment="1">
      <alignment/>
    </xf>
    <xf numFmtId="0" fontId="22" fillId="2" borderId="0" xfId="0" applyFont="1" applyFill="1" applyAlignment="1">
      <alignment/>
    </xf>
    <xf numFmtId="0" fontId="22" fillId="2" borderId="0" xfId="0" applyFont="1" applyFill="1" applyAlignment="1">
      <alignment horizontal="right"/>
    </xf>
    <xf numFmtId="0" fontId="16" fillId="0" borderId="0" xfId="0" applyFont="1" applyFill="1" applyAlignment="1">
      <alignment/>
    </xf>
    <xf numFmtId="183" fontId="22" fillId="2" borderId="0" xfId="17" applyNumberFormat="1" applyFont="1" applyFill="1" applyAlignment="1">
      <alignment/>
    </xf>
    <xf numFmtId="0" fontId="23" fillId="2" borderId="0" xfId="0" applyFont="1" applyFill="1" applyAlignment="1">
      <alignment/>
    </xf>
    <xf numFmtId="183" fontId="23" fillId="2" borderId="0" xfId="17" applyNumberFormat="1" applyFont="1" applyFill="1" applyAlignment="1">
      <alignment/>
    </xf>
    <xf numFmtId="44" fontId="24" fillId="0" borderId="0" xfId="17" applyNumberFormat="1" applyFont="1" applyFill="1" applyAlignment="1">
      <alignment/>
    </xf>
    <xf numFmtId="0" fontId="25" fillId="2" borderId="0" xfId="0" applyFont="1" applyFill="1" applyAlignment="1">
      <alignment/>
    </xf>
    <xf numFmtId="183" fontId="25" fillId="2" borderId="0" xfId="17" applyNumberFormat="1" applyFont="1" applyFill="1" applyAlignment="1">
      <alignment/>
    </xf>
    <xf numFmtId="183" fontId="22" fillId="2" borderId="0" xfId="0" applyNumberFormat="1" applyFont="1" applyFill="1" applyAlignment="1">
      <alignment/>
    </xf>
    <xf numFmtId="44" fontId="24" fillId="0" borderId="0" xfId="0" applyNumberFormat="1" applyFont="1" applyFill="1" applyAlignment="1">
      <alignment/>
    </xf>
    <xf numFmtId="183" fontId="26" fillId="0" borderId="0" xfId="0" applyNumberFormat="1" applyFont="1" applyFill="1" applyAlignment="1">
      <alignment/>
    </xf>
    <xf numFmtId="0" fontId="22" fillId="0" borderId="0" xfId="0" applyFont="1" applyFill="1" applyAlignment="1">
      <alignment/>
    </xf>
    <xf numFmtId="183" fontId="22" fillId="0" borderId="0" xfId="0" applyNumberFormat="1" applyFont="1" applyFill="1" applyAlignment="1">
      <alignment/>
    </xf>
    <xf numFmtId="0" fontId="23" fillId="0" borderId="0" xfId="0" applyFont="1" applyFill="1" applyAlignment="1">
      <alignment/>
    </xf>
    <xf numFmtId="183" fontId="23" fillId="0" borderId="0" xfId="0" applyNumberFormat="1" applyFont="1" applyFill="1" applyAlignment="1">
      <alignment/>
    </xf>
    <xf numFmtId="183" fontId="23" fillId="0" borderId="0" xfId="17" applyNumberFormat="1" applyFont="1" applyFill="1" applyAlignment="1">
      <alignment/>
    </xf>
    <xf numFmtId="0" fontId="22" fillId="3" borderId="0" xfId="0" applyFont="1" applyFill="1" applyAlignment="1">
      <alignment/>
    </xf>
    <xf numFmtId="183" fontId="22" fillId="3" borderId="0" xfId="0" applyNumberFormat="1" applyFont="1" applyFill="1" applyAlignment="1">
      <alignment/>
    </xf>
    <xf numFmtId="187" fontId="0" fillId="0" borderId="0" xfId="0" applyNumberFormat="1" applyFill="1" applyAlignment="1">
      <alignment/>
    </xf>
    <xf numFmtId="0" fontId="11" fillId="0" borderId="0" xfId="0" applyFont="1" applyAlignment="1">
      <alignment/>
    </xf>
    <xf numFmtId="0" fontId="11" fillId="0" borderId="0" xfId="0" applyFont="1" applyBorder="1" applyAlignment="1">
      <alignment/>
    </xf>
    <xf numFmtId="0" fontId="11" fillId="0" borderId="1" xfId="0" applyFont="1" applyBorder="1" applyAlignment="1">
      <alignment/>
    </xf>
    <xf numFmtId="0" fontId="11" fillId="0" borderId="7" xfId="0" applyFont="1" applyBorder="1" applyAlignment="1">
      <alignment/>
    </xf>
    <xf numFmtId="0" fontId="11" fillId="0" borderId="2" xfId="0" applyFont="1" applyBorder="1" applyAlignment="1">
      <alignment/>
    </xf>
    <xf numFmtId="0" fontId="29" fillId="0" borderId="0" xfId="0" applyFont="1" applyBorder="1" applyAlignment="1">
      <alignment/>
    </xf>
    <xf numFmtId="0" fontId="30" fillId="0" borderId="3" xfId="0" applyFont="1" applyBorder="1" applyAlignment="1">
      <alignment horizontal="centerContinuous"/>
    </xf>
    <xf numFmtId="0" fontId="30" fillId="0" borderId="0" xfId="0" applyFont="1" applyBorder="1" applyAlignment="1">
      <alignment horizontal="centerContinuous"/>
    </xf>
    <xf numFmtId="0" fontId="29" fillId="0" borderId="4" xfId="0" applyFont="1" applyBorder="1" applyAlignment="1">
      <alignment/>
    </xf>
    <xf numFmtId="0" fontId="29" fillId="0" borderId="0" xfId="0" applyFont="1" applyAlignment="1">
      <alignment/>
    </xf>
    <xf numFmtId="0" fontId="11" fillId="0" borderId="3" xfId="0" applyFont="1" applyBorder="1" applyAlignment="1">
      <alignment/>
    </xf>
    <xf numFmtId="0" fontId="11" fillId="0" borderId="4" xfId="0" applyFont="1" applyBorder="1" applyAlignment="1">
      <alignment/>
    </xf>
    <xf numFmtId="0" fontId="11" fillId="0" borderId="8" xfId="0" applyFont="1" applyFill="1" applyBorder="1" applyAlignment="1">
      <alignment horizontal="centerContinuous"/>
    </xf>
    <xf numFmtId="0" fontId="11" fillId="0" borderId="9" xfId="0" applyFont="1" applyFill="1" applyBorder="1" applyAlignment="1">
      <alignment horizontal="centerContinuous"/>
    </xf>
    <xf numFmtId="0" fontId="11" fillId="0" borderId="10" xfId="0" applyFont="1" applyFill="1" applyBorder="1" applyAlignment="1">
      <alignment horizontal="centerContinuous"/>
    </xf>
    <xf numFmtId="0" fontId="11" fillId="0" borderId="11" xfId="0" applyFont="1" applyFill="1" applyBorder="1" applyAlignment="1">
      <alignment horizontal="centerContinuous"/>
    </xf>
    <xf numFmtId="0" fontId="11" fillId="0" borderId="12" xfId="0" applyFont="1" applyFill="1" applyBorder="1" applyAlignment="1">
      <alignment horizontal="centerContinuous"/>
    </xf>
    <xf numFmtId="0" fontId="11" fillId="0" borderId="13" xfId="0" applyFont="1" applyFill="1" applyBorder="1" applyAlignment="1">
      <alignment horizontal="centerContinuous"/>
    </xf>
    <xf numFmtId="0" fontId="11" fillId="0" borderId="11" xfId="0" applyFont="1" applyBorder="1" applyAlignment="1">
      <alignment horizontal="centerContinuous"/>
    </xf>
    <xf numFmtId="0" fontId="11" fillId="0" borderId="12" xfId="0" applyFont="1" applyBorder="1" applyAlignment="1">
      <alignment horizontal="centerContinuous"/>
    </xf>
    <xf numFmtId="0" fontId="11" fillId="0" borderId="13" xfId="0" applyFont="1" applyBorder="1" applyAlignment="1">
      <alignment horizontal="centerContinuous"/>
    </xf>
    <xf numFmtId="0" fontId="11" fillId="0" borderId="14" xfId="0" applyFont="1" applyBorder="1" applyAlignment="1">
      <alignment horizontal="centerContinuous"/>
    </xf>
    <xf numFmtId="0" fontId="4" fillId="0" borderId="0" xfId="0" applyFont="1" applyAlignment="1">
      <alignment/>
    </xf>
    <xf numFmtId="0" fontId="4" fillId="0" borderId="0" xfId="0" applyFont="1" applyBorder="1" applyAlignment="1">
      <alignment/>
    </xf>
    <xf numFmtId="0" fontId="4" fillId="0" borderId="15" xfId="0" applyFont="1" applyFill="1" applyBorder="1" applyAlignment="1">
      <alignment/>
    </xf>
    <xf numFmtId="0" fontId="4" fillId="0" borderId="8" xfId="0" applyFont="1" applyFill="1" applyBorder="1" applyAlignment="1">
      <alignment/>
    </xf>
    <xf numFmtId="0" fontId="4" fillId="0" borderId="16" xfId="0" applyFont="1" applyFill="1" applyBorder="1" applyAlignment="1">
      <alignment/>
    </xf>
    <xf numFmtId="0" fontId="4" fillId="0" borderId="15" xfId="0" applyFont="1" applyFill="1" applyBorder="1" applyAlignment="1">
      <alignment horizontal="right"/>
    </xf>
    <xf numFmtId="0" fontId="4" fillId="0" borderId="17" xfId="0" applyFont="1" applyBorder="1" applyAlignment="1">
      <alignment/>
    </xf>
    <xf numFmtId="0" fontId="4" fillId="0" borderId="15" xfId="0" applyFont="1" applyBorder="1" applyAlignment="1">
      <alignment/>
    </xf>
    <xf numFmtId="0" fontId="4" fillId="0" borderId="8" xfId="0" applyFont="1" applyBorder="1" applyAlignment="1">
      <alignment/>
    </xf>
    <xf numFmtId="0" fontId="4" fillId="0" borderId="8" xfId="0" applyFont="1" applyBorder="1" applyAlignment="1">
      <alignment horizontal="centerContinuous"/>
    </xf>
    <xf numFmtId="0" fontId="4" fillId="0" borderId="17" xfId="0" applyFont="1" applyBorder="1" applyAlignment="1">
      <alignment horizontal="centerContinuous"/>
    </xf>
    <xf numFmtId="0" fontId="4" fillId="0" borderId="15" xfId="0" applyFont="1" applyBorder="1" applyAlignment="1">
      <alignment horizontal="centerContinuous"/>
    </xf>
    <xf numFmtId="0" fontId="4" fillId="0" borderId="18" xfId="0" applyFont="1" applyBorder="1" applyAlignment="1">
      <alignment/>
    </xf>
    <xf numFmtId="0" fontId="4" fillId="0" borderId="19" xfId="0" applyFont="1" applyFill="1" applyBorder="1" applyAlignment="1">
      <alignment/>
    </xf>
    <xf numFmtId="0" fontId="4" fillId="0" borderId="0" xfId="0" applyFont="1" applyFill="1" applyBorder="1" applyAlignment="1">
      <alignment/>
    </xf>
    <xf numFmtId="0" fontId="4" fillId="0" borderId="3" xfId="0" applyFont="1" applyFill="1" applyBorder="1" applyAlignment="1">
      <alignment/>
    </xf>
    <xf numFmtId="0" fontId="4" fillId="0" borderId="20" xfId="0" applyFont="1" applyFill="1" applyBorder="1" applyAlignment="1">
      <alignment/>
    </xf>
    <xf numFmtId="0" fontId="4" fillId="0" borderId="0" xfId="0" applyFont="1" applyFill="1" applyBorder="1" applyAlignment="1">
      <alignment horizontal="right"/>
    </xf>
    <xf numFmtId="0" fontId="4" fillId="0" borderId="20" xfId="0" applyFont="1" applyBorder="1" applyAlignment="1">
      <alignment/>
    </xf>
    <xf numFmtId="0" fontId="4" fillId="0" borderId="4" xfId="0" applyFont="1" applyBorder="1" applyAlignment="1">
      <alignment/>
    </xf>
    <xf numFmtId="0" fontId="4" fillId="0" borderId="3" xfId="0" applyFont="1" applyBorder="1" applyAlignment="1">
      <alignment/>
    </xf>
    <xf numFmtId="0" fontId="4" fillId="0" borderId="0" xfId="0" applyFont="1" applyFill="1" applyBorder="1" applyAlignment="1">
      <alignment horizontal="left"/>
    </xf>
    <xf numFmtId="0" fontId="0" fillId="0" borderId="20" xfId="0" applyFont="1" applyFill="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20" xfId="0" applyFont="1" applyBorder="1" applyAlignment="1">
      <alignment/>
    </xf>
    <xf numFmtId="0" fontId="4" fillId="0" borderId="0" xfId="0" applyFont="1" applyBorder="1" applyAlignment="1">
      <alignment horizontal="right"/>
    </xf>
    <xf numFmtId="0" fontId="11" fillId="0" borderId="0" xfId="0" applyFont="1" applyFill="1" applyBorder="1" applyAlignment="1">
      <alignment horizontal="center" vertical="center"/>
    </xf>
    <xf numFmtId="0" fontId="4" fillId="0" borderId="0" xfId="0" applyFont="1" applyBorder="1" applyAlignment="1">
      <alignment horizontal="left"/>
    </xf>
    <xf numFmtId="0" fontId="4" fillId="0" borderId="4" xfId="0" applyFont="1" applyFill="1" applyBorder="1" applyAlignment="1">
      <alignment/>
    </xf>
    <xf numFmtId="0" fontId="4" fillId="0" borderId="0" xfId="0" applyFont="1" applyFill="1" applyAlignment="1">
      <alignment/>
    </xf>
    <xf numFmtId="0" fontId="31" fillId="0" borderId="19" xfId="0" applyFont="1" applyFill="1" applyBorder="1" applyAlignment="1">
      <alignment/>
    </xf>
    <xf numFmtId="0" fontId="31" fillId="0" borderId="0" xfId="0" applyFont="1" applyFill="1" applyBorder="1" applyAlignment="1">
      <alignment/>
    </xf>
    <xf numFmtId="0" fontId="4"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31" fillId="0" borderId="0" xfId="0" applyFont="1" applyFill="1" applyBorder="1" applyAlignment="1">
      <alignment vertical="center"/>
    </xf>
    <xf numFmtId="0" fontId="4" fillId="0" borderId="20" xfId="0" applyFont="1" applyFill="1" applyBorder="1" applyAlignment="1">
      <alignment vertical="center"/>
    </xf>
    <xf numFmtId="0" fontId="4" fillId="0" borderId="20" xfId="0" applyFont="1" applyBorder="1" applyAlignment="1">
      <alignment vertical="center"/>
    </xf>
    <xf numFmtId="0" fontId="11" fillId="0"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alignment vertical="center"/>
    </xf>
    <xf numFmtId="0" fontId="11" fillId="0" borderId="0" xfId="0" applyFont="1" applyAlignment="1">
      <alignment vertical="center"/>
    </xf>
    <xf numFmtId="0" fontId="11" fillId="0" borderId="0" xfId="0" applyFont="1" applyBorder="1" applyAlignment="1">
      <alignment horizontal="right" vertical="center"/>
    </xf>
    <xf numFmtId="0" fontId="12" fillId="0" borderId="19" xfId="0" applyFont="1" applyFill="1" applyBorder="1" applyAlignment="1">
      <alignment horizontal="right" vertical="center"/>
    </xf>
    <xf numFmtId="0" fontId="12"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32" fillId="0" borderId="3" xfId="0" applyFont="1" applyFill="1" applyBorder="1" applyAlignment="1">
      <alignment vertical="center"/>
    </xf>
    <xf numFmtId="0" fontId="11" fillId="0" borderId="0" xfId="0" applyFont="1" applyBorder="1" applyAlignment="1">
      <alignment vertical="center"/>
    </xf>
    <xf numFmtId="0" fontId="11" fillId="0" borderId="20" xfId="0" applyFont="1" applyBorder="1" applyAlignment="1">
      <alignment vertical="center"/>
    </xf>
    <xf numFmtId="0" fontId="11" fillId="0" borderId="4" xfId="0" applyFont="1" applyFill="1" applyBorder="1" applyAlignment="1">
      <alignment vertical="center"/>
    </xf>
    <xf numFmtId="0" fontId="11" fillId="0" borderId="20" xfId="0" applyFont="1" applyFill="1" applyBorder="1" applyAlignment="1">
      <alignment vertical="center"/>
    </xf>
    <xf numFmtId="0" fontId="11" fillId="0" borderId="0" xfId="0" applyFont="1" applyFill="1" applyAlignment="1">
      <alignment vertical="center"/>
    </xf>
    <xf numFmtId="0" fontId="11" fillId="0" borderId="0" xfId="0" applyFont="1" applyAlignment="1">
      <alignment horizontal="center" vertical="center"/>
    </xf>
    <xf numFmtId="0" fontId="0" fillId="0" borderId="0" xfId="0" applyFont="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Font="1" applyFill="1" applyBorder="1" applyAlignment="1">
      <alignment horizontal="right"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11" fillId="4" borderId="1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0"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0" xfId="0" applyFont="1" applyFill="1" applyAlignment="1">
      <alignment horizontal="center" vertical="center"/>
    </xf>
    <xf numFmtId="0" fontId="2" fillId="0" borderId="19" xfId="0" applyFont="1" applyFill="1" applyBorder="1" applyAlignment="1">
      <alignment vertical="center"/>
    </xf>
    <xf numFmtId="0" fontId="2" fillId="0" borderId="0" xfId="0" applyFont="1" applyFill="1" applyBorder="1" applyAlignment="1">
      <alignment vertical="center"/>
    </xf>
    <xf numFmtId="0" fontId="6" fillId="0" borderId="3" xfId="0" applyFont="1" applyFill="1" applyBorder="1" applyAlignment="1">
      <alignment vertical="center"/>
    </xf>
    <xf numFmtId="0" fontId="0" fillId="0" borderId="20" xfId="0" applyFont="1" applyFill="1" applyBorder="1" applyAlignment="1">
      <alignment vertical="center"/>
    </xf>
    <xf numFmtId="0" fontId="0" fillId="0" borderId="0" xfId="0" applyFont="1" applyBorder="1" applyAlignment="1">
      <alignment vertical="center"/>
    </xf>
    <xf numFmtId="0" fontId="0" fillId="4" borderId="8" xfId="0" applyFont="1" applyFill="1" applyBorder="1" applyAlignment="1">
      <alignment vertical="center"/>
    </xf>
    <xf numFmtId="0" fontId="0" fillId="4" borderId="9" xfId="0" applyFont="1" applyFill="1" applyBorder="1" applyAlignment="1">
      <alignment vertical="center"/>
    </xf>
    <xf numFmtId="0" fontId="11" fillId="4" borderId="9" xfId="0" applyFont="1" applyFill="1" applyBorder="1" applyAlignment="1">
      <alignment vertical="center"/>
    </xf>
    <xf numFmtId="0" fontId="11" fillId="4" borderId="17" xfId="0" applyFont="1" applyFill="1" applyBorder="1" applyAlignment="1">
      <alignment vertical="center"/>
    </xf>
    <xf numFmtId="0" fontId="0" fillId="0" borderId="20" xfId="0" applyFont="1" applyBorder="1" applyAlignment="1">
      <alignment vertical="center"/>
    </xf>
    <xf numFmtId="0" fontId="0" fillId="0" borderId="19" xfId="0" applyFont="1" applyFill="1" applyBorder="1" applyAlignment="1">
      <alignment vertical="center"/>
    </xf>
    <xf numFmtId="0" fontId="0" fillId="0" borderId="0" xfId="0" applyFont="1" applyBorder="1" applyAlignment="1">
      <alignment horizontal="right" vertical="center"/>
    </xf>
    <xf numFmtId="0" fontId="0" fillId="5" borderId="9" xfId="0" applyFont="1" applyFill="1" applyBorder="1" applyAlignment="1">
      <alignment vertical="center"/>
    </xf>
    <xf numFmtId="0" fontId="0" fillId="5" borderId="8" xfId="0" applyFont="1" applyFill="1" applyBorder="1" applyAlignment="1">
      <alignment vertical="center"/>
    </xf>
    <xf numFmtId="0" fontId="0" fillId="5" borderId="17" xfId="0" applyFont="1" applyFill="1" applyBorder="1" applyAlignment="1">
      <alignment vertical="center"/>
    </xf>
    <xf numFmtId="0" fontId="0" fillId="0" borderId="19" xfId="0" applyFont="1" applyBorder="1" applyAlignment="1">
      <alignment vertical="center"/>
    </xf>
    <xf numFmtId="0" fontId="11" fillId="0" borderId="19" xfId="0" applyFont="1" applyFill="1" applyBorder="1" applyAlignment="1">
      <alignment vertical="center"/>
    </xf>
    <xf numFmtId="0" fontId="11" fillId="0" borderId="19" xfId="0" applyFont="1" applyBorder="1" applyAlignment="1">
      <alignment vertical="center"/>
    </xf>
    <xf numFmtId="0" fontId="11" fillId="0" borderId="3" xfId="0" applyFont="1" applyFill="1" applyBorder="1" applyAlignment="1">
      <alignment vertical="center"/>
    </xf>
    <xf numFmtId="0" fontId="2" fillId="0" borderId="19" xfId="0" applyFont="1" applyFill="1" applyBorder="1" applyAlignment="1">
      <alignment horizontal="right" vertical="center"/>
    </xf>
    <xf numFmtId="0" fontId="2" fillId="0" borderId="0" xfId="0" applyFont="1" applyFill="1" applyBorder="1" applyAlignment="1">
      <alignment horizontal="right" vertical="center"/>
    </xf>
    <xf numFmtId="0" fontId="11" fillId="4" borderId="11" xfId="0" applyFont="1" applyFill="1" applyBorder="1" applyAlignment="1">
      <alignment vertical="center"/>
    </xf>
    <xf numFmtId="0" fontId="0" fillId="4" borderId="11" xfId="0" applyFont="1" applyFill="1" applyBorder="1" applyAlignment="1">
      <alignment vertical="center"/>
    </xf>
    <xf numFmtId="0" fontId="0" fillId="4" borderId="12"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horizontal="right" vertical="center"/>
    </xf>
    <xf numFmtId="0" fontId="35" fillId="4" borderId="8" xfId="0" applyFont="1" applyFill="1" applyBorder="1" applyAlignment="1">
      <alignment horizontal="left" vertical="center"/>
    </xf>
    <xf numFmtId="0" fontId="14" fillId="4" borderId="9" xfId="0" applyFont="1" applyFill="1" applyBorder="1" applyAlignment="1">
      <alignment vertical="center"/>
    </xf>
    <xf numFmtId="0" fontId="34" fillId="4" borderId="9" xfId="0" applyFont="1" applyFill="1" applyBorder="1" applyAlignment="1">
      <alignment vertical="center"/>
    </xf>
    <xf numFmtId="0" fontId="35" fillId="4" borderId="9" xfId="0" applyFont="1" applyFill="1" applyBorder="1" applyAlignment="1">
      <alignment horizontal="left" vertical="center"/>
    </xf>
    <xf numFmtId="0" fontId="14" fillId="6" borderId="9" xfId="0" applyFont="1" applyFill="1" applyBorder="1" applyAlignment="1">
      <alignment vertical="center"/>
    </xf>
    <xf numFmtId="0" fontId="34" fillId="4" borderId="17" xfId="0" applyFont="1" applyFill="1" applyBorder="1" applyAlignment="1">
      <alignment horizontal="lef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4" borderId="21" xfId="0" applyFont="1" applyFill="1" applyBorder="1" applyAlignment="1">
      <alignment vertical="center"/>
    </xf>
    <xf numFmtId="0" fontId="0" fillId="4" borderId="22" xfId="0" applyFont="1" applyFill="1" applyBorder="1" applyAlignment="1">
      <alignment vertical="center"/>
    </xf>
    <xf numFmtId="0" fontId="33" fillId="4" borderId="9" xfId="0" applyFont="1" applyFill="1" applyBorder="1" applyAlignment="1">
      <alignment vertical="center"/>
    </xf>
    <xf numFmtId="0" fontId="34" fillId="4" borderId="8" xfId="0" applyFont="1" applyFill="1" applyBorder="1" applyAlignment="1">
      <alignment vertical="center"/>
    </xf>
    <xf numFmtId="0" fontId="11" fillId="4" borderId="0" xfId="0" applyFont="1" applyFill="1" applyBorder="1" applyAlignment="1">
      <alignment vertical="center"/>
    </xf>
    <xf numFmtId="0" fontId="36" fillId="4" borderId="8" xfId="0" applyFont="1" applyFill="1" applyBorder="1" applyAlignment="1">
      <alignment vertical="center"/>
    </xf>
    <xf numFmtId="0" fontId="11" fillId="6" borderId="9"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horizontal="left" vertical="center"/>
    </xf>
    <xf numFmtId="0" fontId="14" fillId="0" borderId="0" xfId="0" applyFont="1" applyFill="1" applyBorder="1" applyAlignment="1">
      <alignment vertical="center"/>
    </xf>
    <xf numFmtId="0" fontId="34" fillId="0" borderId="0" xfId="0" applyFont="1" applyFill="1" applyBorder="1" applyAlignment="1">
      <alignment horizontal="left" vertical="center"/>
    </xf>
    <xf numFmtId="0" fontId="35" fillId="0" borderId="0" xfId="0" applyFont="1" applyFill="1" applyBorder="1" applyAlignment="1">
      <alignment vertical="center"/>
    </xf>
    <xf numFmtId="0" fontId="35" fillId="4" borderId="8" xfId="0" applyFont="1" applyFill="1" applyBorder="1" applyAlignment="1">
      <alignment vertical="center"/>
    </xf>
    <xf numFmtId="0" fontId="0" fillId="6" borderId="9" xfId="0" applyFont="1" applyFill="1" applyBorder="1" applyAlignment="1">
      <alignment vertical="center"/>
    </xf>
    <xf numFmtId="0" fontId="0" fillId="4" borderId="17" xfId="0" applyFont="1" applyFill="1" applyBorder="1" applyAlignment="1">
      <alignment vertical="center"/>
    </xf>
    <xf numFmtId="0" fontId="11" fillId="4" borderId="15" xfId="0" applyFont="1" applyFill="1" applyBorder="1" applyAlignment="1">
      <alignment vertical="center"/>
    </xf>
    <xf numFmtId="0" fontId="11" fillId="6" borderId="8" xfId="0" applyFont="1" applyFill="1" applyBorder="1" applyAlignment="1">
      <alignment vertical="center"/>
    </xf>
    <xf numFmtId="0" fontId="0" fillId="6" borderId="8" xfId="0" applyFont="1" applyFill="1" applyBorder="1" applyAlignment="1">
      <alignment vertical="center"/>
    </xf>
    <xf numFmtId="0" fontId="7" fillId="0" borderId="19" xfId="0" applyFont="1" applyFill="1" applyBorder="1" applyAlignment="1">
      <alignment vertical="center"/>
    </xf>
    <xf numFmtId="0" fontId="0" fillId="0" borderId="3" xfId="0" applyFont="1" applyFill="1" applyBorder="1" applyAlignment="1">
      <alignment vertical="center"/>
    </xf>
    <xf numFmtId="0" fontId="11" fillId="5" borderId="8" xfId="0" applyFont="1" applyFill="1" applyBorder="1" applyAlignment="1">
      <alignment vertical="center"/>
    </xf>
    <xf numFmtId="0" fontId="11" fillId="5" borderId="9" xfId="0" applyFont="1" applyFill="1" applyBorder="1" applyAlignment="1">
      <alignment vertical="center"/>
    </xf>
    <xf numFmtId="0" fontId="0" fillId="6" borderId="17" xfId="0" applyFont="1" applyFill="1" applyBorder="1" applyAlignment="1">
      <alignment vertical="center"/>
    </xf>
    <xf numFmtId="0" fontId="37" fillId="4" borderId="3" xfId="0" applyFont="1" applyFill="1" applyBorder="1" applyAlignment="1">
      <alignment vertical="center"/>
    </xf>
    <xf numFmtId="0" fontId="0" fillId="4" borderId="0" xfId="0" applyFont="1" applyFill="1" applyBorder="1" applyAlignment="1">
      <alignment vertical="center"/>
    </xf>
    <xf numFmtId="0" fontId="0" fillId="6" borderId="15" xfId="0" applyFont="1" applyFill="1" applyBorder="1" applyAlignment="1">
      <alignment vertical="center"/>
    </xf>
    <xf numFmtId="0" fontId="11" fillId="6" borderId="23" xfId="0" applyFont="1" applyFill="1" applyBorder="1" applyAlignment="1">
      <alignment vertical="center"/>
    </xf>
    <xf numFmtId="0" fontId="11" fillId="6" borderId="0" xfId="0" applyFont="1" applyFill="1" applyBorder="1" applyAlignment="1">
      <alignment vertical="center"/>
    </xf>
    <xf numFmtId="0" fontId="11" fillId="5" borderId="23" xfId="0" applyFont="1" applyFill="1" applyBorder="1" applyAlignment="1">
      <alignment vertical="center"/>
    </xf>
    <xf numFmtId="0" fontId="11" fillId="5" borderId="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5"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1" fillId="0" borderId="24" xfId="0" applyFont="1" applyBorder="1" applyAlignment="1">
      <alignmen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11" fillId="0" borderId="24" xfId="0" applyFont="1" applyFill="1" applyBorder="1" applyAlignment="1">
      <alignment vertical="center"/>
    </xf>
    <xf numFmtId="0" fontId="11" fillId="0" borderId="6" xfId="0" applyFont="1" applyFill="1" applyBorder="1" applyAlignment="1">
      <alignment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11" fillId="0" borderId="17" xfId="0" applyFont="1" applyBorder="1" applyAlignment="1">
      <alignment horizontal="centerContinuous"/>
    </xf>
    <xf numFmtId="0" fontId="11" fillId="0" borderId="0" xfId="0" applyFont="1" applyBorder="1" applyAlignment="1">
      <alignment horizontal="centerContinuous"/>
    </xf>
    <xf numFmtId="0" fontId="11" fillId="0" borderId="0" xfId="0" applyFont="1" applyFill="1" applyBorder="1" applyAlignment="1">
      <alignment/>
    </xf>
    <xf numFmtId="0" fontId="11" fillId="0" borderId="0" xfId="0" applyFont="1" applyFill="1" applyAlignment="1">
      <alignment/>
    </xf>
    <xf numFmtId="0" fontId="28" fillId="0" borderId="0"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horizontal="right" vertical="center"/>
    </xf>
    <xf numFmtId="0" fontId="38" fillId="0" borderId="2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right" vertical="center"/>
    </xf>
    <xf numFmtId="0" fontId="42" fillId="0" borderId="0" xfId="0" applyFont="1" applyFill="1" applyAlignment="1">
      <alignment/>
    </xf>
    <xf numFmtId="0" fontId="43" fillId="0" borderId="0" xfId="0" applyFont="1" applyFill="1" applyAlignment="1">
      <alignment horizontal="centerContinuous"/>
    </xf>
    <xf numFmtId="0" fontId="42" fillId="0" borderId="0" xfId="0" applyFont="1" applyFill="1" applyAlignment="1">
      <alignment horizontal="centerContinuous"/>
    </xf>
    <xf numFmtId="194" fontId="42" fillId="0" borderId="0" xfId="0" applyNumberFormat="1" applyFont="1" applyFill="1" applyAlignment="1">
      <alignment horizontal="centerContinuous"/>
    </xf>
    <xf numFmtId="0" fontId="44" fillId="0" borderId="0" xfId="0" applyFont="1" applyFill="1" applyAlignment="1">
      <alignment horizontal="centerContinuous"/>
    </xf>
    <xf numFmtId="0" fontId="42" fillId="0" borderId="0" xfId="0" applyFont="1" applyFill="1" applyAlignment="1" applyProtection="1">
      <alignment horizontal="left"/>
      <protection/>
    </xf>
    <xf numFmtId="0" fontId="45" fillId="0" borderId="0" xfId="0" applyFont="1" applyFill="1" applyAlignment="1">
      <alignment/>
    </xf>
    <xf numFmtId="0" fontId="46" fillId="0" borderId="0" xfId="0" applyFont="1" applyFill="1" applyAlignment="1" applyProtection="1">
      <alignment horizontal="center"/>
      <protection/>
    </xf>
    <xf numFmtId="194" fontId="44" fillId="0" borderId="0" xfId="0" applyNumberFormat="1" applyFont="1" applyFill="1" applyAlignment="1" applyProtection="1">
      <alignment horizontal="center"/>
      <protection/>
    </xf>
    <xf numFmtId="0" fontId="44" fillId="0" borderId="0" xfId="0" applyFont="1" applyFill="1" applyAlignment="1" applyProtection="1">
      <alignment horizontal="center"/>
      <protection/>
    </xf>
    <xf numFmtId="0" fontId="45" fillId="0" borderId="0" xfId="0" applyFont="1" applyFill="1" applyAlignment="1" applyProtection="1">
      <alignment horizontal="left"/>
      <protection/>
    </xf>
    <xf numFmtId="0" fontId="45" fillId="0" borderId="0" xfId="0" applyFont="1" applyFill="1" applyAlignment="1" applyProtection="1">
      <alignment horizontal="center"/>
      <protection/>
    </xf>
    <xf numFmtId="0" fontId="47" fillId="0" borderId="0" xfId="0" applyFont="1" applyFill="1" applyAlignment="1" applyProtection="1">
      <alignment horizontal="center" wrapText="1"/>
      <protection/>
    </xf>
    <xf numFmtId="194" fontId="26" fillId="0" borderId="0" xfId="0" applyNumberFormat="1" applyFont="1" applyFill="1" applyAlignment="1">
      <alignment horizontal="center"/>
    </xf>
    <xf numFmtId="0" fontId="44" fillId="0" borderId="0" xfId="0" applyFont="1" applyFill="1" applyAlignment="1">
      <alignment/>
    </xf>
    <xf numFmtId="194" fontId="42" fillId="0" borderId="0" xfId="0" applyNumberFormat="1" applyFont="1" applyFill="1" applyAlignment="1">
      <alignment horizontal="center"/>
    </xf>
    <xf numFmtId="43" fontId="42" fillId="0" borderId="0" xfId="15" applyFont="1" applyFill="1" applyAlignment="1">
      <alignment horizontal="center"/>
    </xf>
    <xf numFmtId="194" fontId="44" fillId="0" borderId="0" xfId="0" applyNumberFormat="1" applyFont="1" applyFill="1" applyAlignment="1">
      <alignment horizontal="center"/>
    </xf>
    <xf numFmtId="195" fontId="42" fillId="0" borderId="0" xfId="0" applyNumberFormat="1" applyFont="1" applyFill="1" applyAlignment="1" applyProtection="1">
      <alignment/>
      <protection/>
    </xf>
    <xf numFmtId="194" fontId="42" fillId="0" borderId="0" xfId="0" applyNumberFormat="1" applyFont="1" applyFill="1" applyAlignment="1" applyProtection="1">
      <alignment horizontal="center"/>
      <protection/>
    </xf>
    <xf numFmtId="196" fontId="42" fillId="0" borderId="0" xfId="0" applyNumberFormat="1" applyFont="1" applyFill="1" applyAlignment="1" applyProtection="1">
      <alignment horizontal="center"/>
      <protection/>
    </xf>
    <xf numFmtId="164" fontId="42" fillId="0" borderId="0" xfId="15" applyNumberFormat="1" applyFont="1" applyFill="1" applyAlignment="1" applyProtection="1">
      <alignment horizontal="left"/>
      <protection/>
    </xf>
    <xf numFmtId="0" fontId="42" fillId="0" borderId="0" xfId="0" applyFont="1" applyFill="1" applyAlignment="1">
      <alignment horizontal="center"/>
    </xf>
    <xf numFmtId="0" fontId="44" fillId="0" borderId="0" xfId="0" applyFont="1" applyFill="1" applyAlignment="1">
      <alignment horizontal="center"/>
    </xf>
    <xf numFmtId="196" fontId="42" fillId="0" borderId="0" xfId="0" applyNumberFormat="1" applyFont="1" applyFill="1" applyAlignment="1">
      <alignment horizontal="center"/>
    </xf>
    <xf numFmtId="164" fontId="42" fillId="0" borderId="0" xfId="15" applyNumberFormat="1" applyFont="1" applyFill="1" applyAlignment="1">
      <alignment/>
    </xf>
    <xf numFmtId="164" fontId="44" fillId="0" borderId="0" xfId="15" applyNumberFormat="1" applyFont="1" applyFill="1" applyAlignment="1" applyProtection="1">
      <alignment horizontal="center"/>
      <protection/>
    </xf>
    <xf numFmtId="0" fontId="42" fillId="0" borderId="0" xfId="0" applyFont="1" applyFill="1" applyBorder="1" applyAlignment="1" applyProtection="1">
      <alignment horizontal="left"/>
      <protection/>
    </xf>
    <xf numFmtId="194" fontId="42" fillId="0" borderId="0" xfId="0" applyNumberFormat="1" applyFont="1" applyFill="1" applyBorder="1" applyAlignment="1" applyProtection="1">
      <alignment horizontal="center"/>
      <protection/>
    </xf>
    <xf numFmtId="43" fontId="42" fillId="0" borderId="0" xfId="15" applyFont="1" applyFill="1" applyBorder="1" applyAlignment="1">
      <alignment horizontal="center"/>
    </xf>
    <xf numFmtId="194" fontId="42" fillId="7" borderId="0" xfId="0" applyNumberFormat="1" applyFont="1" applyFill="1" applyBorder="1" applyAlignment="1" applyProtection="1">
      <alignment horizontal="center"/>
      <protection/>
    </xf>
    <xf numFmtId="164" fontId="42" fillId="7" borderId="0" xfId="15" applyNumberFormat="1" applyFont="1" applyFill="1" applyBorder="1" applyAlignment="1" applyProtection="1">
      <alignment horizontal="left"/>
      <protection/>
    </xf>
    <xf numFmtId="194" fontId="44" fillId="7" borderId="0" xfId="0" applyNumberFormat="1" applyFont="1" applyFill="1" applyBorder="1" applyAlignment="1" applyProtection="1">
      <alignment horizontal="center"/>
      <protection/>
    </xf>
    <xf numFmtId="196" fontId="42" fillId="0" borderId="0" xfId="0" applyNumberFormat="1" applyFont="1" applyFill="1" applyBorder="1" applyAlignment="1" applyProtection="1">
      <alignment horizontal="center"/>
      <protection/>
    </xf>
    <xf numFmtId="0" fontId="46" fillId="0" borderId="0" xfId="0" applyFont="1" applyFill="1" applyAlignment="1" applyProtection="1">
      <alignment horizontal="left"/>
      <protection/>
    </xf>
    <xf numFmtId="0" fontId="46" fillId="0" borderId="0" xfId="0" applyFont="1" applyFill="1" applyAlignment="1" applyProtection="1" quotePrefix="1">
      <alignment horizontal="left"/>
      <protection/>
    </xf>
    <xf numFmtId="0" fontId="42" fillId="0" borderId="0" xfId="0" applyFont="1" applyFill="1" applyAlignment="1" quotePrefix="1">
      <alignment/>
    </xf>
    <xf numFmtId="196" fontId="42" fillId="0" borderId="0" xfId="0" applyNumberFormat="1" applyFont="1" applyFill="1" applyAlignment="1">
      <alignment/>
    </xf>
    <xf numFmtId="194" fontId="46" fillId="0" borderId="0" xfId="0" applyNumberFormat="1" applyFont="1" applyFill="1" applyAlignment="1">
      <alignment horizontal="center"/>
    </xf>
    <xf numFmtId="196" fontId="42" fillId="7" borderId="0" xfId="0" applyNumberFormat="1" applyFont="1" applyFill="1" applyAlignment="1" applyProtection="1">
      <alignment horizontal="center"/>
      <protection/>
    </xf>
    <xf numFmtId="9" fontId="6" fillId="0" borderId="0" xfId="21" applyFont="1" applyAlignment="1">
      <alignment horizontal="center"/>
    </xf>
    <xf numFmtId="0" fontId="51" fillId="0" borderId="0" xfId="0" applyFont="1" applyAlignment="1">
      <alignment horizontal="center"/>
    </xf>
    <xf numFmtId="9" fontId="52" fillId="0" borderId="0" xfId="21" applyFont="1" applyAlignment="1">
      <alignment horizontal="center"/>
    </xf>
    <xf numFmtId="166" fontId="52" fillId="0" borderId="0" xfId="21" applyNumberFormat="1" applyFont="1" applyAlignment="1">
      <alignment horizontal="center"/>
    </xf>
    <xf numFmtId="0" fontId="0" fillId="0" borderId="0" xfId="0" applyFill="1" applyAlignment="1">
      <alignment wrapText="1"/>
    </xf>
    <xf numFmtId="0" fontId="0" fillId="0" borderId="0" xfId="0" applyFill="1" applyBorder="1" applyAlignment="1">
      <alignment horizontal="right"/>
    </xf>
    <xf numFmtId="165" fontId="1" fillId="0" borderId="0" xfId="21" applyNumberFormat="1" applyFont="1" applyFill="1" applyAlignment="1">
      <alignment horizontal="left"/>
    </xf>
    <xf numFmtId="0" fontId="45" fillId="0" borderId="1" xfId="0" applyFont="1" applyFill="1" applyBorder="1" applyAlignment="1" applyProtection="1">
      <alignment horizontal="left"/>
      <protection/>
    </xf>
    <xf numFmtId="0" fontId="42" fillId="0" borderId="7" xfId="0" applyFont="1" applyFill="1" applyBorder="1" applyAlignment="1" applyProtection="1">
      <alignment horizontal="left"/>
      <protection/>
    </xf>
    <xf numFmtId="194" fontId="42" fillId="0" borderId="7" xfId="0" applyNumberFormat="1" applyFont="1" applyFill="1" applyBorder="1" applyAlignment="1" applyProtection="1">
      <alignment horizontal="center"/>
      <protection/>
    </xf>
    <xf numFmtId="43" fontId="42" fillId="0" borderId="7" xfId="15" applyFont="1" applyFill="1" applyBorder="1" applyAlignment="1">
      <alignment horizontal="center"/>
    </xf>
    <xf numFmtId="194" fontId="42" fillId="7" borderId="7" xfId="0" applyNumberFormat="1" applyFont="1" applyFill="1" applyBorder="1" applyAlignment="1" applyProtection="1">
      <alignment horizontal="center"/>
      <protection/>
    </xf>
    <xf numFmtId="164" fontId="42" fillId="7" borderId="7" xfId="15" applyNumberFormat="1" applyFont="1" applyFill="1" applyBorder="1" applyAlignment="1" applyProtection="1">
      <alignment horizontal="left"/>
      <protection/>
    </xf>
    <xf numFmtId="194" fontId="44" fillId="7" borderId="7" xfId="0" applyNumberFormat="1" applyFont="1" applyFill="1" applyBorder="1" applyAlignment="1" applyProtection="1">
      <alignment horizontal="center"/>
      <protection/>
    </xf>
    <xf numFmtId="194" fontId="44" fillId="7" borderId="2" xfId="0" applyNumberFormat="1" applyFont="1" applyFill="1" applyBorder="1" applyAlignment="1" applyProtection="1">
      <alignment horizontal="center"/>
      <protection/>
    </xf>
    <xf numFmtId="0" fontId="45" fillId="0" borderId="3" xfId="0" applyFont="1" applyFill="1" applyBorder="1" applyAlignment="1" applyProtection="1">
      <alignment horizontal="left"/>
      <protection/>
    </xf>
    <xf numFmtId="194" fontId="42" fillId="0" borderId="0" xfId="0" applyNumberFormat="1" applyFont="1" applyFill="1" applyBorder="1" applyAlignment="1">
      <alignment horizontal="center"/>
    </xf>
    <xf numFmtId="194" fontId="42" fillId="7" borderId="0" xfId="0" applyNumberFormat="1" applyFont="1" applyFill="1" applyBorder="1" applyAlignment="1">
      <alignment horizontal="center"/>
    </xf>
    <xf numFmtId="194" fontId="44" fillId="7" borderId="0" xfId="0" applyNumberFormat="1" applyFont="1" applyFill="1" applyBorder="1" applyAlignment="1">
      <alignment horizontal="center"/>
    </xf>
    <xf numFmtId="194" fontId="44" fillId="7" borderId="4" xfId="0" applyNumberFormat="1" applyFont="1" applyFill="1" applyBorder="1" applyAlignment="1" applyProtection="1">
      <alignment horizontal="center"/>
      <protection/>
    </xf>
    <xf numFmtId="0" fontId="45" fillId="0" borderId="3" xfId="0" applyFont="1" applyFill="1" applyBorder="1" applyAlignment="1">
      <alignment/>
    </xf>
    <xf numFmtId="0" fontId="42" fillId="0" borderId="0" xfId="0" applyFont="1" applyFill="1" applyBorder="1" applyAlignment="1">
      <alignment/>
    </xf>
    <xf numFmtId="194" fontId="44" fillId="7" borderId="4" xfId="0" applyNumberFormat="1" applyFont="1" applyFill="1" applyBorder="1" applyAlignment="1">
      <alignment horizontal="center"/>
    </xf>
    <xf numFmtId="0" fontId="44" fillId="0" borderId="4" xfId="0" applyFont="1" applyFill="1" applyBorder="1" applyAlignment="1">
      <alignment horizontal="center"/>
    </xf>
    <xf numFmtId="0" fontId="42" fillId="0" borderId="0" xfId="0" applyFont="1" applyFill="1" applyBorder="1" applyAlignment="1">
      <alignment horizontal="center"/>
    </xf>
    <xf numFmtId="194" fontId="26" fillId="0" borderId="0" xfId="0" applyNumberFormat="1" applyFont="1" applyFill="1" applyBorder="1" applyAlignment="1">
      <alignment horizontal="center"/>
    </xf>
    <xf numFmtId="0" fontId="45" fillId="0" borderId="5" xfId="0" applyFont="1" applyFill="1" applyBorder="1" applyAlignment="1">
      <alignment/>
    </xf>
    <xf numFmtId="0" fontId="42" fillId="0" borderId="24" xfId="0" applyFont="1" applyFill="1" applyBorder="1" applyAlignment="1">
      <alignment/>
    </xf>
    <xf numFmtId="194" fontId="42" fillId="0" borderId="24" xfId="0" applyNumberFormat="1" applyFont="1" applyFill="1" applyBorder="1" applyAlignment="1" applyProtection="1">
      <alignment horizontal="center"/>
      <protection/>
    </xf>
    <xf numFmtId="0" fontId="42" fillId="0" borderId="24" xfId="0" applyFont="1" applyFill="1" applyBorder="1" applyAlignment="1">
      <alignment horizontal="center"/>
    </xf>
    <xf numFmtId="194" fontId="26" fillId="0" borderId="24" xfId="0" applyNumberFormat="1" applyFont="1" applyFill="1" applyBorder="1" applyAlignment="1">
      <alignment horizontal="center"/>
    </xf>
    <xf numFmtId="0" fontId="44" fillId="0" borderId="6" xfId="0" applyFont="1" applyFill="1" applyBorder="1" applyAlignment="1">
      <alignment horizontal="center"/>
    </xf>
    <xf numFmtId="194" fontId="26" fillId="0" borderId="0" xfId="0" applyNumberFormat="1" applyFont="1" applyFill="1" applyBorder="1" applyAlignment="1" applyProtection="1">
      <alignment horizontal="center"/>
      <protection/>
    </xf>
    <xf numFmtId="194" fontId="44" fillId="0" borderId="4" xfId="0" applyNumberFormat="1" applyFont="1" applyFill="1" applyBorder="1" applyAlignment="1">
      <alignment horizontal="center"/>
    </xf>
    <xf numFmtId="164" fontId="42" fillId="0" borderId="0" xfId="15" applyNumberFormat="1" applyFont="1" applyFill="1" applyBorder="1" applyAlignment="1" applyProtection="1">
      <alignment horizontal="left"/>
      <protection/>
    </xf>
    <xf numFmtId="0" fontId="45" fillId="0" borderId="5" xfId="0" applyFont="1" applyFill="1" applyBorder="1" applyAlignment="1" applyProtection="1">
      <alignment horizontal="left"/>
      <protection/>
    </xf>
    <xf numFmtId="0" fontId="42" fillId="0" borderId="24" xfId="0" applyFont="1" applyFill="1" applyBorder="1" applyAlignment="1" applyProtection="1">
      <alignment horizontal="left"/>
      <protection/>
    </xf>
    <xf numFmtId="43" fontId="42" fillId="0" borderId="24" xfId="15" applyFont="1" applyFill="1" applyBorder="1" applyAlignment="1">
      <alignment horizontal="center"/>
    </xf>
    <xf numFmtId="164" fontId="42" fillId="0" borderId="24" xfId="15" applyNumberFormat="1" applyFont="1" applyFill="1" applyBorder="1" applyAlignment="1" applyProtection="1">
      <alignment horizontal="left"/>
      <protection/>
    </xf>
    <xf numFmtId="194" fontId="26" fillId="0" borderId="24" xfId="0" applyNumberFormat="1" applyFont="1" applyFill="1" applyBorder="1" applyAlignment="1" applyProtection="1">
      <alignment horizontal="center"/>
      <protection/>
    </xf>
    <xf numFmtId="194" fontId="44" fillId="0" borderId="6" xfId="0" applyNumberFormat="1" applyFont="1" applyFill="1" applyBorder="1" applyAlignment="1">
      <alignment horizontal="center"/>
    </xf>
    <xf numFmtId="194" fontId="42" fillId="0" borderId="7" xfId="0" applyNumberFormat="1" applyFont="1" applyFill="1" applyBorder="1" applyAlignment="1">
      <alignment horizontal="center"/>
    </xf>
    <xf numFmtId="194" fontId="42" fillId="7" borderId="7" xfId="0" applyNumberFormat="1" applyFont="1" applyFill="1" applyBorder="1" applyAlignment="1">
      <alignment horizontal="center"/>
    </xf>
    <xf numFmtId="194" fontId="26" fillId="7" borderId="7" xfId="0" applyNumberFormat="1" applyFont="1" applyFill="1" applyBorder="1" applyAlignment="1">
      <alignment horizontal="center"/>
    </xf>
    <xf numFmtId="194" fontId="44" fillId="7" borderId="2" xfId="0" applyNumberFormat="1" applyFont="1" applyFill="1" applyBorder="1" applyAlignment="1">
      <alignment horizontal="center"/>
    </xf>
    <xf numFmtId="194" fontId="26" fillId="7" borderId="0" xfId="0" applyNumberFormat="1" applyFont="1" applyFill="1" applyBorder="1" applyAlignment="1">
      <alignment horizontal="center"/>
    </xf>
    <xf numFmtId="0" fontId="45" fillId="0" borderId="26" xfId="0" applyFont="1" applyFill="1" applyBorder="1" applyAlignment="1" applyProtection="1">
      <alignment horizontal="center"/>
      <protection/>
    </xf>
    <xf numFmtId="194" fontId="47" fillId="0" borderId="26" xfId="0" applyNumberFormat="1" applyFont="1" applyFill="1" applyBorder="1" applyAlignment="1" applyProtection="1">
      <alignment horizontal="center"/>
      <protection/>
    </xf>
    <xf numFmtId="0" fontId="47" fillId="0" borderId="26" xfId="0" applyFont="1" applyFill="1" applyBorder="1" applyAlignment="1" applyProtection="1">
      <alignment horizontal="center"/>
      <protection/>
    </xf>
    <xf numFmtId="9" fontId="0" fillId="0" borderId="0" xfId="21" applyNumberFormat="1" applyAlignment="1">
      <alignment horizontal="center"/>
    </xf>
    <xf numFmtId="0" fontId="2" fillId="0" borderId="0" xfId="0" applyFont="1" applyFill="1" applyAlignment="1">
      <alignment horizontal="center" wrapText="1"/>
    </xf>
    <xf numFmtId="0" fontId="2" fillId="0" borderId="24" xfId="0" applyFont="1" applyFill="1" applyBorder="1" applyAlignment="1">
      <alignment horizontal="center" wrapText="1"/>
    </xf>
    <xf numFmtId="0" fontId="22" fillId="2" borderId="0" xfId="0" applyFont="1" applyFill="1" applyAlignment="1">
      <alignment wrapText="1"/>
    </xf>
    <xf numFmtId="0" fontId="4" fillId="0" borderId="0" xfId="0" applyFont="1" applyBorder="1" applyAlignment="1">
      <alignment horizontal="center"/>
    </xf>
    <xf numFmtId="0" fontId="35" fillId="5" borderId="17" xfId="0" applyFont="1" applyFill="1" applyBorder="1" applyAlignment="1">
      <alignment horizontal="right" vertical="center"/>
    </xf>
    <xf numFmtId="0" fontId="14" fillId="4" borderId="8" xfId="0" applyFont="1" applyFill="1" applyBorder="1" applyAlignment="1">
      <alignment vertical="center"/>
    </xf>
    <xf numFmtId="0" fontId="34" fillId="4" borderId="9" xfId="0" applyFont="1" applyFill="1" applyBorder="1" applyAlignment="1">
      <alignment horizontal="left" vertical="center"/>
    </xf>
    <xf numFmtId="0" fontId="11" fillId="4" borderId="8"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11" fillId="4" borderId="9" xfId="0" applyFont="1" applyFill="1" applyBorder="1" applyAlignment="1">
      <alignment horizontal="right" vertical="center"/>
    </xf>
    <xf numFmtId="0" fontId="62" fillId="0" borderId="0" xfId="0" applyFont="1" applyBorder="1" applyAlignment="1">
      <alignment vertical="center"/>
    </xf>
    <xf numFmtId="0" fontId="62" fillId="0" borderId="0" xfId="0" applyFont="1" applyBorder="1" applyAlignment="1">
      <alignment horizontal="left" vertical="center"/>
    </xf>
    <xf numFmtId="0" fontId="45" fillId="0" borderId="19" xfId="0" applyFont="1" applyFill="1" applyBorder="1" applyAlignment="1">
      <alignment vertical="center"/>
    </xf>
    <xf numFmtId="0" fontId="42" fillId="0" borderId="0" xfId="0" applyFont="1" applyFill="1" applyBorder="1" applyAlignment="1">
      <alignment vertical="center"/>
    </xf>
    <xf numFmtId="0" fontId="32" fillId="0" borderId="0" xfId="0" applyFont="1" applyFill="1" applyBorder="1" applyAlignment="1">
      <alignment vertical="center"/>
    </xf>
    <xf numFmtId="0" fontId="45" fillId="0" borderId="0" xfId="0" applyFont="1" applyFill="1" applyBorder="1" applyAlignment="1">
      <alignment vertical="center"/>
    </xf>
    <xf numFmtId="0" fontId="45" fillId="0" borderId="3" xfId="0" applyFont="1" applyFill="1" applyBorder="1" applyAlignment="1">
      <alignment vertical="center"/>
    </xf>
    <xf numFmtId="0" fontId="42" fillId="0" borderId="3" xfId="0" applyFont="1" applyFill="1" applyBorder="1" applyAlignment="1">
      <alignment vertical="center"/>
    </xf>
    <xf numFmtId="0" fontId="42" fillId="0" borderId="0" xfId="0" applyFont="1" applyBorder="1" applyAlignment="1">
      <alignment/>
    </xf>
    <xf numFmtId="0" fontId="6" fillId="0" borderId="20" xfId="0" applyFont="1" applyFill="1" applyBorder="1" applyAlignment="1">
      <alignment vertical="center"/>
    </xf>
    <xf numFmtId="0" fontId="63" fillId="0" borderId="20" xfId="0" applyFont="1" applyBorder="1" applyAlignment="1">
      <alignment vertical="center"/>
    </xf>
    <xf numFmtId="0" fontId="63" fillId="0" borderId="0" xfId="0" applyFont="1" applyBorder="1" applyAlignment="1">
      <alignment vertical="center"/>
    </xf>
    <xf numFmtId="0" fontId="32" fillId="0" borderId="20" xfId="0" applyFont="1" applyBorder="1" applyAlignment="1">
      <alignment vertical="center"/>
    </xf>
    <xf numFmtId="0" fontId="32" fillId="0" borderId="20" xfId="0" applyFont="1" applyFill="1" applyBorder="1" applyAlignment="1">
      <alignment vertical="center"/>
    </xf>
    <xf numFmtId="194" fontId="42" fillId="8" borderId="0" xfId="0" applyNumberFormat="1" applyFont="1" applyFill="1" applyBorder="1" applyAlignment="1" applyProtection="1">
      <alignment horizontal="center"/>
      <protection/>
    </xf>
    <xf numFmtId="194" fontId="26" fillId="8" borderId="0" xfId="0" applyNumberFormat="1" applyFont="1" applyFill="1" applyBorder="1" applyAlignment="1" applyProtection="1">
      <alignment horizontal="center"/>
      <protection/>
    </xf>
    <xf numFmtId="194" fontId="44" fillId="8" borderId="4" xfId="0" applyNumberFormat="1" applyFont="1" applyFill="1" applyBorder="1" applyAlignment="1">
      <alignment horizontal="center"/>
    </xf>
    <xf numFmtId="0" fontId="11" fillId="4" borderId="9" xfId="0" applyFont="1" applyFill="1" applyBorder="1" applyAlignment="1">
      <alignment horizontal="left" vertical="center"/>
    </xf>
    <xf numFmtId="0" fontId="0" fillId="5" borderId="9" xfId="0" applyFont="1" applyFill="1" applyBorder="1" applyAlignment="1">
      <alignment horizontal="left" vertical="center"/>
    </xf>
    <xf numFmtId="0" fontId="11" fillId="4" borderId="0" xfId="0" applyFont="1" applyFill="1" applyAlignment="1">
      <alignment horizontal="left" vertical="center"/>
    </xf>
    <xf numFmtId="0" fontId="0" fillId="9" borderId="0" xfId="0" applyFill="1" applyAlignment="1">
      <alignment/>
    </xf>
    <xf numFmtId="0" fontId="0" fillId="0" borderId="0" xfId="0" applyFill="1" applyAlignment="1">
      <alignment horizontal="right"/>
    </xf>
    <xf numFmtId="165" fontId="0" fillId="0" borderId="0" xfId="0" applyNumberFormat="1" applyFill="1" applyAlignment="1">
      <alignment/>
    </xf>
    <xf numFmtId="165" fontId="1" fillId="0" borderId="0" xfId="0" applyNumberFormat="1" applyFont="1" applyFill="1" applyAlignment="1">
      <alignment/>
    </xf>
    <xf numFmtId="0" fontId="0" fillId="0" borderId="0" xfId="0" applyFill="1" applyAlignment="1">
      <alignment/>
    </xf>
    <xf numFmtId="165" fontId="6" fillId="0" borderId="0" xfId="15" applyNumberFormat="1" applyFont="1" applyFill="1" applyAlignment="1">
      <alignment/>
    </xf>
    <xf numFmtId="0" fontId="39" fillId="10" borderId="0" xfId="0" applyFont="1" applyFill="1" applyAlignment="1">
      <alignment/>
    </xf>
    <xf numFmtId="0" fontId="42" fillId="10" borderId="0" xfId="0" applyFont="1" applyFill="1" applyAlignment="1">
      <alignment/>
    </xf>
    <xf numFmtId="0" fontId="0" fillId="10" borderId="0" xfId="0" applyFill="1" applyAlignment="1">
      <alignment/>
    </xf>
    <xf numFmtId="0" fontId="3" fillId="10" borderId="0" xfId="0" applyFont="1" applyFill="1" applyAlignment="1">
      <alignment/>
    </xf>
    <xf numFmtId="0" fontId="40" fillId="10" borderId="0" xfId="0" applyFont="1" applyFill="1" applyAlignment="1">
      <alignment/>
    </xf>
    <xf numFmtId="0" fontId="45" fillId="10" borderId="26" xfId="0" applyFont="1" applyFill="1" applyBorder="1" applyAlignment="1">
      <alignment wrapText="1"/>
    </xf>
    <xf numFmtId="0" fontId="12" fillId="10" borderId="26" xfId="0" applyFont="1" applyFill="1" applyBorder="1" applyAlignment="1">
      <alignment horizontal="center"/>
    </xf>
    <xf numFmtId="0" fontId="2" fillId="10" borderId="0" xfId="0" applyFont="1" applyFill="1" applyAlignment="1">
      <alignment/>
    </xf>
    <xf numFmtId="0" fontId="0" fillId="10" borderId="27" xfId="0" applyFill="1" applyBorder="1" applyAlignment="1">
      <alignment/>
    </xf>
    <xf numFmtId="0" fontId="0" fillId="10" borderId="7" xfId="0" applyFill="1" applyBorder="1" applyAlignment="1">
      <alignment/>
    </xf>
    <xf numFmtId="0" fontId="0" fillId="10" borderId="28" xfId="0" applyFill="1" applyBorder="1" applyAlignment="1">
      <alignment/>
    </xf>
    <xf numFmtId="0" fontId="0" fillId="10" borderId="0" xfId="0" applyFill="1" applyBorder="1" applyAlignment="1">
      <alignment/>
    </xf>
    <xf numFmtId="165" fontId="0" fillId="10" borderId="28" xfId="0" applyNumberFormat="1" applyFill="1" applyBorder="1" applyAlignment="1">
      <alignment/>
    </xf>
    <xf numFmtId="165" fontId="0" fillId="10" borderId="0" xfId="0" applyNumberFormat="1" applyFill="1" applyBorder="1" applyAlignment="1">
      <alignment/>
    </xf>
    <xf numFmtId="165" fontId="0" fillId="10" borderId="0" xfId="15" applyNumberFormat="1" applyFill="1" applyBorder="1" applyAlignment="1">
      <alignment/>
    </xf>
    <xf numFmtId="165" fontId="0" fillId="10" borderId="0" xfId="0" applyNumberFormat="1" applyFill="1" applyAlignment="1">
      <alignment/>
    </xf>
    <xf numFmtId="165" fontId="0" fillId="10" borderId="0" xfId="15" applyNumberFormat="1" applyFont="1" applyFill="1" applyBorder="1" applyAlignment="1">
      <alignment/>
    </xf>
    <xf numFmtId="0" fontId="53" fillId="10" borderId="29" xfId="0" applyFont="1" applyFill="1" applyBorder="1" applyAlignment="1">
      <alignment horizontal="right"/>
    </xf>
    <xf numFmtId="165" fontId="2" fillId="10" borderId="26" xfId="15" applyNumberFormat="1" applyFont="1" applyFill="1" applyBorder="1" applyAlignment="1">
      <alignment/>
    </xf>
    <xf numFmtId="165" fontId="2" fillId="10" borderId="30" xfId="15" applyNumberFormat="1" applyFont="1" applyFill="1" applyBorder="1" applyAlignment="1">
      <alignment/>
    </xf>
    <xf numFmtId="0" fontId="0" fillId="10" borderId="30" xfId="0" applyFill="1" applyBorder="1" applyAlignment="1">
      <alignment/>
    </xf>
    <xf numFmtId="165" fontId="2" fillId="10" borderId="30" xfId="0" applyNumberFormat="1" applyFont="1" applyFill="1" applyBorder="1" applyAlignment="1">
      <alignment/>
    </xf>
    <xf numFmtId="0" fontId="2" fillId="10" borderId="31" xfId="0" applyFont="1" applyFill="1" applyBorder="1" applyAlignment="1">
      <alignment/>
    </xf>
    <xf numFmtId="165" fontId="1" fillId="10" borderId="0" xfId="15" applyNumberFormat="1" applyFont="1" applyFill="1" applyBorder="1" applyAlignment="1">
      <alignment/>
    </xf>
    <xf numFmtId="165" fontId="0" fillId="10" borderId="30" xfId="15" applyNumberFormat="1" applyFill="1" applyBorder="1" applyAlignment="1">
      <alignment/>
    </xf>
    <xf numFmtId="0" fontId="2" fillId="10" borderId="0" xfId="0" applyFont="1" applyFill="1" applyAlignment="1">
      <alignment vertical="top"/>
    </xf>
    <xf numFmtId="165" fontId="2" fillId="10" borderId="28" xfId="0" applyNumberFormat="1" applyFont="1" applyFill="1" applyBorder="1" applyAlignment="1">
      <alignment/>
    </xf>
    <xf numFmtId="165" fontId="2" fillId="10" borderId="0" xfId="0" applyNumberFormat="1" applyFont="1" applyFill="1" applyBorder="1" applyAlignment="1">
      <alignment/>
    </xf>
    <xf numFmtId="165" fontId="2" fillId="10" borderId="0" xfId="15" applyNumberFormat="1" applyFont="1" applyFill="1" applyBorder="1" applyAlignment="1">
      <alignment/>
    </xf>
    <xf numFmtId="165" fontId="2" fillId="10" borderId="0" xfId="0" applyNumberFormat="1" applyFont="1" applyFill="1" applyAlignment="1">
      <alignment/>
    </xf>
    <xf numFmtId="165" fontId="54" fillId="10" borderId="30" xfId="15" applyNumberFormat="1" applyFont="1" applyFill="1" applyBorder="1" applyAlignment="1">
      <alignment/>
    </xf>
    <xf numFmtId="0" fontId="12" fillId="10" borderId="31" xfId="0" applyFont="1" applyFill="1" applyBorder="1" applyAlignment="1">
      <alignment/>
    </xf>
    <xf numFmtId="0" fontId="11" fillId="10" borderId="0" xfId="0" applyFont="1" applyFill="1" applyAlignment="1">
      <alignment/>
    </xf>
    <xf numFmtId="0" fontId="12" fillId="10" borderId="29" xfId="0" applyFont="1" applyFill="1" applyBorder="1" applyAlignment="1">
      <alignment/>
    </xf>
    <xf numFmtId="0" fontId="55" fillId="10" borderId="30" xfId="0" applyFont="1" applyFill="1" applyBorder="1" applyAlignment="1">
      <alignment horizontal="right"/>
    </xf>
    <xf numFmtId="165" fontId="12" fillId="10" borderId="26" xfId="15" applyNumberFormat="1" applyFont="1" applyFill="1" applyBorder="1" applyAlignment="1">
      <alignment/>
    </xf>
    <xf numFmtId="165" fontId="12" fillId="10" borderId="30" xfId="15" applyNumberFormat="1" applyFont="1" applyFill="1" applyBorder="1" applyAlignment="1">
      <alignment/>
    </xf>
    <xf numFmtId="165" fontId="2" fillId="10" borderId="31" xfId="0" applyNumberFormat="1" applyFont="1" applyFill="1" applyBorder="1" applyAlignment="1">
      <alignment/>
    </xf>
    <xf numFmtId="0" fontId="53" fillId="10" borderId="0" xfId="0" applyFont="1" applyFill="1" applyAlignment="1">
      <alignment horizontal="right"/>
    </xf>
    <xf numFmtId="0" fontId="0" fillId="10" borderId="0" xfId="0" applyFill="1" applyBorder="1" applyAlignment="1">
      <alignment horizontal="right"/>
    </xf>
    <xf numFmtId="43" fontId="0" fillId="10" borderId="0" xfId="0" applyNumberFormat="1" applyFill="1" applyBorder="1" applyAlignment="1">
      <alignment/>
    </xf>
    <xf numFmtId="165" fontId="11" fillId="10" borderId="0" xfId="0" applyNumberFormat="1" applyFont="1" applyFill="1" applyAlignment="1">
      <alignment/>
    </xf>
    <xf numFmtId="0" fontId="12" fillId="10" borderId="30" xfId="0" applyFont="1" applyFill="1" applyBorder="1" applyAlignment="1">
      <alignment/>
    </xf>
    <xf numFmtId="165" fontId="0" fillId="10" borderId="26" xfId="0" applyNumberFormat="1" applyFill="1" applyBorder="1" applyAlignment="1">
      <alignment/>
    </xf>
    <xf numFmtId="165" fontId="0" fillId="10" borderId="30" xfId="0" applyNumberFormat="1" applyFill="1" applyBorder="1" applyAlignment="1">
      <alignment/>
    </xf>
    <xf numFmtId="0" fontId="0" fillId="10" borderId="31" xfId="0" applyFill="1" applyBorder="1" applyAlignment="1">
      <alignment/>
    </xf>
    <xf numFmtId="0" fontId="11" fillId="10" borderId="28" xfId="0" applyFont="1" applyFill="1" applyBorder="1" applyAlignment="1">
      <alignment/>
    </xf>
    <xf numFmtId="0" fontId="11" fillId="10" borderId="0" xfId="0" applyFont="1" applyFill="1" applyBorder="1" applyAlignment="1">
      <alignment/>
    </xf>
    <xf numFmtId="0" fontId="12" fillId="10" borderId="0" xfId="0" applyFont="1" applyFill="1" applyAlignment="1">
      <alignment/>
    </xf>
    <xf numFmtId="165" fontId="0" fillId="10" borderId="32" xfId="0" applyNumberFormat="1" applyFill="1" applyBorder="1" applyAlignment="1">
      <alignment/>
    </xf>
    <xf numFmtId="165" fontId="3" fillId="10" borderId="33" xfId="15" applyNumberFormat="1" applyFont="1" applyFill="1" applyBorder="1" applyAlignment="1">
      <alignment/>
    </xf>
    <xf numFmtId="165" fontId="3" fillId="10" borderId="6" xfId="15" applyNumberFormat="1" applyFont="1" applyFill="1" applyBorder="1" applyAlignment="1">
      <alignment/>
    </xf>
    <xf numFmtId="1" fontId="0" fillId="10" borderId="0" xfId="0" applyNumberFormat="1" applyFill="1" applyAlignment="1">
      <alignment/>
    </xf>
    <xf numFmtId="0" fontId="3" fillId="10" borderId="0" xfId="0" applyFont="1" applyFill="1" applyBorder="1" applyAlignment="1">
      <alignment/>
    </xf>
    <xf numFmtId="0" fontId="5" fillId="0" borderId="0" xfId="0" applyFont="1" applyFill="1" applyAlignment="1">
      <alignment horizontal="center"/>
    </xf>
    <xf numFmtId="165" fontId="0" fillId="0" borderId="0" xfId="15" applyNumberFormat="1" applyFill="1" applyAlignment="1">
      <alignment horizontal="center"/>
    </xf>
    <xf numFmtId="165" fontId="1" fillId="0" borderId="0" xfId="15" applyNumberFormat="1" applyFont="1" applyFill="1" applyAlignment="1">
      <alignment horizontal="center"/>
    </xf>
    <xf numFmtId="0" fontId="0" fillId="0" borderId="0" xfId="0" applyFill="1" applyAlignment="1">
      <alignment horizontal="center"/>
    </xf>
    <xf numFmtId="165" fontId="16" fillId="0" borderId="7" xfId="0" applyNumberFormat="1" applyFont="1" applyFill="1" applyBorder="1" applyAlignment="1">
      <alignment horizontal="center"/>
    </xf>
    <xf numFmtId="0" fontId="16" fillId="0" borderId="0" xfId="0" applyFont="1" applyFill="1" applyBorder="1" applyAlignment="1">
      <alignment horizontal="center"/>
    </xf>
    <xf numFmtId="165" fontId="16"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165" fontId="16" fillId="0" borderId="24" xfId="0" applyNumberFormat="1" applyFont="1" applyFill="1" applyBorder="1" applyAlignment="1">
      <alignment horizontal="center"/>
    </xf>
    <xf numFmtId="0" fontId="48" fillId="0" borderId="0" xfId="0" applyFont="1" applyAlignment="1">
      <alignment horizontal="center"/>
    </xf>
    <xf numFmtId="0" fontId="64" fillId="0" borderId="0" xfId="0" applyFont="1" applyAlignment="1">
      <alignment horizontal="center"/>
    </xf>
    <xf numFmtId="166" fontId="64" fillId="0" borderId="0" xfId="21" applyNumberFormat="1" applyFont="1" applyAlignment="1">
      <alignment horizontal="center"/>
    </xf>
    <xf numFmtId="0" fontId="0" fillId="10" borderId="0" xfId="0" applyFill="1" applyAlignment="1" quotePrefix="1">
      <alignment/>
    </xf>
    <xf numFmtId="197" fontId="0" fillId="10" borderId="0" xfId="0" applyNumberFormat="1" applyFill="1" applyAlignment="1">
      <alignment/>
    </xf>
    <xf numFmtId="0" fontId="65" fillId="0" borderId="0" xfId="0" applyFont="1" applyFill="1" applyBorder="1" applyAlignment="1">
      <alignment/>
    </xf>
    <xf numFmtId="203" fontId="34" fillId="0" borderId="0" xfId="0" applyNumberFormat="1" applyFont="1" applyFill="1" applyBorder="1" applyAlignment="1">
      <alignment horizontal="center"/>
    </xf>
    <xf numFmtId="0" fontId="34" fillId="0" borderId="0" xfId="0" applyFont="1" applyFill="1" applyBorder="1" applyAlignment="1">
      <alignment horizontal="left" wrapText="1"/>
    </xf>
    <xf numFmtId="0" fontId="34" fillId="0" borderId="0" xfId="0" applyFont="1" applyFill="1" applyBorder="1" applyAlignment="1" quotePrefix="1">
      <alignment horizontal="left" wrapText="1"/>
    </xf>
    <xf numFmtId="203" fontId="34" fillId="0" borderId="0" xfId="0" applyNumberFormat="1" applyFont="1" applyFill="1" applyBorder="1" applyAlignment="1">
      <alignment horizontal="left" wrapText="1"/>
    </xf>
    <xf numFmtId="164" fontId="0" fillId="10" borderId="0" xfId="15" applyNumberFormat="1" applyFill="1" applyAlignment="1">
      <alignment/>
    </xf>
    <xf numFmtId="164" fontId="0" fillId="10" borderId="0" xfId="0" applyNumberFormat="1" applyFill="1" applyAlignment="1">
      <alignment/>
    </xf>
    <xf numFmtId="164" fontId="0" fillId="10" borderId="26" xfId="0" applyNumberFormat="1" applyFill="1" applyBorder="1" applyAlignment="1">
      <alignment/>
    </xf>
    <xf numFmtId="164" fontId="0" fillId="10" borderId="29" xfId="0" applyNumberFormat="1" applyFill="1" applyBorder="1" applyAlignment="1">
      <alignment/>
    </xf>
    <xf numFmtId="164" fontId="0" fillId="10" borderId="0" xfId="0" applyNumberFormat="1" applyFill="1" applyBorder="1" applyAlignment="1">
      <alignment/>
    </xf>
    <xf numFmtId="0" fontId="0" fillId="10" borderId="29" xfId="0" applyFill="1" applyBorder="1" applyAlignment="1">
      <alignment/>
    </xf>
    <xf numFmtId="165" fontId="0" fillId="10" borderId="0" xfId="15" applyNumberFormat="1" applyFill="1" applyAlignment="1">
      <alignment/>
    </xf>
    <xf numFmtId="164" fontId="0" fillId="10" borderId="1" xfId="0" applyNumberFormat="1" applyFill="1" applyBorder="1" applyAlignment="1">
      <alignment/>
    </xf>
    <xf numFmtId="164" fontId="0" fillId="10" borderId="2" xfId="0" applyNumberFormat="1" applyFill="1" applyBorder="1" applyAlignment="1">
      <alignment/>
    </xf>
    <xf numFmtId="164" fontId="0" fillId="10" borderId="5" xfId="0" applyNumberFormat="1" applyFill="1" applyBorder="1" applyAlignment="1">
      <alignment/>
    </xf>
    <xf numFmtId="0" fontId="0" fillId="10" borderId="6" xfId="0" applyFill="1" applyBorder="1" applyAlignment="1">
      <alignment/>
    </xf>
    <xf numFmtId="164" fontId="0" fillId="10" borderId="7" xfId="0" applyNumberFormat="1" applyFill="1" applyBorder="1" applyAlignment="1">
      <alignment/>
    </xf>
    <xf numFmtId="0" fontId="0" fillId="10" borderId="2" xfId="0" applyFill="1" applyBorder="1" applyAlignment="1">
      <alignment/>
    </xf>
    <xf numFmtId="164" fontId="0" fillId="10" borderId="3" xfId="0" applyNumberFormat="1" applyFill="1" applyBorder="1" applyAlignment="1">
      <alignment/>
    </xf>
    <xf numFmtId="0" fontId="0" fillId="10" borderId="4" xfId="0" applyFill="1" applyBorder="1" applyAlignment="1">
      <alignment/>
    </xf>
    <xf numFmtId="0" fontId="0" fillId="10" borderId="24" xfId="0" applyFill="1" applyBorder="1" applyAlignment="1">
      <alignment/>
    </xf>
    <xf numFmtId="164" fontId="2" fillId="10" borderId="0" xfId="15" applyNumberFormat="1" applyFont="1" applyFill="1" applyAlignment="1">
      <alignment/>
    </xf>
    <xf numFmtId="168" fontId="0" fillId="10" borderId="0" xfId="0" applyNumberFormat="1" applyFill="1" applyAlignment="1">
      <alignment/>
    </xf>
    <xf numFmtId="164" fontId="0" fillId="10" borderId="26" xfId="15" applyNumberFormat="1" applyFill="1" applyBorder="1" applyAlignment="1">
      <alignment/>
    </xf>
    <xf numFmtId="166" fontId="0" fillId="10" borderId="0" xfId="21" applyNumberFormat="1" applyFill="1" applyAlignment="1">
      <alignment/>
    </xf>
    <xf numFmtId="164" fontId="0" fillId="10" borderId="0" xfId="15" applyNumberFormat="1" applyFont="1" applyFill="1" applyAlignment="1">
      <alignment/>
    </xf>
    <xf numFmtId="0" fontId="34" fillId="0" borderId="0" xfId="0" applyFont="1" applyFill="1" applyAlignment="1">
      <alignment vertical="top"/>
    </xf>
    <xf numFmtId="203" fontId="34" fillId="0" borderId="0" xfId="0" applyNumberFormat="1" applyFont="1" applyFill="1" applyAlignment="1">
      <alignment vertical="top"/>
    </xf>
    <xf numFmtId="0" fontId="61" fillId="0" borderId="0" xfId="0" applyFont="1" applyFill="1" applyAlignment="1">
      <alignment vertical="top"/>
    </xf>
    <xf numFmtId="0" fontId="61" fillId="0" borderId="0" xfId="0" applyFont="1" applyFill="1" applyAlignment="1">
      <alignment vertical="top" wrapText="1"/>
    </xf>
    <xf numFmtId="6" fontId="34" fillId="0" borderId="0" xfId="0" applyNumberFormat="1" applyFont="1" applyFill="1" applyAlignment="1">
      <alignment vertical="top"/>
    </xf>
    <xf numFmtId="0" fontId="14" fillId="0" borderId="0" xfId="0" applyFont="1" applyFill="1" applyAlignment="1">
      <alignment vertical="top" wrapText="1"/>
    </xf>
    <xf numFmtId="0" fontId="67" fillId="0" borderId="0" xfId="0" applyFont="1" applyFill="1" applyAlignment="1">
      <alignment horizontal="centerContinuous" vertical="top"/>
    </xf>
    <xf numFmtId="0" fontId="67" fillId="0" borderId="0" xfId="0" applyFont="1" applyFill="1" applyAlignment="1">
      <alignment vertical="top"/>
    </xf>
    <xf numFmtId="6" fontId="14" fillId="0" borderId="0" xfId="0" applyNumberFormat="1" applyFont="1" applyFill="1" applyAlignment="1">
      <alignment vertical="top"/>
    </xf>
    <xf numFmtId="6" fontId="14" fillId="0" borderId="0" xfId="0" applyNumberFormat="1" applyFont="1" applyFill="1" applyAlignment="1">
      <alignment vertical="top" wrapText="1"/>
    </xf>
    <xf numFmtId="0" fontId="34" fillId="0" borderId="0" xfId="0" applyFont="1" applyFill="1" applyAlignment="1">
      <alignment vertical="top" wrapText="1"/>
    </xf>
    <xf numFmtId="6" fontId="34" fillId="0" borderId="0" xfId="0" applyNumberFormat="1" applyFont="1" applyFill="1" applyAlignment="1">
      <alignment vertical="top" wrapText="1"/>
    </xf>
    <xf numFmtId="0" fontId="34" fillId="0" borderId="0" xfId="0" applyFont="1" applyFill="1" applyAlignment="1">
      <alignment horizontal="left" vertical="top"/>
    </xf>
    <xf numFmtId="0" fontId="34" fillId="0" borderId="0" xfId="0" applyFont="1" applyFill="1" applyAlignment="1">
      <alignment horizontal="left" vertical="top" wrapText="1"/>
    </xf>
    <xf numFmtId="6" fontId="34" fillId="0" borderId="0" xfId="0" applyNumberFormat="1" applyFont="1" applyFill="1" applyAlignment="1">
      <alignment horizontal="left" vertical="top" wrapText="1"/>
    </xf>
    <xf numFmtId="0" fontId="34" fillId="0" borderId="0" xfId="0" applyFont="1" applyFill="1" applyBorder="1" applyAlignment="1">
      <alignment horizontal="center" vertical="top" wrapText="1"/>
    </xf>
    <xf numFmtId="0" fontId="34" fillId="0" borderId="0" xfId="0" applyFont="1" applyFill="1" applyBorder="1" applyAlignment="1">
      <alignment vertical="top" wrapText="1"/>
    </xf>
    <xf numFmtId="203" fontId="34" fillId="0" borderId="0" xfId="0" applyNumberFormat="1" applyFont="1" applyFill="1" applyBorder="1" applyAlignment="1">
      <alignment horizontal="center" vertical="top" wrapText="1"/>
    </xf>
    <xf numFmtId="203" fontId="34" fillId="0" borderId="0" xfId="0" applyNumberFormat="1" applyFont="1" applyFill="1" applyBorder="1" applyAlignment="1">
      <alignment horizontal="left" vertical="top" wrapText="1"/>
    </xf>
    <xf numFmtId="203" fontId="34" fillId="0" borderId="0" xfId="0" applyNumberFormat="1" applyFont="1" applyFill="1" applyAlignment="1">
      <alignment horizontal="center" vertical="top" wrapText="1"/>
    </xf>
    <xf numFmtId="203" fontId="66" fillId="0" borderId="0" xfId="0" applyNumberFormat="1" applyFont="1" applyFill="1" applyBorder="1" applyAlignment="1">
      <alignment horizontal="center" vertical="top" wrapText="1"/>
    </xf>
    <xf numFmtId="0" fontId="34" fillId="0" borderId="0" xfId="0" applyFont="1" applyFill="1" applyBorder="1" applyAlignment="1">
      <alignment horizontal="left" vertical="top" wrapText="1"/>
    </xf>
    <xf numFmtId="203" fontId="34" fillId="0" borderId="0" xfId="0" applyNumberFormat="1" applyFont="1" applyFill="1" applyAlignment="1">
      <alignment vertical="top" wrapText="1"/>
    </xf>
    <xf numFmtId="0" fontId="34" fillId="0" borderId="0" xfId="0" applyFont="1" applyFill="1" applyBorder="1" applyAlignment="1" quotePrefix="1">
      <alignment horizontal="left" vertical="top" wrapText="1"/>
    </xf>
    <xf numFmtId="203" fontId="69" fillId="0" borderId="0" xfId="0" applyNumberFormat="1" applyFont="1" applyFill="1" applyBorder="1" applyAlignment="1">
      <alignment horizontal="right" vertical="top" wrapText="1"/>
    </xf>
    <xf numFmtId="203" fontId="68" fillId="0" borderId="0" xfId="0" applyNumberFormat="1" applyFont="1" applyFill="1" applyAlignment="1">
      <alignment horizontal="center" vertical="top" wrapText="1"/>
    </xf>
    <xf numFmtId="203" fontId="68" fillId="0" borderId="0" xfId="0" applyNumberFormat="1" applyFont="1" applyFill="1" applyBorder="1" applyAlignment="1">
      <alignment horizontal="center" vertical="top" wrapText="1"/>
    </xf>
    <xf numFmtId="203" fontId="9" fillId="0" borderId="0" xfId="0" applyNumberFormat="1" applyFont="1" applyFill="1" applyBorder="1" applyAlignment="1">
      <alignment horizontal="center" vertical="top" wrapText="1"/>
    </xf>
    <xf numFmtId="0" fontId="70" fillId="0" borderId="0" xfId="0" applyFont="1" applyAlignment="1">
      <alignment vertical="top" wrapText="1"/>
    </xf>
    <xf numFmtId="0" fontId="42" fillId="0" borderId="0" xfId="0" applyFont="1" applyBorder="1" applyAlignment="1">
      <alignment vertical="top" wrapText="1"/>
    </xf>
    <xf numFmtId="6" fontId="70" fillId="0" borderId="0" xfId="0" applyNumberFormat="1" applyFont="1" applyBorder="1" applyAlignment="1">
      <alignment vertical="top" wrapText="1"/>
    </xf>
    <xf numFmtId="0" fontId="42" fillId="0" borderId="0" xfId="0" applyFont="1" applyAlignment="1">
      <alignment horizontal="center" vertical="top"/>
    </xf>
    <xf numFmtId="6" fontId="13" fillId="0" borderId="0" xfId="0" applyNumberFormat="1" applyFont="1" applyBorder="1" applyAlignment="1">
      <alignment horizontal="center" vertical="top" wrapText="1"/>
    </xf>
    <xf numFmtId="6" fontId="14" fillId="0" borderId="0" xfId="0" applyNumberFormat="1" applyFont="1" applyBorder="1" applyAlignment="1">
      <alignment horizontal="center" vertical="top" wrapText="1"/>
    </xf>
    <xf numFmtId="6" fontId="72" fillId="0" borderId="0" xfId="0" applyNumberFormat="1" applyFont="1" applyBorder="1" applyAlignment="1">
      <alignment horizontal="center" vertical="top" wrapText="1"/>
    </xf>
    <xf numFmtId="0" fontId="0" fillId="0" borderId="0" xfId="0" applyBorder="1" applyAlignment="1">
      <alignment horizontal="center"/>
    </xf>
    <xf numFmtId="0" fontId="57" fillId="10" borderId="0" xfId="0" applyFont="1" applyFill="1" applyAlignment="1">
      <alignment/>
    </xf>
    <xf numFmtId="3" fontId="56" fillId="10" borderId="33" xfId="0" applyNumberFormat="1" applyFont="1" applyFill="1" applyBorder="1" applyAlignment="1">
      <alignment horizontal="center" wrapText="1"/>
    </xf>
    <xf numFmtId="3" fontId="56" fillId="10" borderId="6" xfId="0" applyNumberFormat="1" applyFont="1" applyFill="1" applyBorder="1" applyAlignment="1">
      <alignment horizontal="center" wrapText="1"/>
    </xf>
    <xf numFmtId="3" fontId="56" fillId="10" borderId="29" xfId="0" applyNumberFormat="1" applyFont="1" applyFill="1" applyBorder="1" applyAlignment="1">
      <alignment horizontal="center" vertical="center" wrapText="1"/>
    </xf>
    <xf numFmtId="3" fontId="56" fillId="10" borderId="26" xfId="0" applyNumberFormat="1" applyFont="1" applyFill="1" applyBorder="1" applyAlignment="1">
      <alignment horizontal="center" vertical="center" wrapText="1"/>
    </xf>
    <xf numFmtId="0" fontId="57" fillId="10" borderId="34" xfId="0" applyFont="1" applyFill="1" applyBorder="1" applyAlignment="1">
      <alignment horizontal="center" wrapText="1"/>
    </xf>
    <xf numFmtId="3" fontId="56" fillId="10" borderId="35" xfId="0" applyNumberFormat="1" applyFont="1" applyFill="1" applyBorder="1" applyAlignment="1">
      <alignment horizontal="center" wrapText="1"/>
    </xf>
    <xf numFmtId="3" fontId="56" fillId="10" borderId="36" xfId="0" applyNumberFormat="1" applyFont="1" applyFill="1" applyBorder="1" applyAlignment="1">
      <alignment horizontal="center" vertical="center" wrapText="1"/>
    </xf>
    <xf numFmtId="3" fontId="56" fillId="10" borderId="37" xfId="0" applyNumberFormat="1" applyFont="1" applyFill="1" applyBorder="1" applyAlignment="1">
      <alignment horizontal="center" vertical="center" wrapText="1"/>
    </xf>
    <xf numFmtId="3" fontId="56" fillId="10" borderId="35" xfId="0" applyNumberFormat="1" applyFont="1" applyFill="1" applyBorder="1" applyAlignment="1">
      <alignment horizontal="center" vertical="center" wrapText="1"/>
    </xf>
    <xf numFmtId="0" fontId="57" fillId="10" borderId="0" xfId="0" applyFont="1" applyFill="1" applyAlignment="1">
      <alignment horizontal="center" wrapText="1"/>
    </xf>
    <xf numFmtId="0" fontId="56" fillId="10" borderId="0" xfId="0" applyFont="1" applyFill="1" applyAlignment="1">
      <alignment horizontal="center" wrapText="1"/>
    </xf>
    <xf numFmtId="0" fontId="56" fillId="10" borderId="38" xfId="0" applyFont="1" applyFill="1" applyBorder="1" applyAlignment="1">
      <alignment/>
    </xf>
    <xf numFmtId="0" fontId="56" fillId="10" borderId="38" xfId="0" applyFont="1" applyFill="1" applyBorder="1" applyAlignment="1">
      <alignment wrapText="1"/>
    </xf>
    <xf numFmtId="3" fontId="56" fillId="10" borderId="39" xfId="0" applyNumberFormat="1" applyFont="1" applyFill="1" applyBorder="1" applyAlignment="1">
      <alignment/>
    </xf>
    <xf numFmtId="166" fontId="56" fillId="10" borderId="40" xfId="21" applyNumberFormat="1" applyFont="1" applyFill="1" applyBorder="1" applyAlignment="1">
      <alignment/>
    </xf>
    <xf numFmtId="3" fontId="56" fillId="10" borderId="40" xfId="0" applyNumberFormat="1" applyFont="1" applyFill="1" applyBorder="1" applyAlignment="1">
      <alignment/>
    </xf>
    <xf numFmtId="3" fontId="56" fillId="10" borderId="41" xfId="0" applyNumberFormat="1" applyFont="1" applyFill="1" applyBorder="1" applyAlignment="1">
      <alignment/>
    </xf>
    <xf numFmtId="0" fontId="56" fillId="10" borderId="40" xfId="0" applyFont="1" applyFill="1" applyBorder="1" applyAlignment="1">
      <alignment/>
    </xf>
    <xf numFmtId="0" fontId="57" fillId="10" borderId="41" xfId="0" applyFont="1" applyFill="1" applyBorder="1" applyAlignment="1">
      <alignment/>
    </xf>
    <xf numFmtId="0" fontId="56" fillId="10" borderId="0" xfId="0" applyFont="1" applyFill="1" applyAlignment="1">
      <alignment/>
    </xf>
    <xf numFmtId="0" fontId="57" fillId="10" borderId="42" xfId="0" applyFont="1" applyFill="1" applyBorder="1" applyAlignment="1">
      <alignment/>
    </xf>
    <xf numFmtId="0" fontId="57" fillId="10" borderId="42" xfId="0" applyFont="1" applyFill="1" applyBorder="1" applyAlignment="1">
      <alignment horizontal="left" wrapText="1" indent="1"/>
    </xf>
    <xf numFmtId="3" fontId="57" fillId="10" borderId="0" xfId="0" applyNumberFormat="1" applyFont="1" applyFill="1" applyAlignment="1">
      <alignment/>
    </xf>
    <xf numFmtId="3" fontId="57" fillId="10" borderId="17" xfId="0" applyNumberFormat="1" applyFont="1" applyFill="1" applyBorder="1" applyAlignment="1">
      <alignment/>
    </xf>
    <xf numFmtId="3" fontId="57" fillId="10" borderId="39" xfId="0" applyNumberFormat="1" applyFont="1" applyFill="1" applyBorder="1" applyAlignment="1">
      <alignment/>
    </xf>
    <xf numFmtId="9" fontId="57" fillId="10" borderId="40" xfId="21" applyFont="1" applyFill="1" applyBorder="1" applyAlignment="1">
      <alignment/>
    </xf>
    <xf numFmtId="165" fontId="0" fillId="10" borderId="43" xfId="15" applyNumberFormat="1" applyFill="1" applyBorder="1" applyAlignment="1">
      <alignment/>
    </xf>
    <xf numFmtId="3" fontId="57" fillId="10" borderId="41" xfId="0" applyNumberFormat="1" applyFont="1" applyFill="1" applyBorder="1" applyAlignment="1">
      <alignment/>
    </xf>
    <xf numFmtId="3" fontId="57" fillId="10" borderId="15" xfId="0" applyNumberFormat="1" applyFont="1" applyFill="1" applyBorder="1" applyAlignment="1">
      <alignment/>
    </xf>
    <xf numFmtId="3" fontId="57" fillId="10" borderId="18" xfId="0" applyNumberFormat="1" applyFont="1" applyFill="1" applyBorder="1" applyAlignment="1">
      <alignment/>
    </xf>
    <xf numFmtId="0" fontId="56" fillId="10" borderId="15" xfId="0" applyFont="1" applyFill="1" applyBorder="1" applyAlignment="1">
      <alignment/>
    </xf>
    <xf numFmtId="165" fontId="57" fillId="10" borderId="0" xfId="15" applyNumberFormat="1" applyFont="1" applyFill="1" applyAlignment="1">
      <alignment/>
    </xf>
    <xf numFmtId="0" fontId="57" fillId="10" borderId="18" xfId="0" applyFont="1" applyFill="1" applyBorder="1" applyAlignment="1">
      <alignment/>
    </xf>
    <xf numFmtId="0" fontId="56" fillId="10" borderId="42" xfId="0" applyFont="1" applyFill="1" applyBorder="1" applyAlignment="1">
      <alignment/>
    </xf>
    <xf numFmtId="0" fontId="56" fillId="10" borderId="42" xfId="0" applyFont="1" applyFill="1" applyBorder="1" applyAlignment="1">
      <alignment wrapText="1"/>
    </xf>
    <xf numFmtId="3" fontId="56" fillId="10" borderId="17" xfId="0" applyNumberFormat="1" applyFont="1" applyFill="1" applyBorder="1" applyAlignment="1">
      <alignment/>
    </xf>
    <xf numFmtId="9" fontId="56" fillId="10" borderId="40" xfId="21" applyFont="1" applyFill="1" applyBorder="1" applyAlignment="1">
      <alignment/>
    </xf>
    <xf numFmtId="3" fontId="56" fillId="10" borderId="15" xfId="0" applyNumberFormat="1" applyFont="1" applyFill="1" applyBorder="1" applyAlignment="1">
      <alignment/>
    </xf>
    <xf numFmtId="3" fontId="56" fillId="10" borderId="18" xfId="0" applyNumberFormat="1" applyFont="1" applyFill="1" applyBorder="1" applyAlignment="1">
      <alignment/>
    </xf>
    <xf numFmtId="165" fontId="0" fillId="10" borderId="44" xfId="15" applyNumberFormat="1" applyFill="1" applyBorder="1" applyAlignment="1">
      <alignment/>
    </xf>
    <xf numFmtId="0" fontId="57" fillId="10" borderId="45" xfId="0" applyFont="1" applyFill="1" applyBorder="1" applyAlignment="1">
      <alignment horizontal="left" wrapText="1" indent="1"/>
    </xf>
    <xf numFmtId="166" fontId="57" fillId="10" borderId="15" xfId="0" applyNumberFormat="1" applyFont="1" applyFill="1" applyBorder="1" applyAlignment="1">
      <alignment/>
    </xf>
    <xf numFmtId="0" fontId="57" fillId="10" borderId="46" xfId="0" applyFont="1" applyFill="1" applyBorder="1" applyAlignment="1">
      <alignment horizontal="right"/>
    </xf>
    <xf numFmtId="0" fontId="57" fillId="10" borderId="46" xfId="0" applyFont="1" applyFill="1" applyBorder="1" applyAlignment="1">
      <alignment wrapText="1"/>
    </xf>
    <xf numFmtId="3" fontId="57" fillId="10" borderId="47" xfId="0" applyNumberFormat="1" applyFont="1" applyFill="1" applyBorder="1" applyAlignment="1">
      <alignment/>
    </xf>
    <xf numFmtId="3" fontId="56" fillId="10" borderId="48" xfId="0" applyNumberFormat="1" applyFont="1" applyFill="1" applyBorder="1" applyAlignment="1">
      <alignment/>
    </xf>
    <xf numFmtId="3" fontId="56" fillId="10" borderId="49" xfId="0" applyNumberFormat="1" applyFont="1" applyFill="1" applyBorder="1" applyAlignment="1">
      <alignment/>
    </xf>
    <xf numFmtId="3" fontId="57" fillId="10" borderId="50" xfId="0" applyNumberFormat="1" applyFont="1" applyFill="1" applyBorder="1" applyAlignment="1">
      <alignment/>
    </xf>
    <xf numFmtId="0" fontId="56" fillId="10" borderId="48" xfId="0" applyFont="1" applyFill="1" applyBorder="1" applyAlignment="1">
      <alignment/>
    </xf>
    <xf numFmtId="0" fontId="57" fillId="10" borderId="51" xfId="0" applyFont="1" applyFill="1" applyBorder="1" applyAlignment="1">
      <alignment/>
    </xf>
    <xf numFmtId="0" fontId="56" fillId="10" borderId="33" xfId="0" applyFont="1" applyFill="1" applyBorder="1" applyAlignment="1">
      <alignment/>
    </xf>
    <xf numFmtId="0" fontId="56" fillId="10" borderId="33" xfId="0" applyFont="1" applyFill="1" applyBorder="1" applyAlignment="1">
      <alignment wrapText="1"/>
    </xf>
    <xf numFmtId="3" fontId="56" fillId="10" borderId="25" xfId="0" applyNumberFormat="1" applyFont="1" applyFill="1" applyBorder="1" applyAlignment="1">
      <alignment/>
    </xf>
    <xf numFmtId="166" fontId="56" fillId="10" borderId="52" xfId="0" applyNumberFormat="1" applyFont="1" applyFill="1" applyBorder="1" applyAlignment="1">
      <alignment/>
    </xf>
    <xf numFmtId="3" fontId="56" fillId="10" borderId="52" xfId="0" applyNumberFormat="1" applyFont="1" applyFill="1" applyBorder="1" applyAlignment="1">
      <alignment/>
    </xf>
    <xf numFmtId="3" fontId="56" fillId="10" borderId="53" xfId="0" applyNumberFormat="1" applyFont="1" applyFill="1" applyBorder="1" applyAlignment="1">
      <alignment/>
    </xf>
    <xf numFmtId="0" fontId="56" fillId="10" borderId="52" xfId="0" applyFont="1" applyFill="1" applyBorder="1" applyAlignment="1">
      <alignment/>
    </xf>
    <xf numFmtId="0" fontId="57" fillId="10" borderId="54" xfId="0" applyFont="1" applyFill="1" applyBorder="1" applyAlignment="1">
      <alignment/>
    </xf>
    <xf numFmtId="0" fontId="56" fillId="10" borderId="55" xfId="0" applyFont="1" applyFill="1" applyBorder="1" applyAlignment="1">
      <alignment/>
    </xf>
    <xf numFmtId="0" fontId="57" fillId="10" borderId="28" xfId="0" applyFont="1" applyFill="1" applyBorder="1" applyAlignment="1">
      <alignment/>
    </xf>
    <xf numFmtId="0" fontId="56" fillId="10" borderId="28" xfId="0" applyFont="1" applyFill="1" applyBorder="1" applyAlignment="1">
      <alignment wrapText="1"/>
    </xf>
    <xf numFmtId="3" fontId="57" fillId="10" borderId="0" xfId="0" applyNumberFormat="1" applyFont="1" applyFill="1" applyBorder="1" applyAlignment="1">
      <alignment/>
    </xf>
    <xf numFmtId="9" fontId="57" fillId="10" borderId="0" xfId="0" applyNumberFormat="1" applyFont="1" applyFill="1" applyBorder="1" applyAlignment="1">
      <alignment/>
    </xf>
    <xf numFmtId="3" fontId="57" fillId="10" borderId="4" xfId="0" applyNumberFormat="1" applyFont="1" applyFill="1" applyBorder="1" applyAlignment="1">
      <alignment/>
    </xf>
    <xf numFmtId="0" fontId="56" fillId="10" borderId="0" xfId="0" applyFont="1" applyFill="1" applyBorder="1" applyAlignment="1">
      <alignment/>
    </xf>
    <xf numFmtId="0" fontId="57" fillId="10" borderId="0" xfId="0" applyFont="1" applyFill="1" applyBorder="1" applyAlignment="1">
      <alignment/>
    </xf>
    <xf numFmtId="3" fontId="60" fillId="10" borderId="0" xfId="0" applyNumberFormat="1" applyFont="1" applyFill="1" applyAlignment="1">
      <alignment/>
    </xf>
    <xf numFmtId="0" fontId="57" fillId="10" borderId="28" xfId="0" applyFont="1" applyFill="1" applyBorder="1" applyAlignment="1">
      <alignment wrapText="1"/>
    </xf>
    <xf numFmtId="0" fontId="29" fillId="10" borderId="0" xfId="0" applyFont="1" applyFill="1" applyAlignment="1">
      <alignment/>
    </xf>
    <xf numFmtId="0" fontId="29" fillId="10" borderId="0" xfId="0" applyFont="1" applyFill="1" applyBorder="1" applyAlignment="1">
      <alignment horizontal="centerContinuous"/>
    </xf>
    <xf numFmtId="0" fontId="39" fillId="10" borderId="1" xfId="0" applyFont="1" applyFill="1" applyBorder="1" applyAlignment="1">
      <alignment horizontal="centerContinuous" vertical="center"/>
    </xf>
    <xf numFmtId="0" fontId="39" fillId="10" borderId="7" xfId="0" applyFont="1" applyFill="1" applyBorder="1" applyAlignment="1">
      <alignment horizontal="centerContinuous" vertical="center"/>
    </xf>
    <xf numFmtId="0" fontId="29" fillId="10" borderId="7" xfId="0" applyFont="1" applyFill="1" applyBorder="1" applyAlignment="1">
      <alignment horizontal="centerContinuous"/>
    </xf>
    <xf numFmtId="0" fontId="29" fillId="10" borderId="7" xfId="0" applyFont="1" applyFill="1" applyBorder="1" applyAlignment="1">
      <alignment/>
    </xf>
    <xf numFmtId="0" fontId="29" fillId="10" borderId="2" xfId="0" applyFont="1" applyFill="1" applyBorder="1" applyAlignment="1">
      <alignment/>
    </xf>
    <xf numFmtId="0" fontId="40" fillId="10" borderId="0" xfId="0" applyFont="1" applyFill="1" applyBorder="1" applyAlignment="1">
      <alignment vertical="center"/>
    </xf>
    <xf numFmtId="0" fontId="40" fillId="10" borderId="0" xfId="0" applyFont="1" applyFill="1" applyBorder="1" applyAlignment="1">
      <alignment/>
    </xf>
    <xf numFmtId="0" fontId="40" fillId="10" borderId="3" xfId="0" applyFont="1" applyFill="1" applyBorder="1" applyAlignment="1">
      <alignment/>
    </xf>
    <xf numFmtId="0" fontId="40" fillId="10" borderId="0" xfId="0" applyFont="1" applyFill="1" applyAlignment="1">
      <alignment/>
    </xf>
    <xf numFmtId="0" fontId="40" fillId="10" borderId="4" xfId="0" applyFont="1" applyFill="1" applyBorder="1" applyAlignment="1">
      <alignment/>
    </xf>
    <xf numFmtId="0" fontId="40" fillId="10" borderId="3" xfId="0" applyFont="1" applyFill="1" applyBorder="1" applyAlignment="1">
      <alignment vertical="center"/>
    </xf>
    <xf numFmtId="0" fontId="41" fillId="10" borderId="0" xfId="0" applyFont="1" applyFill="1" applyBorder="1" applyAlignment="1">
      <alignment vertical="center"/>
    </xf>
    <xf numFmtId="0" fontId="11" fillId="10" borderId="0" xfId="0" applyFont="1" applyFill="1" applyBorder="1" applyAlignment="1">
      <alignment/>
    </xf>
    <xf numFmtId="0" fontId="40" fillId="10" borderId="29" xfId="0" applyFont="1" applyFill="1" applyBorder="1" applyAlignment="1">
      <alignment horizontal="centerContinuous"/>
    </xf>
    <xf numFmtId="0" fontId="40" fillId="10" borderId="31" xfId="0" applyFont="1" applyFill="1" applyBorder="1" applyAlignment="1">
      <alignment horizontal="centerContinuous"/>
    </xf>
    <xf numFmtId="0" fontId="40" fillId="10" borderId="30" xfId="0" applyFont="1" applyFill="1" applyBorder="1" applyAlignment="1">
      <alignment horizontal="centerContinuous"/>
    </xf>
    <xf numFmtId="0" fontId="40" fillId="10" borderId="31" xfId="0" applyFont="1" applyFill="1" applyBorder="1" applyAlignment="1">
      <alignment/>
    </xf>
    <xf numFmtId="197" fontId="40" fillId="10" borderId="0" xfId="0" applyNumberFormat="1" applyFont="1" applyFill="1" applyAlignment="1">
      <alignment horizontal="center" vertical="center" wrapText="1"/>
    </xf>
    <xf numFmtId="197" fontId="40" fillId="10" borderId="0" xfId="0" applyNumberFormat="1" applyFont="1" applyFill="1" applyAlignment="1">
      <alignment horizontal="center" wrapText="1"/>
    </xf>
    <xf numFmtId="197" fontId="40" fillId="10" borderId="26" xfId="0" applyNumberFormat="1" applyFont="1" applyFill="1" applyBorder="1" applyAlignment="1">
      <alignment horizontal="center" wrapText="1"/>
    </xf>
    <xf numFmtId="197" fontId="40" fillId="10" borderId="29" xfId="0" applyNumberFormat="1" applyFont="1" applyFill="1" applyBorder="1" applyAlignment="1">
      <alignment horizontal="center" wrapText="1"/>
    </xf>
    <xf numFmtId="197" fontId="3" fillId="10" borderId="26" xfId="0" applyNumberFormat="1" applyFont="1" applyFill="1" applyBorder="1" applyAlignment="1">
      <alignment horizontal="center" wrapText="1"/>
    </xf>
    <xf numFmtId="197" fontId="40" fillId="10" borderId="31" xfId="0" applyNumberFormat="1" applyFont="1" applyFill="1" applyBorder="1" applyAlignment="1">
      <alignment horizontal="center" wrapText="1"/>
    </xf>
    <xf numFmtId="197" fontId="40" fillId="10" borderId="33" xfId="0" applyNumberFormat="1" applyFont="1" applyFill="1" applyBorder="1" applyAlignment="1">
      <alignment horizontal="center" wrapText="1"/>
    </xf>
    <xf numFmtId="197" fontId="40" fillId="10" borderId="5" xfId="0" applyNumberFormat="1" applyFont="1" applyFill="1" applyBorder="1" applyAlignment="1">
      <alignment horizontal="center" wrapText="1"/>
    </xf>
    <xf numFmtId="197" fontId="40" fillId="10" borderId="0" xfId="0" applyNumberFormat="1" applyFont="1" applyFill="1" applyBorder="1" applyAlignment="1">
      <alignment horizontal="center" wrapText="1"/>
    </xf>
    <xf numFmtId="0" fontId="0" fillId="10" borderId="0" xfId="0" applyFont="1" applyFill="1" applyAlignment="1">
      <alignment vertical="center"/>
    </xf>
    <xf numFmtId="0" fontId="0" fillId="10" borderId="0" xfId="0" applyFont="1" applyFill="1" applyBorder="1" applyAlignment="1">
      <alignment/>
    </xf>
    <xf numFmtId="0" fontId="3" fillId="10" borderId="3" xfId="0" applyFont="1" applyFill="1" applyBorder="1" applyAlignment="1">
      <alignment vertical="center"/>
    </xf>
    <xf numFmtId="0" fontId="2" fillId="10" borderId="0" xfId="0" applyFont="1" applyFill="1" applyBorder="1" applyAlignment="1">
      <alignment vertical="center"/>
    </xf>
    <xf numFmtId="0" fontId="0" fillId="10" borderId="56" xfId="0" applyFont="1" applyFill="1" applyBorder="1" applyAlignment="1">
      <alignment/>
    </xf>
    <xf numFmtId="0" fontId="0" fillId="10" borderId="57" xfId="0" applyFont="1" applyFill="1" applyBorder="1" applyAlignment="1">
      <alignment/>
    </xf>
    <xf numFmtId="0" fontId="0" fillId="10" borderId="58" xfId="0" applyFont="1" applyFill="1" applyBorder="1" applyAlignment="1">
      <alignment/>
    </xf>
    <xf numFmtId="0" fontId="0" fillId="10" borderId="59" xfId="0" applyFont="1" applyFill="1" applyBorder="1" applyAlignment="1">
      <alignment/>
    </xf>
    <xf numFmtId="0" fontId="0" fillId="10" borderId="60" xfId="0" applyFont="1" applyFill="1" applyBorder="1" applyAlignment="1">
      <alignment/>
    </xf>
    <xf numFmtId="0" fontId="0" fillId="10" borderId="61" xfId="0" applyFont="1" applyFill="1" applyBorder="1" applyAlignment="1">
      <alignment/>
    </xf>
    <xf numFmtId="0" fontId="0" fillId="10" borderId="4" xfId="0" applyFont="1" applyFill="1" applyBorder="1" applyAlignment="1">
      <alignment/>
    </xf>
    <xf numFmtId="0" fontId="0" fillId="10" borderId="0" xfId="0" applyFont="1" applyFill="1" applyAlignment="1">
      <alignment/>
    </xf>
    <xf numFmtId="0" fontId="3" fillId="10" borderId="3" xfId="0" applyFont="1" applyFill="1" applyBorder="1" applyAlignment="1">
      <alignment horizontal="right" vertical="center"/>
    </xf>
    <xf numFmtId="0" fontId="3" fillId="10" borderId="0" xfId="0" applyFont="1" applyFill="1" applyBorder="1" applyAlignment="1">
      <alignment horizontal="center" vertical="center"/>
    </xf>
    <xf numFmtId="0" fontId="2" fillId="10" borderId="62" xfId="0" applyFont="1" applyFill="1" applyBorder="1" applyAlignment="1">
      <alignment horizontal="left" vertical="center"/>
    </xf>
    <xf numFmtId="0" fontId="2" fillId="10" borderId="56" xfId="0" applyFont="1" applyFill="1" applyBorder="1" applyAlignment="1">
      <alignment vertical="center"/>
    </xf>
    <xf numFmtId="0" fontId="2" fillId="10" borderId="56" xfId="0" applyFont="1" applyFill="1" applyBorder="1" applyAlignment="1">
      <alignment/>
    </xf>
    <xf numFmtId="0" fontId="2" fillId="10" borderId="63" xfId="0" applyFont="1" applyFill="1" applyBorder="1" applyAlignment="1">
      <alignment/>
    </xf>
    <xf numFmtId="0" fontId="2" fillId="10" borderId="64" xfId="0" applyFont="1" applyFill="1" applyBorder="1" applyAlignment="1">
      <alignment/>
    </xf>
    <xf numFmtId="0" fontId="2" fillId="10" borderId="65" xfId="0" applyFont="1" applyFill="1" applyBorder="1" applyAlignment="1">
      <alignment/>
    </xf>
    <xf numFmtId="0" fontId="0" fillId="10" borderId="65" xfId="0" applyFont="1" applyFill="1" applyBorder="1" applyAlignment="1">
      <alignment/>
    </xf>
    <xf numFmtId="0" fontId="2" fillId="10" borderId="0" xfId="0" applyFont="1" applyFill="1" applyBorder="1" applyAlignment="1">
      <alignment/>
    </xf>
    <xf numFmtId="0" fontId="2" fillId="10" borderId="56" xfId="0" applyFont="1" applyFill="1" applyBorder="1" applyAlignment="1">
      <alignment horizontal="right" vertical="center"/>
    </xf>
    <xf numFmtId="0" fontId="2" fillId="10" borderId="62" xfId="0" applyFont="1" applyFill="1" applyBorder="1" applyAlignment="1">
      <alignment vertical="center"/>
    </xf>
    <xf numFmtId="0" fontId="2" fillId="10" borderId="63" xfId="0" applyFont="1" applyFill="1" applyBorder="1" applyAlignment="1">
      <alignment vertical="center"/>
    </xf>
    <xf numFmtId="0" fontId="2" fillId="10" borderId="62" xfId="0" applyFont="1" applyFill="1" applyBorder="1" applyAlignment="1">
      <alignment/>
    </xf>
    <xf numFmtId="0" fontId="2" fillId="10" borderId="56" xfId="0" applyFont="1" applyFill="1" applyBorder="1" applyAlignment="1">
      <alignment horizontal="center" vertical="center"/>
    </xf>
    <xf numFmtId="0" fontId="2" fillId="10" borderId="63" xfId="0" applyFont="1" applyFill="1" applyBorder="1" applyAlignment="1">
      <alignment horizontal="center" vertical="center"/>
    </xf>
    <xf numFmtId="0" fontId="2" fillId="10" borderId="56" xfId="0" applyFont="1" applyFill="1" applyBorder="1" applyAlignment="1">
      <alignment horizontal="left" vertical="center"/>
    </xf>
    <xf numFmtId="0" fontId="2" fillId="10" borderId="64" xfId="0" applyFont="1" applyFill="1" applyBorder="1" applyAlignment="1">
      <alignment horizontal="left" vertical="top"/>
    </xf>
    <xf numFmtId="0" fontId="2" fillId="10" borderId="65" xfId="0" applyFont="1" applyFill="1" applyBorder="1" applyAlignment="1">
      <alignment horizontal="right" vertical="center"/>
    </xf>
    <xf numFmtId="0" fontId="3" fillId="10" borderId="5" xfId="0" applyFont="1" applyFill="1" applyBorder="1" applyAlignment="1">
      <alignment horizontal="right" vertical="center"/>
    </xf>
    <xf numFmtId="0" fontId="3" fillId="10" borderId="24" xfId="0" applyFont="1" applyFill="1" applyBorder="1" applyAlignment="1">
      <alignment horizontal="center" vertical="center"/>
    </xf>
    <xf numFmtId="0" fontId="0" fillId="10" borderId="66" xfId="0" applyFont="1" applyFill="1" applyBorder="1" applyAlignment="1">
      <alignment/>
    </xf>
    <xf numFmtId="0" fontId="2" fillId="10" borderId="66" xfId="0" applyFont="1" applyFill="1" applyBorder="1" applyAlignment="1">
      <alignment/>
    </xf>
    <xf numFmtId="0" fontId="2" fillId="10" borderId="67" xfId="0" applyFont="1" applyFill="1" applyBorder="1" applyAlignment="1">
      <alignment/>
    </xf>
    <xf numFmtId="0" fontId="2" fillId="10" borderId="68" xfId="0" applyFont="1" applyFill="1" applyBorder="1" applyAlignment="1">
      <alignment horizontal="left" vertical="top"/>
    </xf>
    <xf numFmtId="0" fontId="2" fillId="10" borderId="68" xfId="0" applyFont="1" applyFill="1" applyBorder="1" applyAlignment="1">
      <alignment horizontal="center" vertical="center"/>
    </xf>
    <xf numFmtId="0" fontId="0" fillId="10" borderId="68" xfId="0" applyFont="1" applyFill="1" applyBorder="1" applyAlignment="1">
      <alignment/>
    </xf>
    <xf numFmtId="0" fontId="0" fillId="10" borderId="6" xfId="0" applyFont="1" applyFill="1" applyBorder="1" applyAlignment="1">
      <alignment/>
    </xf>
    <xf numFmtId="0" fontId="0" fillId="10" borderId="0" xfId="0" applyFont="1" applyFill="1" applyBorder="1" applyAlignment="1">
      <alignment vertical="center"/>
    </xf>
    <xf numFmtId="0" fontId="0" fillId="10" borderId="0" xfId="0" applyFont="1" applyFill="1" applyBorder="1" applyAlignment="1">
      <alignment horizontal="right"/>
    </xf>
    <xf numFmtId="0" fontId="6" fillId="10" borderId="0" xfId="0" applyFont="1" applyFill="1" applyAlignment="1">
      <alignment/>
    </xf>
    <xf numFmtId="165" fontId="0" fillId="0" borderId="0" xfId="15" applyNumberFormat="1" applyFont="1" applyFill="1" applyAlignment="1">
      <alignment/>
    </xf>
    <xf numFmtId="165" fontId="1" fillId="0" borderId="0" xfId="15" applyNumberFormat="1" applyFont="1" applyFill="1" applyAlignment="1">
      <alignment/>
    </xf>
    <xf numFmtId="165" fontId="4" fillId="0" borderId="0" xfId="15" applyNumberFormat="1" applyFont="1" applyFill="1" applyAlignment="1">
      <alignment/>
    </xf>
    <xf numFmtId="165" fontId="3" fillId="0" borderId="0" xfId="15" applyNumberFormat="1" applyFont="1" applyFill="1" applyAlignment="1">
      <alignment/>
    </xf>
    <xf numFmtId="165" fontId="5" fillId="0" borderId="0" xfId="15" applyNumberFormat="1" applyFont="1" applyFill="1" applyAlignment="1">
      <alignment horizontal="center"/>
    </xf>
    <xf numFmtId="165" fontId="54" fillId="0" borderId="0" xfId="15" applyNumberFormat="1" applyFont="1" applyFill="1" applyAlignment="1">
      <alignment horizontal="center"/>
    </xf>
    <xf numFmtId="205" fontId="2" fillId="0" borderId="0" xfId="0" applyNumberFormat="1" applyFont="1" applyFill="1" applyAlignment="1">
      <alignment horizontal="center"/>
    </xf>
    <xf numFmtId="205" fontId="2" fillId="0" borderId="0" xfId="15" applyNumberFormat="1" applyFont="1" applyFill="1" applyAlignment="1">
      <alignment horizontal="center"/>
    </xf>
    <xf numFmtId="0" fontId="2" fillId="0" borderId="0" xfId="0" applyFont="1" applyFill="1" applyAlignment="1">
      <alignment horizontal="center"/>
    </xf>
    <xf numFmtId="165" fontId="2" fillId="0" borderId="0" xfId="15" applyNumberFormat="1" applyFont="1" applyFill="1" applyAlignment="1">
      <alignment horizontal="center"/>
    </xf>
    <xf numFmtId="205" fontId="5" fillId="0" borderId="0" xfId="15" applyNumberFormat="1" applyFont="1" applyFill="1" applyAlignment="1">
      <alignment horizontal="center"/>
    </xf>
    <xf numFmtId="166" fontId="2" fillId="0" borderId="0" xfId="21" applyNumberFormat="1" applyFont="1" applyFill="1" applyAlignment="1">
      <alignment horizontal="center"/>
    </xf>
    <xf numFmtId="9" fontId="2" fillId="0" borderId="0" xfId="21" applyNumberFormat="1" applyFont="1" applyFill="1" applyAlignment="1">
      <alignment horizontal="center"/>
    </xf>
    <xf numFmtId="9" fontId="2" fillId="0" borderId="0" xfId="21" applyFont="1" applyFill="1" applyAlignment="1">
      <alignment horizontal="center"/>
    </xf>
    <xf numFmtId="0" fontId="2" fillId="0" borderId="0" xfId="0" applyFont="1" applyFill="1" applyAlignment="1">
      <alignment horizontal="right"/>
    </xf>
    <xf numFmtId="204" fontId="2" fillId="0" borderId="0" xfId="15" applyNumberFormat="1" applyFont="1" applyFill="1" applyAlignment="1">
      <alignment horizontal="right"/>
    </xf>
    <xf numFmtId="165" fontId="2" fillId="0" borderId="0" xfId="15" applyNumberFormat="1" applyFont="1" applyFill="1" applyAlignment="1" quotePrefix="1">
      <alignment/>
    </xf>
    <xf numFmtId="203" fontId="70" fillId="0" borderId="0" xfId="0" applyNumberFormat="1" applyFont="1" applyBorder="1" applyAlignment="1">
      <alignment horizontal="center" vertical="top"/>
    </xf>
    <xf numFmtId="6" fontId="71" fillId="0" borderId="0" xfId="0" applyNumberFormat="1" applyFont="1" applyBorder="1" applyAlignment="1">
      <alignment horizontal="center" vertical="top" wrapText="1"/>
    </xf>
    <xf numFmtId="0" fontId="42" fillId="0" borderId="0" xfId="0" applyFont="1" applyBorder="1" applyAlignment="1">
      <alignment horizontal="center" vertical="top"/>
    </xf>
    <xf numFmtId="0" fontId="73" fillId="0" borderId="0" xfId="0" applyFont="1" applyFill="1" applyBorder="1" applyAlignment="1">
      <alignment horizontal="left"/>
    </xf>
    <xf numFmtId="0" fontId="73" fillId="0" borderId="0" xfId="0" applyFont="1" applyFill="1" applyAlignment="1">
      <alignment vertical="top"/>
    </xf>
    <xf numFmtId="0" fontId="0" fillId="0" borderId="0" xfId="0" applyAlignment="1">
      <alignment vertical="top" wrapText="1"/>
    </xf>
    <xf numFmtId="0" fontId="12" fillId="0" borderId="0" xfId="0" applyFont="1" applyAlignment="1">
      <alignment vertical="top" wrapText="1"/>
    </xf>
    <xf numFmtId="0" fontId="74" fillId="0" borderId="0" xfId="0" applyFont="1" applyAlignment="1">
      <alignment horizontal="center" vertical="top"/>
    </xf>
    <xf numFmtId="0" fontId="74" fillId="0" borderId="26" xfId="0" applyFont="1" applyBorder="1" applyAlignment="1">
      <alignment horizontal="center" vertical="top"/>
    </xf>
    <xf numFmtId="0" fontId="74" fillId="0" borderId="0" xfId="0" applyFont="1" applyBorder="1" applyAlignment="1">
      <alignment horizontal="centerContinuous" vertical="top"/>
    </xf>
    <xf numFmtId="0" fontId="13" fillId="0" borderId="0" xfId="0" applyFont="1" applyAlignment="1">
      <alignment horizontal="center" vertical="top"/>
    </xf>
    <xf numFmtId="0" fontId="13" fillId="0" borderId="0" xfId="0" applyFont="1" applyAlignment="1">
      <alignment vertical="top"/>
    </xf>
    <xf numFmtId="0" fontId="46" fillId="0" borderId="0" xfId="0" applyFont="1" applyAlignment="1">
      <alignment vertical="top" wrapText="1"/>
    </xf>
    <xf numFmtId="203" fontId="75" fillId="0" borderId="0" xfId="0" applyNumberFormat="1" applyFont="1" applyAlignment="1">
      <alignment horizontal="center" vertical="top" wrapText="1"/>
    </xf>
    <xf numFmtId="6" fontId="75" fillId="0" borderId="0" xfId="0" applyNumberFormat="1" applyFont="1" applyAlignment="1">
      <alignment horizontal="center" vertical="top" wrapText="1"/>
    </xf>
    <xf numFmtId="6" fontId="75" fillId="0" borderId="0" xfId="0" applyNumberFormat="1" applyFont="1" applyAlignment="1">
      <alignment vertical="top" wrapText="1"/>
    </xf>
    <xf numFmtId="0" fontId="75" fillId="0" borderId="0" xfId="0" applyFont="1" applyAlignment="1">
      <alignment vertical="top" wrapText="1"/>
    </xf>
    <xf numFmtId="0" fontId="46" fillId="0" borderId="0" xfId="0" applyFont="1" applyAlignment="1">
      <alignment horizontal="center" vertical="top" wrapText="1"/>
    </xf>
    <xf numFmtId="6" fontId="76" fillId="0" borderId="0" xfId="0" applyNumberFormat="1" applyFont="1" applyAlignment="1">
      <alignment horizontal="center" vertical="top" wrapText="1"/>
    </xf>
    <xf numFmtId="0" fontId="2" fillId="0" borderId="0" xfId="0" applyFont="1" applyAlignment="1">
      <alignment vertical="top" wrapText="1"/>
    </xf>
    <xf numFmtId="203" fontId="75" fillId="0" borderId="0" xfId="0" applyNumberFormat="1" applyFont="1" applyBorder="1" applyAlignment="1">
      <alignment horizontal="center" vertical="top" wrapText="1"/>
    </xf>
    <xf numFmtId="0" fontId="46" fillId="0" borderId="0" xfId="0" applyFont="1" applyBorder="1" applyAlignment="1">
      <alignment horizontal="center" vertical="top" wrapText="1"/>
    </xf>
    <xf numFmtId="203" fontId="75" fillId="0" borderId="24" xfId="0" applyNumberFormat="1" applyFont="1" applyBorder="1" applyAlignment="1">
      <alignment horizontal="center" vertical="top" wrapText="1"/>
    </xf>
    <xf numFmtId="6" fontId="75" fillId="0" borderId="0" xfId="0" applyNumberFormat="1" applyFont="1" applyAlignment="1">
      <alignment horizontal="center" vertical="top"/>
    </xf>
    <xf numFmtId="0" fontId="2" fillId="0" borderId="0" xfId="0" applyFont="1" applyAlignment="1">
      <alignment/>
    </xf>
    <xf numFmtId="194" fontId="42" fillId="2" borderId="0" xfId="0" applyNumberFormat="1" applyFont="1" applyFill="1" applyBorder="1" applyAlignment="1" applyProtection="1">
      <alignment horizontal="center"/>
      <protection/>
    </xf>
    <xf numFmtId="164" fontId="42" fillId="2" borderId="0" xfId="15" applyNumberFormat="1" applyFont="1" applyFill="1" applyBorder="1" applyAlignment="1" applyProtection="1">
      <alignment horizontal="left"/>
      <protection/>
    </xf>
    <xf numFmtId="194" fontId="44" fillId="2" borderId="0" xfId="0" applyNumberFormat="1" applyFont="1" applyFill="1" applyBorder="1" applyAlignment="1" applyProtection="1">
      <alignment horizontal="center"/>
      <protection/>
    </xf>
    <xf numFmtId="194" fontId="44" fillId="2" borderId="4" xfId="0" applyNumberFormat="1" applyFont="1" applyFill="1" applyBorder="1" applyAlignment="1" applyProtection="1">
      <alignment horizontal="center"/>
      <protection/>
    </xf>
    <xf numFmtId="0" fontId="56" fillId="10" borderId="27" xfId="0" applyFont="1" applyFill="1" applyBorder="1" applyAlignment="1">
      <alignment horizontal="center" vertical="center" wrapText="1"/>
    </xf>
    <xf numFmtId="0" fontId="56" fillId="10" borderId="28" xfId="0" applyFont="1" applyFill="1" applyBorder="1" applyAlignment="1">
      <alignment horizontal="center" vertical="center" wrapText="1"/>
    </xf>
    <xf numFmtId="0" fontId="56" fillId="10" borderId="33" xfId="0" applyFont="1" applyFill="1" applyBorder="1" applyAlignment="1">
      <alignment horizontal="center" vertical="center" wrapText="1"/>
    </xf>
    <xf numFmtId="3" fontId="56" fillId="10" borderId="29" xfId="0" applyNumberFormat="1" applyFont="1" applyFill="1" applyBorder="1" applyAlignment="1">
      <alignment horizontal="center"/>
    </xf>
    <xf numFmtId="3" fontId="56" fillId="10" borderId="30" xfId="0" applyNumberFormat="1" applyFont="1" applyFill="1" applyBorder="1" applyAlignment="1">
      <alignment horizontal="center"/>
    </xf>
    <xf numFmtId="3" fontId="56" fillId="10" borderId="31" xfId="0" applyNumberFormat="1" applyFont="1" applyFill="1" applyBorder="1" applyAlignment="1">
      <alignment horizontal="center"/>
    </xf>
    <xf numFmtId="0" fontId="56" fillId="10" borderId="2" xfId="0" applyFont="1" applyFill="1" applyBorder="1" applyAlignment="1">
      <alignment horizontal="center" vertical="center" wrapText="1"/>
    </xf>
    <xf numFmtId="0" fontId="56" fillId="10" borderId="4" xfId="0" applyFont="1" applyFill="1" applyBorder="1" applyAlignment="1">
      <alignment horizontal="center" vertical="center" wrapText="1"/>
    </xf>
    <xf numFmtId="0" fontId="56" fillId="10" borderId="6" xfId="0" applyFont="1" applyFill="1" applyBorder="1" applyAlignment="1">
      <alignment horizontal="center" vertical="center" wrapText="1"/>
    </xf>
    <xf numFmtId="0" fontId="56" fillId="10" borderId="0" xfId="0" applyFont="1" applyFill="1" applyAlignment="1">
      <alignment horizontal="center"/>
    </xf>
    <xf numFmtId="0" fontId="56" fillId="10" borderId="24" xfId="0" applyFont="1" applyFill="1" applyBorder="1" applyAlignment="1">
      <alignment horizontal="center"/>
    </xf>
    <xf numFmtId="3" fontId="56" fillId="10" borderId="3" xfId="0" applyNumberFormat="1" applyFont="1" applyFill="1" applyBorder="1" applyAlignment="1">
      <alignment horizontal="center" wrapText="1"/>
    </xf>
    <xf numFmtId="3" fontId="56" fillId="10" borderId="5" xfId="0" applyNumberFormat="1" applyFont="1" applyFill="1" applyBorder="1" applyAlignment="1">
      <alignment horizontal="center" wrapText="1"/>
    </xf>
    <xf numFmtId="3" fontId="56" fillId="10" borderId="4" xfId="0" applyNumberFormat="1" applyFont="1" applyFill="1" applyBorder="1" applyAlignment="1">
      <alignment horizontal="center" vertical="center" wrapText="1"/>
    </xf>
    <xf numFmtId="3" fontId="56" fillId="10" borderId="6" xfId="0" applyNumberFormat="1" applyFont="1" applyFill="1" applyBorder="1" applyAlignment="1">
      <alignment horizontal="center" vertical="center" wrapText="1"/>
    </xf>
    <xf numFmtId="3" fontId="56" fillId="10" borderId="33" xfId="0" applyNumberFormat="1" applyFont="1" applyFill="1" applyBorder="1" applyAlignment="1">
      <alignment horizontal="center"/>
    </xf>
    <xf numFmtId="10" fontId="0" fillId="0" borderId="0" xfId="21" applyNumberFormat="1" applyFill="1" applyBorder="1" applyAlignment="1">
      <alignment horizontal="right"/>
    </xf>
    <xf numFmtId="205" fontId="34" fillId="0" borderId="0" xfId="0" applyNumberFormat="1" applyFont="1" applyFill="1" applyAlignment="1">
      <alignment vertical="top" wrapText="1"/>
    </xf>
    <xf numFmtId="203" fontId="69" fillId="0" borderId="22" xfId="0" applyNumberFormat="1" applyFont="1" applyFill="1" applyBorder="1" applyAlignment="1">
      <alignment horizontal="right" vertical="top" wrapText="1"/>
    </xf>
    <xf numFmtId="203" fontId="78" fillId="0" borderId="0" xfId="0" applyNumberFormat="1" applyFont="1" applyFill="1" applyBorder="1" applyAlignment="1">
      <alignment horizontal="center" vertical="top" wrapText="1"/>
    </xf>
    <xf numFmtId="203" fontId="25" fillId="0" borderId="0" xfId="0" applyNumberFormat="1" applyFont="1" applyFill="1" applyAlignment="1">
      <alignment horizontal="center" vertical="top" wrapText="1"/>
    </xf>
    <xf numFmtId="0" fontId="34" fillId="0" borderId="0" xfId="0" applyFont="1" applyFill="1" applyAlignment="1">
      <alignment horizontal="centerContinuous" vertical="top" wrapText="1"/>
    </xf>
    <xf numFmtId="0" fontId="34" fillId="0" borderId="0" xfId="0" applyFont="1" applyFill="1" applyAlignment="1" quotePrefix="1">
      <alignment horizontal="left" vertical="top"/>
    </xf>
    <xf numFmtId="203" fontId="8" fillId="0" borderId="24" xfId="0" applyNumberFormat="1" applyFont="1" applyFill="1" applyBorder="1" applyAlignment="1">
      <alignment horizontal="center" vertical="top" wrapText="1"/>
    </xf>
    <xf numFmtId="6" fontId="77" fillId="0" borderId="0" xfId="0" applyNumberFormat="1" applyFont="1" applyBorder="1" applyAlignment="1">
      <alignment horizontal="center" vertical="top" wrapText="1"/>
    </xf>
    <xf numFmtId="6" fontId="76" fillId="0" borderId="24" xfId="0" applyNumberFormat="1" applyFont="1" applyBorder="1" applyAlignment="1">
      <alignment horizontal="center" vertical="top" wrapText="1"/>
    </xf>
    <xf numFmtId="182" fontId="0" fillId="0" borderId="0" xfId="17" applyNumberFormat="1" applyAlignment="1">
      <alignment/>
    </xf>
    <xf numFmtId="194" fontId="42" fillId="11" borderId="0" xfId="0" applyNumberFormat="1" applyFont="1" applyFill="1" applyBorder="1" applyAlignment="1" applyProtection="1">
      <alignment horizontal="center"/>
      <protection/>
    </xf>
    <xf numFmtId="194" fontId="26" fillId="11" borderId="0" xfId="0" applyNumberFormat="1" applyFont="1" applyFill="1" applyBorder="1" applyAlignment="1" applyProtection="1">
      <alignment horizontal="center"/>
      <protection/>
    </xf>
    <xf numFmtId="194" fontId="44" fillId="11" borderId="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 Id="rId2"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0425"/>
          <c:w val="0.96475"/>
          <c:h val="0.9665"/>
        </c:manualLayout>
      </c:layout>
      <c:areaChart>
        <c:grouping val="stacked"/>
        <c:varyColors val="0"/>
        <c:ser>
          <c:idx val="4"/>
          <c:order val="0"/>
          <c:tx>
            <c:strRef>
              <c:f>'Mpwr job'!$D$41</c:f>
              <c:strCache>
                <c:ptCount val="1"/>
                <c:pt idx="0">
                  <c:v>Other</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job'!$E$41:$AT$41</c:f>
              <c:numCache>
                <c:ptCount val="42"/>
                <c:pt idx="0">
                  <c:v>0.5</c:v>
                </c:pt>
                <c:pt idx="1">
                  <c:v>0.8666666666666667</c:v>
                </c:pt>
                <c:pt idx="2">
                  <c:v>0.7</c:v>
                </c:pt>
                <c:pt idx="3">
                  <c:v>0.525</c:v>
                </c:pt>
                <c:pt idx="4">
                  <c:v>0.4</c:v>
                </c:pt>
                <c:pt idx="5">
                  <c:v>0.3</c:v>
                </c:pt>
                <c:pt idx="6">
                  <c:v>0.3</c:v>
                </c:pt>
                <c:pt idx="7">
                  <c:v>0.3</c:v>
                </c:pt>
                <c:pt idx="8">
                  <c:v>0.425</c:v>
                </c:pt>
                <c:pt idx="9">
                  <c:v>0.325</c:v>
                </c:pt>
                <c:pt idx="10">
                  <c:v>0.7</c:v>
                </c:pt>
                <c:pt idx="11">
                  <c:v>0.725</c:v>
                </c:pt>
                <c:pt idx="12">
                  <c:v>0.75</c:v>
                </c:pt>
                <c:pt idx="13">
                  <c:v>0.675</c:v>
                </c:pt>
                <c:pt idx="14">
                  <c:v>0.425</c:v>
                </c:pt>
                <c:pt idx="15">
                  <c:v>0.55</c:v>
                </c:pt>
                <c:pt idx="16">
                  <c:v>0.525</c:v>
                </c:pt>
                <c:pt idx="17">
                  <c:v>0.55</c:v>
                </c:pt>
                <c:pt idx="18">
                  <c:v>0.475</c:v>
                </c:pt>
                <c:pt idx="19">
                  <c:v>0.325</c:v>
                </c:pt>
                <c:pt idx="20">
                  <c:v>0.2</c:v>
                </c:pt>
                <c:pt idx="21">
                  <c:v>0.05</c:v>
                </c:pt>
                <c:pt idx="22">
                  <c:v>0.025</c:v>
                </c:pt>
                <c:pt idx="23">
                  <c:v>0.05</c:v>
                </c:pt>
                <c:pt idx="24">
                  <c:v>0.3</c:v>
                </c:pt>
                <c:pt idx="25">
                  <c:v>0.725</c:v>
                </c:pt>
                <c:pt idx="26">
                  <c:v>1.025</c:v>
                </c:pt>
                <c:pt idx="27">
                  <c:v>1.8</c:v>
                </c:pt>
                <c:pt idx="28">
                  <c:v>2.6</c:v>
                </c:pt>
                <c:pt idx="29">
                  <c:v>3</c:v>
                </c:pt>
                <c:pt idx="30">
                  <c:v>3.375</c:v>
                </c:pt>
                <c:pt idx="31">
                  <c:v>3.175</c:v>
                </c:pt>
                <c:pt idx="32">
                  <c:v>2.275</c:v>
                </c:pt>
                <c:pt idx="33">
                  <c:v>1.525</c:v>
                </c:pt>
                <c:pt idx="34">
                  <c:v>1.1</c:v>
                </c:pt>
                <c:pt idx="35">
                  <c:v>0.65</c:v>
                </c:pt>
                <c:pt idx="36">
                  <c:v>0.5</c:v>
                </c:pt>
                <c:pt idx="37">
                  <c:v>0.475</c:v>
                </c:pt>
                <c:pt idx="38">
                  <c:v>0.425</c:v>
                </c:pt>
                <c:pt idx="39">
                  <c:v>0.5</c:v>
                </c:pt>
                <c:pt idx="40">
                  <c:v>0.7</c:v>
                </c:pt>
                <c:pt idx="41">
                  <c:v>0.6</c:v>
                </c:pt>
              </c:numCache>
            </c:numRef>
          </c:val>
        </c:ser>
        <c:ser>
          <c:idx val="0"/>
          <c:order val="1"/>
          <c:tx>
            <c:strRef>
              <c:f>'Mpwr job'!$D$37</c:f>
              <c:strCache>
                <c:ptCount val="1"/>
                <c:pt idx="0">
                  <c:v>Mod Coil</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job'!$E$37:$AT$37</c:f>
              <c:numCache>
                <c:ptCount val="42"/>
                <c:pt idx="0">
                  <c:v>9</c:v>
                </c:pt>
                <c:pt idx="1">
                  <c:v>9.86666666666667</c:v>
                </c:pt>
                <c:pt idx="2">
                  <c:v>10.1</c:v>
                </c:pt>
                <c:pt idx="3">
                  <c:v>10.625</c:v>
                </c:pt>
                <c:pt idx="4">
                  <c:v>12.652075</c:v>
                </c:pt>
                <c:pt idx="5">
                  <c:v>12.85415</c:v>
                </c:pt>
                <c:pt idx="6">
                  <c:v>14.331225</c:v>
                </c:pt>
                <c:pt idx="7">
                  <c:v>15.7083</c:v>
                </c:pt>
                <c:pt idx="8">
                  <c:v>15.6583</c:v>
                </c:pt>
                <c:pt idx="9">
                  <c:v>17.1583</c:v>
                </c:pt>
                <c:pt idx="10">
                  <c:v>17.258300000000002</c:v>
                </c:pt>
                <c:pt idx="11">
                  <c:v>16.7833</c:v>
                </c:pt>
                <c:pt idx="12">
                  <c:v>15.983300000000002</c:v>
                </c:pt>
                <c:pt idx="13">
                  <c:v>15.083300000000001</c:v>
                </c:pt>
                <c:pt idx="14">
                  <c:v>13.4583</c:v>
                </c:pt>
                <c:pt idx="15">
                  <c:v>13.4333</c:v>
                </c:pt>
                <c:pt idx="16">
                  <c:v>12.7333</c:v>
                </c:pt>
                <c:pt idx="17">
                  <c:v>12.008299999999998</c:v>
                </c:pt>
                <c:pt idx="18">
                  <c:v>12.6333</c:v>
                </c:pt>
                <c:pt idx="19">
                  <c:v>11.3083</c:v>
                </c:pt>
                <c:pt idx="20">
                  <c:v>11.2333</c:v>
                </c:pt>
                <c:pt idx="21">
                  <c:v>11.208300000000001</c:v>
                </c:pt>
                <c:pt idx="22">
                  <c:v>11.0833</c:v>
                </c:pt>
                <c:pt idx="23">
                  <c:v>10.7333</c:v>
                </c:pt>
                <c:pt idx="24">
                  <c:v>10.0083</c:v>
                </c:pt>
                <c:pt idx="25">
                  <c:v>8.3833</c:v>
                </c:pt>
                <c:pt idx="26">
                  <c:v>6.2333</c:v>
                </c:pt>
                <c:pt idx="27">
                  <c:v>4.5333000000000006</c:v>
                </c:pt>
                <c:pt idx="28">
                  <c:v>2.606225</c:v>
                </c:pt>
                <c:pt idx="29">
                  <c:v>1.27915</c:v>
                </c:pt>
                <c:pt idx="30">
                  <c:v>0.552075</c:v>
                </c:pt>
                <c:pt idx="31">
                  <c:v>0</c:v>
                </c:pt>
                <c:pt idx="32">
                  <c:v>0</c:v>
                </c:pt>
                <c:pt idx="33">
                  <c:v>0</c:v>
                </c:pt>
                <c:pt idx="34">
                  <c:v>0</c:v>
                </c:pt>
                <c:pt idx="35">
                  <c:v>0</c:v>
                </c:pt>
                <c:pt idx="36">
                  <c:v>0</c:v>
                </c:pt>
                <c:pt idx="37">
                  <c:v>0</c:v>
                </c:pt>
                <c:pt idx="38">
                  <c:v>0</c:v>
                </c:pt>
                <c:pt idx="39">
                  <c:v>0</c:v>
                </c:pt>
                <c:pt idx="40">
                  <c:v>0</c:v>
                </c:pt>
                <c:pt idx="41">
                  <c:v>0</c:v>
                </c:pt>
              </c:numCache>
            </c:numRef>
          </c:val>
        </c:ser>
        <c:ser>
          <c:idx val="2"/>
          <c:order val="2"/>
          <c:tx>
            <c:strRef>
              <c:f>'Mpwr job'!$D$39</c:f>
              <c:strCache>
                <c:ptCount val="1"/>
                <c:pt idx="0">
                  <c:v>FP Assy</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job'!$E$39:$AT$39</c:f>
              <c:numCache>
                <c:ptCount val="42"/>
                <c:pt idx="0">
                  <c:v>1.1</c:v>
                </c:pt>
                <c:pt idx="1">
                  <c:v>1.1</c:v>
                </c:pt>
                <c:pt idx="2">
                  <c:v>1</c:v>
                </c:pt>
                <c:pt idx="3">
                  <c:v>3.9</c:v>
                </c:pt>
                <c:pt idx="4">
                  <c:v>3.5</c:v>
                </c:pt>
                <c:pt idx="5">
                  <c:v>3.6</c:v>
                </c:pt>
                <c:pt idx="6">
                  <c:v>3</c:v>
                </c:pt>
                <c:pt idx="7">
                  <c:v>2.5</c:v>
                </c:pt>
                <c:pt idx="8">
                  <c:v>4</c:v>
                </c:pt>
                <c:pt idx="9">
                  <c:v>1.4</c:v>
                </c:pt>
                <c:pt idx="10">
                  <c:v>0.5</c:v>
                </c:pt>
                <c:pt idx="11">
                  <c:v>0.5</c:v>
                </c:pt>
                <c:pt idx="12">
                  <c:v>2.325</c:v>
                </c:pt>
                <c:pt idx="13">
                  <c:v>2.35</c:v>
                </c:pt>
                <c:pt idx="14">
                  <c:v>2.8</c:v>
                </c:pt>
                <c:pt idx="15">
                  <c:v>4.95</c:v>
                </c:pt>
                <c:pt idx="16">
                  <c:v>6.375</c:v>
                </c:pt>
                <c:pt idx="17">
                  <c:v>7.125</c:v>
                </c:pt>
                <c:pt idx="18">
                  <c:v>9.25</c:v>
                </c:pt>
                <c:pt idx="19">
                  <c:v>10.375</c:v>
                </c:pt>
                <c:pt idx="20">
                  <c:v>10.475</c:v>
                </c:pt>
                <c:pt idx="21">
                  <c:v>9.35</c:v>
                </c:pt>
                <c:pt idx="22">
                  <c:v>8.825</c:v>
                </c:pt>
                <c:pt idx="23">
                  <c:v>6.675</c:v>
                </c:pt>
                <c:pt idx="24">
                  <c:v>6.425</c:v>
                </c:pt>
                <c:pt idx="25">
                  <c:v>8.025</c:v>
                </c:pt>
                <c:pt idx="26">
                  <c:v>7.475</c:v>
                </c:pt>
                <c:pt idx="27">
                  <c:v>8.775</c:v>
                </c:pt>
                <c:pt idx="28">
                  <c:v>8.825</c:v>
                </c:pt>
                <c:pt idx="29">
                  <c:v>7.65</c:v>
                </c:pt>
                <c:pt idx="30">
                  <c:v>7.425</c:v>
                </c:pt>
                <c:pt idx="31">
                  <c:v>6.55</c:v>
                </c:pt>
                <c:pt idx="32">
                  <c:v>4.775</c:v>
                </c:pt>
                <c:pt idx="33">
                  <c:v>3.675</c:v>
                </c:pt>
                <c:pt idx="34">
                  <c:v>2</c:v>
                </c:pt>
                <c:pt idx="35">
                  <c:v>0.45</c:v>
                </c:pt>
                <c:pt idx="36">
                  <c:v>0</c:v>
                </c:pt>
                <c:pt idx="37">
                  <c:v>0</c:v>
                </c:pt>
                <c:pt idx="38">
                  <c:v>0</c:v>
                </c:pt>
                <c:pt idx="39">
                  <c:v>0</c:v>
                </c:pt>
                <c:pt idx="40">
                  <c:v>0</c:v>
                </c:pt>
                <c:pt idx="41">
                  <c:v>0</c:v>
                </c:pt>
              </c:numCache>
            </c:numRef>
          </c:val>
        </c:ser>
        <c:ser>
          <c:idx val="1"/>
          <c:order val="3"/>
          <c:tx>
            <c:strRef>
              <c:f>'Mpwr job'!$D$38</c:f>
              <c:strCache>
                <c:ptCount val="1"/>
                <c:pt idx="0">
                  <c:v>TF Coil</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job'!$E$38:$AT$38</c:f>
              <c:numCache>
                <c:ptCount val="42"/>
                <c:pt idx="0">
                  <c:v>1.2</c:v>
                </c:pt>
                <c:pt idx="1">
                  <c:v>1.2666666666666666</c:v>
                </c:pt>
                <c:pt idx="2">
                  <c:v>1.7333333333333332</c:v>
                </c:pt>
                <c:pt idx="3">
                  <c:v>1.975</c:v>
                </c:pt>
                <c:pt idx="4">
                  <c:v>2.3</c:v>
                </c:pt>
                <c:pt idx="5">
                  <c:v>2.05</c:v>
                </c:pt>
                <c:pt idx="6">
                  <c:v>1.775</c:v>
                </c:pt>
                <c:pt idx="7">
                  <c:v>1.1</c:v>
                </c:pt>
                <c:pt idx="8">
                  <c:v>0.6</c:v>
                </c:pt>
                <c:pt idx="9">
                  <c:v>0.5</c:v>
                </c:pt>
                <c:pt idx="10">
                  <c:v>0.125</c:v>
                </c:pt>
                <c:pt idx="11">
                  <c:v>0.125</c:v>
                </c:pt>
                <c:pt idx="12">
                  <c:v>1.025</c:v>
                </c:pt>
                <c:pt idx="13">
                  <c:v>2.475</c:v>
                </c:pt>
                <c:pt idx="14">
                  <c:v>3.35</c:v>
                </c:pt>
                <c:pt idx="15">
                  <c:v>4.9</c:v>
                </c:pt>
                <c:pt idx="16">
                  <c:v>5</c:v>
                </c:pt>
                <c:pt idx="17">
                  <c:v>5.225</c:v>
                </c:pt>
                <c:pt idx="18">
                  <c:v>5.4</c:v>
                </c:pt>
                <c:pt idx="19">
                  <c:v>5.15</c:v>
                </c:pt>
                <c:pt idx="20">
                  <c:v>4.675</c:v>
                </c:pt>
                <c:pt idx="21">
                  <c:v>3.575</c:v>
                </c:pt>
                <c:pt idx="22">
                  <c:v>3.15</c:v>
                </c:pt>
                <c:pt idx="23">
                  <c:v>2.375</c:v>
                </c:pt>
                <c:pt idx="24">
                  <c:v>2.35</c:v>
                </c:pt>
                <c:pt idx="25">
                  <c:v>2.325</c:v>
                </c:pt>
                <c:pt idx="26">
                  <c:v>2.1</c:v>
                </c:pt>
                <c:pt idx="27">
                  <c:v>2.2</c:v>
                </c:pt>
                <c:pt idx="28">
                  <c:v>1.575</c:v>
                </c:pt>
                <c:pt idx="29">
                  <c:v>1.025</c:v>
                </c:pt>
                <c:pt idx="30">
                  <c:v>0.625</c:v>
                </c:pt>
                <c:pt idx="31">
                  <c:v>0</c:v>
                </c:pt>
                <c:pt idx="32">
                  <c:v>0</c:v>
                </c:pt>
                <c:pt idx="33">
                  <c:v>0</c:v>
                </c:pt>
                <c:pt idx="34">
                  <c:v>0</c:v>
                </c:pt>
                <c:pt idx="35">
                  <c:v>0</c:v>
                </c:pt>
                <c:pt idx="36">
                  <c:v>0</c:v>
                </c:pt>
                <c:pt idx="37">
                  <c:v>0</c:v>
                </c:pt>
                <c:pt idx="38">
                  <c:v>0</c:v>
                </c:pt>
                <c:pt idx="39">
                  <c:v>0</c:v>
                </c:pt>
                <c:pt idx="40">
                  <c:v>0</c:v>
                </c:pt>
                <c:pt idx="41">
                  <c:v>0</c:v>
                </c:pt>
              </c:numCache>
            </c:numRef>
          </c:val>
        </c:ser>
        <c:ser>
          <c:idx val="3"/>
          <c:order val="4"/>
          <c:tx>
            <c:strRef>
              <c:f>'Mpwr job'!$D$40</c:f>
              <c:strCache>
                <c:ptCount val="1"/>
                <c:pt idx="0">
                  <c:v>Mach Assy</c:v>
                </c:pt>
              </c:strCache>
            </c:strRef>
          </c:tx>
          <c:spPr>
            <a:solidFill>
              <a:srgbClr val="00FFFF"/>
            </a:solidFill>
          </c:spPr>
          <c:extLst>
            <c:ext xmlns:c14="http://schemas.microsoft.com/office/drawing/2007/8/2/chart" uri="{6F2FDCE9-48DA-4B69-8628-5D25D57E5C99}">
              <c14:invertSolidFillFmt>
                <c14:spPr>
                  <a:solidFill>
                    <a:srgbClr val="FFFFFF"/>
                  </a:solidFill>
                </c14:spPr>
              </c14:invertSolidFillFmt>
            </c:ext>
          </c:extLst>
          <c:cat>
            <c:strRef>
              <c:f>'Mpwr job'!$E$36:$AT$36</c:f>
              <c:strCache>
                <c:ptCount val="42"/>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pt idx="37">
                  <c:v>N</c:v>
                </c:pt>
                <c:pt idx="38">
                  <c:v>D</c:v>
                </c:pt>
                <c:pt idx="39">
                  <c:v>J</c:v>
                </c:pt>
                <c:pt idx="40">
                  <c:v>F</c:v>
                </c:pt>
                <c:pt idx="41">
                  <c:v>M</c:v>
                </c:pt>
              </c:strCache>
            </c:strRef>
          </c:cat>
          <c:val>
            <c:numRef>
              <c:f>'Mpwr job'!$E$40:$AT$40</c:f>
              <c:numCache>
                <c:ptCount val="42"/>
                <c:pt idx="0">
                  <c:v>0.8</c:v>
                </c:pt>
                <c:pt idx="1">
                  <c:v>0.7666666666666666</c:v>
                </c:pt>
                <c:pt idx="2">
                  <c:v>0.5333333333333333</c:v>
                </c:pt>
                <c:pt idx="3">
                  <c:v>0.4</c:v>
                </c:pt>
                <c:pt idx="4">
                  <c:v>0.2</c:v>
                </c:pt>
                <c:pt idx="5">
                  <c:v>0.025</c:v>
                </c:pt>
                <c:pt idx="6">
                  <c:v>0</c:v>
                </c:pt>
                <c:pt idx="7">
                  <c:v>0</c:v>
                </c:pt>
                <c:pt idx="8">
                  <c:v>0</c:v>
                </c:pt>
                <c:pt idx="9">
                  <c:v>0</c:v>
                </c:pt>
                <c:pt idx="10">
                  <c:v>0</c:v>
                </c:pt>
                <c:pt idx="11">
                  <c:v>0</c:v>
                </c:pt>
                <c:pt idx="12">
                  <c:v>0.075</c:v>
                </c:pt>
                <c:pt idx="13">
                  <c:v>0.15</c:v>
                </c:pt>
                <c:pt idx="14">
                  <c:v>0.2</c:v>
                </c:pt>
                <c:pt idx="15">
                  <c:v>0.275</c:v>
                </c:pt>
                <c:pt idx="16">
                  <c:v>0.275</c:v>
                </c:pt>
                <c:pt idx="17">
                  <c:v>0.275</c:v>
                </c:pt>
                <c:pt idx="18">
                  <c:v>0.25</c:v>
                </c:pt>
                <c:pt idx="19">
                  <c:v>0.175</c:v>
                </c:pt>
                <c:pt idx="20">
                  <c:v>0.1</c:v>
                </c:pt>
                <c:pt idx="21">
                  <c:v>0.025</c:v>
                </c:pt>
                <c:pt idx="22">
                  <c:v>0</c:v>
                </c:pt>
                <c:pt idx="23">
                  <c:v>0</c:v>
                </c:pt>
                <c:pt idx="24">
                  <c:v>2.15</c:v>
                </c:pt>
                <c:pt idx="25">
                  <c:v>4.05</c:v>
                </c:pt>
                <c:pt idx="26">
                  <c:v>5.45</c:v>
                </c:pt>
                <c:pt idx="27">
                  <c:v>6.75</c:v>
                </c:pt>
                <c:pt idx="28">
                  <c:v>5.45</c:v>
                </c:pt>
                <c:pt idx="29">
                  <c:v>5.2</c:v>
                </c:pt>
                <c:pt idx="30">
                  <c:v>4.75</c:v>
                </c:pt>
                <c:pt idx="31">
                  <c:v>4.3</c:v>
                </c:pt>
                <c:pt idx="32">
                  <c:v>4.45</c:v>
                </c:pt>
                <c:pt idx="33">
                  <c:v>4.975</c:v>
                </c:pt>
                <c:pt idx="34">
                  <c:v>6.55</c:v>
                </c:pt>
                <c:pt idx="35">
                  <c:v>9.1</c:v>
                </c:pt>
                <c:pt idx="36">
                  <c:v>11.15</c:v>
                </c:pt>
                <c:pt idx="37">
                  <c:v>10.725</c:v>
                </c:pt>
                <c:pt idx="38">
                  <c:v>10.125</c:v>
                </c:pt>
                <c:pt idx="39">
                  <c:v>8.075</c:v>
                </c:pt>
                <c:pt idx="40">
                  <c:v>5.9</c:v>
                </c:pt>
                <c:pt idx="41">
                  <c:v>3.5</c:v>
                </c:pt>
              </c:numCache>
            </c:numRef>
          </c:val>
        </c:ser>
        <c:axId val="42776588"/>
        <c:axId val="49444973"/>
      </c:areaChart>
      <c:catAx>
        <c:axId val="42776588"/>
        <c:scaling>
          <c:orientation val="minMax"/>
        </c:scaling>
        <c:axPos val="b"/>
        <c:majorGridlines/>
        <c:delete val="0"/>
        <c:numFmt formatCode="General" sourceLinked="1"/>
        <c:majorTickMark val="out"/>
        <c:minorTickMark val="none"/>
        <c:tickLblPos val="nextTo"/>
        <c:crossAx val="49444973"/>
        <c:crosses val="autoZero"/>
        <c:auto val="1"/>
        <c:lblOffset val="100"/>
        <c:noMultiLvlLbl val="0"/>
      </c:catAx>
      <c:valAx>
        <c:axId val="49444973"/>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2776588"/>
        <c:crossesAt val="1"/>
        <c:crossBetween val="midCat"/>
        <c:dispUnits/>
      </c:valAx>
      <c:spPr>
        <a:solidFill>
          <a:srgbClr val="C0C0C0"/>
        </a:solidFill>
        <a:ln w="12700">
          <a:solidFill>
            <a:srgbClr val="808080"/>
          </a:solidFill>
        </a:ln>
      </c:spPr>
    </c:plotArea>
    <c:legend>
      <c:legendPos val="r"/>
      <c:layout>
        <c:manualLayout>
          <c:xMode val="edge"/>
          <c:yMode val="edge"/>
          <c:x val="0.76125"/>
          <c:y val="0.042"/>
          <c:w val="0.20525"/>
          <c:h val="0.269"/>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325"/>
          <c:w val="0.95625"/>
          <c:h val="0.943"/>
        </c:manualLayout>
      </c:layout>
      <c:lineChart>
        <c:grouping val="standard"/>
        <c:varyColors val="0"/>
        <c:ser>
          <c:idx val="0"/>
          <c:order val="0"/>
          <c:tx>
            <c:strRef>
              <c:f>'Mpwr smry'!$B$17</c:f>
              <c:strCache>
                <c:ptCount val="1"/>
                <c:pt idx="0">
                  <c:v>PPPL Engr</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poly"/>
            <c:order val="6"/>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smry'!$C$17:$AS$17</c:f>
              <c:numCache>
                <c:ptCount val="43"/>
                <c:pt idx="0">
                  <c:v>10.6</c:v>
                </c:pt>
                <c:pt idx="1">
                  <c:v>8.9</c:v>
                </c:pt>
                <c:pt idx="2">
                  <c:v>6.799999999999999</c:v>
                </c:pt>
                <c:pt idx="3">
                  <c:v>8.5</c:v>
                </c:pt>
                <c:pt idx="4">
                  <c:v>8.2</c:v>
                </c:pt>
                <c:pt idx="5">
                  <c:v>9.1</c:v>
                </c:pt>
                <c:pt idx="6">
                  <c:v>7.5</c:v>
                </c:pt>
                <c:pt idx="7">
                  <c:v>8.1</c:v>
                </c:pt>
                <c:pt idx="8">
                  <c:v>7.699999999999999</c:v>
                </c:pt>
                <c:pt idx="9">
                  <c:v>5.2</c:v>
                </c:pt>
                <c:pt idx="10">
                  <c:v>6.1000000000000005</c:v>
                </c:pt>
                <c:pt idx="11">
                  <c:v>5.7</c:v>
                </c:pt>
                <c:pt idx="12">
                  <c:v>9.8</c:v>
                </c:pt>
                <c:pt idx="13">
                  <c:v>9</c:v>
                </c:pt>
                <c:pt idx="14">
                  <c:v>6.800000000000001</c:v>
                </c:pt>
                <c:pt idx="15">
                  <c:v>10.1</c:v>
                </c:pt>
                <c:pt idx="16">
                  <c:v>8.5</c:v>
                </c:pt>
                <c:pt idx="17">
                  <c:v>8.3</c:v>
                </c:pt>
                <c:pt idx="18">
                  <c:v>6.9</c:v>
                </c:pt>
                <c:pt idx="19">
                  <c:v>6.3</c:v>
                </c:pt>
                <c:pt idx="20">
                  <c:v>6.1</c:v>
                </c:pt>
                <c:pt idx="21">
                  <c:v>6.8</c:v>
                </c:pt>
                <c:pt idx="22">
                  <c:v>7.4</c:v>
                </c:pt>
                <c:pt idx="23">
                  <c:v>7.799999999999999</c:v>
                </c:pt>
                <c:pt idx="24">
                  <c:v>11</c:v>
                </c:pt>
                <c:pt idx="25">
                  <c:v>9.100000000000001</c:v>
                </c:pt>
                <c:pt idx="26">
                  <c:v>6.699999999999999</c:v>
                </c:pt>
                <c:pt idx="27">
                  <c:v>10</c:v>
                </c:pt>
                <c:pt idx="28">
                  <c:v>9.5</c:v>
                </c:pt>
                <c:pt idx="29">
                  <c:v>9.3</c:v>
                </c:pt>
                <c:pt idx="30">
                  <c:v>9</c:v>
                </c:pt>
                <c:pt idx="31">
                  <c:v>8.4</c:v>
                </c:pt>
                <c:pt idx="32">
                  <c:v>8.2</c:v>
                </c:pt>
                <c:pt idx="33">
                  <c:v>7</c:v>
                </c:pt>
                <c:pt idx="34">
                  <c:v>6.299999999999999</c:v>
                </c:pt>
                <c:pt idx="35">
                  <c:v>5.8</c:v>
                </c:pt>
                <c:pt idx="36">
                  <c:v>3.9</c:v>
                </c:pt>
                <c:pt idx="37">
                  <c:v>3.7</c:v>
                </c:pt>
                <c:pt idx="38">
                  <c:v>6.300000000000001</c:v>
                </c:pt>
                <c:pt idx="39">
                  <c:v>5.5</c:v>
                </c:pt>
                <c:pt idx="40">
                  <c:v>4.6</c:v>
                </c:pt>
                <c:pt idx="41">
                  <c:v>1.1</c:v>
                </c:pt>
                <c:pt idx="42">
                  <c:v>0.2</c:v>
                </c:pt>
              </c:numCache>
            </c:numRef>
          </c:val>
          <c:smooth val="0"/>
        </c:ser>
        <c:ser>
          <c:idx val="1"/>
          <c:order val="1"/>
          <c:tx>
            <c:strRef>
              <c:f>'Mpwr smry'!$B$18</c:f>
              <c:strCache>
                <c:ptCount val="1"/>
                <c:pt idx="0">
                  <c:v>PPPL Tecnicians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6"/>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smry'!$C$18:$AS$18</c:f>
              <c:numCache>
                <c:ptCount val="43"/>
                <c:pt idx="0">
                  <c:v>13.6</c:v>
                </c:pt>
                <c:pt idx="1">
                  <c:v>17</c:v>
                </c:pt>
                <c:pt idx="2">
                  <c:v>14</c:v>
                </c:pt>
                <c:pt idx="3">
                  <c:v>20</c:v>
                </c:pt>
                <c:pt idx="4">
                  <c:v>18</c:v>
                </c:pt>
                <c:pt idx="5">
                  <c:v>27.9</c:v>
                </c:pt>
                <c:pt idx="6">
                  <c:v>25.099999999999998</c:v>
                </c:pt>
                <c:pt idx="7">
                  <c:v>26</c:v>
                </c:pt>
                <c:pt idx="8">
                  <c:v>25.9</c:v>
                </c:pt>
                <c:pt idx="9">
                  <c:v>19.599999999999998</c:v>
                </c:pt>
                <c:pt idx="10">
                  <c:v>23.3</c:v>
                </c:pt>
                <c:pt idx="11">
                  <c:v>20.3</c:v>
                </c:pt>
                <c:pt idx="12">
                  <c:v>33.5</c:v>
                </c:pt>
                <c:pt idx="13">
                  <c:v>31.1</c:v>
                </c:pt>
                <c:pt idx="14">
                  <c:v>22.4</c:v>
                </c:pt>
                <c:pt idx="15">
                  <c:v>37.9</c:v>
                </c:pt>
                <c:pt idx="16">
                  <c:v>29.2</c:v>
                </c:pt>
                <c:pt idx="17">
                  <c:v>28.3</c:v>
                </c:pt>
                <c:pt idx="18">
                  <c:v>32.3</c:v>
                </c:pt>
                <c:pt idx="19">
                  <c:v>34.2</c:v>
                </c:pt>
                <c:pt idx="20">
                  <c:v>36.2</c:v>
                </c:pt>
                <c:pt idx="21">
                  <c:v>41</c:v>
                </c:pt>
                <c:pt idx="22">
                  <c:v>42.5</c:v>
                </c:pt>
                <c:pt idx="23">
                  <c:v>23.5</c:v>
                </c:pt>
                <c:pt idx="24">
                  <c:v>37.099999999999994</c:v>
                </c:pt>
                <c:pt idx="25">
                  <c:v>32.6</c:v>
                </c:pt>
                <c:pt idx="26">
                  <c:v>23.4</c:v>
                </c:pt>
                <c:pt idx="27">
                  <c:v>27</c:v>
                </c:pt>
                <c:pt idx="28">
                  <c:v>23.5</c:v>
                </c:pt>
                <c:pt idx="29">
                  <c:v>19.8</c:v>
                </c:pt>
                <c:pt idx="30">
                  <c:v>21.5</c:v>
                </c:pt>
                <c:pt idx="31">
                  <c:v>17.2</c:v>
                </c:pt>
                <c:pt idx="32">
                  <c:v>15</c:v>
                </c:pt>
                <c:pt idx="33">
                  <c:v>18</c:v>
                </c:pt>
                <c:pt idx="34">
                  <c:v>20.1</c:v>
                </c:pt>
                <c:pt idx="35">
                  <c:v>19.5</c:v>
                </c:pt>
                <c:pt idx="36">
                  <c:v>18.7</c:v>
                </c:pt>
                <c:pt idx="37">
                  <c:v>12.1</c:v>
                </c:pt>
                <c:pt idx="38">
                  <c:v>16.3</c:v>
                </c:pt>
                <c:pt idx="39">
                  <c:v>10.899999999999999</c:v>
                </c:pt>
                <c:pt idx="40">
                  <c:v>8.5</c:v>
                </c:pt>
                <c:pt idx="41">
                  <c:v>2</c:v>
                </c:pt>
                <c:pt idx="42">
                  <c:v>0</c:v>
                </c:pt>
              </c:numCache>
            </c:numRef>
          </c:val>
          <c:smooth val="0"/>
        </c:ser>
        <c:ser>
          <c:idx val="2"/>
          <c:order val="2"/>
          <c:tx>
            <c:strRef>
              <c:f>'Mpwr smry'!$B$19</c:f>
              <c:strCache>
                <c:ptCount val="1"/>
                <c:pt idx="0">
                  <c:v>ORNL Engrs</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0000FF"/>
                </a:solidFill>
              </a:ln>
            </c:spPr>
            <c:trendlineType val="poly"/>
            <c:order val="5"/>
            <c:dispEq val="0"/>
            <c:dispRSqr val="0"/>
          </c:trendline>
          <c:cat>
            <c:strRef>
              <c:f>'Mpwr smry'!$C$16:$AS$16</c:f>
              <c:strCache>
                <c:ptCount val="43"/>
                <c:pt idx="0">
                  <c:v>38626</c:v>
                </c:pt>
                <c:pt idx="1">
                  <c:v>38657</c:v>
                </c:pt>
                <c:pt idx="2">
                  <c:v>38687</c:v>
                </c:pt>
                <c:pt idx="3">
                  <c:v>38718</c:v>
                </c:pt>
                <c:pt idx="4">
                  <c:v>38749</c:v>
                </c:pt>
                <c:pt idx="5">
                  <c:v>38777</c:v>
                </c:pt>
                <c:pt idx="6">
                  <c:v>38808</c:v>
                </c:pt>
                <c:pt idx="7">
                  <c:v>38838</c:v>
                </c:pt>
                <c:pt idx="8">
                  <c:v>38869</c:v>
                </c:pt>
                <c:pt idx="9">
                  <c:v>38899</c:v>
                </c:pt>
                <c:pt idx="10">
                  <c:v>38930</c:v>
                </c:pt>
                <c:pt idx="11">
                  <c:v>38961</c:v>
                </c:pt>
                <c:pt idx="12">
                  <c:v>38991</c:v>
                </c:pt>
                <c:pt idx="13">
                  <c:v>39022</c:v>
                </c:pt>
                <c:pt idx="14">
                  <c:v>39052</c:v>
                </c:pt>
                <c:pt idx="15">
                  <c:v>39083</c:v>
                </c:pt>
                <c:pt idx="16">
                  <c:v>39114</c:v>
                </c:pt>
                <c:pt idx="17">
                  <c:v>39142</c:v>
                </c:pt>
                <c:pt idx="18">
                  <c:v>39173</c:v>
                </c:pt>
                <c:pt idx="19">
                  <c:v>39203</c:v>
                </c:pt>
                <c:pt idx="20">
                  <c:v>39234</c:v>
                </c:pt>
                <c:pt idx="21">
                  <c:v>39264</c:v>
                </c:pt>
                <c:pt idx="22">
                  <c:v>39295</c:v>
                </c:pt>
                <c:pt idx="23">
                  <c:v>39326</c:v>
                </c:pt>
                <c:pt idx="24">
                  <c:v>39356</c:v>
                </c:pt>
                <c:pt idx="25">
                  <c:v>39387</c:v>
                </c:pt>
                <c:pt idx="26">
                  <c:v>39417</c:v>
                </c:pt>
                <c:pt idx="27">
                  <c:v>39448</c:v>
                </c:pt>
                <c:pt idx="28">
                  <c:v>39479</c:v>
                </c:pt>
                <c:pt idx="29">
                  <c:v>39508</c:v>
                </c:pt>
                <c:pt idx="30">
                  <c:v>39539</c:v>
                </c:pt>
                <c:pt idx="31">
                  <c:v>39569</c:v>
                </c:pt>
                <c:pt idx="32">
                  <c:v>39600</c:v>
                </c:pt>
                <c:pt idx="33">
                  <c:v>39630</c:v>
                </c:pt>
                <c:pt idx="34">
                  <c:v>39661</c:v>
                </c:pt>
                <c:pt idx="35">
                  <c:v>39692</c:v>
                </c:pt>
                <c:pt idx="36">
                  <c:v>39722</c:v>
                </c:pt>
                <c:pt idx="37">
                  <c:v>39753</c:v>
                </c:pt>
                <c:pt idx="38">
                  <c:v>39783</c:v>
                </c:pt>
                <c:pt idx="39">
                  <c:v>39814</c:v>
                </c:pt>
                <c:pt idx="40">
                  <c:v>39845</c:v>
                </c:pt>
                <c:pt idx="41">
                  <c:v>39873</c:v>
                </c:pt>
                <c:pt idx="42">
                  <c:v>39904</c:v>
                </c:pt>
              </c:strCache>
            </c:strRef>
          </c:cat>
          <c:val>
            <c:numRef>
              <c:f>'Mpwr smry'!$C$19:$AS$19</c:f>
              <c:numCache>
                <c:ptCount val="43"/>
                <c:pt idx="0">
                  <c:v>10.7</c:v>
                </c:pt>
                <c:pt idx="1">
                  <c:v>8.5</c:v>
                </c:pt>
                <c:pt idx="2">
                  <c:v>6.1</c:v>
                </c:pt>
                <c:pt idx="3">
                  <c:v>6.8</c:v>
                </c:pt>
                <c:pt idx="4">
                  <c:v>5.8</c:v>
                </c:pt>
                <c:pt idx="5">
                  <c:v>4.7</c:v>
                </c:pt>
                <c:pt idx="6">
                  <c:v>4.1</c:v>
                </c:pt>
                <c:pt idx="7">
                  <c:v>3.1</c:v>
                </c:pt>
                <c:pt idx="8">
                  <c:v>2.5</c:v>
                </c:pt>
                <c:pt idx="9">
                  <c:v>2.2</c:v>
                </c:pt>
                <c:pt idx="10">
                  <c:v>3</c:v>
                </c:pt>
                <c:pt idx="11">
                  <c:v>2.4</c:v>
                </c:pt>
                <c:pt idx="12">
                  <c:v>3.4</c:v>
                </c:pt>
                <c:pt idx="13">
                  <c:v>3</c:v>
                </c:pt>
                <c:pt idx="14">
                  <c:v>2.3</c:v>
                </c:pt>
                <c:pt idx="15">
                  <c:v>3.6</c:v>
                </c:pt>
                <c:pt idx="16">
                  <c:v>3.5</c:v>
                </c:pt>
                <c:pt idx="17">
                  <c:v>3.6</c:v>
                </c:pt>
                <c:pt idx="18">
                  <c:v>2.4</c:v>
                </c:pt>
                <c:pt idx="19">
                  <c:v>2.3</c:v>
                </c:pt>
                <c:pt idx="20">
                  <c:v>2.2</c:v>
                </c:pt>
                <c:pt idx="21">
                  <c:v>2.2</c:v>
                </c:pt>
                <c:pt idx="22">
                  <c:v>2.5</c:v>
                </c:pt>
                <c:pt idx="23">
                  <c:v>1.9</c:v>
                </c:pt>
                <c:pt idx="24">
                  <c:v>1.7</c:v>
                </c:pt>
                <c:pt idx="25">
                  <c:v>1</c:v>
                </c:pt>
                <c:pt idx="26">
                  <c:v>0.7</c:v>
                </c:pt>
                <c:pt idx="27">
                  <c:v>1</c:v>
                </c:pt>
                <c:pt idx="28">
                  <c:v>0.8</c:v>
                </c:pt>
                <c:pt idx="29">
                  <c:v>0.8</c:v>
                </c:pt>
                <c:pt idx="30">
                  <c:v>0.8</c:v>
                </c:pt>
                <c:pt idx="31">
                  <c:v>0.6</c:v>
                </c:pt>
                <c:pt idx="32">
                  <c:v>0.6</c:v>
                </c:pt>
                <c:pt idx="33">
                  <c:v>0.7</c:v>
                </c:pt>
                <c:pt idx="34">
                  <c:v>0.6</c:v>
                </c:pt>
                <c:pt idx="35">
                  <c:v>0.5</c:v>
                </c:pt>
                <c:pt idx="36">
                  <c:v>0.7</c:v>
                </c:pt>
                <c:pt idx="37">
                  <c:v>0.7</c:v>
                </c:pt>
                <c:pt idx="38">
                  <c:v>0.8</c:v>
                </c:pt>
                <c:pt idx="39">
                  <c:v>0.7</c:v>
                </c:pt>
                <c:pt idx="40">
                  <c:v>0.7</c:v>
                </c:pt>
                <c:pt idx="41">
                  <c:v>0.7</c:v>
                </c:pt>
                <c:pt idx="42">
                  <c:v>0</c:v>
                </c:pt>
              </c:numCache>
            </c:numRef>
          </c:val>
          <c:smooth val="0"/>
        </c:ser>
        <c:axId val="42351574"/>
        <c:axId val="45619847"/>
      </c:lineChart>
      <c:catAx>
        <c:axId val="42351574"/>
        <c:scaling>
          <c:orientation val="minMax"/>
        </c:scaling>
        <c:axPos val="b"/>
        <c:majorGridlines/>
        <c:delete val="0"/>
        <c:numFmt formatCode="\ " sourceLinked="0"/>
        <c:majorTickMark val="out"/>
        <c:minorTickMark val="out"/>
        <c:tickLblPos val="nextTo"/>
        <c:crossAx val="45619847"/>
        <c:crosses val="autoZero"/>
        <c:auto val="1"/>
        <c:lblOffset val="100"/>
        <c:noMultiLvlLbl val="0"/>
      </c:catAx>
      <c:valAx>
        <c:axId val="45619847"/>
        <c:scaling>
          <c:orientation val="minMax"/>
          <c:max val="40"/>
          <c:min val="0"/>
        </c:scaling>
        <c:axPos val="l"/>
        <c:majorGridlines/>
        <c:delete val="0"/>
        <c:numFmt formatCode="General" sourceLinked="1"/>
        <c:majorTickMark val="out"/>
        <c:minorTickMark val="none"/>
        <c:tickLblPos val="nextTo"/>
        <c:crossAx val="4235157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8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Cost Profile</a:t>
            </a:r>
          </a:p>
        </c:rich>
      </c:tx>
      <c:layout/>
      <c:spPr>
        <a:noFill/>
        <a:ln>
          <a:noFill/>
        </a:ln>
      </c:spPr>
    </c:title>
    <c:plotArea>
      <c:layout>
        <c:manualLayout>
          <c:xMode val="edge"/>
          <c:yMode val="edge"/>
          <c:x val="0.08375"/>
          <c:y val="0.1075"/>
          <c:w val="0.8825"/>
          <c:h val="0.873"/>
        </c:manualLayout>
      </c:layout>
      <c:lineChart>
        <c:grouping val="standard"/>
        <c:varyColors val="0"/>
        <c:ser>
          <c:idx val="2"/>
          <c:order val="0"/>
          <c:tx>
            <c:strRef>
              <c:f>'Funding may06'!$E$40:$K$40</c:f>
              <c:strCache>
                <c:ptCount val="1"/>
                <c:pt idx="0">
                  <c:v>FY03 FY04 FY05 FY06 FY07 FY08 FY09</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0000"/>
              </a:solidFill>
              <a:ln>
                <a:solidFill>
                  <a:srgbClr val="FF0000"/>
                </a:solidFill>
              </a:ln>
            </c:spPr>
          </c:marker>
          <c:dPt>
            <c:idx val="6"/>
            <c:spPr>
              <a:ln w="3175">
                <a:noFill/>
              </a:ln>
            </c:spPr>
            <c:marker>
              <c:symbol val="none"/>
            </c:marker>
          </c:dPt>
          <c:dLbls>
            <c:numFmt formatCode="General" sourceLinked="1"/>
            <c:showLegendKey val="0"/>
            <c:showVal val="0"/>
            <c:showBubbleSize val="0"/>
            <c:showCatName val="0"/>
            <c:showSerName val="0"/>
            <c:showLeaderLines val="1"/>
            <c:showPercent val="0"/>
          </c:dLbls>
          <c:val>
            <c:numRef>
              <c:f>'Funding may06'!$E$47:$K$47</c:f>
              <c:numCache>
                <c:ptCount val="7"/>
                <c:pt idx="0">
                  <c:v>5.9419</c:v>
                </c:pt>
                <c:pt idx="1">
                  <c:v>20.181249</c:v>
                </c:pt>
                <c:pt idx="2">
                  <c:v>38.343249</c:v>
                </c:pt>
                <c:pt idx="3">
                  <c:v>58.092249</c:v>
                </c:pt>
                <c:pt idx="4">
                  <c:v>73.192249</c:v>
                </c:pt>
                <c:pt idx="5">
                  <c:v>82.992249</c:v>
                </c:pt>
                <c:pt idx="6">
                  <c:v>84.592249</c:v>
                </c:pt>
              </c:numCache>
            </c:numRef>
          </c:val>
          <c:smooth val="0"/>
        </c:ser>
        <c:axId val="7925440"/>
        <c:axId val="4220097"/>
      </c:lineChart>
      <c:catAx>
        <c:axId val="7925440"/>
        <c:scaling>
          <c:orientation val="minMax"/>
        </c:scaling>
        <c:axPos val="b"/>
        <c:majorGridlines/>
        <c:delete val="0"/>
        <c:numFmt formatCode="General" sourceLinked="1"/>
        <c:majorTickMark val="out"/>
        <c:minorTickMark val="none"/>
        <c:tickLblPos val="nextTo"/>
        <c:crossAx val="4220097"/>
        <c:crosses val="autoZero"/>
        <c:auto val="1"/>
        <c:lblOffset val="100"/>
        <c:noMultiLvlLbl val="0"/>
      </c:catAx>
      <c:valAx>
        <c:axId val="4220097"/>
        <c:scaling>
          <c:orientation val="minMax"/>
          <c:max val="95"/>
        </c:scaling>
        <c:axPos val="l"/>
        <c:title>
          <c:tx>
            <c:rich>
              <a:bodyPr vert="horz" rot="-5400000" anchor="ctr"/>
              <a:lstStyle/>
              <a:p>
                <a:pPr algn="ctr">
                  <a:defRPr/>
                </a:pPr>
                <a:r>
                  <a:rPr lang="en-US" cap="none" sz="1375" b="1" i="0" u="none" baseline="0">
                    <a:latin typeface="Arial"/>
                    <a:ea typeface="Arial"/>
                    <a:cs typeface="Arial"/>
                  </a:rPr>
                  <a:t>$M</a:t>
                </a:r>
              </a:p>
            </c:rich>
          </c:tx>
          <c:layout/>
          <c:overlay val="0"/>
          <c:spPr>
            <a:noFill/>
            <a:ln>
              <a:noFill/>
            </a:ln>
          </c:spPr>
        </c:title>
        <c:majorGridlines/>
        <c:delete val="0"/>
        <c:numFmt formatCode="General" sourceLinked="1"/>
        <c:majorTickMark val="out"/>
        <c:minorTickMark val="none"/>
        <c:tickLblPos val="nextTo"/>
        <c:crossAx val="7925440"/>
        <c:crossesAt val="1"/>
        <c:crossBetween val="midCat"/>
        <c:dispUnits/>
        <c:majorUnit val="5"/>
      </c:valAx>
      <c:spPr>
        <a:blipFill>
          <a:blip r:embed="rId2"/>
          <a:srcRect/>
          <a:tile sx="100000" sy="100000" flip="none" algn="tl"/>
        </a:blipFill>
        <a:ln w="12700">
          <a:solidFill>
            <a:srgbClr val="808080"/>
          </a:solidFill>
        </a:ln>
      </c:spPr>
    </c:plotArea>
    <c:plotVisOnly val="1"/>
    <c:dispBlanksAs val="gap"/>
    <c:showDLblsOverMax val="0"/>
  </c:chart>
  <c:spPr>
    <a:ln w="3175">
      <a:noFill/>
    </a:ln>
  </c:spPr>
  <c:txPr>
    <a:bodyPr vert="horz" rot="0"/>
    <a:lstStyle/>
    <a:p>
      <a:pPr>
        <a:defRPr lang="en-US" cap="none" sz="13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cdr:x>
      <cdr:y>0.966</cdr:y>
    </cdr:from>
    <cdr:to>
      <cdr:x>0.982</cdr:x>
      <cdr:y>0.99925</cdr:y>
    </cdr:to>
    <cdr:sp>
      <cdr:nvSpPr>
        <cdr:cNvPr id="1" name="TextBox 1"/>
        <cdr:cNvSpPr txBox="1">
          <a:spLocks noChangeArrowheads="1"/>
        </cdr:cNvSpPr>
      </cdr:nvSpPr>
      <cdr:spPr>
        <a:xfrm>
          <a:off x="1143000" y="5810250"/>
          <a:ext cx="526732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FY06                                          FY07                                                  FY08                                             FY09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46</xdr:row>
      <xdr:rowOff>76200</xdr:rowOff>
    </xdr:from>
    <xdr:to>
      <xdr:col>14</xdr:col>
      <xdr:colOff>523875</xdr:colOff>
      <xdr:row>83</xdr:row>
      <xdr:rowOff>104775</xdr:rowOff>
    </xdr:to>
    <xdr:graphicFrame>
      <xdr:nvGraphicFramePr>
        <xdr:cNvPr id="1" name="Chart 2"/>
        <xdr:cNvGraphicFramePr/>
      </xdr:nvGraphicFramePr>
      <xdr:xfrm>
        <a:off x="2524125" y="7524750"/>
        <a:ext cx="6534150" cy="6019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0.1645</cdr:x>
      <cdr:y>0.91375</cdr:y>
    </cdr:from>
    <cdr:to>
      <cdr:x>0.98</cdr:x>
      <cdr:y>0.9515</cdr:y>
    </cdr:to>
    <cdr:sp>
      <cdr:nvSpPr>
        <cdr:cNvPr id="1" name="TextBox 3"/>
        <cdr:cNvSpPr txBox="1">
          <a:spLocks noChangeArrowheads="1"/>
        </cdr:cNvSpPr>
      </cdr:nvSpPr>
      <cdr:spPr>
        <a:xfrm>
          <a:off x="1438275" y="8067675"/>
          <a:ext cx="7153275" cy="333375"/>
        </a:xfrm>
        <a:prstGeom prst="rect">
          <a:avLst/>
        </a:prstGeom>
        <a:noFill/>
        <a:ln w="9525" cmpd="sng">
          <a:noFill/>
        </a:ln>
      </cdr:spPr>
      <cdr:txBody>
        <a:bodyPr vertOverflow="clip" wrap="square"/>
        <a:p>
          <a:pPr algn="l">
            <a:defRPr/>
          </a:pPr>
          <a:r>
            <a:rPr lang="en-US" cap="none" sz="1350" b="1" i="0" u="none" baseline="0">
              <a:latin typeface="Arial"/>
              <a:ea typeface="Arial"/>
              <a:cs typeface="Arial"/>
            </a:rPr>
            <a:t>FY06                                   FY07                               FY08                         FY09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26</xdr:row>
      <xdr:rowOff>152400</xdr:rowOff>
    </xdr:from>
    <xdr:to>
      <xdr:col>14</xdr:col>
      <xdr:colOff>476250</xdr:colOff>
      <xdr:row>81</xdr:row>
      <xdr:rowOff>76200</xdr:rowOff>
    </xdr:to>
    <xdr:graphicFrame>
      <xdr:nvGraphicFramePr>
        <xdr:cNvPr id="1" name="Chart 1"/>
        <xdr:cNvGraphicFramePr/>
      </xdr:nvGraphicFramePr>
      <xdr:xfrm>
        <a:off x="971550" y="4362450"/>
        <a:ext cx="8772525" cy="8829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7</xdr:row>
      <xdr:rowOff>76200</xdr:rowOff>
    </xdr:from>
    <xdr:to>
      <xdr:col>12</xdr:col>
      <xdr:colOff>371475</xdr:colOff>
      <xdr:row>7</xdr:row>
      <xdr:rowOff>238125</xdr:rowOff>
    </xdr:to>
    <xdr:sp>
      <xdr:nvSpPr>
        <xdr:cNvPr id="1" name="AutoShape 1"/>
        <xdr:cNvSpPr>
          <a:spLocks/>
        </xdr:cNvSpPr>
      </xdr:nvSpPr>
      <xdr:spPr>
        <a:xfrm rot="10800000">
          <a:off x="4200525" y="1800225"/>
          <a:ext cx="0" cy="161925"/>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35</xdr:row>
      <xdr:rowOff>0</xdr:rowOff>
    </xdr:from>
    <xdr:to>
      <xdr:col>16</xdr:col>
      <xdr:colOff>171450</xdr:colOff>
      <xdr:row>35</xdr:row>
      <xdr:rowOff>0</xdr:rowOff>
    </xdr:to>
    <xdr:sp>
      <xdr:nvSpPr>
        <xdr:cNvPr id="2" name="Rectangle 2"/>
        <xdr:cNvSpPr>
          <a:spLocks/>
        </xdr:cNvSpPr>
      </xdr:nvSpPr>
      <xdr:spPr>
        <a:xfrm>
          <a:off x="4476750" y="10248900"/>
          <a:ext cx="1009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8</xdr:row>
      <xdr:rowOff>76200</xdr:rowOff>
    </xdr:from>
    <xdr:to>
      <xdr:col>13</xdr:col>
      <xdr:colOff>0</xdr:colOff>
      <xdr:row>8</xdr:row>
      <xdr:rowOff>238125</xdr:rowOff>
    </xdr:to>
    <xdr:sp>
      <xdr:nvSpPr>
        <xdr:cNvPr id="3" name="AutoShape 3"/>
        <xdr:cNvSpPr>
          <a:spLocks/>
        </xdr:cNvSpPr>
      </xdr:nvSpPr>
      <xdr:spPr>
        <a:xfrm rot="10800000">
          <a:off x="4200525" y="216217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371475</xdr:colOff>
      <xdr:row>11</xdr:row>
      <xdr:rowOff>28575</xdr:rowOff>
    </xdr:from>
    <xdr:to>
      <xdr:col>14</xdr:col>
      <xdr:colOff>371475</xdr:colOff>
      <xdr:row>11</xdr:row>
      <xdr:rowOff>190500</xdr:rowOff>
    </xdr:to>
    <xdr:sp>
      <xdr:nvSpPr>
        <xdr:cNvPr id="4" name="AutoShape 4"/>
        <xdr:cNvSpPr>
          <a:spLocks/>
        </xdr:cNvSpPr>
      </xdr:nvSpPr>
      <xdr:spPr>
        <a:xfrm rot="10800000">
          <a:off x="4943475" y="3200400"/>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371475</xdr:colOff>
      <xdr:row>14</xdr:row>
      <xdr:rowOff>57150</xdr:rowOff>
    </xdr:from>
    <xdr:to>
      <xdr:col>16</xdr:col>
      <xdr:colOff>371475</xdr:colOff>
      <xdr:row>14</xdr:row>
      <xdr:rowOff>219075</xdr:rowOff>
    </xdr:to>
    <xdr:sp>
      <xdr:nvSpPr>
        <xdr:cNvPr id="5" name="AutoShape 5"/>
        <xdr:cNvSpPr>
          <a:spLocks/>
        </xdr:cNvSpPr>
      </xdr:nvSpPr>
      <xdr:spPr>
        <a:xfrm rot="10800000">
          <a:off x="5686425" y="43148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371475</xdr:colOff>
      <xdr:row>18</xdr:row>
      <xdr:rowOff>95250</xdr:rowOff>
    </xdr:from>
    <xdr:to>
      <xdr:col>19</xdr:col>
      <xdr:colOff>371475</xdr:colOff>
      <xdr:row>18</xdr:row>
      <xdr:rowOff>257175</xdr:rowOff>
    </xdr:to>
    <xdr:sp>
      <xdr:nvSpPr>
        <xdr:cNvPr id="6" name="AutoShape 6"/>
        <xdr:cNvSpPr>
          <a:spLocks/>
        </xdr:cNvSpPr>
      </xdr:nvSpPr>
      <xdr:spPr>
        <a:xfrm rot="10800000">
          <a:off x="6800850" y="5800725"/>
          <a:ext cx="0" cy="161925"/>
        </a:xfrm>
        <a:prstGeom prst="triangle">
          <a:avLst/>
        </a:prstGeom>
        <a:solidFill>
          <a:srgbClr val="00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5</xdr:row>
      <xdr:rowOff>409575</xdr:rowOff>
    </xdr:from>
    <xdr:to>
      <xdr:col>13</xdr:col>
      <xdr:colOff>0</xdr:colOff>
      <xdr:row>25</xdr:row>
      <xdr:rowOff>57150</xdr:rowOff>
    </xdr:to>
    <xdr:sp>
      <xdr:nvSpPr>
        <xdr:cNvPr id="7" name="Line 7"/>
        <xdr:cNvSpPr>
          <a:spLocks/>
        </xdr:cNvSpPr>
      </xdr:nvSpPr>
      <xdr:spPr>
        <a:xfrm>
          <a:off x="4200525" y="1476375"/>
          <a:ext cx="0" cy="6819900"/>
        </a:xfrm>
        <a:prstGeom prst="line">
          <a:avLst/>
        </a:prstGeom>
        <a:noFill/>
        <a:ln w="635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7</xdr:row>
      <xdr:rowOff>76200</xdr:rowOff>
    </xdr:from>
    <xdr:to>
      <xdr:col>13</xdr:col>
      <xdr:colOff>104775</xdr:colOff>
      <xdr:row>7</xdr:row>
      <xdr:rowOff>352425</xdr:rowOff>
    </xdr:to>
    <xdr:sp>
      <xdr:nvSpPr>
        <xdr:cNvPr id="8" name="AutoShape 8"/>
        <xdr:cNvSpPr>
          <a:spLocks/>
        </xdr:cNvSpPr>
      </xdr:nvSpPr>
      <xdr:spPr>
        <a:xfrm>
          <a:off x="4029075" y="1800225"/>
          <a:ext cx="276225" cy="276225"/>
        </a:xfrm>
        <a:prstGeom prst="star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257175</xdr:colOff>
      <xdr:row>0</xdr:row>
      <xdr:rowOff>266700</xdr:rowOff>
    </xdr:from>
    <xdr:to>
      <xdr:col>14</xdr:col>
      <xdr:colOff>161925</xdr:colOff>
      <xdr:row>2</xdr:row>
      <xdr:rowOff>47625</xdr:rowOff>
    </xdr:to>
    <xdr:sp>
      <xdr:nvSpPr>
        <xdr:cNvPr id="9" name="AutoShape 9"/>
        <xdr:cNvSpPr>
          <a:spLocks/>
        </xdr:cNvSpPr>
      </xdr:nvSpPr>
      <xdr:spPr>
        <a:xfrm>
          <a:off x="4457700" y="266700"/>
          <a:ext cx="276225" cy="276225"/>
        </a:xfrm>
        <a:prstGeom prst="star5">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8</xdr:row>
      <xdr:rowOff>66675</xdr:rowOff>
    </xdr:from>
    <xdr:to>
      <xdr:col>14</xdr:col>
      <xdr:colOff>266700</xdr:colOff>
      <xdr:row>8</xdr:row>
      <xdr:rowOff>323850</xdr:rowOff>
    </xdr:to>
    <xdr:sp>
      <xdr:nvSpPr>
        <xdr:cNvPr id="10" name="AutoShape 10"/>
        <xdr:cNvSpPr>
          <a:spLocks/>
        </xdr:cNvSpPr>
      </xdr:nvSpPr>
      <xdr:spPr>
        <a:xfrm>
          <a:off x="4705350" y="2152650"/>
          <a:ext cx="133350" cy="257175"/>
        </a:xfrm>
        <a:prstGeom prst="rect"/>
        <a:noFill/>
      </xdr:spPr>
      <xdr:txBody>
        <a:bodyPr fromWordArt="1" wrap="none">
          <a:prstTxWarp prst="textPlain"/>
        </a:bodyPr>
        <a:p>
          <a:pPr algn="ctr"/>
          <a:r>
            <a:rPr sz="14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15</xdr:col>
      <xdr:colOff>247650</xdr:colOff>
      <xdr:row>9</xdr:row>
      <xdr:rowOff>76200</xdr:rowOff>
    </xdr:from>
    <xdr:to>
      <xdr:col>16</xdr:col>
      <xdr:colOff>9525</xdr:colOff>
      <xdr:row>9</xdr:row>
      <xdr:rowOff>333375</xdr:rowOff>
    </xdr:to>
    <xdr:sp>
      <xdr:nvSpPr>
        <xdr:cNvPr id="11" name="AutoShape 11"/>
        <xdr:cNvSpPr>
          <a:spLocks/>
        </xdr:cNvSpPr>
      </xdr:nvSpPr>
      <xdr:spPr>
        <a:xfrm>
          <a:off x="5191125" y="2524125"/>
          <a:ext cx="133350" cy="257175"/>
        </a:xfrm>
        <a:prstGeom prst="rect"/>
        <a:noFill/>
      </xdr:spPr>
      <xdr:txBody>
        <a:bodyPr fromWordArt="1" wrap="none">
          <a:prstTxWarp prst="textPlain"/>
        </a:bodyPr>
        <a:p>
          <a:pPr algn="ctr"/>
          <a:r>
            <a:rPr sz="14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26</xdr:col>
      <xdr:colOff>295275</xdr:colOff>
      <xdr:row>32</xdr:row>
      <xdr:rowOff>9525</xdr:rowOff>
    </xdr:from>
    <xdr:to>
      <xdr:col>27</xdr:col>
      <xdr:colOff>9525</xdr:colOff>
      <xdr:row>33</xdr:row>
      <xdr:rowOff>28575</xdr:rowOff>
    </xdr:to>
    <xdr:sp>
      <xdr:nvSpPr>
        <xdr:cNvPr id="12" name="AutoShape 13"/>
        <xdr:cNvSpPr>
          <a:spLocks/>
        </xdr:cNvSpPr>
      </xdr:nvSpPr>
      <xdr:spPr>
        <a:xfrm>
          <a:off x="9353550" y="96869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10</xdr:col>
      <xdr:colOff>266700</xdr:colOff>
      <xdr:row>1</xdr:row>
      <xdr:rowOff>0</xdr:rowOff>
    </xdr:from>
    <xdr:to>
      <xdr:col>11</xdr:col>
      <xdr:colOff>9525</xdr:colOff>
      <xdr:row>2</xdr:row>
      <xdr:rowOff>28575</xdr:rowOff>
    </xdr:to>
    <xdr:sp>
      <xdr:nvSpPr>
        <xdr:cNvPr id="13" name="AutoShape 14"/>
        <xdr:cNvSpPr>
          <a:spLocks/>
        </xdr:cNvSpPr>
      </xdr:nvSpPr>
      <xdr:spPr>
        <a:xfrm>
          <a:off x="3438525" y="304800"/>
          <a:ext cx="28575" cy="219075"/>
        </a:xfrm>
        <a:prstGeom prst="rect"/>
        <a:noFill/>
      </xdr:spPr>
      <xdr:txBody>
        <a:bodyPr fromWordArt="1" wrap="none">
          <a:prstTxWarp prst="textPlain"/>
        </a:bodyPr>
        <a:p>
          <a:pPr algn="ctr"/>
          <a:r>
            <a:rPr sz="1200" kern="10" spc="0">
              <a:ln w="6350" cmpd="sng">
                <a:solidFill>
                  <a:srgbClr val="000000"/>
                </a:solidFill>
                <a:headEnd type="none"/>
                <a:tailEnd type="none"/>
              </a:ln>
              <a:solidFill>
                <a:srgbClr val="FFFF00"/>
              </a:solidFill>
              <a:latin typeface="Arial Black"/>
              <a:cs typeface="Arial Black"/>
            </a:rPr>
            <a:t>E</a:t>
          </a:r>
        </a:p>
      </xdr:txBody>
    </xdr:sp>
    <xdr:clientData/>
  </xdr:twoCellAnchor>
  <xdr:twoCellAnchor>
    <xdr:from>
      <xdr:col>18</xdr:col>
      <xdr:colOff>142875</xdr:colOff>
      <xdr:row>0</xdr:row>
      <xdr:rowOff>295275</xdr:rowOff>
    </xdr:from>
    <xdr:to>
      <xdr:col>18</xdr:col>
      <xdr:colOff>342900</xdr:colOff>
      <xdr:row>2</xdr:row>
      <xdr:rowOff>0</xdr:rowOff>
    </xdr:to>
    <xdr:sp>
      <xdr:nvSpPr>
        <xdr:cNvPr id="14" name="Oval 16"/>
        <xdr:cNvSpPr>
          <a:spLocks/>
        </xdr:cNvSpPr>
      </xdr:nvSpPr>
      <xdr:spPr>
        <a:xfrm>
          <a:off x="6200775" y="2952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16</xdr:col>
      <xdr:colOff>19050</xdr:colOff>
      <xdr:row>35</xdr:row>
      <xdr:rowOff>0</xdr:rowOff>
    </xdr:to>
    <xdr:sp>
      <xdr:nvSpPr>
        <xdr:cNvPr id="15" name="AutoShape 17"/>
        <xdr:cNvSpPr>
          <a:spLocks/>
        </xdr:cNvSpPr>
      </xdr:nvSpPr>
      <xdr:spPr>
        <a:xfrm>
          <a:off x="4572000" y="10248900"/>
          <a:ext cx="762000" cy="0"/>
        </a:xfrm>
        <a:custGeom>
          <a:pathLst>
            <a:path h="20" w="80">
              <a:moveTo>
                <a:pt x="0" y="20"/>
              </a:moveTo>
              <a:cubicBezTo>
                <a:pt x="13" y="10"/>
                <a:pt x="26" y="0"/>
                <a:pt x="39" y="0"/>
              </a:cubicBezTo>
              <a:cubicBezTo>
                <a:pt x="52" y="0"/>
                <a:pt x="66" y="9"/>
                <a:pt x="80"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0</xdr:rowOff>
    </xdr:from>
    <xdr:to>
      <xdr:col>17</xdr:col>
      <xdr:colOff>0</xdr:colOff>
      <xdr:row>35</xdr:row>
      <xdr:rowOff>0</xdr:rowOff>
    </xdr:to>
    <xdr:sp>
      <xdr:nvSpPr>
        <xdr:cNvPr id="16" name="AutoShape 18"/>
        <xdr:cNvSpPr>
          <a:spLocks/>
        </xdr:cNvSpPr>
      </xdr:nvSpPr>
      <xdr:spPr>
        <a:xfrm>
          <a:off x="4572000" y="10248900"/>
          <a:ext cx="1114425" cy="0"/>
        </a:xfrm>
        <a:custGeom>
          <a:pathLst>
            <a:path h="24" w="117">
              <a:moveTo>
                <a:pt x="0" y="24"/>
              </a:moveTo>
              <a:cubicBezTo>
                <a:pt x="13" y="16"/>
                <a:pt x="26" y="8"/>
                <a:pt x="39" y="5"/>
              </a:cubicBezTo>
              <a:cubicBezTo>
                <a:pt x="52" y="2"/>
                <a:pt x="67" y="0"/>
                <a:pt x="80" y="3"/>
              </a:cubicBezTo>
              <a:cubicBezTo>
                <a:pt x="93" y="6"/>
                <a:pt x="105" y="15"/>
                <a:pt x="117" y="2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35</xdr:row>
      <xdr:rowOff>0</xdr:rowOff>
    </xdr:from>
    <xdr:to>
      <xdr:col>21</xdr:col>
      <xdr:colOff>19050</xdr:colOff>
      <xdr:row>35</xdr:row>
      <xdr:rowOff>0</xdr:rowOff>
    </xdr:to>
    <xdr:sp>
      <xdr:nvSpPr>
        <xdr:cNvPr id="17" name="Rectangle 19"/>
        <xdr:cNvSpPr>
          <a:spLocks/>
        </xdr:cNvSpPr>
      </xdr:nvSpPr>
      <xdr:spPr>
        <a:xfrm>
          <a:off x="6210300" y="10248900"/>
          <a:ext cx="981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142875</xdr:colOff>
      <xdr:row>35</xdr:row>
      <xdr:rowOff>0</xdr:rowOff>
    </xdr:from>
    <xdr:to>
      <xdr:col>21</xdr:col>
      <xdr:colOff>38100</xdr:colOff>
      <xdr:row>35</xdr:row>
      <xdr:rowOff>0</xdr:rowOff>
    </xdr:to>
    <xdr:sp>
      <xdr:nvSpPr>
        <xdr:cNvPr id="18" name="AutoShape 20"/>
        <xdr:cNvSpPr>
          <a:spLocks/>
        </xdr:cNvSpPr>
      </xdr:nvSpPr>
      <xdr:spPr>
        <a:xfrm>
          <a:off x="6200775" y="10248900"/>
          <a:ext cx="1009650" cy="0"/>
        </a:xfrm>
        <a:custGeom>
          <a:pathLst>
            <a:path h="81" w="106">
              <a:moveTo>
                <a:pt x="0" y="43"/>
              </a:moveTo>
              <a:cubicBezTo>
                <a:pt x="0" y="30"/>
                <a:pt x="36" y="0"/>
                <a:pt x="54" y="0"/>
              </a:cubicBezTo>
              <a:cubicBezTo>
                <a:pt x="72" y="0"/>
                <a:pt x="106" y="30"/>
                <a:pt x="106" y="43"/>
              </a:cubicBezTo>
              <a:cubicBezTo>
                <a:pt x="106" y="56"/>
                <a:pt x="74" y="79"/>
                <a:pt x="57" y="80"/>
              </a:cubicBezTo>
              <a:cubicBezTo>
                <a:pt x="40" y="81"/>
                <a:pt x="0" y="56"/>
                <a:pt x="0" y="43"/>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304800</xdr:colOff>
      <xdr:row>18</xdr:row>
      <xdr:rowOff>209550</xdr:rowOff>
    </xdr:from>
    <xdr:to>
      <xdr:col>57</xdr:col>
      <xdr:colOff>209550</xdr:colOff>
      <xdr:row>35</xdr:row>
      <xdr:rowOff>0</xdr:rowOff>
    </xdr:to>
    <xdr:grpSp>
      <xdr:nvGrpSpPr>
        <xdr:cNvPr id="19" name="Group 21"/>
        <xdr:cNvGrpSpPr>
          <a:grpSpLocks/>
        </xdr:cNvGrpSpPr>
      </xdr:nvGrpSpPr>
      <xdr:grpSpPr>
        <a:xfrm>
          <a:off x="15840075" y="5915025"/>
          <a:ext cx="8334375" cy="4333875"/>
          <a:chOff x="294" y="181"/>
          <a:chExt cx="875" cy="660"/>
        </a:xfrm>
        <a:solidFill>
          <a:srgbClr val="FFFFFF"/>
        </a:solidFill>
      </xdr:grpSpPr>
      <xdr:sp>
        <xdr:nvSpPr>
          <xdr:cNvPr id="20" name="AutoShape 22"/>
          <xdr:cNvSpPr>
            <a:spLocks/>
          </xdr:cNvSpPr>
        </xdr:nvSpPr>
        <xdr:spPr>
          <a:xfrm rot="10800000">
            <a:off x="1155" y="824"/>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23"/>
          <xdr:cNvSpPr>
            <a:spLocks/>
          </xdr:cNvSpPr>
        </xdr:nvSpPr>
        <xdr:spPr>
          <a:xfrm rot="10800000">
            <a:off x="357" y="217"/>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utoShape 24"/>
          <xdr:cNvSpPr>
            <a:spLocks/>
          </xdr:cNvSpPr>
        </xdr:nvSpPr>
        <xdr:spPr>
          <a:xfrm rot="10800000">
            <a:off x="397" y="253"/>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utoShape 25"/>
          <xdr:cNvSpPr>
            <a:spLocks/>
          </xdr:cNvSpPr>
        </xdr:nvSpPr>
        <xdr:spPr>
          <a:xfrm rot="10800000">
            <a:off x="440" y="29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26"/>
          <xdr:cNvSpPr>
            <a:spLocks/>
          </xdr:cNvSpPr>
        </xdr:nvSpPr>
        <xdr:spPr>
          <a:xfrm rot="10800000">
            <a:off x="491" y="33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27"/>
          <xdr:cNvSpPr>
            <a:spLocks/>
          </xdr:cNvSpPr>
        </xdr:nvSpPr>
        <xdr:spPr>
          <a:xfrm rot="10800000">
            <a:off x="526" y="369"/>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28"/>
          <xdr:cNvSpPr>
            <a:spLocks/>
          </xdr:cNvSpPr>
        </xdr:nvSpPr>
        <xdr:spPr>
          <a:xfrm rot="10800000">
            <a:off x="615" y="442"/>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29"/>
          <xdr:cNvSpPr>
            <a:spLocks/>
          </xdr:cNvSpPr>
        </xdr:nvSpPr>
        <xdr:spPr>
          <a:xfrm rot="10800000">
            <a:off x="660" y="487"/>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utoShape 30"/>
          <xdr:cNvSpPr>
            <a:spLocks/>
          </xdr:cNvSpPr>
        </xdr:nvSpPr>
        <xdr:spPr>
          <a:xfrm rot="10800000">
            <a:off x="704" y="522"/>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AutoShape 31"/>
          <xdr:cNvSpPr>
            <a:spLocks/>
          </xdr:cNvSpPr>
        </xdr:nvSpPr>
        <xdr:spPr>
          <a:xfrm rot="10800000">
            <a:off x="908" y="64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AutoShape 32"/>
          <xdr:cNvSpPr>
            <a:spLocks/>
          </xdr:cNvSpPr>
        </xdr:nvSpPr>
        <xdr:spPr>
          <a:xfrm rot="10800000">
            <a:off x="938" y="67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AutoShape 33"/>
          <xdr:cNvSpPr>
            <a:spLocks/>
          </xdr:cNvSpPr>
        </xdr:nvSpPr>
        <xdr:spPr>
          <a:xfrm rot="10800000">
            <a:off x="1015" y="71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AutoShape 34"/>
          <xdr:cNvSpPr>
            <a:spLocks/>
          </xdr:cNvSpPr>
        </xdr:nvSpPr>
        <xdr:spPr>
          <a:xfrm rot="10800000">
            <a:off x="1045" y="746"/>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5"/>
          <xdr:cNvSpPr>
            <a:spLocks/>
          </xdr:cNvSpPr>
        </xdr:nvSpPr>
        <xdr:spPr>
          <a:xfrm flipV="1">
            <a:off x="728" y="804"/>
            <a:ext cx="411" cy="1"/>
          </a:xfrm>
          <a:prstGeom prst="line">
            <a:avLst/>
          </a:prstGeom>
          <a:noFill/>
          <a:ln w="635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AutoShape 36"/>
          <xdr:cNvSpPr>
            <a:spLocks/>
          </xdr:cNvSpPr>
        </xdr:nvSpPr>
        <xdr:spPr>
          <a:xfrm rot="10800000">
            <a:off x="294" y="181"/>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AutoShape 37"/>
          <xdr:cNvSpPr>
            <a:spLocks/>
          </xdr:cNvSpPr>
        </xdr:nvSpPr>
        <xdr:spPr>
          <a:xfrm rot="10800000">
            <a:off x="574" y="411"/>
            <a:ext cx="17"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AutoShape 38"/>
          <xdr:cNvSpPr>
            <a:spLocks/>
          </xdr:cNvSpPr>
        </xdr:nvSpPr>
        <xdr:spPr>
          <a:xfrm rot="10800000">
            <a:off x="789" y="60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utoShape 39"/>
          <xdr:cNvSpPr>
            <a:spLocks/>
          </xdr:cNvSpPr>
        </xdr:nvSpPr>
        <xdr:spPr>
          <a:xfrm rot="10800000">
            <a:off x="755" y="560"/>
            <a:ext cx="14" cy="17"/>
          </a:xfrm>
          <a:prstGeom prst="triangle">
            <a:avLst/>
          </a:prstGeom>
          <a:solidFill>
            <a:srgbClr val="FF0000"/>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39</xdr:col>
      <xdr:colOff>381000</xdr:colOff>
      <xdr:row>7</xdr:row>
      <xdr:rowOff>342900</xdr:rowOff>
    </xdr:from>
    <xdr:to>
      <xdr:col>40</xdr:col>
      <xdr:colOff>19050</xdr:colOff>
      <xdr:row>8</xdr:row>
      <xdr:rowOff>180975</xdr:rowOff>
    </xdr:to>
    <xdr:sp>
      <xdr:nvSpPr>
        <xdr:cNvPr id="38" name="Oval 40"/>
        <xdr:cNvSpPr>
          <a:spLocks/>
        </xdr:cNvSpPr>
      </xdr:nvSpPr>
      <xdr:spPr>
        <a:xfrm>
          <a:off x="14230350" y="2066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428625</xdr:colOff>
      <xdr:row>26</xdr:row>
      <xdr:rowOff>57150</xdr:rowOff>
    </xdr:from>
    <xdr:to>
      <xdr:col>41</xdr:col>
      <xdr:colOff>66675</xdr:colOff>
      <xdr:row>27</xdr:row>
      <xdr:rowOff>66675</xdr:rowOff>
    </xdr:to>
    <xdr:sp>
      <xdr:nvSpPr>
        <xdr:cNvPr id="39" name="Oval 41"/>
        <xdr:cNvSpPr>
          <a:spLocks/>
        </xdr:cNvSpPr>
      </xdr:nvSpPr>
      <xdr:spPr>
        <a:xfrm>
          <a:off x="14839950" y="8420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314325</xdr:colOff>
      <xdr:row>9</xdr:row>
      <xdr:rowOff>9525</xdr:rowOff>
    </xdr:from>
    <xdr:to>
      <xdr:col>39</xdr:col>
      <xdr:colOff>514350</xdr:colOff>
      <xdr:row>9</xdr:row>
      <xdr:rowOff>209550</xdr:rowOff>
    </xdr:to>
    <xdr:sp>
      <xdr:nvSpPr>
        <xdr:cNvPr id="40" name="Oval 42"/>
        <xdr:cNvSpPr>
          <a:spLocks/>
        </xdr:cNvSpPr>
      </xdr:nvSpPr>
      <xdr:spPr>
        <a:xfrm>
          <a:off x="14163675" y="245745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476250</xdr:colOff>
      <xdr:row>9</xdr:row>
      <xdr:rowOff>266700</xdr:rowOff>
    </xdr:from>
    <xdr:to>
      <xdr:col>40</xdr:col>
      <xdr:colOff>114300</xdr:colOff>
      <xdr:row>10</xdr:row>
      <xdr:rowOff>104775</xdr:rowOff>
    </xdr:to>
    <xdr:sp>
      <xdr:nvSpPr>
        <xdr:cNvPr id="41" name="Oval 43"/>
        <xdr:cNvSpPr>
          <a:spLocks/>
        </xdr:cNvSpPr>
      </xdr:nvSpPr>
      <xdr:spPr>
        <a:xfrm>
          <a:off x="14325600" y="27146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66675</xdr:colOff>
      <xdr:row>22</xdr:row>
      <xdr:rowOff>304800</xdr:rowOff>
    </xdr:from>
    <xdr:to>
      <xdr:col>41</xdr:col>
      <xdr:colOff>266700</xdr:colOff>
      <xdr:row>23</xdr:row>
      <xdr:rowOff>142875</xdr:rowOff>
    </xdr:to>
    <xdr:sp>
      <xdr:nvSpPr>
        <xdr:cNvPr id="42" name="Oval 44"/>
        <xdr:cNvSpPr>
          <a:spLocks/>
        </xdr:cNvSpPr>
      </xdr:nvSpPr>
      <xdr:spPr>
        <a:xfrm>
          <a:off x="15039975" y="745807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219075</xdr:colOff>
      <xdr:row>10</xdr:row>
      <xdr:rowOff>276225</xdr:rowOff>
    </xdr:from>
    <xdr:to>
      <xdr:col>39</xdr:col>
      <xdr:colOff>419100</xdr:colOff>
      <xdr:row>11</xdr:row>
      <xdr:rowOff>114300</xdr:rowOff>
    </xdr:to>
    <xdr:sp>
      <xdr:nvSpPr>
        <xdr:cNvPr id="43" name="Oval 45"/>
        <xdr:cNvSpPr>
          <a:spLocks/>
        </xdr:cNvSpPr>
      </xdr:nvSpPr>
      <xdr:spPr>
        <a:xfrm>
          <a:off x="14068425" y="3086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76200</xdr:colOff>
      <xdr:row>12</xdr:row>
      <xdr:rowOff>276225</xdr:rowOff>
    </xdr:from>
    <xdr:to>
      <xdr:col>42</xdr:col>
      <xdr:colOff>276225</xdr:colOff>
      <xdr:row>13</xdr:row>
      <xdr:rowOff>114300</xdr:rowOff>
    </xdr:to>
    <xdr:sp>
      <xdr:nvSpPr>
        <xdr:cNvPr id="44" name="Oval 46"/>
        <xdr:cNvSpPr>
          <a:spLocks/>
        </xdr:cNvSpPr>
      </xdr:nvSpPr>
      <xdr:spPr>
        <a:xfrm>
          <a:off x="15611475" y="38100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228600</xdr:colOff>
      <xdr:row>13</xdr:row>
      <xdr:rowOff>314325</xdr:rowOff>
    </xdr:from>
    <xdr:to>
      <xdr:col>39</xdr:col>
      <xdr:colOff>428625</xdr:colOff>
      <xdr:row>14</xdr:row>
      <xdr:rowOff>152400</xdr:rowOff>
    </xdr:to>
    <xdr:sp>
      <xdr:nvSpPr>
        <xdr:cNvPr id="45" name="Oval 47"/>
        <xdr:cNvSpPr>
          <a:spLocks/>
        </xdr:cNvSpPr>
      </xdr:nvSpPr>
      <xdr:spPr>
        <a:xfrm>
          <a:off x="14077950" y="421005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342900</xdr:colOff>
      <xdr:row>12</xdr:row>
      <xdr:rowOff>304800</xdr:rowOff>
    </xdr:from>
    <xdr:to>
      <xdr:col>39</xdr:col>
      <xdr:colOff>542925</xdr:colOff>
      <xdr:row>13</xdr:row>
      <xdr:rowOff>142875</xdr:rowOff>
    </xdr:to>
    <xdr:sp>
      <xdr:nvSpPr>
        <xdr:cNvPr id="46" name="Oval 48"/>
        <xdr:cNvSpPr>
          <a:spLocks/>
        </xdr:cNvSpPr>
      </xdr:nvSpPr>
      <xdr:spPr>
        <a:xfrm>
          <a:off x="14192250" y="383857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361950</xdr:colOff>
      <xdr:row>16</xdr:row>
      <xdr:rowOff>323850</xdr:rowOff>
    </xdr:from>
    <xdr:to>
      <xdr:col>41</xdr:col>
      <xdr:colOff>0</xdr:colOff>
      <xdr:row>17</xdr:row>
      <xdr:rowOff>161925</xdr:rowOff>
    </xdr:to>
    <xdr:sp>
      <xdr:nvSpPr>
        <xdr:cNvPr id="47" name="Oval 49"/>
        <xdr:cNvSpPr>
          <a:spLocks/>
        </xdr:cNvSpPr>
      </xdr:nvSpPr>
      <xdr:spPr>
        <a:xfrm>
          <a:off x="14773275" y="53054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85725</xdr:colOff>
      <xdr:row>16</xdr:row>
      <xdr:rowOff>133350</xdr:rowOff>
    </xdr:from>
    <xdr:to>
      <xdr:col>40</xdr:col>
      <xdr:colOff>285750</xdr:colOff>
      <xdr:row>16</xdr:row>
      <xdr:rowOff>333375</xdr:rowOff>
    </xdr:to>
    <xdr:sp>
      <xdr:nvSpPr>
        <xdr:cNvPr id="48" name="Oval 50"/>
        <xdr:cNvSpPr>
          <a:spLocks/>
        </xdr:cNvSpPr>
      </xdr:nvSpPr>
      <xdr:spPr>
        <a:xfrm>
          <a:off x="14497050" y="5114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400050</xdr:colOff>
      <xdr:row>17</xdr:row>
      <xdr:rowOff>333375</xdr:rowOff>
    </xdr:from>
    <xdr:to>
      <xdr:col>41</xdr:col>
      <xdr:colOff>38100</xdr:colOff>
      <xdr:row>18</xdr:row>
      <xdr:rowOff>171450</xdr:rowOff>
    </xdr:to>
    <xdr:sp>
      <xdr:nvSpPr>
        <xdr:cNvPr id="49" name="Oval 51"/>
        <xdr:cNvSpPr>
          <a:spLocks/>
        </xdr:cNvSpPr>
      </xdr:nvSpPr>
      <xdr:spPr>
        <a:xfrm>
          <a:off x="14811375" y="56769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476250</xdr:colOff>
      <xdr:row>18</xdr:row>
      <xdr:rowOff>171450</xdr:rowOff>
    </xdr:from>
    <xdr:to>
      <xdr:col>41</xdr:col>
      <xdr:colOff>114300</xdr:colOff>
      <xdr:row>19</xdr:row>
      <xdr:rowOff>9525</xdr:rowOff>
    </xdr:to>
    <xdr:sp>
      <xdr:nvSpPr>
        <xdr:cNvPr id="50" name="Oval 52"/>
        <xdr:cNvSpPr>
          <a:spLocks/>
        </xdr:cNvSpPr>
      </xdr:nvSpPr>
      <xdr:spPr>
        <a:xfrm>
          <a:off x="14887575" y="58769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238125</xdr:colOff>
      <xdr:row>18</xdr:row>
      <xdr:rowOff>323850</xdr:rowOff>
    </xdr:from>
    <xdr:to>
      <xdr:col>41</xdr:col>
      <xdr:colOff>438150</xdr:colOff>
      <xdr:row>19</xdr:row>
      <xdr:rowOff>161925</xdr:rowOff>
    </xdr:to>
    <xdr:sp>
      <xdr:nvSpPr>
        <xdr:cNvPr id="51" name="Oval 53"/>
        <xdr:cNvSpPr>
          <a:spLocks/>
        </xdr:cNvSpPr>
      </xdr:nvSpPr>
      <xdr:spPr>
        <a:xfrm>
          <a:off x="15211425" y="60293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9525</xdr:colOff>
      <xdr:row>20</xdr:row>
      <xdr:rowOff>95250</xdr:rowOff>
    </xdr:from>
    <xdr:to>
      <xdr:col>41</xdr:col>
      <xdr:colOff>209550</xdr:colOff>
      <xdr:row>20</xdr:row>
      <xdr:rowOff>295275</xdr:rowOff>
    </xdr:to>
    <xdr:sp>
      <xdr:nvSpPr>
        <xdr:cNvPr id="52" name="Oval 54"/>
        <xdr:cNvSpPr>
          <a:spLocks/>
        </xdr:cNvSpPr>
      </xdr:nvSpPr>
      <xdr:spPr>
        <a:xfrm>
          <a:off x="14982825" y="65246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152400</xdr:colOff>
      <xdr:row>20</xdr:row>
      <xdr:rowOff>238125</xdr:rowOff>
    </xdr:from>
    <xdr:to>
      <xdr:col>39</xdr:col>
      <xdr:colOff>352425</xdr:colOff>
      <xdr:row>21</xdr:row>
      <xdr:rowOff>76200</xdr:rowOff>
    </xdr:to>
    <xdr:sp>
      <xdr:nvSpPr>
        <xdr:cNvPr id="53" name="Oval 55"/>
        <xdr:cNvSpPr>
          <a:spLocks/>
        </xdr:cNvSpPr>
      </xdr:nvSpPr>
      <xdr:spPr>
        <a:xfrm>
          <a:off x="14001750" y="66675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409575</xdr:colOff>
      <xdr:row>22</xdr:row>
      <xdr:rowOff>123825</xdr:rowOff>
    </xdr:from>
    <xdr:to>
      <xdr:col>41</xdr:col>
      <xdr:colOff>47625</xdr:colOff>
      <xdr:row>22</xdr:row>
      <xdr:rowOff>323850</xdr:rowOff>
    </xdr:to>
    <xdr:sp>
      <xdr:nvSpPr>
        <xdr:cNvPr id="54" name="Oval 56"/>
        <xdr:cNvSpPr>
          <a:spLocks/>
        </xdr:cNvSpPr>
      </xdr:nvSpPr>
      <xdr:spPr>
        <a:xfrm>
          <a:off x="14820900" y="7277100"/>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352425</xdr:colOff>
      <xdr:row>11</xdr:row>
      <xdr:rowOff>266700</xdr:rowOff>
    </xdr:from>
    <xdr:to>
      <xdr:col>39</xdr:col>
      <xdr:colOff>552450</xdr:colOff>
      <xdr:row>12</xdr:row>
      <xdr:rowOff>104775</xdr:rowOff>
    </xdr:to>
    <xdr:sp>
      <xdr:nvSpPr>
        <xdr:cNvPr id="55" name="Oval 57"/>
        <xdr:cNvSpPr>
          <a:spLocks/>
        </xdr:cNvSpPr>
      </xdr:nvSpPr>
      <xdr:spPr>
        <a:xfrm>
          <a:off x="14201775" y="3438525"/>
          <a:ext cx="200025" cy="200025"/>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22</xdr:row>
      <xdr:rowOff>200025</xdr:rowOff>
    </xdr:from>
    <xdr:to>
      <xdr:col>38</xdr:col>
      <xdr:colOff>19050</xdr:colOff>
      <xdr:row>22</xdr:row>
      <xdr:rowOff>200025</xdr:rowOff>
    </xdr:to>
    <xdr:sp>
      <xdr:nvSpPr>
        <xdr:cNvPr id="56" name="Line 58"/>
        <xdr:cNvSpPr>
          <a:spLocks/>
        </xdr:cNvSpPr>
      </xdr:nvSpPr>
      <xdr:spPr>
        <a:xfrm>
          <a:off x="2028825" y="73533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23</xdr:row>
      <xdr:rowOff>161925</xdr:rowOff>
    </xdr:from>
    <xdr:to>
      <xdr:col>37</xdr:col>
      <xdr:colOff>333375</xdr:colOff>
      <xdr:row>23</xdr:row>
      <xdr:rowOff>161925</xdr:rowOff>
    </xdr:to>
    <xdr:sp>
      <xdr:nvSpPr>
        <xdr:cNvPr id="57" name="Line 59"/>
        <xdr:cNvSpPr>
          <a:spLocks/>
        </xdr:cNvSpPr>
      </xdr:nvSpPr>
      <xdr:spPr>
        <a:xfrm flipV="1">
          <a:off x="2019300" y="7677150"/>
          <a:ext cx="114585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24</xdr:row>
      <xdr:rowOff>190500</xdr:rowOff>
    </xdr:from>
    <xdr:to>
      <xdr:col>38</xdr:col>
      <xdr:colOff>19050</xdr:colOff>
      <xdr:row>24</xdr:row>
      <xdr:rowOff>190500</xdr:rowOff>
    </xdr:to>
    <xdr:sp>
      <xdr:nvSpPr>
        <xdr:cNvPr id="58" name="Line 60"/>
        <xdr:cNvSpPr>
          <a:spLocks/>
        </xdr:cNvSpPr>
      </xdr:nvSpPr>
      <xdr:spPr>
        <a:xfrm>
          <a:off x="2028825" y="80676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8</xdr:row>
      <xdr:rowOff>85725</xdr:rowOff>
    </xdr:from>
    <xdr:to>
      <xdr:col>16</xdr:col>
      <xdr:colOff>323850</xdr:colOff>
      <xdr:row>8</xdr:row>
      <xdr:rowOff>285750</xdr:rowOff>
    </xdr:to>
    <xdr:sp>
      <xdr:nvSpPr>
        <xdr:cNvPr id="59" name="Oval 61"/>
        <xdr:cNvSpPr>
          <a:spLocks/>
        </xdr:cNvSpPr>
      </xdr:nvSpPr>
      <xdr:spPr>
        <a:xfrm>
          <a:off x="5438775" y="21717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9</xdr:row>
      <xdr:rowOff>76200</xdr:rowOff>
    </xdr:from>
    <xdr:to>
      <xdr:col>18</xdr:col>
      <xdr:colOff>228600</xdr:colOff>
      <xdr:row>9</xdr:row>
      <xdr:rowOff>276225</xdr:rowOff>
    </xdr:to>
    <xdr:sp>
      <xdr:nvSpPr>
        <xdr:cNvPr id="60" name="Oval 62"/>
        <xdr:cNvSpPr>
          <a:spLocks/>
        </xdr:cNvSpPr>
      </xdr:nvSpPr>
      <xdr:spPr>
        <a:xfrm>
          <a:off x="6086475" y="25241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152400</xdr:colOff>
      <xdr:row>24</xdr:row>
      <xdr:rowOff>57150</xdr:rowOff>
    </xdr:from>
    <xdr:to>
      <xdr:col>34</xdr:col>
      <xdr:colOff>352425</xdr:colOff>
      <xdr:row>24</xdr:row>
      <xdr:rowOff>257175</xdr:rowOff>
    </xdr:to>
    <xdr:sp>
      <xdr:nvSpPr>
        <xdr:cNvPr id="61" name="Oval 63"/>
        <xdr:cNvSpPr>
          <a:spLocks/>
        </xdr:cNvSpPr>
      </xdr:nvSpPr>
      <xdr:spPr>
        <a:xfrm>
          <a:off x="12201525" y="79343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10</xdr:row>
      <xdr:rowOff>85725</xdr:rowOff>
    </xdr:from>
    <xdr:to>
      <xdr:col>19</xdr:col>
      <xdr:colOff>276225</xdr:colOff>
      <xdr:row>10</xdr:row>
      <xdr:rowOff>285750</xdr:rowOff>
    </xdr:to>
    <xdr:sp>
      <xdr:nvSpPr>
        <xdr:cNvPr id="62" name="Oval 64"/>
        <xdr:cNvSpPr>
          <a:spLocks/>
        </xdr:cNvSpPr>
      </xdr:nvSpPr>
      <xdr:spPr>
        <a:xfrm>
          <a:off x="6505575" y="28956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228600</xdr:colOff>
      <xdr:row>11</xdr:row>
      <xdr:rowOff>57150</xdr:rowOff>
    </xdr:from>
    <xdr:to>
      <xdr:col>21</xdr:col>
      <xdr:colOff>57150</xdr:colOff>
      <xdr:row>11</xdr:row>
      <xdr:rowOff>257175</xdr:rowOff>
    </xdr:to>
    <xdr:sp>
      <xdr:nvSpPr>
        <xdr:cNvPr id="63" name="Oval 65"/>
        <xdr:cNvSpPr>
          <a:spLocks/>
        </xdr:cNvSpPr>
      </xdr:nvSpPr>
      <xdr:spPr>
        <a:xfrm>
          <a:off x="7029450" y="32289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247650</xdr:colOff>
      <xdr:row>19</xdr:row>
      <xdr:rowOff>104775</xdr:rowOff>
    </xdr:from>
    <xdr:to>
      <xdr:col>27</xdr:col>
      <xdr:colOff>66675</xdr:colOff>
      <xdr:row>19</xdr:row>
      <xdr:rowOff>304800</xdr:rowOff>
    </xdr:to>
    <xdr:sp>
      <xdr:nvSpPr>
        <xdr:cNvPr id="64" name="Oval 66"/>
        <xdr:cNvSpPr>
          <a:spLocks/>
        </xdr:cNvSpPr>
      </xdr:nvSpPr>
      <xdr:spPr>
        <a:xfrm>
          <a:off x="9305925" y="6172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180975</xdr:colOff>
      <xdr:row>23</xdr:row>
      <xdr:rowOff>76200</xdr:rowOff>
    </xdr:from>
    <xdr:to>
      <xdr:col>33</xdr:col>
      <xdr:colOff>9525</xdr:colOff>
      <xdr:row>23</xdr:row>
      <xdr:rowOff>276225</xdr:rowOff>
    </xdr:to>
    <xdr:sp>
      <xdr:nvSpPr>
        <xdr:cNvPr id="65" name="Oval 67"/>
        <xdr:cNvSpPr>
          <a:spLocks/>
        </xdr:cNvSpPr>
      </xdr:nvSpPr>
      <xdr:spPr>
        <a:xfrm>
          <a:off x="11487150" y="75914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9525</xdr:colOff>
      <xdr:row>18</xdr:row>
      <xdr:rowOff>57150</xdr:rowOff>
    </xdr:from>
    <xdr:to>
      <xdr:col>26</xdr:col>
      <xdr:colOff>209550</xdr:colOff>
      <xdr:row>18</xdr:row>
      <xdr:rowOff>257175</xdr:rowOff>
    </xdr:to>
    <xdr:sp>
      <xdr:nvSpPr>
        <xdr:cNvPr id="66" name="Oval 68"/>
        <xdr:cNvSpPr>
          <a:spLocks/>
        </xdr:cNvSpPr>
      </xdr:nvSpPr>
      <xdr:spPr>
        <a:xfrm>
          <a:off x="9067800" y="57626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323850</xdr:colOff>
      <xdr:row>22</xdr:row>
      <xdr:rowOff>95250</xdr:rowOff>
    </xdr:from>
    <xdr:to>
      <xdr:col>31</xdr:col>
      <xdr:colOff>152400</xdr:colOff>
      <xdr:row>22</xdr:row>
      <xdr:rowOff>295275</xdr:rowOff>
    </xdr:to>
    <xdr:sp>
      <xdr:nvSpPr>
        <xdr:cNvPr id="67" name="Oval 69"/>
        <xdr:cNvSpPr>
          <a:spLocks/>
        </xdr:cNvSpPr>
      </xdr:nvSpPr>
      <xdr:spPr>
        <a:xfrm>
          <a:off x="10887075" y="7248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266700</xdr:colOff>
      <xdr:row>12</xdr:row>
      <xdr:rowOff>95250</xdr:rowOff>
    </xdr:from>
    <xdr:to>
      <xdr:col>22</xdr:col>
      <xdr:colOff>95250</xdr:colOff>
      <xdr:row>12</xdr:row>
      <xdr:rowOff>295275</xdr:rowOff>
    </xdr:to>
    <xdr:sp>
      <xdr:nvSpPr>
        <xdr:cNvPr id="68" name="Oval 70"/>
        <xdr:cNvSpPr>
          <a:spLocks/>
        </xdr:cNvSpPr>
      </xdr:nvSpPr>
      <xdr:spPr>
        <a:xfrm>
          <a:off x="7439025" y="36290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342900</xdr:colOff>
      <xdr:row>13</xdr:row>
      <xdr:rowOff>85725</xdr:rowOff>
    </xdr:from>
    <xdr:to>
      <xdr:col>22</xdr:col>
      <xdr:colOff>171450</xdr:colOff>
      <xdr:row>13</xdr:row>
      <xdr:rowOff>285750</xdr:rowOff>
    </xdr:to>
    <xdr:sp>
      <xdr:nvSpPr>
        <xdr:cNvPr id="69" name="Oval 71"/>
        <xdr:cNvSpPr>
          <a:spLocks/>
        </xdr:cNvSpPr>
      </xdr:nvSpPr>
      <xdr:spPr>
        <a:xfrm>
          <a:off x="7515225" y="39814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304800</xdr:colOff>
      <xdr:row>21</xdr:row>
      <xdr:rowOff>95250</xdr:rowOff>
    </xdr:from>
    <xdr:to>
      <xdr:col>30</xdr:col>
      <xdr:colOff>133350</xdr:colOff>
      <xdr:row>21</xdr:row>
      <xdr:rowOff>295275</xdr:rowOff>
    </xdr:to>
    <xdr:sp>
      <xdr:nvSpPr>
        <xdr:cNvPr id="70" name="Oval 72"/>
        <xdr:cNvSpPr>
          <a:spLocks/>
        </xdr:cNvSpPr>
      </xdr:nvSpPr>
      <xdr:spPr>
        <a:xfrm>
          <a:off x="10496550" y="68865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20</xdr:row>
      <xdr:rowOff>57150</xdr:rowOff>
    </xdr:from>
    <xdr:to>
      <xdr:col>27</xdr:col>
      <xdr:colOff>228600</xdr:colOff>
      <xdr:row>20</xdr:row>
      <xdr:rowOff>257175</xdr:rowOff>
    </xdr:to>
    <xdr:sp>
      <xdr:nvSpPr>
        <xdr:cNvPr id="71" name="Oval 73"/>
        <xdr:cNvSpPr>
          <a:spLocks/>
        </xdr:cNvSpPr>
      </xdr:nvSpPr>
      <xdr:spPr>
        <a:xfrm>
          <a:off x="9467850" y="64865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14</xdr:row>
      <xdr:rowOff>57150</xdr:rowOff>
    </xdr:from>
    <xdr:to>
      <xdr:col>23</xdr:col>
      <xdr:colOff>152400</xdr:colOff>
      <xdr:row>14</xdr:row>
      <xdr:rowOff>257175</xdr:rowOff>
    </xdr:to>
    <xdr:sp>
      <xdr:nvSpPr>
        <xdr:cNvPr id="72" name="Oval 74"/>
        <xdr:cNvSpPr>
          <a:spLocks/>
        </xdr:cNvSpPr>
      </xdr:nvSpPr>
      <xdr:spPr>
        <a:xfrm>
          <a:off x="7867650" y="431482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15</xdr:row>
      <xdr:rowOff>85725</xdr:rowOff>
    </xdr:from>
    <xdr:to>
      <xdr:col>24</xdr:col>
      <xdr:colOff>200025</xdr:colOff>
      <xdr:row>15</xdr:row>
      <xdr:rowOff>285750</xdr:rowOff>
    </xdr:to>
    <xdr:sp>
      <xdr:nvSpPr>
        <xdr:cNvPr id="73" name="Oval 75"/>
        <xdr:cNvSpPr>
          <a:spLocks/>
        </xdr:cNvSpPr>
      </xdr:nvSpPr>
      <xdr:spPr>
        <a:xfrm>
          <a:off x="8296275" y="470535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314325</xdr:colOff>
      <xdr:row>17</xdr:row>
      <xdr:rowOff>66675</xdr:rowOff>
    </xdr:from>
    <xdr:to>
      <xdr:col>26</xdr:col>
      <xdr:colOff>133350</xdr:colOff>
      <xdr:row>17</xdr:row>
      <xdr:rowOff>266700</xdr:rowOff>
    </xdr:to>
    <xdr:sp>
      <xdr:nvSpPr>
        <xdr:cNvPr id="74" name="Oval 76"/>
        <xdr:cNvSpPr>
          <a:spLocks/>
        </xdr:cNvSpPr>
      </xdr:nvSpPr>
      <xdr:spPr>
        <a:xfrm>
          <a:off x="8991600" y="5410200"/>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361950</xdr:colOff>
      <xdr:row>16</xdr:row>
      <xdr:rowOff>76200</xdr:rowOff>
    </xdr:from>
    <xdr:to>
      <xdr:col>25</xdr:col>
      <xdr:colOff>180975</xdr:colOff>
      <xdr:row>16</xdr:row>
      <xdr:rowOff>276225</xdr:rowOff>
    </xdr:to>
    <xdr:sp>
      <xdr:nvSpPr>
        <xdr:cNvPr id="75" name="Oval 77"/>
        <xdr:cNvSpPr>
          <a:spLocks/>
        </xdr:cNvSpPr>
      </xdr:nvSpPr>
      <xdr:spPr>
        <a:xfrm>
          <a:off x="8658225" y="5057775"/>
          <a:ext cx="200025" cy="200025"/>
        </a:xfrm>
        <a:prstGeom prst="ellipse">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19</xdr:row>
      <xdr:rowOff>219075</xdr:rowOff>
    </xdr:from>
    <xdr:to>
      <xdr:col>37</xdr:col>
      <xdr:colOff>333375</xdr:colOff>
      <xdr:row>19</xdr:row>
      <xdr:rowOff>219075</xdr:rowOff>
    </xdr:to>
    <xdr:sp>
      <xdr:nvSpPr>
        <xdr:cNvPr id="76" name="Line 95"/>
        <xdr:cNvSpPr>
          <a:spLocks/>
        </xdr:cNvSpPr>
      </xdr:nvSpPr>
      <xdr:spPr>
        <a:xfrm>
          <a:off x="2009775" y="6286500"/>
          <a:ext cx="11468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20</xdr:row>
      <xdr:rowOff>180975</xdr:rowOff>
    </xdr:from>
    <xdr:to>
      <xdr:col>38</xdr:col>
      <xdr:colOff>9525</xdr:colOff>
      <xdr:row>20</xdr:row>
      <xdr:rowOff>180975</xdr:rowOff>
    </xdr:to>
    <xdr:sp>
      <xdr:nvSpPr>
        <xdr:cNvPr id="77" name="Line 96"/>
        <xdr:cNvSpPr>
          <a:spLocks/>
        </xdr:cNvSpPr>
      </xdr:nvSpPr>
      <xdr:spPr>
        <a:xfrm flipV="1">
          <a:off x="2019300" y="66103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21</xdr:row>
      <xdr:rowOff>209550</xdr:rowOff>
    </xdr:from>
    <xdr:to>
      <xdr:col>38</xdr:col>
      <xdr:colOff>0</xdr:colOff>
      <xdr:row>21</xdr:row>
      <xdr:rowOff>209550</xdr:rowOff>
    </xdr:to>
    <xdr:sp>
      <xdr:nvSpPr>
        <xdr:cNvPr id="78" name="Line 97"/>
        <xdr:cNvSpPr>
          <a:spLocks/>
        </xdr:cNvSpPr>
      </xdr:nvSpPr>
      <xdr:spPr>
        <a:xfrm>
          <a:off x="2009775" y="70008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16</xdr:row>
      <xdr:rowOff>190500</xdr:rowOff>
    </xdr:from>
    <xdr:to>
      <xdr:col>38</xdr:col>
      <xdr:colOff>28575</xdr:colOff>
      <xdr:row>16</xdr:row>
      <xdr:rowOff>190500</xdr:rowOff>
    </xdr:to>
    <xdr:sp>
      <xdr:nvSpPr>
        <xdr:cNvPr id="79" name="Line 98"/>
        <xdr:cNvSpPr>
          <a:spLocks/>
        </xdr:cNvSpPr>
      </xdr:nvSpPr>
      <xdr:spPr>
        <a:xfrm>
          <a:off x="2038350" y="51720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18</xdr:row>
      <xdr:rowOff>180975</xdr:rowOff>
    </xdr:from>
    <xdr:to>
      <xdr:col>38</xdr:col>
      <xdr:colOff>19050</xdr:colOff>
      <xdr:row>18</xdr:row>
      <xdr:rowOff>180975</xdr:rowOff>
    </xdr:to>
    <xdr:sp>
      <xdr:nvSpPr>
        <xdr:cNvPr id="80" name="Line 99"/>
        <xdr:cNvSpPr>
          <a:spLocks/>
        </xdr:cNvSpPr>
      </xdr:nvSpPr>
      <xdr:spPr>
        <a:xfrm>
          <a:off x="2028825" y="58864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200025</xdr:rowOff>
    </xdr:from>
    <xdr:to>
      <xdr:col>38</xdr:col>
      <xdr:colOff>0</xdr:colOff>
      <xdr:row>13</xdr:row>
      <xdr:rowOff>200025</xdr:rowOff>
    </xdr:to>
    <xdr:sp>
      <xdr:nvSpPr>
        <xdr:cNvPr id="81" name="Line 100"/>
        <xdr:cNvSpPr>
          <a:spLocks/>
        </xdr:cNvSpPr>
      </xdr:nvSpPr>
      <xdr:spPr>
        <a:xfrm>
          <a:off x="2009775" y="40957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161925</xdr:rowOff>
    </xdr:from>
    <xdr:to>
      <xdr:col>38</xdr:col>
      <xdr:colOff>0</xdr:colOff>
      <xdr:row>14</xdr:row>
      <xdr:rowOff>161925</xdr:rowOff>
    </xdr:to>
    <xdr:sp>
      <xdr:nvSpPr>
        <xdr:cNvPr id="82" name="Line 101"/>
        <xdr:cNvSpPr>
          <a:spLocks/>
        </xdr:cNvSpPr>
      </xdr:nvSpPr>
      <xdr:spPr>
        <a:xfrm flipV="1">
          <a:off x="2009775" y="44196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15</xdr:row>
      <xdr:rowOff>190500</xdr:rowOff>
    </xdr:from>
    <xdr:to>
      <xdr:col>38</xdr:col>
      <xdr:colOff>66675</xdr:colOff>
      <xdr:row>15</xdr:row>
      <xdr:rowOff>190500</xdr:rowOff>
    </xdr:to>
    <xdr:sp>
      <xdr:nvSpPr>
        <xdr:cNvPr id="83" name="Line 102"/>
        <xdr:cNvSpPr>
          <a:spLocks/>
        </xdr:cNvSpPr>
      </xdr:nvSpPr>
      <xdr:spPr>
        <a:xfrm>
          <a:off x="2076450" y="481012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10</xdr:row>
      <xdr:rowOff>200025</xdr:rowOff>
    </xdr:from>
    <xdr:to>
      <xdr:col>38</xdr:col>
      <xdr:colOff>85725</xdr:colOff>
      <xdr:row>10</xdr:row>
      <xdr:rowOff>200025</xdr:rowOff>
    </xdr:to>
    <xdr:sp>
      <xdr:nvSpPr>
        <xdr:cNvPr id="84" name="Line 103"/>
        <xdr:cNvSpPr>
          <a:spLocks/>
        </xdr:cNvSpPr>
      </xdr:nvSpPr>
      <xdr:spPr>
        <a:xfrm>
          <a:off x="2095500" y="30099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171450</xdr:rowOff>
    </xdr:from>
    <xdr:to>
      <xdr:col>38</xdr:col>
      <xdr:colOff>0</xdr:colOff>
      <xdr:row>11</xdr:row>
      <xdr:rowOff>171450</xdr:rowOff>
    </xdr:to>
    <xdr:sp>
      <xdr:nvSpPr>
        <xdr:cNvPr id="85" name="Line 104"/>
        <xdr:cNvSpPr>
          <a:spLocks/>
        </xdr:cNvSpPr>
      </xdr:nvSpPr>
      <xdr:spPr>
        <a:xfrm flipV="1">
          <a:off x="2009775" y="334327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12</xdr:row>
      <xdr:rowOff>200025</xdr:rowOff>
    </xdr:from>
    <xdr:to>
      <xdr:col>38</xdr:col>
      <xdr:colOff>28575</xdr:colOff>
      <xdr:row>12</xdr:row>
      <xdr:rowOff>200025</xdr:rowOff>
    </xdr:to>
    <xdr:sp>
      <xdr:nvSpPr>
        <xdr:cNvPr id="86" name="Line 105"/>
        <xdr:cNvSpPr>
          <a:spLocks/>
        </xdr:cNvSpPr>
      </xdr:nvSpPr>
      <xdr:spPr>
        <a:xfrm>
          <a:off x="2038350" y="373380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7</xdr:row>
      <xdr:rowOff>228600</xdr:rowOff>
    </xdr:from>
    <xdr:to>
      <xdr:col>37</xdr:col>
      <xdr:colOff>314325</xdr:colOff>
      <xdr:row>7</xdr:row>
      <xdr:rowOff>228600</xdr:rowOff>
    </xdr:to>
    <xdr:sp>
      <xdr:nvSpPr>
        <xdr:cNvPr id="87" name="Line 106"/>
        <xdr:cNvSpPr>
          <a:spLocks/>
        </xdr:cNvSpPr>
      </xdr:nvSpPr>
      <xdr:spPr>
        <a:xfrm>
          <a:off x="2076450" y="1952625"/>
          <a:ext cx="11382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200025</xdr:rowOff>
    </xdr:from>
    <xdr:to>
      <xdr:col>37</xdr:col>
      <xdr:colOff>342900</xdr:colOff>
      <xdr:row>8</xdr:row>
      <xdr:rowOff>200025</xdr:rowOff>
    </xdr:to>
    <xdr:sp>
      <xdr:nvSpPr>
        <xdr:cNvPr id="88" name="Line 107"/>
        <xdr:cNvSpPr>
          <a:spLocks/>
        </xdr:cNvSpPr>
      </xdr:nvSpPr>
      <xdr:spPr>
        <a:xfrm flipV="1">
          <a:off x="2019300" y="2286000"/>
          <a:ext cx="11468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9</xdr:row>
      <xdr:rowOff>200025</xdr:rowOff>
    </xdr:from>
    <xdr:to>
      <xdr:col>38</xdr:col>
      <xdr:colOff>28575</xdr:colOff>
      <xdr:row>9</xdr:row>
      <xdr:rowOff>200025</xdr:rowOff>
    </xdr:to>
    <xdr:sp>
      <xdr:nvSpPr>
        <xdr:cNvPr id="89" name="Line 108"/>
        <xdr:cNvSpPr>
          <a:spLocks/>
        </xdr:cNvSpPr>
      </xdr:nvSpPr>
      <xdr:spPr>
        <a:xfrm>
          <a:off x="2038350" y="2647950"/>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85725</xdr:colOff>
      <xdr:row>30</xdr:row>
      <xdr:rowOff>9525</xdr:rowOff>
    </xdr:from>
    <xdr:to>
      <xdr:col>26</xdr:col>
      <xdr:colOff>180975</xdr:colOff>
      <xdr:row>31</xdr:row>
      <xdr:rowOff>28575</xdr:rowOff>
    </xdr:to>
    <xdr:sp>
      <xdr:nvSpPr>
        <xdr:cNvPr id="90" name="AutoShape 109"/>
        <xdr:cNvSpPr>
          <a:spLocks/>
        </xdr:cNvSpPr>
      </xdr:nvSpPr>
      <xdr:spPr>
        <a:xfrm>
          <a:off x="9144000" y="93059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9525</xdr:colOff>
      <xdr:row>30</xdr:row>
      <xdr:rowOff>104775</xdr:rowOff>
    </xdr:from>
    <xdr:to>
      <xdr:col>26</xdr:col>
      <xdr:colOff>104775</xdr:colOff>
      <xdr:row>31</xdr:row>
      <xdr:rowOff>123825</xdr:rowOff>
    </xdr:to>
    <xdr:sp>
      <xdr:nvSpPr>
        <xdr:cNvPr id="91" name="AutoShape 110"/>
        <xdr:cNvSpPr>
          <a:spLocks/>
        </xdr:cNvSpPr>
      </xdr:nvSpPr>
      <xdr:spPr>
        <a:xfrm>
          <a:off x="9067800" y="94011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26</xdr:col>
      <xdr:colOff>180975</xdr:colOff>
      <xdr:row>29</xdr:row>
      <xdr:rowOff>142875</xdr:rowOff>
    </xdr:from>
    <xdr:to>
      <xdr:col>26</xdr:col>
      <xdr:colOff>276225</xdr:colOff>
      <xdr:row>30</xdr:row>
      <xdr:rowOff>161925</xdr:rowOff>
    </xdr:to>
    <xdr:sp>
      <xdr:nvSpPr>
        <xdr:cNvPr id="92" name="AutoShape 111"/>
        <xdr:cNvSpPr>
          <a:spLocks/>
        </xdr:cNvSpPr>
      </xdr:nvSpPr>
      <xdr:spPr>
        <a:xfrm>
          <a:off x="923925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28</xdr:col>
      <xdr:colOff>123825</xdr:colOff>
      <xdr:row>29</xdr:row>
      <xdr:rowOff>142875</xdr:rowOff>
    </xdr:from>
    <xdr:to>
      <xdr:col>28</xdr:col>
      <xdr:colOff>219075</xdr:colOff>
      <xdr:row>30</xdr:row>
      <xdr:rowOff>161925</xdr:rowOff>
    </xdr:to>
    <xdr:sp>
      <xdr:nvSpPr>
        <xdr:cNvPr id="93" name="AutoShape 112"/>
        <xdr:cNvSpPr>
          <a:spLocks/>
        </xdr:cNvSpPr>
      </xdr:nvSpPr>
      <xdr:spPr>
        <a:xfrm>
          <a:off x="994410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33</xdr:col>
      <xdr:colOff>142875</xdr:colOff>
      <xdr:row>31</xdr:row>
      <xdr:rowOff>104775</xdr:rowOff>
    </xdr:from>
    <xdr:to>
      <xdr:col>33</xdr:col>
      <xdr:colOff>238125</xdr:colOff>
      <xdr:row>32</xdr:row>
      <xdr:rowOff>123825</xdr:rowOff>
    </xdr:to>
    <xdr:sp>
      <xdr:nvSpPr>
        <xdr:cNvPr id="94" name="AutoShape 113"/>
        <xdr:cNvSpPr>
          <a:spLocks/>
        </xdr:cNvSpPr>
      </xdr:nvSpPr>
      <xdr:spPr>
        <a:xfrm>
          <a:off x="11820525" y="95916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30</xdr:col>
      <xdr:colOff>295275</xdr:colOff>
      <xdr:row>29</xdr:row>
      <xdr:rowOff>142875</xdr:rowOff>
    </xdr:from>
    <xdr:to>
      <xdr:col>31</xdr:col>
      <xdr:colOff>19050</xdr:colOff>
      <xdr:row>30</xdr:row>
      <xdr:rowOff>161925</xdr:rowOff>
    </xdr:to>
    <xdr:sp>
      <xdr:nvSpPr>
        <xdr:cNvPr id="95" name="AutoShape 114"/>
        <xdr:cNvSpPr>
          <a:spLocks/>
        </xdr:cNvSpPr>
      </xdr:nvSpPr>
      <xdr:spPr>
        <a:xfrm>
          <a:off x="10858500" y="92487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29</xdr:col>
      <xdr:colOff>219075</xdr:colOff>
      <xdr:row>31</xdr:row>
      <xdr:rowOff>123825</xdr:rowOff>
    </xdr:from>
    <xdr:to>
      <xdr:col>29</xdr:col>
      <xdr:colOff>314325</xdr:colOff>
      <xdr:row>32</xdr:row>
      <xdr:rowOff>142875</xdr:rowOff>
    </xdr:to>
    <xdr:sp>
      <xdr:nvSpPr>
        <xdr:cNvPr id="96" name="AutoShape 115"/>
        <xdr:cNvSpPr>
          <a:spLocks/>
        </xdr:cNvSpPr>
      </xdr:nvSpPr>
      <xdr:spPr>
        <a:xfrm>
          <a:off x="10410825" y="96107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33</xdr:col>
      <xdr:colOff>257175</xdr:colOff>
      <xdr:row>31</xdr:row>
      <xdr:rowOff>66675</xdr:rowOff>
    </xdr:from>
    <xdr:to>
      <xdr:col>33</xdr:col>
      <xdr:colOff>352425</xdr:colOff>
      <xdr:row>32</xdr:row>
      <xdr:rowOff>85725</xdr:rowOff>
    </xdr:to>
    <xdr:sp>
      <xdr:nvSpPr>
        <xdr:cNvPr id="97" name="AutoShape 116"/>
        <xdr:cNvSpPr>
          <a:spLocks/>
        </xdr:cNvSpPr>
      </xdr:nvSpPr>
      <xdr:spPr>
        <a:xfrm>
          <a:off x="11934825" y="955357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7</xdr:col>
      <xdr:colOff>19050</xdr:colOff>
      <xdr:row>17</xdr:row>
      <xdr:rowOff>190500</xdr:rowOff>
    </xdr:from>
    <xdr:to>
      <xdr:col>38</xdr:col>
      <xdr:colOff>19050</xdr:colOff>
      <xdr:row>17</xdr:row>
      <xdr:rowOff>190500</xdr:rowOff>
    </xdr:to>
    <xdr:sp>
      <xdr:nvSpPr>
        <xdr:cNvPr id="98" name="Line 118"/>
        <xdr:cNvSpPr>
          <a:spLocks/>
        </xdr:cNvSpPr>
      </xdr:nvSpPr>
      <xdr:spPr>
        <a:xfrm>
          <a:off x="2028825" y="5534025"/>
          <a:ext cx="114871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190500</xdr:colOff>
      <xdr:row>34</xdr:row>
      <xdr:rowOff>161925</xdr:rowOff>
    </xdr:from>
    <xdr:to>
      <xdr:col>29</xdr:col>
      <xdr:colOff>285750</xdr:colOff>
      <xdr:row>35</xdr:row>
      <xdr:rowOff>180975</xdr:rowOff>
    </xdr:to>
    <xdr:sp>
      <xdr:nvSpPr>
        <xdr:cNvPr id="99" name="AutoShape 121"/>
        <xdr:cNvSpPr>
          <a:spLocks/>
        </xdr:cNvSpPr>
      </xdr:nvSpPr>
      <xdr:spPr>
        <a:xfrm>
          <a:off x="10382250" y="10220325"/>
          <a:ext cx="95250" cy="209550"/>
        </a:xfrm>
        <a:prstGeom prst="rect"/>
        <a:noFill/>
      </xdr:spPr>
      <xdr:txBody>
        <a:bodyPr fromWordArt="1" wrap="none">
          <a:prstTxWarp prst="textPlain"/>
        </a:bodyPr>
        <a:p>
          <a:pPr algn="ctr"/>
          <a:r>
            <a:rPr sz="1200" kern="10" spc="0">
              <a:ln w="6350" cmpd="sng">
                <a:noFill/>
              </a:ln>
              <a:solidFill>
                <a:srgbClr val="FFFF00">
                  <a:alpha val="60000"/>
                </a:srgbClr>
              </a:solidFill>
              <a:latin typeface="Arial Black"/>
              <a:cs typeface="Arial Black"/>
            </a:rPr>
            <a:t>E</a:t>
          </a:r>
        </a:p>
      </xdr:txBody>
    </xdr:sp>
    <xdr:clientData/>
  </xdr:twoCellAnchor>
  <xdr:twoCellAnchor>
    <xdr:from>
      <xdr:col>17</xdr:col>
      <xdr:colOff>28575</xdr:colOff>
      <xdr:row>8</xdr:row>
      <xdr:rowOff>228600</xdr:rowOff>
    </xdr:from>
    <xdr:to>
      <xdr:col>34</xdr:col>
      <xdr:colOff>352425</xdr:colOff>
      <xdr:row>24</xdr:row>
      <xdr:rowOff>180975</xdr:rowOff>
    </xdr:to>
    <xdr:sp>
      <xdr:nvSpPr>
        <xdr:cNvPr id="100" name="Polygon 148"/>
        <xdr:cNvSpPr>
          <a:spLocks/>
        </xdr:cNvSpPr>
      </xdr:nvSpPr>
      <xdr:spPr>
        <a:xfrm>
          <a:off x="5715000" y="2314575"/>
          <a:ext cx="6686550" cy="5743575"/>
        </a:xfrm>
        <a:custGeom>
          <a:pathLst>
            <a:path h="603" w="702">
              <a:moveTo>
                <a:pt x="702" y="603"/>
              </a:moveTo>
              <a:lnTo>
                <a:pt x="151" y="0"/>
              </a:lnTo>
              <a:lnTo>
                <a:pt x="0" y="0"/>
              </a:lnTo>
              <a:lnTo>
                <a:pt x="60" y="30"/>
              </a:lnTo>
              <a:lnTo>
                <a:pt x="110" y="80"/>
              </a:lnTo>
              <a:lnTo>
                <a:pt x="161" y="107"/>
              </a:lnTo>
              <a:lnTo>
                <a:pt x="201" y="152"/>
              </a:lnTo>
              <a:lnTo>
                <a:pt x="209" y="183"/>
              </a:lnTo>
              <a:lnTo>
                <a:pt x="247" y="220"/>
              </a:lnTo>
              <a:lnTo>
                <a:pt x="296" y="263"/>
              </a:lnTo>
              <a:lnTo>
                <a:pt x="326" y="303"/>
              </a:lnTo>
              <a:lnTo>
                <a:pt x="362" y="338"/>
              </a:lnTo>
              <a:lnTo>
                <a:pt x="371" y="372"/>
              </a:lnTo>
              <a:lnTo>
                <a:pt x="398" y="410"/>
              </a:lnTo>
              <a:lnTo>
                <a:pt x="415" y="444"/>
              </a:lnTo>
              <a:lnTo>
                <a:pt x="524" y="486"/>
              </a:lnTo>
              <a:lnTo>
                <a:pt x="564" y="528"/>
              </a:lnTo>
              <a:lnTo>
                <a:pt x="620" y="558"/>
              </a:lnTo>
              <a:lnTo>
                <a:pt x="702" y="603"/>
              </a:lnTo>
              <a:close/>
            </a:path>
          </a:pathLst>
        </a:custGeom>
        <a:solidFill>
          <a:srgbClr val="FFFF00">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352425</xdr:colOff>
      <xdr:row>8</xdr:row>
      <xdr:rowOff>200025</xdr:rowOff>
    </xdr:from>
    <xdr:to>
      <xdr:col>37</xdr:col>
      <xdr:colOff>0</xdr:colOff>
      <xdr:row>24</xdr:row>
      <xdr:rowOff>152400</xdr:rowOff>
    </xdr:to>
    <xdr:sp>
      <xdr:nvSpPr>
        <xdr:cNvPr id="101" name="Polygon 149"/>
        <xdr:cNvSpPr>
          <a:spLocks/>
        </xdr:cNvSpPr>
      </xdr:nvSpPr>
      <xdr:spPr>
        <a:xfrm>
          <a:off x="7153275" y="2286000"/>
          <a:ext cx="5991225" cy="5743575"/>
        </a:xfrm>
        <a:custGeom>
          <a:pathLst>
            <a:path h="603" w="629">
              <a:moveTo>
                <a:pt x="2" y="4"/>
              </a:moveTo>
              <a:lnTo>
                <a:pt x="551" y="603"/>
              </a:lnTo>
              <a:lnTo>
                <a:pt x="629" y="603"/>
              </a:lnTo>
              <a:lnTo>
                <a:pt x="80" y="2"/>
              </a:lnTo>
              <a:lnTo>
                <a:pt x="0" y="0"/>
              </a:lnTo>
            </a:path>
          </a:pathLst>
        </a:custGeom>
        <a:solidFill>
          <a:srgbClr val="00FFFF">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8</xdr:row>
      <xdr:rowOff>219075</xdr:rowOff>
    </xdr:from>
    <xdr:to>
      <xdr:col>39</xdr:col>
      <xdr:colOff>85725</xdr:colOff>
      <xdr:row>24</xdr:row>
      <xdr:rowOff>180975</xdr:rowOff>
    </xdr:to>
    <xdr:sp>
      <xdr:nvSpPr>
        <xdr:cNvPr id="102" name="Polygon 150"/>
        <xdr:cNvSpPr>
          <a:spLocks/>
        </xdr:cNvSpPr>
      </xdr:nvSpPr>
      <xdr:spPr>
        <a:xfrm>
          <a:off x="7915275" y="2305050"/>
          <a:ext cx="6019800" cy="5753100"/>
        </a:xfrm>
        <a:custGeom>
          <a:pathLst>
            <a:path h="604" w="632">
              <a:moveTo>
                <a:pt x="0" y="0"/>
              </a:moveTo>
              <a:cubicBezTo>
                <a:pt x="1" y="0"/>
                <a:pt x="2" y="0"/>
                <a:pt x="3" y="0"/>
              </a:cubicBezTo>
              <a:lnTo>
                <a:pt x="550" y="604"/>
              </a:lnTo>
              <a:lnTo>
                <a:pt x="632" y="602"/>
              </a:lnTo>
              <a:lnTo>
                <a:pt x="81" y="1"/>
              </a:lnTo>
              <a:lnTo>
                <a:pt x="3" y="0"/>
              </a:lnTo>
            </a:path>
          </a:pathLst>
        </a:custGeom>
        <a:solidFill>
          <a:srgbClr val="FF00FF">
            <a:alpha val="52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333375</xdr:colOff>
      <xdr:row>13</xdr:row>
      <xdr:rowOff>333375</xdr:rowOff>
    </xdr:from>
    <xdr:to>
      <xdr:col>40</xdr:col>
      <xdr:colOff>142875</xdr:colOff>
      <xdr:row>24</xdr:row>
      <xdr:rowOff>342900</xdr:rowOff>
    </xdr:to>
    <xdr:sp>
      <xdr:nvSpPr>
        <xdr:cNvPr id="103" name="Rectangle 151"/>
        <xdr:cNvSpPr>
          <a:spLocks/>
        </xdr:cNvSpPr>
      </xdr:nvSpPr>
      <xdr:spPr>
        <a:xfrm>
          <a:off x="13477875" y="4229100"/>
          <a:ext cx="1076325" cy="399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209550</xdr:colOff>
      <xdr:row>8</xdr:row>
      <xdr:rowOff>47625</xdr:rowOff>
    </xdr:from>
    <xdr:to>
      <xdr:col>15</xdr:col>
      <xdr:colOff>114300</xdr:colOff>
      <xdr:row>8</xdr:row>
      <xdr:rowOff>323850</xdr:rowOff>
    </xdr:to>
    <xdr:sp>
      <xdr:nvSpPr>
        <xdr:cNvPr id="104" name="AutoShape 78"/>
        <xdr:cNvSpPr>
          <a:spLocks/>
        </xdr:cNvSpPr>
      </xdr:nvSpPr>
      <xdr:spPr>
        <a:xfrm>
          <a:off x="4781550" y="21336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9</xdr:row>
      <xdr:rowOff>47625</xdr:rowOff>
    </xdr:from>
    <xdr:to>
      <xdr:col>16</xdr:col>
      <xdr:colOff>304800</xdr:colOff>
      <xdr:row>9</xdr:row>
      <xdr:rowOff>323850</xdr:rowOff>
    </xdr:to>
    <xdr:sp>
      <xdr:nvSpPr>
        <xdr:cNvPr id="105" name="AutoShape 79"/>
        <xdr:cNvSpPr>
          <a:spLocks/>
        </xdr:cNvSpPr>
      </xdr:nvSpPr>
      <xdr:spPr>
        <a:xfrm>
          <a:off x="5343525" y="24955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10</xdr:row>
      <xdr:rowOff>47625</xdr:rowOff>
    </xdr:from>
    <xdr:to>
      <xdr:col>18</xdr:col>
      <xdr:colOff>38100</xdr:colOff>
      <xdr:row>10</xdr:row>
      <xdr:rowOff>323850</xdr:rowOff>
    </xdr:to>
    <xdr:sp>
      <xdr:nvSpPr>
        <xdr:cNvPr id="106" name="AutoShape 80"/>
        <xdr:cNvSpPr>
          <a:spLocks/>
        </xdr:cNvSpPr>
      </xdr:nvSpPr>
      <xdr:spPr>
        <a:xfrm>
          <a:off x="5819775" y="28575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11</xdr:row>
      <xdr:rowOff>28575</xdr:rowOff>
    </xdr:from>
    <xdr:to>
      <xdr:col>18</xdr:col>
      <xdr:colOff>314325</xdr:colOff>
      <xdr:row>11</xdr:row>
      <xdr:rowOff>304800</xdr:rowOff>
    </xdr:to>
    <xdr:sp>
      <xdr:nvSpPr>
        <xdr:cNvPr id="107" name="AutoShape 81"/>
        <xdr:cNvSpPr>
          <a:spLocks/>
        </xdr:cNvSpPr>
      </xdr:nvSpPr>
      <xdr:spPr>
        <a:xfrm>
          <a:off x="6096000" y="32004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200025</xdr:colOff>
      <xdr:row>12</xdr:row>
      <xdr:rowOff>38100</xdr:rowOff>
    </xdr:from>
    <xdr:to>
      <xdr:col>19</xdr:col>
      <xdr:colOff>104775</xdr:colOff>
      <xdr:row>12</xdr:row>
      <xdr:rowOff>314325</xdr:rowOff>
    </xdr:to>
    <xdr:sp>
      <xdr:nvSpPr>
        <xdr:cNvPr id="108" name="AutoShape 82"/>
        <xdr:cNvSpPr>
          <a:spLocks/>
        </xdr:cNvSpPr>
      </xdr:nvSpPr>
      <xdr:spPr>
        <a:xfrm>
          <a:off x="6257925" y="357187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13</xdr:row>
      <xdr:rowOff>66675</xdr:rowOff>
    </xdr:from>
    <xdr:to>
      <xdr:col>20</xdr:col>
      <xdr:colOff>247650</xdr:colOff>
      <xdr:row>13</xdr:row>
      <xdr:rowOff>342900</xdr:rowOff>
    </xdr:to>
    <xdr:sp>
      <xdr:nvSpPr>
        <xdr:cNvPr id="109" name="AutoShape 83"/>
        <xdr:cNvSpPr>
          <a:spLocks/>
        </xdr:cNvSpPr>
      </xdr:nvSpPr>
      <xdr:spPr>
        <a:xfrm>
          <a:off x="6772275" y="39624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333375</xdr:colOff>
      <xdr:row>14</xdr:row>
      <xdr:rowOff>19050</xdr:rowOff>
    </xdr:from>
    <xdr:to>
      <xdr:col>21</xdr:col>
      <xdr:colOff>238125</xdr:colOff>
      <xdr:row>14</xdr:row>
      <xdr:rowOff>295275</xdr:rowOff>
    </xdr:to>
    <xdr:sp>
      <xdr:nvSpPr>
        <xdr:cNvPr id="110" name="AutoShape 84"/>
        <xdr:cNvSpPr>
          <a:spLocks/>
        </xdr:cNvSpPr>
      </xdr:nvSpPr>
      <xdr:spPr>
        <a:xfrm>
          <a:off x="7134225" y="42767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180975</xdr:colOff>
      <xdr:row>15</xdr:row>
      <xdr:rowOff>38100</xdr:rowOff>
    </xdr:from>
    <xdr:to>
      <xdr:col>22</xdr:col>
      <xdr:colOff>85725</xdr:colOff>
      <xdr:row>15</xdr:row>
      <xdr:rowOff>314325</xdr:rowOff>
    </xdr:to>
    <xdr:sp>
      <xdr:nvSpPr>
        <xdr:cNvPr id="111" name="AutoShape 85"/>
        <xdr:cNvSpPr>
          <a:spLocks/>
        </xdr:cNvSpPr>
      </xdr:nvSpPr>
      <xdr:spPr>
        <a:xfrm>
          <a:off x="7353300" y="46577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16</xdr:row>
      <xdr:rowOff>47625</xdr:rowOff>
    </xdr:from>
    <xdr:to>
      <xdr:col>23</xdr:col>
      <xdr:colOff>47625</xdr:colOff>
      <xdr:row>16</xdr:row>
      <xdr:rowOff>323850</xdr:rowOff>
    </xdr:to>
    <xdr:sp>
      <xdr:nvSpPr>
        <xdr:cNvPr id="112" name="AutoShape 86"/>
        <xdr:cNvSpPr>
          <a:spLocks/>
        </xdr:cNvSpPr>
      </xdr:nvSpPr>
      <xdr:spPr>
        <a:xfrm>
          <a:off x="7686675" y="50292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17</xdr:row>
      <xdr:rowOff>38100</xdr:rowOff>
    </xdr:from>
    <xdr:to>
      <xdr:col>24</xdr:col>
      <xdr:colOff>47625</xdr:colOff>
      <xdr:row>17</xdr:row>
      <xdr:rowOff>314325</xdr:rowOff>
    </xdr:to>
    <xdr:sp>
      <xdr:nvSpPr>
        <xdr:cNvPr id="113" name="AutoShape 87"/>
        <xdr:cNvSpPr>
          <a:spLocks/>
        </xdr:cNvSpPr>
      </xdr:nvSpPr>
      <xdr:spPr>
        <a:xfrm>
          <a:off x="8067675" y="53816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85725</xdr:colOff>
      <xdr:row>18</xdr:row>
      <xdr:rowOff>19050</xdr:rowOff>
    </xdr:from>
    <xdr:to>
      <xdr:col>24</xdr:col>
      <xdr:colOff>361950</xdr:colOff>
      <xdr:row>18</xdr:row>
      <xdr:rowOff>295275</xdr:rowOff>
    </xdr:to>
    <xdr:sp>
      <xdr:nvSpPr>
        <xdr:cNvPr id="114" name="AutoShape 88"/>
        <xdr:cNvSpPr>
          <a:spLocks/>
        </xdr:cNvSpPr>
      </xdr:nvSpPr>
      <xdr:spPr>
        <a:xfrm>
          <a:off x="8382000" y="57245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266700</xdr:colOff>
      <xdr:row>19</xdr:row>
      <xdr:rowOff>66675</xdr:rowOff>
    </xdr:from>
    <xdr:to>
      <xdr:col>25</xdr:col>
      <xdr:colOff>161925</xdr:colOff>
      <xdr:row>19</xdr:row>
      <xdr:rowOff>342900</xdr:rowOff>
    </xdr:to>
    <xdr:sp>
      <xdr:nvSpPr>
        <xdr:cNvPr id="115" name="AutoShape 89"/>
        <xdr:cNvSpPr>
          <a:spLocks/>
        </xdr:cNvSpPr>
      </xdr:nvSpPr>
      <xdr:spPr>
        <a:xfrm>
          <a:off x="8562975" y="61341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352425</xdr:colOff>
      <xdr:row>20</xdr:row>
      <xdr:rowOff>9525</xdr:rowOff>
    </xdr:from>
    <xdr:to>
      <xdr:col>26</xdr:col>
      <xdr:colOff>247650</xdr:colOff>
      <xdr:row>20</xdr:row>
      <xdr:rowOff>285750</xdr:rowOff>
    </xdr:to>
    <xdr:sp>
      <xdr:nvSpPr>
        <xdr:cNvPr id="116" name="AutoShape 90"/>
        <xdr:cNvSpPr>
          <a:spLocks/>
        </xdr:cNvSpPr>
      </xdr:nvSpPr>
      <xdr:spPr>
        <a:xfrm>
          <a:off x="9029700" y="643890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161925</xdr:colOff>
      <xdr:row>21</xdr:row>
      <xdr:rowOff>47625</xdr:rowOff>
    </xdr:from>
    <xdr:to>
      <xdr:col>27</xdr:col>
      <xdr:colOff>57150</xdr:colOff>
      <xdr:row>21</xdr:row>
      <xdr:rowOff>323850</xdr:rowOff>
    </xdr:to>
    <xdr:sp>
      <xdr:nvSpPr>
        <xdr:cNvPr id="117" name="AutoShape 91"/>
        <xdr:cNvSpPr>
          <a:spLocks/>
        </xdr:cNvSpPr>
      </xdr:nvSpPr>
      <xdr:spPr>
        <a:xfrm>
          <a:off x="9220200" y="68389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295275</xdr:colOff>
      <xdr:row>22</xdr:row>
      <xdr:rowOff>57150</xdr:rowOff>
    </xdr:from>
    <xdr:to>
      <xdr:col>28</xdr:col>
      <xdr:colOff>190500</xdr:colOff>
      <xdr:row>22</xdr:row>
      <xdr:rowOff>333375</xdr:rowOff>
    </xdr:to>
    <xdr:sp>
      <xdr:nvSpPr>
        <xdr:cNvPr id="118" name="AutoShape 92"/>
        <xdr:cNvSpPr>
          <a:spLocks/>
        </xdr:cNvSpPr>
      </xdr:nvSpPr>
      <xdr:spPr>
        <a:xfrm>
          <a:off x="9734550" y="72104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104775</xdr:colOff>
      <xdr:row>24</xdr:row>
      <xdr:rowOff>19050</xdr:rowOff>
    </xdr:from>
    <xdr:to>
      <xdr:col>30</xdr:col>
      <xdr:colOff>9525</xdr:colOff>
      <xdr:row>24</xdr:row>
      <xdr:rowOff>295275</xdr:rowOff>
    </xdr:to>
    <xdr:sp>
      <xdr:nvSpPr>
        <xdr:cNvPr id="119" name="AutoShape 93"/>
        <xdr:cNvSpPr>
          <a:spLocks/>
        </xdr:cNvSpPr>
      </xdr:nvSpPr>
      <xdr:spPr>
        <a:xfrm>
          <a:off x="10296525" y="7896225"/>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23</xdr:row>
      <xdr:rowOff>9525</xdr:rowOff>
    </xdr:from>
    <xdr:to>
      <xdr:col>29</xdr:col>
      <xdr:colOff>9525</xdr:colOff>
      <xdr:row>23</xdr:row>
      <xdr:rowOff>285750</xdr:rowOff>
    </xdr:to>
    <xdr:sp>
      <xdr:nvSpPr>
        <xdr:cNvPr id="120" name="AutoShape 94"/>
        <xdr:cNvSpPr>
          <a:spLocks/>
        </xdr:cNvSpPr>
      </xdr:nvSpPr>
      <xdr:spPr>
        <a:xfrm>
          <a:off x="9925050" y="7524750"/>
          <a:ext cx="276225" cy="276225"/>
        </a:xfrm>
        <a:prstGeom prst="star5">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7</xdr:row>
      <xdr:rowOff>257175</xdr:rowOff>
    </xdr:from>
    <xdr:to>
      <xdr:col>29</xdr:col>
      <xdr:colOff>238125</xdr:colOff>
      <xdr:row>24</xdr:row>
      <xdr:rowOff>219075</xdr:rowOff>
    </xdr:to>
    <xdr:grpSp>
      <xdr:nvGrpSpPr>
        <xdr:cNvPr id="121" name="Group 235"/>
        <xdr:cNvGrpSpPr>
          <a:grpSpLocks/>
        </xdr:cNvGrpSpPr>
      </xdr:nvGrpSpPr>
      <xdr:grpSpPr>
        <a:xfrm>
          <a:off x="1762125" y="1981200"/>
          <a:ext cx="8667750" cy="6115050"/>
          <a:chOff x="204" y="205"/>
          <a:chExt cx="910" cy="642"/>
        </a:xfrm>
        <a:solidFill>
          <a:srgbClr val="FFFFFF"/>
        </a:solidFill>
      </xdr:grpSpPr>
      <xdr:grpSp>
        <xdr:nvGrpSpPr>
          <xdr:cNvPr id="122" name="Group 234"/>
          <xdr:cNvGrpSpPr>
            <a:grpSpLocks/>
          </xdr:cNvGrpSpPr>
        </xdr:nvGrpSpPr>
        <xdr:grpSpPr>
          <a:xfrm>
            <a:off x="450" y="279"/>
            <a:ext cx="664" cy="568"/>
            <a:chOff x="450" y="279"/>
            <a:chExt cx="664" cy="568"/>
          </a:xfrm>
          <a:solidFill>
            <a:srgbClr val="FFFFFF"/>
          </a:solidFill>
        </xdr:grpSpPr>
        <xdr:sp>
          <xdr:nvSpPr>
            <xdr:cNvPr id="123" name="Line 154"/>
            <xdr:cNvSpPr>
              <a:spLocks/>
            </xdr:cNvSpPr>
          </xdr:nvSpPr>
          <xdr:spPr>
            <a:xfrm>
              <a:off x="670" y="505"/>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56"/>
            <xdr:cNvSpPr>
              <a:spLocks/>
            </xdr:cNvSpPr>
          </xdr:nvSpPr>
          <xdr:spPr>
            <a:xfrm>
              <a:off x="748" y="581"/>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58"/>
            <xdr:cNvSpPr>
              <a:spLocks/>
            </xdr:cNvSpPr>
          </xdr:nvSpPr>
          <xdr:spPr>
            <a:xfrm>
              <a:off x="450" y="279"/>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61"/>
            <xdr:cNvSpPr>
              <a:spLocks/>
            </xdr:cNvSpPr>
          </xdr:nvSpPr>
          <xdr:spPr>
            <a:xfrm>
              <a:off x="782" y="618"/>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62"/>
            <xdr:cNvSpPr>
              <a:spLocks/>
            </xdr:cNvSpPr>
          </xdr:nvSpPr>
          <xdr:spPr>
            <a:xfrm>
              <a:off x="800" y="659"/>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63"/>
            <xdr:cNvSpPr>
              <a:spLocks/>
            </xdr:cNvSpPr>
          </xdr:nvSpPr>
          <xdr:spPr>
            <a:xfrm>
              <a:off x="867" y="735"/>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64"/>
            <xdr:cNvSpPr>
              <a:spLocks/>
            </xdr:cNvSpPr>
          </xdr:nvSpPr>
          <xdr:spPr>
            <a:xfrm>
              <a:off x="923" y="772"/>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65"/>
            <xdr:cNvSpPr>
              <a:spLocks/>
            </xdr:cNvSpPr>
          </xdr:nvSpPr>
          <xdr:spPr>
            <a:xfrm>
              <a:off x="943" y="806"/>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66"/>
            <xdr:cNvSpPr>
              <a:spLocks/>
            </xdr:cNvSpPr>
          </xdr:nvSpPr>
          <xdr:spPr>
            <a:xfrm>
              <a:off x="982" y="847"/>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67"/>
            <xdr:cNvSpPr>
              <a:spLocks/>
            </xdr:cNvSpPr>
          </xdr:nvSpPr>
          <xdr:spPr>
            <a:xfrm>
              <a:off x="549" y="393"/>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68"/>
            <xdr:cNvSpPr>
              <a:spLocks/>
            </xdr:cNvSpPr>
          </xdr:nvSpPr>
          <xdr:spPr>
            <a:xfrm>
              <a:off x="529" y="351"/>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69"/>
            <xdr:cNvSpPr>
              <a:spLocks/>
            </xdr:cNvSpPr>
          </xdr:nvSpPr>
          <xdr:spPr>
            <a:xfrm>
              <a:off x="695" y="544"/>
              <a:ext cx="14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70"/>
            <xdr:cNvSpPr>
              <a:spLocks/>
            </xdr:cNvSpPr>
          </xdr:nvSpPr>
          <xdr:spPr>
            <a:xfrm>
              <a:off x="838" y="695"/>
              <a:ext cx="14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71"/>
            <xdr:cNvSpPr>
              <a:spLocks/>
            </xdr:cNvSpPr>
          </xdr:nvSpPr>
          <xdr:spPr>
            <a:xfrm>
              <a:off x="506" y="316"/>
              <a:ext cx="134"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55"/>
            <xdr:cNvSpPr>
              <a:spLocks/>
            </xdr:cNvSpPr>
          </xdr:nvSpPr>
          <xdr:spPr>
            <a:xfrm>
              <a:off x="599" y="431"/>
              <a:ext cx="141"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57"/>
            <xdr:cNvSpPr>
              <a:spLocks/>
            </xdr:cNvSpPr>
          </xdr:nvSpPr>
          <xdr:spPr>
            <a:xfrm>
              <a:off x="651" y="464"/>
              <a:ext cx="132"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39" name="Group 233"/>
          <xdr:cNvGrpSpPr>
            <a:grpSpLocks/>
          </xdr:cNvGrpSpPr>
        </xdr:nvGrpSpPr>
        <xdr:grpSpPr>
          <a:xfrm>
            <a:off x="204" y="205"/>
            <a:ext cx="727" cy="640"/>
            <a:chOff x="204" y="205"/>
            <a:chExt cx="727" cy="640"/>
          </a:xfrm>
          <a:solidFill>
            <a:srgbClr val="FFFFFF"/>
          </a:solidFill>
        </xdr:grpSpPr>
        <xdr:grpSp>
          <xdr:nvGrpSpPr>
            <xdr:cNvPr id="140" name="Group 217"/>
            <xdr:cNvGrpSpPr>
              <a:grpSpLocks/>
            </xdr:cNvGrpSpPr>
          </xdr:nvGrpSpPr>
          <xdr:grpSpPr>
            <a:xfrm>
              <a:off x="204" y="205"/>
              <a:ext cx="589" cy="640"/>
              <a:chOff x="204" y="205"/>
              <a:chExt cx="589" cy="640"/>
            </a:xfrm>
            <a:solidFill>
              <a:srgbClr val="FFFFFF"/>
            </a:solidFill>
          </xdr:grpSpPr>
          <xdr:sp>
            <xdr:nvSpPr>
              <xdr:cNvPr id="141" name="Line 152"/>
              <xdr:cNvSpPr>
                <a:spLocks/>
              </xdr:cNvSpPr>
            </xdr:nvSpPr>
            <xdr:spPr>
              <a:xfrm>
                <a:off x="273" y="277"/>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53"/>
              <xdr:cNvSpPr>
                <a:spLocks/>
              </xdr:cNvSpPr>
            </xdr:nvSpPr>
            <xdr:spPr>
              <a:xfrm>
                <a:off x="204" y="241"/>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72"/>
              <xdr:cNvSpPr>
                <a:spLocks/>
              </xdr:cNvSpPr>
            </xdr:nvSpPr>
            <xdr:spPr>
              <a:xfrm>
                <a:off x="337" y="241"/>
                <a:ext cx="193"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73"/>
              <xdr:cNvSpPr>
                <a:spLocks/>
              </xdr:cNvSpPr>
            </xdr:nvSpPr>
            <xdr:spPr>
              <a:xfrm>
                <a:off x="220" y="205"/>
                <a:ext cx="236"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75"/>
              <xdr:cNvSpPr>
                <a:spLocks/>
              </xdr:cNvSpPr>
            </xdr:nvSpPr>
            <xdr:spPr>
              <a:xfrm>
                <a:off x="314" y="278"/>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84"/>
              <xdr:cNvSpPr>
                <a:spLocks/>
              </xdr:cNvSpPr>
            </xdr:nvSpPr>
            <xdr:spPr>
              <a:xfrm>
                <a:off x="251" y="430"/>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85"/>
              <xdr:cNvSpPr>
                <a:spLocks/>
              </xdr:cNvSpPr>
            </xdr:nvSpPr>
            <xdr:spPr>
              <a:xfrm>
                <a:off x="323" y="31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87"/>
              <xdr:cNvSpPr>
                <a:spLocks/>
              </xdr:cNvSpPr>
            </xdr:nvSpPr>
            <xdr:spPr>
              <a:xfrm>
                <a:off x="376" y="39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88"/>
              <xdr:cNvSpPr>
                <a:spLocks/>
              </xdr:cNvSpPr>
            </xdr:nvSpPr>
            <xdr:spPr>
              <a:xfrm>
                <a:off x="409" y="46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89"/>
              <xdr:cNvSpPr>
                <a:spLocks/>
              </xdr:cNvSpPr>
            </xdr:nvSpPr>
            <xdr:spPr>
              <a:xfrm>
                <a:off x="436" y="50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91"/>
              <xdr:cNvSpPr>
                <a:spLocks/>
              </xdr:cNvSpPr>
            </xdr:nvSpPr>
            <xdr:spPr>
              <a:xfrm>
                <a:off x="473" y="543"/>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92"/>
              <xdr:cNvSpPr>
                <a:spLocks/>
              </xdr:cNvSpPr>
            </xdr:nvSpPr>
            <xdr:spPr>
              <a:xfrm>
                <a:off x="506" y="582"/>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93"/>
              <xdr:cNvSpPr>
                <a:spLocks/>
              </xdr:cNvSpPr>
            </xdr:nvSpPr>
            <xdr:spPr>
              <a:xfrm>
                <a:off x="540" y="620"/>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Line 194"/>
              <xdr:cNvSpPr>
                <a:spLocks/>
              </xdr:cNvSpPr>
            </xdr:nvSpPr>
            <xdr:spPr>
              <a:xfrm>
                <a:off x="581" y="66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Line 195"/>
              <xdr:cNvSpPr>
                <a:spLocks/>
              </xdr:cNvSpPr>
            </xdr:nvSpPr>
            <xdr:spPr>
              <a:xfrm>
                <a:off x="613" y="694"/>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6" name="Line 196"/>
              <xdr:cNvSpPr>
                <a:spLocks/>
              </xdr:cNvSpPr>
            </xdr:nvSpPr>
            <xdr:spPr>
              <a:xfrm>
                <a:off x="685" y="77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Line 197"/>
              <xdr:cNvSpPr>
                <a:spLocks/>
              </xdr:cNvSpPr>
            </xdr:nvSpPr>
            <xdr:spPr>
              <a:xfrm>
                <a:off x="648" y="733"/>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Line 198"/>
              <xdr:cNvSpPr>
                <a:spLocks/>
              </xdr:cNvSpPr>
            </xdr:nvSpPr>
            <xdr:spPr>
              <a:xfrm>
                <a:off x="715" y="80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Line 199"/>
              <xdr:cNvSpPr>
                <a:spLocks/>
              </xdr:cNvSpPr>
            </xdr:nvSpPr>
            <xdr:spPr>
              <a:xfrm>
                <a:off x="753" y="845"/>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Line 207"/>
              <xdr:cNvSpPr>
                <a:spLocks/>
              </xdr:cNvSpPr>
            </xdr:nvSpPr>
            <xdr:spPr>
              <a:xfrm>
                <a:off x="345" y="351"/>
                <a:ext cx="4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61" name="Line 218"/>
            <xdr:cNvSpPr>
              <a:spLocks/>
            </xdr:cNvSpPr>
          </xdr:nvSpPr>
          <xdr:spPr>
            <a:xfrm>
              <a:off x="290" y="431"/>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Line 219"/>
            <xdr:cNvSpPr>
              <a:spLocks/>
            </xdr:cNvSpPr>
          </xdr:nvSpPr>
          <xdr:spPr>
            <a:xfrm>
              <a:off x="364" y="315"/>
              <a:ext cx="14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Line 220"/>
            <xdr:cNvSpPr>
              <a:spLocks/>
            </xdr:cNvSpPr>
          </xdr:nvSpPr>
          <xdr:spPr>
            <a:xfrm>
              <a:off x="507" y="506"/>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221"/>
            <xdr:cNvSpPr>
              <a:spLocks/>
            </xdr:cNvSpPr>
          </xdr:nvSpPr>
          <xdr:spPr>
            <a:xfrm>
              <a:off x="465" y="46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222"/>
            <xdr:cNvSpPr>
              <a:spLocks/>
            </xdr:cNvSpPr>
          </xdr:nvSpPr>
          <xdr:spPr>
            <a:xfrm>
              <a:off x="524" y="543"/>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223"/>
            <xdr:cNvSpPr>
              <a:spLocks/>
            </xdr:cNvSpPr>
          </xdr:nvSpPr>
          <xdr:spPr>
            <a:xfrm>
              <a:off x="599" y="618"/>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224"/>
            <xdr:cNvSpPr>
              <a:spLocks/>
            </xdr:cNvSpPr>
          </xdr:nvSpPr>
          <xdr:spPr>
            <a:xfrm>
              <a:off x="553" y="582"/>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225"/>
            <xdr:cNvSpPr>
              <a:spLocks/>
            </xdr:cNvSpPr>
          </xdr:nvSpPr>
          <xdr:spPr>
            <a:xfrm>
              <a:off x="417" y="393"/>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226"/>
            <xdr:cNvSpPr>
              <a:spLocks/>
            </xdr:cNvSpPr>
          </xdr:nvSpPr>
          <xdr:spPr>
            <a:xfrm>
              <a:off x="798" y="845"/>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227"/>
            <xdr:cNvSpPr>
              <a:spLocks/>
            </xdr:cNvSpPr>
          </xdr:nvSpPr>
          <xdr:spPr>
            <a:xfrm>
              <a:off x="641" y="660"/>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Line 228"/>
            <xdr:cNvSpPr>
              <a:spLocks/>
            </xdr:cNvSpPr>
          </xdr:nvSpPr>
          <xdr:spPr>
            <a:xfrm>
              <a:off x="656" y="69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Line 229"/>
            <xdr:cNvSpPr>
              <a:spLocks/>
            </xdr:cNvSpPr>
          </xdr:nvSpPr>
          <xdr:spPr>
            <a:xfrm>
              <a:off x="691" y="734"/>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Line 230"/>
            <xdr:cNvSpPr>
              <a:spLocks/>
            </xdr:cNvSpPr>
          </xdr:nvSpPr>
          <xdr:spPr>
            <a:xfrm>
              <a:off x="733" y="770"/>
              <a:ext cx="133"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Line 231"/>
            <xdr:cNvSpPr>
              <a:spLocks/>
            </xdr:cNvSpPr>
          </xdr:nvSpPr>
          <xdr:spPr>
            <a:xfrm>
              <a:off x="774" y="802"/>
              <a:ext cx="134"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Line 232"/>
            <xdr:cNvSpPr>
              <a:spLocks/>
            </xdr:cNvSpPr>
          </xdr:nvSpPr>
          <xdr:spPr>
            <a:xfrm>
              <a:off x="387" y="351"/>
              <a:ext cx="138" cy="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28575</xdr:colOff>
      <xdr:row>77</xdr:row>
      <xdr:rowOff>38100</xdr:rowOff>
    </xdr:from>
    <xdr:to>
      <xdr:col>93</xdr:col>
      <xdr:colOff>47625</xdr:colOff>
      <xdr:row>79</xdr:row>
      <xdr:rowOff>9525</xdr:rowOff>
    </xdr:to>
    <xdr:sp>
      <xdr:nvSpPr>
        <xdr:cNvPr id="1" name="AutoShape 1"/>
        <xdr:cNvSpPr>
          <a:spLocks/>
        </xdr:cNvSpPr>
      </xdr:nvSpPr>
      <xdr:spPr>
        <a:xfrm flipV="1">
          <a:off x="14782800" y="8972550"/>
          <a:ext cx="171450"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21</xdr:row>
      <xdr:rowOff>133350</xdr:rowOff>
    </xdr:from>
    <xdr:to>
      <xdr:col>32</xdr:col>
      <xdr:colOff>19050</xdr:colOff>
      <xdr:row>24</xdr:row>
      <xdr:rowOff>9525</xdr:rowOff>
    </xdr:to>
    <xdr:sp>
      <xdr:nvSpPr>
        <xdr:cNvPr id="2" name="AutoShape 2"/>
        <xdr:cNvSpPr>
          <a:spLocks/>
        </xdr:cNvSpPr>
      </xdr:nvSpPr>
      <xdr:spPr>
        <a:xfrm flipV="1">
          <a:off x="5610225" y="2695575"/>
          <a:ext cx="180975" cy="2000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42</xdr:row>
      <xdr:rowOff>0</xdr:rowOff>
    </xdr:from>
    <xdr:to>
      <xdr:col>32</xdr:col>
      <xdr:colOff>28575</xdr:colOff>
      <xdr:row>44</xdr:row>
      <xdr:rowOff>19050</xdr:rowOff>
    </xdr:to>
    <xdr:sp>
      <xdr:nvSpPr>
        <xdr:cNvPr id="3" name="AutoShape 3"/>
        <xdr:cNvSpPr>
          <a:spLocks/>
        </xdr:cNvSpPr>
      </xdr:nvSpPr>
      <xdr:spPr>
        <a:xfrm flipV="1">
          <a:off x="5619750" y="4886325"/>
          <a:ext cx="180975" cy="20955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9525</xdr:rowOff>
    </xdr:from>
    <xdr:to>
      <xdr:col>5</xdr:col>
      <xdr:colOff>19050</xdr:colOff>
      <xdr:row>12</xdr:row>
      <xdr:rowOff>47625</xdr:rowOff>
    </xdr:to>
    <xdr:sp>
      <xdr:nvSpPr>
        <xdr:cNvPr id="4" name="AutoShape 4"/>
        <xdr:cNvSpPr>
          <a:spLocks/>
        </xdr:cNvSpPr>
      </xdr:nvSpPr>
      <xdr:spPr>
        <a:xfrm flipV="1">
          <a:off x="1209675" y="112395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152400</xdr:colOff>
      <xdr:row>10</xdr:row>
      <xdr:rowOff>133350</xdr:rowOff>
    </xdr:from>
    <xdr:to>
      <xdr:col>25</xdr:col>
      <xdr:colOff>9525</xdr:colOff>
      <xdr:row>12</xdr:row>
      <xdr:rowOff>28575</xdr:rowOff>
    </xdr:to>
    <xdr:sp>
      <xdr:nvSpPr>
        <xdr:cNvPr id="5" name="AutoShape 5"/>
        <xdr:cNvSpPr>
          <a:spLocks/>
        </xdr:cNvSpPr>
      </xdr:nvSpPr>
      <xdr:spPr>
        <a:xfrm flipV="1">
          <a:off x="4467225" y="1076325"/>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sz="4800" b="0" i="0" u="none" baseline="0">
              <a:latin typeface="Arial"/>
              <a:ea typeface="Arial"/>
              <a:cs typeface="Arial"/>
            </a:rPr>
            <a:t>1</a:t>
          </a:r>
        </a:p>
      </xdr:txBody>
    </xdr:sp>
    <xdr:clientData/>
  </xdr:twoCellAnchor>
  <xdr:twoCellAnchor>
    <xdr:from>
      <xdr:col>13</xdr:col>
      <xdr:colOff>66675</xdr:colOff>
      <xdr:row>12</xdr:row>
      <xdr:rowOff>133350</xdr:rowOff>
    </xdr:from>
    <xdr:to>
      <xdr:col>14</xdr:col>
      <xdr:colOff>85725</xdr:colOff>
      <xdr:row>14</xdr:row>
      <xdr:rowOff>0</xdr:rowOff>
    </xdr:to>
    <xdr:sp>
      <xdr:nvSpPr>
        <xdr:cNvPr id="6" name="AutoShape 6"/>
        <xdr:cNvSpPr>
          <a:spLocks/>
        </xdr:cNvSpPr>
      </xdr:nvSpPr>
      <xdr:spPr>
        <a:xfrm flipV="1">
          <a:off x="2762250" y="1390650"/>
          <a:ext cx="180975" cy="15240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142875</xdr:colOff>
      <xdr:row>12</xdr:row>
      <xdr:rowOff>9525</xdr:rowOff>
    </xdr:from>
    <xdr:to>
      <xdr:col>83</xdr:col>
      <xdr:colOff>19050</xdr:colOff>
      <xdr:row>13</xdr:row>
      <xdr:rowOff>47625</xdr:rowOff>
    </xdr:to>
    <xdr:sp>
      <xdr:nvSpPr>
        <xdr:cNvPr id="7" name="AutoShape 7"/>
        <xdr:cNvSpPr>
          <a:spLocks/>
        </xdr:cNvSpPr>
      </xdr:nvSpPr>
      <xdr:spPr>
        <a:xfrm flipV="1">
          <a:off x="13211175" y="1266825"/>
          <a:ext cx="180975"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152400</xdr:colOff>
      <xdr:row>12</xdr:row>
      <xdr:rowOff>0</xdr:rowOff>
    </xdr:from>
    <xdr:to>
      <xdr:col>32</xdr:col>
      <xdr:colOff>9525</xdr:colOff>
      <xdr:row>13</xdr:row>
      <xdr:rowOff>38100</xdr:rowOff>
    </xdr:to>
    <xdr:sp>
      <xdr:nvSpPr>
        <xdr:cNvPr id="8" name="AutoShape 8"/>
        <xdr:cNvSpPr>
          <a:spLocks/>
        </xdr:cNvSpPr>
      </xdr:nvSpPr>
      <xdr:spPr>
        <a:xfrm flipV="1">
          <a:off x="5600700" y="125730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85</xdr:col>
      <xdr:colOff>66675</xdr:colOff>
      <xdr:row>15</xdr:row>
      <xdr:rowOff>0</xdr:rowOff>
    </xdr:from>
    <xdr:to>
      <xdr:col>86</xdr:col>
      <xdr:colOff>95250</xdr:colOff>
      <xdr:row>16</xdr:row>
      <xdr:rowOff>38100</xdr:rowOff>
    </xdr:to>
    <xdr:sp>
      <xdr:nvSpPr>
        <xdr:cNvPr id="9" name="AutoShape 9"/>
        <xdr:cNvSpPr>
          <a:spLocks/>
        </xdr:cNvSpPr>
      </xdr:nvSpPr>
      <xdr:spPr>
        <a:xfrm flipV="1">
          <a:off x="13744575" y="1685925"/>
          <a:ext cx="180975"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92</xdr:col>
      <xdr:colOff>66675</xdr:colOff>
      <xdr:row>17</xdr:row>
      <xdr:rowOff>0</xdr:rowOff>
    </xdr:from>
    <xdr:to>
      <xdr:col>93</xdr:col>
      <xdr:colOff>85725</xdr:colOff>
      <xdr:row>18</xdr:row>
      <xdr:rowOff>38100</xdr:rowOff>
    </xdr:to>
    <xdr:sp>
      <xdr:nvSpPr>
        <xdr:cNvPr id="10" name="AutoShape 10"/>
        <xdr:cNvSpPr>
          <a:spLocks/>
        </xdr:cNvSpPr>
      </xdr:nvSpPr>
      <xdr:spPr>
        <a:xfrm flipV="1">
          <a:off x="14820900" y="1971675"/>
          <a:ext cx="171450" cy="180975"/>
        </a:xfrm>
        <a:prstGeom prst="triangle">
          <a:avLst/>
        </a:prstGeom>
        <a:solidFill>
          <a:srgbClr val="FF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xdr:row>
      <xdr:rowOff>0</xdr:rowOff>
    </xdr:from>
    <xdr:to>
      <xdr:col>4</xdr:col>
      <xdr:colOff>28575</xdr:colOff>
      <xdr:row>11</xdr:row>
      <xdr:rowOff>38100</xdr:rowOff>
    </xdr:to>
    <xdr:sp>
      <xdr:nvSpPr>
        <xdr:cNvPr id="11" name="AutoShape 11"/>
        <xdr:cNvSpPr>
          <a:spLocks/>
        </xdr:cNvSpPr>
      </xdr:nvSpPr>
      <xdr:spPr>
        <a:xfrm flipV="1">
          <a:off x="1047750" y="942975"/>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10</xdr:row>
      <xdr:rowOff>123825</xdr:rowOff>
    </xdr:from>
    <xdr:to>
      <xdr:col>21</xdr:col>
      <xdr:colOff>28575</xdr:colOff>
      <xdr:row>12</xdr:row>
      <xdr:rowOff>19050</xdr:rowOff>
    </xdr:to>
    <xdr:sp>
      <xdr:nvSpPr>
        <xdr:cNvPr id="12" name="AutoShape 12"/>
        <xdr:cNvSpPr>
          <a:spLocks/>
        </xdr:cNvSpPr>
      </xdr:nvSpPr>
      <xdr:spPr>
        <a:xfrm flipV="1">
          <a:off x="3838575" y="1066800"/>
          <a:ext cx="180975" cy="209550"/>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14</xdr:row>
      <xdr:rowOff>9525</xdr:rowOff>
    </xdr:from>
    <xdr:to>
      <xdr:col>28</xdr:col>
      <xdr:colOff>47625</xdr:colOff>
      <xdr:row>15</xdr:row>
      <xdr:rowOff>47625</xdr:rowOff>
    </xdr:to>
    <xdr:sp>
      <xdr:nvSpPr>
        <xdr:cNvPr id="13" name="AutoShape 13"/>
        <xdr:cNvSpPr>
          <a:spLocks/>
        </xdr:cNvSpPr>
      </xdr:nvSpPr>
      <xdr:spPr>
        <a:xfrm flipV="1">
          <a:off x="4991100" y="1552575"/>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28575</xdr:colOff>
      <xdr:row>12</xdr:row>
      <xdr:rowOff>95250</xdr:rowOff>
    </xdr:from>
    <xdr:to>
      <xdr:col>28</xdr:col>
      <xdr:colOff>47625</xdr:colOff>
      <xdr:row>13</xdr:row>
      <xdr:rowOff>133350</xdr:rowOff>
    </xdr:to>
    <xdr:sp>
      <xdr:nvSpPr>
        <xdr:cNvPr id="14" name="AutoShape 14"/>
        <xdr:cNvSpPr>
          <a:spLocks/>
        </xdr:cNvSpPr>
      </xdr:nvSpPr>
      <xdr:spPr>
        <a:xfrm flipV="1">
          <a:off x="4991100" y="135255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76200</xdr:colOff>
      <xdr:row>14</xdr:row>
      <xdr:rowOff>95250</xdr:rowOff>
    </xdr:from>
    <xdr:to>
      <xdr:col>23</xdr:col>
      <xdr:colOff>104775</xdr:colOff>
      <xdr:row>16</xdr:row>
      <xdr:rowOff>9525</xdr:rowOff>
    </xdr:to>
    <xdr:sp>
      <xdr:nvSpPr>
        <xdr:cNvPr id="15" name="AutoShape 15"/>
        <xdr:cNvSpPr>
          <a:spLocks noChangeAspect="1"/>
        </xdr:cNvSpPr>
      </xdr:nvSpPr>
      <xdr:spPr>
        <a:xfrm>
          <a:off x="4229100" y="1638300"/>
          <a:ext cx="190500" cy="200025"/>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38100</xdr:colOff>
      <xdr:row>15</xdr:row>
      <xdr:rowOff>85725</xdr:rowOff>
    </xdr:from>
    <xdr:to>
      <xdr:col>26</xdr:col>
      <xdr:colOff>76200</xdr:colOff>
      <xdr:row>17</xdr:row>
      <xdr:rowOff>9525</xdr:rowOff>
    </xdr:to>
    <xdr:sp>
      <xdr:nvSpPr>
        <xdr:cNvPr id="16" name="AutoShape 16"/>
        <xdr:cNvSpPr>
          <a:spLocks noChangeAspect="1"/>
        </xdr:cNvSpPr>
      </xdr:nvSpPr>
      <xdr:spPr>
        <a:xfrm>
          <a:off x="4676775" y="1771650"/>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16</xdr:row>
      <xdr:rowOff>104775</xdr:rowOff>
    </xdr:from>
    <xdr:to>
      <xdr:col>29</xdr:col>
      <xdr:colOff>66675</xdr:colOff>
      <xdr:row>18</xdr:row>
      <xdr:rowOff>28575</xdr:rowOff>
    </xdr:to>
    <xdr:sp>
      <xdr:nvSpPr>
        <xdr:cNvPr id="17" name="AutoShape 17"/>
        <xdr:cNvSpPr>
          <a:spLocks noChangeAspect="1"/>
        </xdr:cNvSpPr>
      </xdr:nvSpPr>
      <xdr:spPr>
        <a:xfrm>
          <a:off x="5153025" y="193357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17</xdr:row>
      <xdr:rowOff>85725</xdr:rowOff>
    </xdr:from>
    <xdr:to>
      <xdr:col>32</xdr:col>
      <xdr:colOff>104775</xdr:colOff>
      <xdr:row>19</xdr:row>
      <xdr:rowOff>0</xdr:rowOff>
    </xdr:to>
    <xdr:sp>
      <xdr:nvSpPr>
        <xdr:cNvPr id="18" name="AutoShape 18"/>
        <xdr:cNvSpPr>
          <a:spLocks noChangeAspect="1"/>
        </xdr:cNvSpPr>
      </xdr:nvSpPr>
      <xdr:spPr>
        <a:xfrm>
          <a:off x="5676900" y="2057400"/>
          <a:ext cx="200025" cy="200025"/>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152400</xdr:colOff>
      <xdr:row>12</xdr:row>
      <xdr:rowOff>0</xdr:rowOff>
    </xdr:from>
    <xdr:to>
      <xdr:col>22</xdr:col>
      <xdr:colOff>9525</xdr:colOff>
      <xdr:row>13</xdr:row>
      <xdr:rowOff>38100</xdr:rowOff>
    </xdr:to>
    <xdr:sp>
      <xdr:nvSpPr>
        <xdr:cNvPr id="19" name="AutoShape 19"/>
        <xdr:cNvSpPr>
          <a:spLocks/>
        </xdr:cNvSpPr>
      </xdr:nvSpPr>
      <xdr:spPr>
        <a:xfrm flipV="1">
          <a:off x="3981450" y="1257300"/>
          <a:ext cx="180975" cy="180975"/>
        </a:xfrm>
        <a:prstGeom prst="triangle">
          <a:avLst/>
        </a:prstGeom>
        <a:solidFill>
          <a:srgbClr val="0000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28575</xdr:colOff>
      <xdr:row>70</xdr:row>
      <xdr:rowOff>0</xdr:rowOff>
    </xdr:from>
    <xdr:to>
      <xdr:col>82</xdr:col>
      <xdr:colOff>47625</xdr:colOff>
      <xdr:row>71</xdr:row>
      <xdr:rowOff>19050</xdr:rowOff>
    </xdr:to>
    <xdr:sp>
      <xdr:nvSpPr>
        <xdr:cNvPr id="20" name="AutoShape 20"/>
        <xdr:cNvSpPr>
          <a:spLocks/>
        </xdr:cNvSpPr>
      </xdr:nvSpPr>
      <xdr:spPr>
        <a:xfrm flipV="1">
          <a:off x="13096875" y="8210550"/>
          <a:ext cx="171450" cy="161925"/>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133350</xdr:colOff>
      <xdr:row>46</xdr:row>
      <xdr:rowOff>0</xdr:rowOff>
    </xdr:from>
    <xdr:to>
      <xdr:col>39</xdr:col>
      <xdr:colOff>142875</xdr:colOff>
      <xdr:row>46</xdr:row>
      <xdr:rowOff>161925</xdr:rowOff>
    </xdr:to>
    <xdr:sp>
      <xdr:nvSpPr>
        <xdr:cNvPr id="21" name="Line 21"/>
        <xdr:cNvSpPr>
          <a:spLocks/>
        </xdr:cNvSpPr>
      </xdr:nvSpPr>
      <xdr:spPr>
        <a:xfrm flipH="1">
          <a:off x="7038975" y="5267325"/>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47625</xdr:colOff>
      <xdr:row>76</xdr:row>
      <xdr:rowOff>47625</xdr:rowOff>
    </xdr:from>
    <xdr:to>
      <xdr:col>92</xdr:col>
      <xdr:colOff>114300</xdr:colOff>
      <xdr:row>77</xdr:row>
      <xdr:rowOff>19050</xdr:rowOff>
    </xdr:to>
    <xdr:sp>
      <xdr:nvSpPr>
        <xdr:cNvPr id="22" name="Polygon 23"/>
        <xdr:cNvSpPr>
          <a:spLocks/>
        </xdr:cNvSpPr>
      </xdr:nvSpPr>
      <xdr:spPr>
        <a:xfrm>
          <a:off x="14030325" y="8839200"/>
          <a:ext cx="838200" cy="114300"/>
        </a:xfrm>
        <a:custGeom>
          <a:pathLst>
            <a:path h="10" w="51">
              <a:moveTo>
                <a:pt x="0" y="0"/>
              </a:moveTo>
              <a:lnTo>
                <a:pt x="51" y="0"/>
              </a:lnTo>
              <a:lnTo>
                <a:pt x="50" y="10"/>
              </a:lnTo>
            </a:path>
          </a:pathLst>
        </a:cu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76200</xdr:colOff>
      <xdr:row>14</xdr:row>
      <xdr:rowOff>123825</xdr:rowOff>
    </xdr:from>
    <xdr:to>
      <xdr:col>35</xdr:col>
      <xdr:colOff>114300</xdr:colOff>
      <xdr:row>16</xdr:row>
      <xdr:rowOff>47625</xdr:rowOff>
    </xdr:to>
    <xdr:sp>
      <xdr:nvSpPr>
        <xdr:cNvPr id="23" name="AutoShape 24"/>
        <xdr:cNvSpPr>
          <a:spLocks noChangeAspect="1"/>
        </xdr:cNvSpPr>
      </xdr:nvSpPr>
      <xdr:spPr>
        <a:xfrm>
          <a:off x="6172200" y="166687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47625</xdr:colOff>
      <xdr:row>15</xdr:row>
      <xdr:rowOff>114300</xdr:rowOff>
    </xdr:from>
    <xdr:to>
      <xdr:col>38</xdr:col>
      <xdr:colOff>85725</xdr:colOff>
      <xdr:row>17</xdr:row>
      <xdr:rowOff>38100</xdr:rowOff>
    </xdr:to>
    <xdr:sp>
      <xdr:nvSpPr>
        <xdr:cNvPr id="24" name="AutoShape 25"/>
        <xdr:cNvSpPr>
          <a:spLocks noChangeAspect="1"/>
        </xdr:cNvSpPr>
      </xdr:nvSpPr>
      <xdr:spPr>
        <a:xfrm>
          <a:off x="6629400" y="180022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9525</xdr:colOff>
      <xdr:row>17</xdr:row>
      <xdr:rowOff>123825</xdr:rowOff>
    </xdr:from>
    <xdr:to>
      <xdr:col>48</xdr:col>
      <xdr:colOff>47625</xdr:colOff>
      <xdr:row>19</xdr:row>
      <xdr:rowOff>47625</xdr:rowOff>
    </xdr:to>
    <xdr:sp>
      <xdr:nvSpPr>
        <xdr:cNvPr id="25" name="AutoShape 26"/>
        <xdr:cNvSpPr>
          <a:spLocks noChangeAspect="1"/>
        </xdr:cNvSpPr>
      </xdr:nvSpPr>
      <xdr:spPr>
        <a:xfrm>
          <a:off x="8058150" y="2095500"/>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89</xdr:col>
      <xdr:colOff>95250</xdr:colOff>
      <xdr:row>70</xdr:row>
      <xdr:rowOff>95250</xdr:rowOff>
    </xdr:from>
    <xdr:ext cx="447675" cy="571500"/>
    <xdr:sp>
      <xdr:nvSpPr>
        <xdr:cNvPr id="26" name="TextBox 28"/>
        <xdr:cNvSpPr txBox="1">
          <a:spLocks noChangeArrowheads="1"/>
        </xdr:cNvSpPr>
      </xdr:nvSpPr>
      <xdr:spPr>
        <a:xfrm>
          <a:off x="14382750" y="8305800"/>
          <a:ext cx="447675" cy="5715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Total
Float
6 mo.</a:t>
          </a:r>
        </a:p>
      </xdr:txBody>
    </xdr:sp>
    <xdr:clientData/>
  </xdr:oneCellAnchor>
  <xdr:twoCellAnchor>
    <xdr:from>
      <xdr:col>73</xdr:col>
      <xdr:colOff>9525</xdr:colOff>
      <xdr:row>52</xdr:row>
      <xdr:rowOff>28575</xdr:rowOff>
    </xdr:from>
    <xdr:to>
      <xdr:col>73</xdr:col>
      <xdr:colOff>9525</xdr:colOff>
      <xdr:row>56</xdr:row>
      <xdr:rowOff>28575</xdr:rowOff>
    </xdr:to>
    <xdr:sp>
      <xdr:nvSpPr>
        <xdr:cNvPr id="27" name="Line 29"/>
        <xdr:cNvSpPr>
          <a:spLocks/>
        </xdr:cNvSpPr>
      </xdr:nvSpPr>
      <xdr:spPr>
        <a:xfrm>
          <a:off x="11858625" y="62103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0</xdr:colOff>
      <xdr:row>59</xdr:row>
      <xdr:rowOff>28575</xdr:rowOff>
    </xdr:from>
    <xdr:to>
      <xdr:col>76</xdr:col>
      <xdr:colOff>0</xdr:colOff>
      <xdr:row>64</xdr:row>
      <xdr:rowOff>0</xdr:rowOff>
    </xdr:to>
    <xdr:sp>
      <xdr:nvSpPr>
        <xdr:cNvPr id="28" name="Line 30"/>
        <xdr:cNvSpPr>
          <a:spLocks/>
        </xdr:cNvSpPr>
      </xdr:nvSpPr>
      <xdr:spPr>
        <a:xfrm>
          <a:off x="12306300" y="710565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142875</xdr:colOff>
      <xdr:row>65</xdr:row>
      <xdr:rowOff>38100</xdr:rowOff>
    </xdr:from>
    <xdr:to>
      <xdr:col>78</xdr:col>
      <xdr:colOff>142875</xdr:colOff>
      <xdr:row>68</xdr:row>
      <xdr:rowOff>0</xdr:rowOff>
    </xdr:to>
    <xdr:sp>
      <xdr:nvSpPr>
        <xdr:cNvPr id="29" name="Line 31"/>
        <xdr:cNvSpPr>
          <a:spLocks/>
        </xdr:cNvSpPr>
      </xdr:nvSpPr>
      <xdr:spPr>
        <a:xfrm>
          <a:off x="12753975" y="77819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74</xdr:col>
      <xdr:colOff>142875</xdr:colOff>
      <xdr:row>57</xdr:row>
      <xdr:rowOff>9525</xdr:rowOff>
    </xdr:from>
    <xdr:to>
      <xdr:col>74</xdr:col>
      <xdr:colOff>142875</xdr:colOff>
      <xdr:row>58</xdr:row>
      <xdr:rowOff>66675</xdr:rowOff>
    </xdr:to>
    <xdr:sp>
      <xdr:nvSpPr>
        <xdr:cNvPr id="30" name="Line 32"/>
        <xdr:cNvSpPr>
          <a:spLocks/>
        </xdr:cNvSpPr>
      </xdr:nvSpPr>
      <xdr:spPr>
        <a:xfrm>
          <a:off x="12144375" y="67818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0</xdr:colOff>
      <xdr:row>46</xdr:row>
      <xdr:rowOff>19050</xdr:rowOff>
    </xdr:from>
    <xdr:to>
      <xdr:col>68</xdr:col>
      <xdr:colOff>0</xdr:colOff>
      <xdr:row>47</xdr:row>
      <xdr:rowOff>47625</xdr:rowOff>
    </xdr:to>
    <xdr:sp>
      <xdr:nvSpPr>
        <xdr:cNvPr id="31" name="Line 33"/>
        <xdr:cNvSpPr>
          <a:spLocks/>
        </xdr:cNvSpPr>
      </xdr:nvSpPr>
      <xdr:spPr>
        <a:xfrm>
          <a:off x="11087100" y="52863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32</xdr:row>
      <xdr:rowOff>0</xdr:rowOff>
    </xdr:from>
    <xdr:to>
      <xdr:col>39</xdr:col>
      <xdr:colOff>57150</xdr:colOff>
      <xdr:row>33</xdr:row>
      <xdr:rowOff>0</xdr:rowOff>
    </xdr:to>
    <xdr:sp>
      <xdr:nvSpPr>
        <xdr:cNvPr id="32" name="Rectangle 35"/>
        <xdr:cNvSpPr>
          <a:spLocks/>
        </xdr:cNvSpPr>
      </xdr:nvSpPr>
      <xdr:spPr>
        <a:xfrm>
          <a:off x="6743700" y="3571875"/>
          <a:ext cx="2190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0</xdr:colOff>
      <xdr:row>34</xdr:row>
      <xdr:rowOff>0</xdr:rowOff>
    </xdr:from>
    <xdr:to>
      <xdr:col>39</xdr:col>
      <xdr:colOff>57150</xdr:colOff>
      <xdr:row>35</xdr:row>
      <xdr:rowOff>0</xdr:rowOff>
    </xdr:to>
    <xdr:sp>
      <xdr:nvSpPr>
        <xdr:cNvPr id="33" name="Rectangle 36"/>
        <xdr:cNvSpPr>
          <a:spLocks/>
        </xdr:cNvSpPr>
      </xdr:nvSpPr>
      <xdr:spPr>
        <a:xfrm>
          <a:off x="6743700" y="3876675"/>
          <a:ext cx="219075"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66675</xdr:colOff>
      <xdr:row>16</xdr:row>
      <xdr:rowOff>123825</xdr:rowOff>
    </xdr:from>
    <xdr:to>
      <xdr:col>41</xdr:col>
      <xdr:colOff>104775</xdr:colOff>
      <xdr:row>18</xdr:row>
      <xdr:rowOff>47625</xdr:rowOff>
    </xdr:to>
    <xdr:sp>
      <xdr:nvSpPr>
        <xdr:cNvPr id="34" name="AutoShape 37"/>
        <xdr:cNvSpPr>
          <a:spLocks noChangeAspect="1"/>
        </xdr:cNvSpPr>
      </xdr:nvSpPr>
      <xdr:spPr>
        <a:xfrm>
          <a:off x="7134225" y="1952625"/>
          <a:ext cx="200025" cy="209550"/>
        </a:xfrm>
        <a:prstGeom prst="star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114300</xdr:colOff>
      <xdr:row>36</xdr:row>
      <xdr:rowOff>0</xdr:rowOff>
    </xdr:from>
    <xdr:to>
      <xdr:col>41</xdr:col>
      <xdr:colOff>47625</xdr:colOff>
      <xdr:row>37</xdr:row>
      <xdr:rowOff>0</xdr:rowOff>
    </xdr:to>
    <xdr:sp>
      <xdr:nvSpPr>
        <xdr:cNvPr id="35" name="Rectangle 47"/>
        <xdr:cNvSpPr>
          <a:spLocks/>
        </xdr:cNvSpPr>
      </xdr:nvSpPr>
      <xdr:spPr>
        <a:xfrm>
          <a:off x="7181850" y="4191000"/>
          <a:ext cx="9525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0</xdr:colOff>
      <xdr:row>45</xdr:row>
      <xdr:rowOff>0</xdr:rowOff>
    </xdr:from>
    <xdr:to>
      <xdr:col>42</xdr:col>
      <xdr:colOff>0</xdr:colOff>
      <xdr:row>46</xdr:row>
      <xdr:rowOff>9525</xdr:rowOff>
    </xdr:to>
    <xdr:sp>
      <xdr:nvSpPr>
        <xdr:cNvPr id="36" name="Line 62"/>
        <xdr:cNvSpPr>
          <a:spLocks/>
        </xdr:cNvSpPr>
      </xdr:nvSpPr>
      <xdr:spPr>
        <a:xfrm>
          <a:off x="7391400" y="5124450"/>
          <a:ext cx="0" cy="152400"/>
        </a:xfrm>
        <a:prstGeom prst="line">
          <a:avLst/>
        </a:prstGeom>
        <a:noFill/>
        <a:ln w="1143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9525</xdr:colOff>
      <xdr:row>26</xdr:row>
      <xdr:rowOff>19050</xdr:rowOff>
    </xdr:from>
    <xdr:to>
      <xdr:col>52</xdr:col>
      <xdr:colOff>19050</xdr:colOff>
      <xdr:row>54</xdr:row>
      <xdr:rowOff>9525</xdr:rowOff>
    </xdr:to>
    <xdr:grpSp>
      <xdr:nvGrpSpPr>
        <xdr:cNvPr id="37" name="Group 68"/>
        <xdr:cNvGrpSpPr>
          <a:grpSpLocks/>
        </xdr:cNvGrpSpPr>
      </xdr:nvGrpSpPr>
      <xdr:grpSpPr>
        <a:xfrm>
          <a:off x="8220075" y="3095625"/>
          <a:ext cx="657225" cy="3257550"/>
          <a:chOff x="836" y="321"/>
          <a:chExt cx="80" cy="334"/>
        </a:xfrm>
        <a:solidFill>
          <a:srgbClr val="FFFFFF"/>
        </a:solidFill>
      </xdr:grpSpPr>
      <xdr:sp>
        <xdr:nvSpPr>
          <xdr:cNvPr id="38" name="Polygon 22"/>
          <xdr:cNvSpPr>
            <a:spLocks/>
          </xdr:cNvSpPr>
        </xdr:nvSpPr>
        <xdr:spPr>
          <a:xfrm>
            <a:off x="836" y="334"/>
            <a:ext cx="80" cy="321"/>
          </a:xfrm>
          <a:custGeom>
            <a:pathLst>
              <a:path h="10" w="51">
                <a:moveTo>
                  <a:pt x="0" y="0"/>
                </a:moveTo>
                <a:lnTo>
                  <a:pt x="51" y="0"/>
                </a:lnTo>
                <a:lnTo>
                  <a:pt x="50" y="10"/>
                </a:lnTo>
              </a:path>
            </a:pathLst>
          </a:custGeom>
          <a:noFill/>
          <a:ln w="222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9" name="Line 67"/>
          <xdr:cNvSpPr>
            <a:spLocks/>
          </xdr:cNvSpPr>
        </xdr:nvSpPr>
        <xdr:spPr>
          <a:xfrm flipV="1">
            <a:off x="836" y="321"/>
            <a:ext cx="0" cy="13"/>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60</xdr:col>
      <xdr:colOff>0</xdr:colOff>
      <xdr:row>55</xdr:row>
      <xdr:rowOff>38100</xdr:rowOff>
    </xdr:from>
    <xdr:to>
      <xdr:col>64</xdr:col>
      <xdr:colOff>142875</xdr:colOff>
      <xdr:row>58</xdr:row>
      <xdr:rowOff>57150</xdr:rowOff>
    </xdr:to>
    <xdr:sp>
      <xdr:nvSpPr>
        <xdr:cNvPr id="40" name="Polygon 71"/>
        <xdr:cNvSpPr>
          <a:spLocks/>
        </xdr:cNvSpPr>
      </xdr:nvSpPr>
      <xdr:spPr>
        <a:xfrm>
          <a:off x="9810750" y="6534150"/>
          <a:ext cx="790575" cy="438150"/>
        </a:xfrm>
        <a:custGeom>
          <a:pathLst>
            <a:path h="75" w="141">
              <a:moveTo>
                <a:pt x="0" y="0"/>
              </a:moveTo>
              <a:lnTo>
                <a:pt x="0" y="75"/>
              </a:lnTo>
              <a:lnTo>
                <a:pt x="141" y="75"/>
              </a:lnTo>
            </a:path>
          </a:pathLst>
        </a:custGeom>
        <a:noFill/>
        <a:ln w="222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38100</xdr:colOff>
      <xdr:row>12</xdr:row>
      <xdr:rowOff>0</xdr:rowOff>
    </xdr:from>
    <xdr:to>
      <xdr:col>59</xdr:col>
      <xdr:colOff>104775</xdr:colOff>
      <xdr:row>13</xdr:row>
      <xdr:rowOff>66675</xdr:rowOff>
    </xdr:to>
    <xdr:sp>
      <xdr:nvSpPr>
        <xdr:cNvPr id="41" name="AutoShape 72"/>
        <xdr:cNvSpPr>
          <a:spLocks noChangeAspect="1"/>
        </xdr:cNvSpPr>
      </xdr:nvSpPr>
      <xdr:spPr>
        <a:xfrm>
          <a:off x="9553575" y="1257300"/>
          <a:ext cx="200025" cy="209550"/>
        </a:xfrm>
        <a:prstGeom prst="star5">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5</xdr:row>
      <xdr:rowOff>161925</xdr:rowOff>
    </xdr:from>
    <xdr:to>
      <xdr:col>51</xdr:col>
      <xdr:colOff>0</xdr:colOff>
      <xdr:row>23</xdr:row>
      <xdr:rowOff>66675</xdr:rowOff>
    </xdr:to>
    <xdr:sp>
      <xdr:nvSpPr>
        <xdr:cNvPr id="42" name="Line 74"/>
        <xdr:cNvSpPr>
          <a:spLocks/>
        </xdr:cNvSpPr>
      </xdr:nvSpPr>
      <xdr:spPr>
        <a:xfrm>
          <a:off x="8696325" y="723900"/>
          <a:ext cx="0" cy="208597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23</xdr:row>
      <xdr:rowOff>66675</xdr:rowOff>
    </xdr:from>
    <xdr:to>
      <xdr:col>47</xdr:col>
      <xdr:colOff>0</xdr:colOff>
      <xdr:row>30</xdr:row>
      <xdr:rowOff>66675</xdr:rowOff>
    </xdr:to>
    <xdr:sp>
      <xdr:nvSpPr>
        <xdr:cNvPr id="43" name="Line 75"/>
        <xdr:cNvSpPr>
          <a:spLocks/>
        </xdr:cNvSpPr>
      </xdr:nvSpPr>
      <xdr:spPr>
        <a:xfrm>
          <a:off x="8048625" y="2809875"/>
          <a:ext cx="0" cy="65722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152400</xdr:colOff>
      <xdr:row>30</xdr:row>
      <xdr:rowOff>47625</xdr:rowOff>
    </xdr:from>
    <xdr:to>
      <xdr:col>49</xdr:col>
      <xdr:colOff>0</xdr:colOff>
      <xdr:row>35</xdr:row>
      <xdr:rowOff>104775</xdr:rowOff>
    </xdr:to>
    <xdr:sp>
      <xdr:nvSpPr>
        <xdr:cNvPr id="44" name="Line 76"/>
        <xdr:cNvSpPr>
          <a:spLocks/>
        </xdr:cNvSpPr>
      </xdr:nvSpPr>
      <xdr:spPr>
        <a:xfrm>
          <a:off x="8362950" y="3448050"/>
          <a:ext cx="9525" cy="67627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49</xdr:row>
      <xdr:rowOff>104775</xdr:rowOff>
    </xdr:from>
    <xdr:to>
      <xdr:col>72</xdr:col>
      <xdr:colOff>0</xdr:colOff>
      <xdr:row>51</xdr:row>
      <xdr:rowOff>57150</xdr:rowOff>
    </xdr:to>
    <xdr:sp>
      <xdr:nvSpPr>
        <xdr:cNvPr id="45" name="Line 77"/>
        <xdr:cNvSpPr>
          <a:spLocks/>
        </xdr:cNvSpPr>
      </xdr:nvSpPr>
      <xdr:spPr>
        <a:xfrm>
          <a:off x="11696700" y="58388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152400</xdr:colOff>
      <xdr:row>35</xdr:row>
      <xdr:rowOff>123825</xdr:rowOff>
    </xdr:from>
    <xdr:to>
      <xdr:col>50</xdr:col>
      <xdr:colOff>152400</xdr:colOff>
      <xdr:row>81</xdr:row>
      <xdr:rowOff>0</xdr:rowOff>
    </xdr:to>
    <xdr:sp>
      <xdr:nvSpPr>
        <xdr:cNvPr id="46" name="Line 79"/>
        <xdr:cNvSpPr>
          <a:spLocks/>
        </xdr:cNvSpPr>
      </xdr:nvSpPr>
      <xdr:spPr>
        <a:xfrm>
          <a:off x="8686800" y="4143375"/>
          <a:ext cx="0" cy="5076825"/>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66675</xdr:colOff>
      <xdr:row>23</xdr:row>
      <xdr:rowOff>57150</xdr:rowOff>
    </xdr:from>
    <xdr:to>
      <xdr:col>50</xdr:col>
      <xdr:colOff>152400</xdr:colOff>
      <xdr:row>23</xdr:row>
      <xdr:rowOff>57150</xdr:rowOff>
    </xdr:to>
    <xdr:sp>
      <xdr:nvSpPr>
        <xdr:cNvPr id="47" name="Line 80"/>
        <xdr:cNvSpPr>
          <a:spLocks/>
        </xdr:cNvSpPr>
      </xdr:nvSpPr>
      <xdr:spPr>
        <a:xfrm rot="5400000">
          <a:off x="8029575" y="2800350"/>
          <a:ext cx="657225"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152400</xdr:colOff>
      <xdr:row>35</xdr:row>
      <xdr:rowOff>123825</xdr:rowOff>
    </xdr:from>
    <xdr:to>
      <xdr:col>51</xdr:col>
      <xdr:colOff>0</xdr:colOff>
      <xdr:row>35</xdr:row>
      <xdr:rowOff>123825</xdr:rowOff>
    </xdr:to>
    <xdr:sp>
      <xdr:nvSpPr>
        <xdr:cNvPr id="48" name="Line 82"/>
        <xdr:cNvSpPr>
          <a:spLocks/>
        </xdr:cNvSpPr>
      </xdr:nvSpPr>
      <xdr:spPr>
        <a:xfrm rot="16200000" flipV="1">
          <a:off x="8362950" y="4143375"/>
          <a:ext cx="333375"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76200</xdr:colOff>
      <xdr:row>30</xdr:row>
      <xdr:rowOff>47625</xdr:rowOff>
    </xdr:from>
    <xdr:to>
      <xdr:col>48</xdr:col>
      <xdr:colOff>142875</xdr:colOff>
      <xdr:row>30</xdr:row>
      <xdr:rowOff>47625</xdr:rowOff>
    </xdr:to>
    <xdr:sp>
      <xdr:nvSpPr>
        <xdr:cNvPr id="49" name="Line 84"/>
        <xdr:cNvSpPr>
          <a:spLocks/>
        </xdr:cNvSpPr>
      </xdr:nvSpPr>
      <xdr:spPr>
        <a:xfrm rot="16200000" flipV="1">
          <a:off x="8039100" y="3448050"/>
          <a:ext cx="314325"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68</xdr:row>
      <xdr:rowOff>114300</xdr:rowOff>
    </xdr:from>
    <xdr:to>
      <xdr:col>72</xdr:col>
      <xdr:colOff>142875</xdr:colOff>
      <xdr:row>68</xdr:row>
      <xdr:rowOff>114300</xdr:rowOff>
    </xdr:to>
    <xdr:sp>
      <xdr:nvSpPr>
        <xdr:cNvPr id="50" name="Line 85"/>
        <xdr:cNvSpPr>
          <a:spLocks/>
        </xdr:cNvSpPr>
      </xdr:nvSpPr>
      <xdr:spPr>
        <a:xfrm flipV="1">
          <a:off x="11696700" y="8134350"/>
          <a:ext cx="1428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9525</xdr:colOff>
      <xdr:row>64</xdr:row>
      <xdr:rowOff>114300</xdr:rowOff>
    </xdr:from>
    <xdr:to>
      <xdr:col>79</xdr:col>
      <xdr:colOff>0</xdr:colOff>
      <xdr:row>64</xdr:row>
      <xdr:rowOff>114300</xdr:rowOff>
    </xdr:to>
    <xdr:sp>
      <xdr:nvSpPr>
        <xdr:cNvPr id="51" name="Line 86"/>
        <xdr:cNvSpPr>
          <a:spLocks/>
        </xdr:cNvSpPr>
      </xdr:nvSpPr>
      <xdr:spPr>
        <a:xfrm flipV="1">
          <a:off x="12163425" y="7715250"/>
          <a:ext cx="6000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155</xdr:col>
      <xdr:colOff>104775</xdr:colOff>
      <xdr:row>119</xdr:row>
      <xdr:rowOff>85725</xdr:rowOff>
    </xdr:from>
    <xdr:to>
      <xdr:col>156</xdr:col>
      <xdr:colOff>95250</xdr:colOff>
      <xdr:row>119</xdr:row>
      <xdr:rowOff>85725</xdr:rowOff>
    </xdr:to>
    <xdr:sp>
      <xdr:nvSpPr>
        <xdr:cNvPr id="52" name="Line 87"/>
        <xdr:cNvSpPr>
          <a:spLocks/>
        </xdr:cNvSpPr>
      </xdr:nvSpPr>
      <xdr:spPr>
        <a:xfrm flipV="1">
          <a:off x="24460200" y="16144875"/>
          <a:ext cx="142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155</xdr:col>
      <xdr:colOff>104775</xdr:colOff>
      <xdr:row>119</xdr:row>
      <xdr:rowOff>85725</xdr:rowOff>
    </xdr:from>
    <xdr:to>
      <xdr:col>156</xdr:col>
      <xdr:colOff>95250</xdr:colOff>
      <xdr:row>119</xdr:row>
      <xdr:rowOff>85725</xdr:rowOff>
    </xdr:to>
    <xdr:sp>
      <xdr:nvSpPr>
        <xdr:cNvPr id="53" name="Line 88"/>
        <xdr:cNvSpPr>
          <a:spLocks/>
        </xdr:cNvSpPr>
      </xdr:nvSpPr>
      <xdr:spPr>
        <a:xfrm flipV="1">
          <a:off x="24460200" y="16144875"/>
          <a:ext cx="142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79</xdr:col>
      <xdr:colOff>0</xdr:colOff>
      <xdr:row>68</xdr:row>
      <xdr:rowOff>114300</xdr:rowOff>
    </xdr:from>
    <xdr:to>
      <xdr:col>79</xdr:col>
      <xdr:colOff>114300</xdr:colOff>
      <xdr:row>68</xdr:row>
      <xdr:rowOff>114300</xdr:rowOff>
    </xdr:to>
    <xdr:sp>
      <xdr:nvSpPr>
        <xdr:cNvPr id="54" name="Line 89"/>
        <xdr:cNvSpPr>
          <a:spLocks/>
        </xdr:cNvSpPr>
      </xdr:nvSpPr>
      <xdr:spPr>
        <a:xfrm flipV="1">
          <a:off x="12763500" y="8134350"/>
          <a:ext cx="11430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0</xdr:colOff>
      <xdr:row>68</xdr:row>
      <xdr:rowOff>114300</xdr:rowOff>
    </xdr:from>
    <xdr:to>
      <xdr:col>81</xdr:col>
      <xdr:colOff>95250</xdr:colOff>
      <xdr:row>68</xdr:row>
      <xdr:rowOff>114300</xdr:rowOff>
    </xdr:to>
    <xdr:sp>
      <xdr:nvSpPr>
        <xdr:cNvPr id="55" name="Line 90"/>
        <xdr:cNvSpPr>
          <a:spLocks/>
        </xdr:cNvSpPr>
      </xdr:nvSpPr>
      <xdr:spPr>
        <a:xfrm flipV="1">
          <a:off x="13068300" y="8134350"/>
          <a:ext cx="9525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72</xdr:row>
      <xdr:rowOff>76200</xdr:rowOff>
    </xdr:from>
    <xdr:to>
      <xdr:col>82</xdr:col>
      <xdr:colOff>95250</xdr:colOff>
      <xdr:row>72</xdr:row>
      <xdr:rowOff>76200</xdr:rowOff>
    </xdr:to>
    <xdr:sp>
      <xdr:nvSpPr>
        <xdr:cNvPr id="56" name="Line 91"/>
        <xdr:cNvSpPr>
          <a:spLocks/>
        </xdr:cNvSpPr>
      </xdr:nvSpPr>
      <xdr:spPr>
        <a:xfrm flipV="1">
          <a:off x="13220700" y="8477250"/>
          <a:ext cx="9525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78</xdr:row>
      <xdr:rowOff>95250</xdr:rowOff>
    </xdr:from>
    <xdr:to>
      <xdr:col>12</xdr:col>
      <xdr:colOff>95250</xdr:colOff>
      <xdr:row>78</xdr:row>
      <xdr:rowOff>95250</xdr:rowOff>
    </xdr:to>
    <xdr:sp>
      <xdr:nvSpPr>
        <xdr:cNvPr id="57" name="Line 92"/>
        <xdr:cNvSpPr>
          <a:spLocks/>
        </xdr:cNvSpPr>
      </xdr:nvSpPr>
      <xdr:spPr>
        <a:xfrm flipV="1">
          <a:off x="2028825" y="9077325"/>
          <a:ext cx="6000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38100</xdr:colOff>
      <xdr:row>47</xdr:row>
      <xdr:rowOff>123825</xdr:rowOff>
    </xdr:from>
    <xdr:to>
      <xdr:col>71</xdr:col>
      <xdr:colOff>0</xdr:colOff>
      <xdr:row>47</xdr:row>
      <xdr:rowOff>123825</xdr:rowOff>
    </xdr:to>
    <xdr:sp>
      <xdr:nvSpPr>
        <xdr:cNvPr id="58" name="Line 93"/>
        <xdr:cNvSpPr>
          <a:spLocks/>
        </xdr:cNvSpPr>
      </xdr:nvSpPr>
      <xdr:spPr>
        <a:xfrm flipV="1">
          <a:off x="8734425" y="5562600"/>
          <a:ext cx="2809875"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47625</xdr:colOff>
      <xdr:row>49</xdr:row>
      <xdr:rowOff>123825</xdr:rowOff>
    </xdr:from>
    <xdr:to>
      <xdr:col>71</xdr:col>
      <xdr:colOff>133350</xdr:colOff>
      <xdr:row>49</xdr:row>
      <xdr:rowOff>123825</xdr:rowOff>
    </xdr:to>
    <xdr:sp>
      <xdr:nvSpPr>
        <xdr:cNvPr id="59" name="Line 94"/>
        <xdr:cNvSpPr>
          <a:spLocks/>
        </xdr:cNvSpPr>
      </xdr:nvSpPr>
      <xdr:spPr>
        <a:xfrm>
          <a:off x="8743950" y="5857875"/>
          <a:ext cx="2933700" cy="0"/>
        </a:xfrm>
        <a:prstGeom prst="line">
          <a:avLst/>
        </a:prstGeom>
        <a:noFill/>
        <a:ln w="762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cdr:x>
      <cdr:y>0.516</cdr:y>
    </cdr:from>
    <cdr:to>
      <cdr:x>0.49375</cdr:x>
      <cdr:y>0.84625</cdr:y>
    </cdr:to>
    <cdr:sp>
      <cdr:nvSpPr>
        <cdr:cNvPr id="1" name="Polygon 2"/>
        <cdr:cNvSpPr>
          <a:spLocks/>
        </cdr:cNvSpPr>
      </cdr:nvSpPr>
      <cdr:spPr>
        <a:xfrm>
          <a:off x="1438275" y="2495550"/>
          <a:ext cx="2895600" cy="1600200"/>
        </a:xfrm>
        <a:custGeom>
          <a:pathLst>
            <a:path h="1613969" w="2875500">
              <a:moveTo>
                <a:pt x="0" y="1613969"/>
              </a:moveTo>
              <a:lnTo>
                <a:pt x="1155279" y="1061153"/>
              </a:lnTo>
              <a:lnTo>
                <a:pt x="2297861" y="387606"/>
              </a:lnTo>
              <a:lnTo>
                <a:pt x="2875500" y="0"/>
              </a:lnTo>
            </a:path>
          </a:pathLst>
        </a:custGeom>
        <a:noFill/>
        <a:ln w="508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15</xdr:row>
      <xdr:rowOff>38100</xdr:rowOff>
    </xdr:from>
    <xdr:to>
      <xdr:col>11</xdr:col>
      <xdr:colOff>476250</xdr:colOff>
      <xdr:row>38</xdr:row>
      <xdr:rowOff>47625</xdr:rowOff>
    </xdr:to>
    <xdr:graphicFrame>
      <xdr:nvGraphicFramePr>
        <xdr:cNvPr id="1" name="Chart 1"/>
        <xdr:cNvGraphicFramePr/>
      </xdr:nvGraphicFramePr>
      <xdr:xfrm>
        <a:off x="4381500" y="2466975"/>
        <a:ext cx="8791575" cy="4848225"/>
      </xdr:xfrm>
      <a:graphic>
        <a:graphicData uri="http://schemas.openxmlformats.org/drawingml/2006/chart">
          <c:chart xmlns:c="http://schemas.openxmlformats.org/drawingml/2006/chart" r:id="rId1"/>
        </a:graphicData>
      </a:graphic>
    </xdr:graphicFrame>
    <xdr:clientData/>
  </xdr:twoCellAnchor>
  <xdr:twoCellAnchor>
    <xdr:from>
      <xdr:col>4</xdr:col>
      <xdr:colOff>1095375</xdr:colOff>
      <xdr:row>35</xdr:row>
      <xdr:rowOff>66675</xdr:rowOff>
    </xdr:from>
    <xdr:to>
      <xdr:col>11</xdr:col>
      <xdr:colOff>647700</xdr:colOff>
      <xdr:row>37</xdr:row>
      <xdr:rowOff>19050</xdr:rowOff>
    </xdr:to>
    <xdr:sp>
      <xdr:nvSpPr>
        <xdr:cNvPr id="2" name="TextBox 2"/>
        <xdr:cNvSpPr txBox="1">
          <a:spLocks noChangeArrowheads="1"/>
        </xdr:cNvSpPr>
      </xdr:nvSpPr>
      <xdr:spPr>
        <a:xfrm>
          <a:off x="5257800" y="6848475"/>
          <a:ext cx="8086725" cy="276225"/>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    </a:t>
          </a:r>
        </a:p>
      </xdr:txBody>
    </xdr:sp>
    <xdr:clientData/>
  </xdr:twoCellAnchor>
  <xdr:twoCellAnchor>
    <xdr:from>
      <xdr:col>5</xdr:col>
      <xdr:colOff>419100</xdr:colOff>
      <xdr:row>27</xdr:row>
      <xdr:rowOff>123825</xdr:rowOff>
    </xdr:from>
    <xdr:to>
      <xdr:col>6</xdr:col>
      <xdr:colOff>0</xdr:colOff>
      <xdr:row>28</xdr:row>
      <xdr:rowOff>200025</xdr:rowOff>
    </xdr:to>
    <xdr:sp>
      <xdr:nvSpPr>
        <xdr:cNvPr id="3" name="TextBox 3"/>
        <xdr:cNvSpPr txBox="1">
          <a:spLocks noChangeArrowheads="1"/>
        </xdr:cNvSpPr>
      </xdr:nvSpPr>
      <xdr:spPr>
        <a:xfrm>
          <a:off x="5800725" y="5438775"/>
          <a:ext cx="800100" cy="32385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$23.8</a:t>
          </a:r>
        </a:p>
      </xdr:txBody>
    </xdr:sp>
    <xdr:clientData/>
  </xdr:twoCellAnchor>
  <xdr:twoCellAnchor>
    <xdr:from>
      <xdr:col>8</xdr:col>
      <xdr:colOff>257175</xdr:colOff>
      <xdr:row>20</xdr:row>
      <xdr:rowOff>47625</xdr:rowOff>
    </xdr:from>
    <xdr:to>
      <xdr:col>8</xdr:col>
      <xdr:colOff>1123950</xdr:colOff>
      <xdr:row>22</xdr:row>
      <xdr:rowOff>0</xdr:rowOff>
    </xdr:to>
    <xdr:sp>
      <xdr:nvSpPr>
        <xdr:cNvPr id="4" name="TextBox 4"/>
        <xdr:cNvSpPr txBox="1">
          <a:spLocks noChangeArrowheads="1"/>
        </xdr:cNvSpPr>
      </xdr:nvSpPr>
      <xdr:spPr>
        <a:xfrm>
          <a:off x="9296400" y="3629025"/>
          <a:ext cx="86677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$74.2</a:t>
          </a:r>
        </a:p>
      </xdr:txBody>
    </xdr:sp>
    <xdr:clientData/>
  </xdr:twoCellAnchor>
  <xdr:twoCellAnchor>
    <xdr:from>
      <xdr:col>7</xdr:col>
      <xdr:colOff>314325</xdr:colOff>
      <xdr:row>22</xdr:row>
      <xdr:rowOff>104775</xdr:rowOff>
    </xdr:from>
    <xdr:to>
      <xdr:col>7</xdr:col>
      <xdr:colOff>1057275</xdr:colOff>
      <xdr:row>24</xdr:row>
      <xdr:rowOff>76200</xdr:rowOff>
    </xdr:to>
    <xdr:sp>
      <xdr:nvSpPr>
        <xdr:cNvPr id="5" name="TextBox 5"/>
        <xdr:cNvSpPr txBox="1">
          <a:spLocks noChangeArrowheads="1"/>
        </xdr:cNvSpPr>
      </xdr:nvSpPr>
      <xdr:spPr>
        <a:xfrm>
          <a:off x="8134350" y="4181475"/>
          <a:ext cx="74295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$58.3</a:t>
          </a:r>
        </a:p>
      </xdr:txBody>
    </xdr:sp>
    <xdr:clientData/>
  </xdr:twoCellAnchor>
  <xdr:twoCellAnchor>
    <xdr:from>
      <xdr:col>6</xdr:col>
      <xdr:colOff>428625</xdr:colOff>
      <xdr:row>25</xdr:row>
      <xdr:rowOff>19050</xdr:rowOff>
    </xdr:from>
    <xdr:to>
      <xdr:col>7</xdr:col>
      <xdr:colOff>104775</xdr:colOff>
      <xdr:row>26</xdr:row>
      <xdr:rowOff>238125</xdr:rowOff>
    </xdr:to>
    <xdr:sp>
      <xdr:nvSpPr>
        <xdr:cNvPr id="6" name="TextBox 6"/>
        <xdr:cNvSpPr txBox="1">
          <a:spLocks noChangeArrowheads="1"/>
        </xdr:cNvSpPr>
      </xdr:nvSpPr>
      <xdr:spPr>
        <a:xfrm>
          <a:off x="7029450" y="4838700"/>
          <a:ext cx="895350" cy="46672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$41.3</a:t>
          </a:r>
        </a:p>
      </xdr:txBody>
    </xdr:sp>
    <xdr:clientData/>
  </xdr:twoCellAnchor>
  <xdr:twoCellAnchor>
    <xdr:from>
      <xdr:col>10</xdr:col>
      <xdr:colOff>66675</xdr:colOff>
      <xdr:row>17</xdr:row>
      <xdr:rowOff>9525</xdr:rowOff>
    </xdr:from>
    <xdr:to>
      <xdr:col>10</xdr:col>
      <xdr:colOff>809625</xdr:colOff>
      <xdr:row>18</xdr:row>
      <xdr:rowOff>28575</xdr:rowOff>
    </xdr:to>
    <xdr:sp>
      <xdr:nvSpPr>
        <xdr:cNvPr id="7" name="TextBox 8"/>
        <xdr:cNvSpPr txBox="1">
          <a:spLocks noChangeArrowheads="1"/>
        </xdr:cNvSpPr>
      </xdr:nvSpPr>
      <xdr:spPr>
        <a:xfrm>
          <a:off x="11544300" y="2847975"/>
          <a:ext cx="742950" cy="266700"/>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$92.4</a:t>
          </a:r>
        </a:p>
      </xdr:txBody>
    </xdr:sp>
    <xdr:clientData/>
  </xdr:twoCellAnchor>
  <xdr:twoCellAnchor>
    <xdr:from>
      <xdr:col>9</xdr:col>
      <xdr:colOff>114300</xdr:colOff>
      <xdr:row>17</xdr:row>
      <xdr:rowOff>171450</xdr:rowOff>
    </xdr:from>
    <xdr:to>
      <xdr:col>9</xdr:col>
      <xdr:colOff>1114425</xdr:colOff>
      <xdr:row>19</xdr:row>
      <xdr:rowOff>123825</xdr:rowOff>
    </xdr:to>
    <xdr:sp>
      <xdr:nvSpPr>
        <xdr:cNvPr id="8" name="TextBox 9"/>
        <xdr:cNvSpPr txBox="1">
          <a:spLocks noChangeArrowheads="1"/>
        </xdr:cNvSpPr>
      </xdr:nvSpPr>
      <xdr:spPr>
        <a:xfrm>
          <a:off x="10372725" y="3009900"/>
          <a:ext cx="1000125" cy="447675"/>
        </a:xfrm>
        <a:prstGeom prst="rect">
          <a:avLst/>
        </a:prstGeom>
        <a:noFill/>
        <a:ln w="9525" cmpd="sng">
          <a:noFill/>
        </a:ln>
      </xdr:spPr>
      <xdr:txBody>
        <a:bodyPr vertOverflow="clip" wrap="square"/>
        <a:p>
          <a:pPr algn="l">
            <a:defRPr/>
          </a:pPr>
          <a:r>
            <a:rPr lang="en-US" cap="none" sz="2000" b="1" i="0" u="none" baseline="0">
              <a:latin typeface="Arial"/>
              <a:ea typeface="Arial"/>
              <a:cs typeface="Arial"/>
            </a:rPr>
            <a:t>$90.1</a:t>
          </a:r>
        </a:p>
      </xdr:txBody>
    </xdr:sp>
    <xdr:clientData/>
  </xdr:twoCellAnchor>
  <xdr:twoCellAnchor>
    <xdr:from>
      <xdr:col>5</xdr:col>
      <xdr:colOff>495300</xdr:colOff>
      <xdr:row>18</xdr:row>
      <xdr:rowOff>180975</xdr:rowOff>
    </xdr:from>
    <xdr:to>
      <xdr:col>11</xdr:col>
      <xdr:colOff>57150</xdr:colOff>
      <xdr:row>29</xdr:row>
      <xdr:rowOff>47625</xdr:rowOff>
    </xdr:to>
    <xdr:sp>
      <xdr:nvSpPr>
        <xdr:cNvPr id="9" name="Polygon 11"/>
        <xdr:cNvSpPr>
          <a:spLocks/>
        </xdr:cNvSpPr>
      </xdr:nvSpPr>
      <xdr:spPr>
        <a:xfrm>
          <a:off x="5876925" y="3267075"/>
          <a:ext cx="6877050" cy="2590800"/>
        </a:xfrm>
        <a:custGeom>
          <a:pathLst>
            <a:path h="272" w="722">
              <a:moveTo>
                <a:pt x="0" y="272"/>
              </a:moveTo>
              <a:lnTo>
                <a:pt x="121" y="272"/>
              </a:lnTo>
              <a:lnTo>
                <a:pt x="121" y="204"/>
              </a:lnTo>
              <a:lnTo>
                <a:pt x="241" y="204"/>
              </a:lnTo>
              <a:lnTo>
                <a:pt x="242" y="136"/>
              </a:lnTo>
              <a:lnTo>
                <a:pt x="360" y="136"/>
              </a:lnTo>
              <a:lnTo>
                <a:pt x="360" y="74"/>
              </a:lnTo>
              <a:lnTo>
                <a:pt x="481" y="73"/>
              </a:lnTo>
              <a:lnTo>
                <a:pt x="481" y="8"/>
              </a:lnTo>
              <a:lnTo>
                <a:pt x="603" y="8"/>
              </a:lnTo>
              <a:lnTo>
                <a:pt x="603" y="0"/>
              </a:lnTo>
              <a:lnTo>
                <a:pt x="722" y="0"/>
              </a:ln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781050</xdr:colOff>
      <xdr:row>33</xdr:row>
      <xdr:rowOff>19050</xdr:rowOff>
    </xdr:from>
    <xdr:ext cx="495300" cy="295275"/>
    <xdr:sp>
      <xdr:nvSpPr>
        <xdr:cNvPr id="10" name="TextBox 14"/>
        <xdr:cNvSpPr txBox="1">
          <a:spLocks noChangeArrowheads="1"/>
        </xdr:cNvSpPr>
      </xdr:nvSpPr>
      <xdr:spPr>
        <a:xfrm>
          <a:off x="6162675" y="6477000"/>
          <a:ext cx="49530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$5.9</a:t>
          </a:r>
        </a:p>
      </xdr:txBody>
    </xdr:sp>
    <xdr:clientData/>
  </xdr:oneCellAnchor>
  <xdr:oneCellAnchor>
    <xdr:from>
      <xdr:col>9</xdr:col>
      <xdr:colOff>276225</xdr:colOff>
      <xdr:row>21</xdr:row>
      <xdr:rowOff>238125</xdr:rowOff>
    </xdr:from>
    <xdr:ext cx="609600" cy="295275"/>
    <xdr:sp>
      <xdr:nvSpPr>
        <xdr:cNvPr id="11" name="TextBox 15"/>
        <xdr:cNvSpPr txBox="1">
          <a:spLocks noChangeArrowheads="1"/>
        </xdr:cNvSpPr>
      </xdr:nvSpPr>
      <xdr:spPr>
        <a:xfrm>
          <a:off x="10534650" y="4067175"/>
          <a:ext cx="60960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$73.2</a:t>
          </a:r>
        </a:p>
      </xdr:txBody>
    </xdr:sp>
    <xdr:clientData/>
  </xdr:oneCellAnchor>
  <xdr:oneCellAnchor>
    <xdr:from>
      <xdr:col>8</xdr:col>
      <xdr:colOff>361950</xdr:colOff>
      <xdr:row>24</xdr:row>
      <xdr:rowOff>19050</xdr:rowOff>
    </xdr:from>
    <xdr:ext cx="609600" cy="295275"/>
    <xdr:sp>
      <xdr:nvSpPr>
        <xdr:cNvPr id="12" name="TextBox 16"/>
        <xdr:cNvSpPr txBox="1">
          <a:spLocks noChangeArrowheads="1"/>
        </xdr:cNvSpPr>
      </xdr:nvSpPr>
      <xdr:spPr>
        <a:xfrm>
          <a:off x="9401175" y="4591050"/>
          <a:ext cx="60960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$58.1</a:t>
          </a:r>
        </a:p>
      </xdr:txBody>
    </xdr:sp>
    <xdr:clientData/>
  </xdr:oneCellAnchor>
  <xdr:oneCellAnchor>
    <xdr:from>
      <xdr:col>7</xdr:col>
      <xdr:colOff>466725</xdr:colOff>
      <xdr:row>27</xdr:row>
      <xdr:rowOff>9525</xdr:rowOff>
    </xdr:from>
    <xdr:ext cx="609600" cy="295275"/>
    <xdr:sp>
      <xdr:nvSpPr>
        <xdr:cNvPr id="13" name="TextBox 17"/>
        <xdr:cNvSpPr txBox="1">
          <a:spLocks noChangeArrowheads="1"/>
        </xdr:cNvSpPr>
      </xdr:nvSpPr>
      <xdr:spPr>
        <a:xfrm>
          <a:off x="8286750" y="5324475"/>
          <a:ext cx="60960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$38.3</a:t>
          </a:r>
        </a:p>
      </xdr:txBody>
    </xdr:sp>
    <xdr:clientData/>
  </xdr:oneCellAnchor>
  <xdr:oneCellAnchor>
    <xdr:from>
      <xdr:col>6</xdr:col>
      <xdr:colOff>523875</xdr:colOff>
      <xdr:row>29</xdr:row>
      <xdr:rowOff>85725</xdr:rowOff>
    </xdr:from>
    <xdr:ext cx="609600" cy="295275"/>
    <xdr:sp>
      <xdr:nvSpPr>
        <xdr:cNvPr id="14" name="TextBox 18"/>
        <xdr:cNvSpPr txBox="1">
          <a:spLocks noChangeArrowheads="1"/>
        </xdr:cNvSpPr>
      </xdr:nvSpPr>
      <xdr:spPr>
        <a:xfrm>
          <a:off x="7124700" y="5895975"/>
          <a:ext cx="60960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$20.2</a:t>
          </a:r>
        </a:p>
      </xdr:txBody>
    </xdr:sp>
    <xdr:clientData/>
  </xdr:oneCellAnchor>
  <xdr:oneCellAnchor>
    <xdr:from>
      <xdr:col>10</xdr:col>
      <xdr:colOff>457200</xdr:colOff>
      <xdr:row>20</xdr:row>
      <xdr:rowOff>85725</xdr:rowOff>
    </xdr:from>
    <xdr:ext cx="609600" cy="295275"/>
    <xdr:sp>
      <xdr:nvSpPr>
        <xdr:cNvPr id="15" name="TextBox 19"/>
        <xdr:cNvSpPr txBox="1">
          <a:spLocks noChangeArrowheads="1"/>
        </xdr:cNvSpPr>
      </xdr:nvSpPr>
      <xdr:spPr>
        <a:xfrm>
          <a:off x="11934825" y="3667125"/>
          <a:ext cx="60960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$84.6</a:t>
          </a:r>
        </a:p>
      </xdr:txBody>
    </xdr:sp>
    <xdr:clientData/>
  </xdr:oneCellAnchor>
  <xdr:oneCellAnchor>
    <xdr:from>
      <xdr:col>9</xdr:col>
      <xdr:colOff>1000125</xdr:colOff>
      <xdr:row>20</xdr:row>
      <xdr:rowOff>238125</xdr:rowOff>
    </xdr:from>
    <xdr:ext cx="609600" cy="295275"/>
    <xdr:sp>
      <xdr:nvSpPr>
        <xdr:cNvPr id="16" name="TextBox 20"/>
        <xdr:cNvSpPr txBox="1">
          <a:spLocks noChangeArrowheads="1"/>
        </xdr:cNvSpPr>
      </xdr:nvSpPr>
      <xdr:spPr>
        <a:xfrm>
          <a:off x="11258550" y="3819525"/>
          <a:ext cx="60960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$83.0</a:t>
          </a:r>
        </a:p>
      </xdr:txBody>
    </xdr:sp>
    <xdr:clientData/>
  </xdr:oneCellAnchor>
  <xdr:twoCellAnchor>
    <xdr:from>
      <xdr:col>10</xdr:col>
      <xdr:colOff>190500</xdr:colOff>
      <xdr:row>20</xdr:row>
      <xdr:rowOff>0</xdr:rowOff>
    </xdr:from>
    <xdr:to>
      <xdr:col>10</xdr:col>
      <xdr:colOff>666750</xdr:colOff>
      <xdr:row>20</xdr:row>
      <xdr:rowOff>57150</xdr:rowOff>
    </xdr:to>
    <xdr:sp>
      <xdr:nvSpPr>
        <xdr:cNvPr id="17" name="Line 21"/>
        <xdr:cNvSpPr>
          <a:spLocks/>
        </xdr:cNvSpPr>
      </xdr:nvSpPr>
      <xdr:spPr>
        <a:xfrm flipV="1">
          <a:off x="11668125" y="3581400"/>
          <a:ext cx="476250" cy="57150"/>
        </a:xfrm>
        <a:prstGeom prst="line">
          <a:avLst/>
        </a:prstGeom>
        <a:noFill/>
        <a:ln w="19050" cmpd="sng">
          <a:solidFill>
            <a:srgbClr val="FF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4:H22"/>
  <sheetViews>
    <sheetView workbookViewId="0" topLeftCell="A2">
      <selection activeCell="G11" sqref="C4:G11"/>
    </sheetView>
  </sheetViews>
  <sheetFormatPr defaultColWidth="9.140625" defaultRowHeight="12.75"/>
  <cols>
    <col min="3" max="3" width="43.421875" style="0" customWidth="1"/>
    <col min="4" max="4" width="19.00390625" style="17" customWidth="1"/>
    <col min="5" max="5" width="1.8515625" style="17" customWidth="1"/>
    <col min="6" max="6" width="19.00390625" style="17" customWidth="1"/>
    <col min="7" max="7" width="38.28125" style="0" customWidth="1"/>
  </cols>
  <sheetData>
    <row r="3" ht="13.5" thickBot="1"/>
    <row r="4" spans="3:7" ht="21" thickBot="1">
      <c r="C4" s="667"/>
      <c r="D4" s="669" t="s">
        <v>193</v>
      </c>
      <c r="E4" s="668"/>
      <c r="F4" s="669" t="s">
        <v>194</v>
      </c>
      <c r="G4" s="670"/>
    </row>
    <row r="5" spans="3:7" ht="15">
      <c r="C5" s="667"/>
      <c r="D5" s="671"/>
      <c r="E5" s="671"/>
      <c r="F5" s="671"/>
      <c r="G5" s="672"/>
    </row>
    <row r="6" spans="3:7" s="666" customFormat="1" ht="36">
      <c r="C6" s="673" t="s">
        <v>192</v>
      </c>
      <c r="D6" s="674">
        <v>509</v>
      </c>
      <c r="E6" s="675"/>
      <c r="F6" s="675"/>
      <c r="G6" s="676" t="s">
        <v>815</v>
      </c>
    </row>
    <row r="7" spans="3:7" s="666" customFormat="1" ht="54">
      <c r="C7" s="673" t="s">
        <v>818</v>
      </c>
      <c r="D7" s="674">
        <v>410</v>
      </c>
      <c r="E7" s="675"/>
      <c r="F7" s="675"/>
      <c r="G7" s="676" t="s">
        <v>817</v>
      </c>
    </row>
    <row r="8" spans="3:7" s="666" customFormat="1" ht="32.25" customHeight="1">
      <c r="C8" s="677" t="s">
        <v>793</v>
      </c>
      <c r="D8" s="674"/>
      <c r="E8" s="678"/>
      <c r="F8" s="679">
        <v>-375</v>
      </c>
      <c r="G8" s="680"/>
    </row>
    <row r="9" spans="3:7" s="666" customFormat="1" ht="33" customHeight="1">
      <c r="C9" s="677" t="s">
        <v>794</v>
      </c>
      <c r="D9" s="674"/>
      <c r="E9" s="678"/>
      <c r="F9" s="679">
        <v>-350</v>
      </c>
      <c r="G9" s="680"/>
    </row>
    <row r="10" spans="3:7" s="666" customFormat="1" ht="71.25" customHeight="1" thickBot="1">
      <c r="C10" s="677" t="s">
        <v>795</v>
      </c>
      <c r="D10" s="683"/>
      <c r="E10" s="682"/>
      <c r="F10" s="715">
        <v>-400</v>
      </c>
      <c r="G10" s="680"/>
    </row>
    <row r="11" spans="3:7" s="666" customFormat="1" ht="18">
      <c r="C11" s="677"/>
      <c r="D11" s="684">
        <f>SUM(D6:D10)</f>
        <v>919</v>
      </c>
      <c r="E11" s="675"/>
      <c r="F11" s="679">
        <f>SUM(F6:F10)</f>
        <v>-1125</v>
      </c>
      <c r="G11" s="680"/>
    </row>
    <row r="12" spans="3:7" s="666" customFormat="1" ht="162">
      <c r="C12" s="673" t="s">
        <v>816</v>
      </c>
      <c r="D12" s="681"/>
      <c r="E12" s="682"/>
      <c r="F12" s="714"/>
      <c r="G12" s="676" t="s">
        <v>819</v>
      </c>
    </row>
    <row r="13" spans="3:7" ht="18">
      <c r="C13" s="677"/>
      <c r="D13" s="503"/>
      <c r="E13" s="503"/>
      <c r="F13" s="503"/>
      <c r="G13" s="685"/>
    </row>
    <row r="14" spans="3:6" ht="18">
      <c r="C14" s="496"/>
      <c r="D14" s="661"/>
      <c r="E14" s="663"/>
      <c r="F14" s="662"/>
    </row>
    <row r="15" spans="3:6" ht="18">
      <c r="C15" s="496"/>
      <c r="D15" s="661"/>
      <c r="E15" s="499"/>
      <c r="F15" s="662"/>
    </row>
    <row r="16" spans="3:8" ht="18">
      <c r="C16" s="497"/>
      <c r="G16" s="498"/>
      <c r="H16" s="12"/>
    </row>
    <row r="17" spans="3:8" ht="15">
      <c r="C17" s="18"/>
      <c r="D17" s="500"/>
      <c r="E17" s="501"/>
      <c r="F17" s="502"/>
      <c r="G17" s="19"/>
      <c r="H17" s="12"/>
    </row>
    <row r="18" spans="3:8" ht="15">
      <c r="C18" s="18"/>
      <c r="D18" s="500"/>
      <c r="E18" s="501"/>
      <c r="F18" s="500"/>
      <c r="G18" s="19"/>
      <c r="H18" s="12"/>
    </row>
    <row r="19" spans="3:8" ht="12.75">
      <c r="C19" s="12"/>
      <c r="D19" s="503"/>
      <c r="E19" s="503"/>
      <c r="F19" s="503"/>
      <c r="G19" s="12"/>
      <c r="H19" s="12"/>
    </row>
    <row r="20" spans="3:8" ht="12.75">
      <c r="C20" s="12"/>
      <c r="D20" s="503"/>
      <c r="E20" s="503"/>
      <c r="F20" s="503"/>
      <c r="G20" s="12"/>
      <c r="H20" s="12"/>
    </row>
    <row r="21" spans="3:8" ht="12.75">
      <c r="C21" s="12"/>
      <c r="D21" s="503"/>
      <c r="E21" s="503"/>
      <c r="F21" s="503"/>
      <c r="G21" s="12"/>
      <c r="H21" s="12"/>
    </row>
    <row r="22" spans="3:8" ht="12.75">
      <c r="C22" s="12"/>
      <c r="D22" s="503"/>
      <c r="E22" s="503"/>
      <c r="F22" s="503"/>
      <c r="G22" s="12"/>
      <c r="H22" s="12"/>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47"/>
  <sheetViews>
    <sheetView tabSelected="1" zoomScale="75" zoomScaleNormal="75" workbookViewId="0" topLeftCell="A1">
      <selection activeCell="B3" sqref="B3:I29"/>
    </sheetView>
  </sheetViews>
  <sheetFormatPr defaultColWidth="10.28125" defaultRowHeight="17.25" customHeight="1"/>
  <cols>
    <col min="1" max="1" width="15.00390625" style="247" bestFit="1" customWidth="1"/>
    <col min="2" max="2" width="12.421875" style="253" customWidth="1"/>
    <col min="3" max="3" width="56.7109375" style="247" customWidth="1"/>
    <col min="4" max="5" width="2.140625" style="247" hidden="1" customWidth="1"/>
    <col min="6" max="6" width="19.00390625" style="269" customWidth="1"/>
    <col min="7" max="7" width="21.7109375" style="269" hidden="1" customWidth="1"/>
    <col min="8" max="8" width="22.7109375" style="262" bestFit="1" customWidth="1"/>
    <col min="9" max="9" width="21.00390625" style="270" customWidth="1"/>
    <col min="10" max="10" width="23.140625" style="247" customWidth="1"/>
    <col min="11" max="11" width="29.7109375" style="247" customWidth="1"/>
    <col min="12" max="12" width="7.8515625" style="247" bestFit="1" customWidth="1"/>
    <col min="13" max="13" width="15.7109375" style="247" bestFit="1" customWidth="1"/>
    <col min="14" max="14" width="13.57421875" style="247" bestFit="1" customWidth="1"/>
    <col min="15" max="16384" width="13.140625" style="247" customWidth="1"/>
  </cols>
  <sheetData>
    <row r="1" spans="3:9" ht="27" customHeight="1" thickBot="1">
      <c r="C1" s="249"/>
      <c r="D1" s="249"/>
      <c r="E1" s="249"/>
      <c r="F1" s="249"/>
      <c r="G1" s="249"/>
      <c r="H1" s="250"/>
      <c r="I1" s="251"/>
    </row>
    <row r="2" spans="1:14" ht="16.5" customHeight="1" hidden="1" thickBot="1">
      <c r="A2" s="252"/>
      <c r="C2" s="252"/>
      <c r="D2" s="254" t="s">
        <v>258</v>
      </c>
      <c r="E2" s="254" t="s">
        <v>258</v>
      </c>
      <c r="F2" s="254"/>
      <c r="G2" s="254"/>
      <c r="H2" s="255"/>
      <c r="I2" s="256"/>
      <c r="J2" s="254"/>
      <c r="K2" s="252"/>
      <c r="L2" s="252"/>
      <c r="M2" s="252"/>
      <c r="N2" s="252"/>
    </row>
    <row r="3" spans="1:14" s="253" customFormat="1" ht="17.25" customHeight="1" thickBot="1">
      <c r="A3" s="257"/>
      <c r="B3" s="257"/>
      <c r="C3" s="257"/>
      <c r="D3" s="258" t="s">
        <v>259</v>
      </c>
      <c r="E3" s="258"/>
      <c r="F3" s="333" t="s">
        <v>259</v>
      </c>
      <c r="G3" s="258" t="s">
        <v>260</v>
      </c>
      <c r="H3" s="334" t="s">
        <v>261</v>
      </c>
      <c r="I3" s="335" t="s">
        <v>262</v>
      </c>
      <c r="J3" s="258" t="s">
        <v>263</v>
      </c>
      <c r="K3" s="259" t="s">
        <v>264</v>
      </c>
      <c r="L3" s="257"/>
      <c r="M3" s="257"/>
      <c r="N3" s="257"/>
    </row>
    <row r="4" spans="1:14" ht="15.75" customHeight="1" hidden="1" thickBot="1">
      <c r="A4" s="252"/>
      <c r="F4" s="247"/>
      <c r="G4" s="247"/>
      <c r="H4" s="260"/>
      <c r="I4" s="261"/>
      <c r="J4" s="252"/>
      <c r="K4" s="252"/>
      <c r="L4" s="252"/>
      <c r="M4" s="252"/>
      <c r="N4" s="252"/>
    </row>
    <row r="5" spans="1:14" ht="17.25" customHeight="1">
      <c r="A5" s="252"/>
      <c r="B5" s="294" t="s">
        <v>265</v>
      </c>
      <c r="C5" s="295" t="s">
        <v>105</v>
      </c>
      <c r="D5" s="328">
        <v>37742</v>
      </c>
      <c r="E5" s="297">
        <f aca="true" t="shared" si="0" ref="E5:E13">(+F5-D5)/30</f>
        <v>0</v>
      </c>
      <c r="F5" s="329">
        <v>37742</v>
      </c>
      <c r="G5" s="329"/>
      <c r="H5" s="330"/>
      <c r="I5" s="331">
        <v>37742</v>
      </c>
      <c r="J5" s="262"/>
      <c r="K5" s="252"/>
      <c r="L5" s="252"/>
      <c r="M5" s="252"/>
      <c r="N5" s="252"/>
    </row>
    <row r="6" spans="1:14" ht="17.25" customHeight="1">
      <c r="A6" s="252" t="s">
        <v>266</v>
      </c>
      <c r="B6" s="302"/>
      <c r="C6" s="274" t="s">
        <v>267</v>
      </c>
      <c r="D6" s="303">
        <v>38018</v>
      </c>
      <c r="E6" s="276">
        <f t="shared" si="0"/>
        <v>0</v>
      </c>
      <c r="F6" s="304">
        <v>38018</v>
      </c>
      <c r="G6" s="304"/>
      <c r="H6" s="332"/>
      <c r="I6" s="309">
        <v>38018</v>
      </c>
      <c r="J6" s="262"/>
      <c r="K6" s="265"/>
      <c r="L6" s="252"/>
      <c r="N6" s="252"/>
    </row>
    <row r="7" spans="1:14" ht="17.25" customHeight="1">
      <c r="A7" s="252" t="s">
        <v>268</v>
      </c>
      <c r="B7" s="302"/>
      <c r="C7" s="274" t="s">
        <v>269</v>
      </c>
      <c r="D7" s="275">
        <f>DATE(104,9,30)</f>
        <v>38260</v>
      </c>
      <c r="E7" s="276">
        <f t="shared" si="0"/>
        <v>0</v>
      </c>
      <c r="F7" s="277">
        <v>38260</v>
      </c>
      <c r="G7" s="277"/>
      <c r="H7" s="332"/>
      <c r="I7" s="306">
        <f>DATE(104,9,30)</f>
        <v>38260</v>
      </c>
      <c r="J7" s="266"/>
      <c r="K7" s="265"/>
      <c r="L7" s="252"/>
      <c r="N7" s="252"/>
    </row>
    <row r="8" spans="1:14" ht="17.25" customHeight="1" thickBot="1">
      <c r="A8" s="252" t="s">
        <v>310</v>
      </c>
      <c r="B8" s="322"/>
      <c r="C8" s="323" t="s">
        <v>311</v>
      </c>
      <c r="D8" s="315">
        <f>DATE(108,5,30)</f>
        <v>39598</v>
      </c>
      <c r="E8" s="324">
        <f>(+F8-D8)/30</f>
        <v>14.233333333333333</v>
      </c>
      <c r="F8" s="315">
        <v>40025</v>
      </c>
      <c r="G8" s="315">
        <f>(+F8-H8)/30</f>
        <v>6.766666666666667</v>
      </c>
      <c r="H8" s="326">
        <v>39822</v>
      </c>
      <c r="I8" s="327"/>
      <c r="J8" s="286">
        <v>39871</v>
      </c>
      <c r="K8" s="273">
        <f>(+F8-J8)/30</f>
        <v>5.133333333333334</v>
      </c>
      <c r="L8" s="272"/>
      <c r="N8" s="252"/>
    </row>
    <row r="9" spans="1:14" ht="16.5" customHeight="1" hidden="1" thickBot="1">
      <c r="A9" s="252"/>
      <c r="C9" s="252"/>
      <c r="D9" s="266"/>
      <c r="E9" s="263">
        <f t="shared" si="0"/>
        <v>0</v>
      </c>
      <c r="F9" s="266"/>
      <c r="G9" s="266"/>
      <c r="H9" s="255"/>
      <c r="I9" s="264"/>
      <c r="J9" s="266"/>
      <c r="K9" s="265"/>
      <c r="L9" s="252"/>
      <c r="N9" s="252"/>
    </row>
    <row r="10" spans="1:14" ht="17.25" customHeight="1">
      <c r="A10" s="252" t="s">
        <v>270</v>
      </c>
      <c r="B10" s="294" t="s">
        <v>271</v>
      </c>
      <c r="C10" s="295" t="s">
        <v>272</v>
      </c>
      <c r="D10" s="296">
        <f>DATE(103,10,7)</f>
        <v>37901</v>
      </c>
      <c r="E10" s="297">
        <f t="shared" si="0"/>
        <v>0</v>
      </c>
      <c r="F10" s="298">
        <v>37901</v>
      </c>
      <c r="G10" s="298"/>
      <c r="H10" s="300"/>
      <c r="I10" s="301">
        <f>DATE(103,10,7)</f>
        <v>37901</v>
      </c>
      <c r="J10" s="266"/>
      <c r="K10" s="265"/>
      <c r="L10" s="252"/>
      <c r="N10" s="252"/>
    </row>
    <row r="11" spans="1:14" ht="17.25" customHeight="1">
      <c r="A11" s="252" t="s">
        <v>273</v>
      </c>
      <c r="B11" s="302"/>
      <c r="C11" s="274" t="s">
        <v>274</v>
      </c>
      <c r="D11" s="275">
        <f>DATE(103,11,18)</f>
        <v>37943</v>
      </c>
      <c r="E11" s="276">
        <f t="shared" si="0"/>
        <v>0</v>
      </c>
      <c r="F11" s="277">
        <v>37943</v>
      </c>
      <c r="G11" s="277"/>
      <c r="H11" s="279"/>
      <c r="I11" s="306">
        <f>DATE(103,11,18)</f>
        <v>37943</v>
      </c>
      <c r="J11" s="267"/>
      <c r="K11" s="265"/>
      <c r="L11" s="252"/>
      <c r="N11" s="252"/>
    </row>
    <row r="12" spans="1:14" ht="17.25" customHeight="1">
      <c r="A12" s="252" t="s">
        <v>275</v>
      </c>
      <c r="B12" s="302"/>
      <c r="C12" s="274" t="s">
        <v>276</v>
      </c>
      <c r="D12" s="275">
        <f>DATE(104,7,19)</f>
        <v>38187</v>
      </c>
      <c r="E12" s="276">
        <f t="shared" si="0"/>
        <v>0</v>
      </c>
      <c r="F12" s="277">
        <v>38187</v>
      </c>
      <c r="G12" s="277"/>
      <c r="H12" s="279"/>
      <c r="I12" s="306">
        <f>DATE(104,5,19)</f>
        <v>38126</v>
      </c>
      <c r="J12" s="267"/>
      <c r="K12" s="265"/>
      <c r="L12" s="252"/>
      <c r="N12" s="252"/>
    </row>
    <row r="13" spans="1:14" ht="17.25" customHeight="1">
      <c r="A13" s="252" t="s">
        <v>277</v>
      </c>
      <c r="B13" s="302"/>
      <c r="C13" s="274" t="s">
        <v>278</v>
      </c>
      <c r="D13" s="275">
        <f>DATE(104,7,19)</f>
        <v>38187</v>
      </c>
      <c r="E13" s="276">
        <f t="shared" si="0"/>
        <v>0</v>
      </c>
      <c r="F13" s="277">
        <v>38187</v>
      </c>
      <c r="G13" s="277"/>
      <c r="H13" s="279"/>
      <c r="I13" s="306">
        <f>DATE(104,5,19)</f>
        <v>38126</v>
      </c>
      <c r="J13" s="267"/>
      <c r="K13" s="265"/>
      <c r="L13" s="252"/>
      <c r="N13" s="252"/>
    </row>
    <row r="14" spans="1:14" ht="17.25" customHeight="1">
      <c r="A14" s="252" t="s">
        <v>279</v>
      </c>
      <c r="B14" s="302"/>
      <c r="C14" s="274" t="s">
        <v>280</v>
      </c>
      <c r="D14" s="275"/>
      <c r="E14" s="276"/>
      <c r="F14" s="277">
        <v>38340</v>
      </c>
      <c r="G14" s="277"/>
      <c r="H14" s="279"/>
      <c r="I14" s="306">
        <f>DATE(104,10,15)</f>
        <v>38275</v>
      </c>
      <c r="J14" s="267"/>
      <c r="K14" s="265"/>
      <c r="L14" s="252"/>
      <c r="N14" s="252"/>
    </row>
    <row r="15" spans="1:14" ht="17.25" customHeight="1">
      <c r="A15" s="252" t="s">
        <v>281</v>
      </c>
      <c r="B15" s="302"/>
      <c r="C15" s="274" t="s">
        <v>282</v>
      </c>
      <c r="D15" s="275">
        <v>38322</v>
      </c>
      <c r="E15" s="276">
        <v>-2</v>
      </c>
      <c r="F15" s="277">
        <v>38275</v>
      </c>
      <c r="G15" s="278"/>
      <c r="H15" s="305"/>
      <c r="I15" s="306">
        <v>38245</v>
      </c>
      <c r="J15" s="267"/>
      <c r="K15" s="265"/>
      <c r="L15" s="252"/>
      <c r="N15" s="252"/>
    </row>
    <row r="16" spans="1:14" ht="17.25" customHeight="1">
      <c r="A16" s="252" t="s">
        <v>283</v>
      </c>
      <c r="B16" s="302"/>
      <c r="C16" s="274" t="s">
        <v>284</v>
      </c>
      <c r="D16" s="275">
        <v>38292</v>
      </c>
      <c r="E16" s="276">
        <v>-1</v>
      </c>
      <c r="F16" s="277">
        <v>38261</v>
      </c>
      <c r="G16" s="278"/>
      <c r="H16" s="279"/>
      <c r="I16" s="306">
        <v>38245</v>
      </c>
      <c r="J16" s="267"/>
      <c r="K16" s="265"/>
      <c r="L16" s="252"/>
      <c r="N16" s="252"/>
    </row>
    <row r="17" spans="1:14" ht="17.25" customHeight="1">
      <c r="A17" s="252" t="s">
        <v>285</v>
      </c>
      <c r="B17" s="302"/>
      <c r="C17" s="274" t="s">
        <v>286</v>
      </c>
      <c r="D17" s="275">
        <v>38412</v>
      </c>
      <c r="E17" s="276">
        <v>4</v>
      </c>
      <c r="F17" s="686">
        <v>38548</v>
      </c>
      <c r="G17" s="687">
        <f aca="true" t="shared" si="1" ref="G17:G29">(+F17-H17)/30</f>
        <v>1284.9333333333334</v>
      </c>
      <c r="H17" s="688"/>
      <c r="I17" s="689">
        <v>38625</v>
      </c>
      <c r="J17" s="267"/>
      <c r="K17" s="273"/>
      <c r="L17" s="272"/>
      <c r="N17" s="252"/>
    </row>
    <row r="18" spans="1:14" ht="17.25" customHeight="1">
      <c r="A18" s="252" t="s">
        <v>287</v>
      </c>
      <c r="B18" s="302"/>
      <c r="C18" s="274" t="s">
        <v>288</v>
      </c>
      <c r="D18" s="275">
        <v>38443</v>
      </c>
      <c r="E18" s="276">
        <v>3</v>
      </c>
      <c r="F18" s="277">
        <v>38625</v>
      </c>
      <c r="G18" s="278">
        <f t="shared" si="1"/>
        <v>1287.5</v>
      </c>
      <c r="H18" s="279"/>
      <c r="I18" s="306">
        <v>38533</v>
      </c>
      <c r="J18" s="280"/>
      <c r="K18" s="273"/>
      <c r="L18" s="272"/>
      <c r="N18" s="252"/>
    </row>
    <row r="19" spans="1:14" ht="22.5" customHeight="1">
      <c r="A19" s="252" t="s">
        <v>289</v>
      </c>
      <c r="B19" s="302"/>
      <c r="C19" s="274" t="s">
        <v>290</v>
      </c>
      <c r="D19" s="275">
        <v>38595</v>
      </c>
      <c r="E19" s="276">
        <v>6</v>
      </c>
      <c r="F19" s="717">
        <v>38805</v>
      </c>
      <c r="G19" s="717">
        <v>38822</v>
      </c>
      <c r="H19" s="718"/>
      <c r="I19" s="719">
        <v>38777</v>
      </c>
      <c r="J19" s="286">
        <v>38805</v>
      </c>
      <c r="K19" s="273">
        <f>(+F19-J19)/30</f>
        <v>0</v>
      </c>
      <c r="L19" s="272"/>
      <c r="N19" s="252"/>
    </row>
    <row r="20" spans="1:14" ht="17.25" customHeight="1">
      <c r="A20" s="252" t="s">
        <v>291</v>
      </c>
      <c r="B20" s="302"/>
      <c r="C20" s="274" t="s">
        <v>292</v>
      </c>
      <c r="D20" s="275">
        <v>38749</v>
      </c>
      <c r="E20" s="276">
        <v>0</v>
      </c>
      <c r="F20" s="275">
        <v>38975</v>
      </c>
      <c r="G20" s="321">
        <f t="shared" si="1"/>
        <v>1.5</v>
      </c>
      <c r="H20" s="319">
        <v>38930</v>
      </c>
      <c r="I20" s="320"/>
      <c r="J20" s="286">
        <v>38797</v>
      </c>
      <c r="K20" s="273">
        <f>(+F20-H20)/30</f>
        <v>1.5</v>
      </c>
      <c r="L20" s="272"/>
      <c r="N20" s="252"/>
    </row>
    <row r="21" spans="1:14" ht="17.25" customHeight="1">
      <c r="A21" s="252" t="s">
        <v>293</v>
      </c>
      <c r="B21" s="302"/>
      <c r="C21" s="274" t="s">
        <v>294</v>
      </c>
      <c r="D21" s="275">
        <v>38930</v>
      </c>
      <c r="E21" s="276">
        <v>4</v>
      </c>
      <c r="F21" s="275">
        <v>39326</v>
      </c>
      <c r="G21" s="321">
        <f t="shared" si="1"/>
        <v>1.0333333333333334</v>
      </c>
      <c r="H21" s="319">
        <v>39295</v>
      </c>
      <c r="I21" s="320"/>
      <c r="J21" s="286">
        <v>39141</v>
      </c>
      <c r="K21" s="273">
        <f aca="true" t="shared" si="2" ref="K21:K29">(+F21-H21)/30</f>
        <v>1.0333333333333334</v>
      </c>
      <c r="L21" s="272"/>
      <c r="N21" s="252"/>
    </row>
    <row r="22" spans="1:14" ht="17.25" customHeight="1">
      <c r="A22" s="252" t="s">
        <v>295</v>
      </c>
      <c r="B22" s="302"/>
      <c r="C22" s="274" t="s">
        <v>296</v>
      </c>
      <c r="D22" s="275">
        <v>38869</v>
      </c>
      <c r="E22" s="276">
        <v>7</v>
      </c>
      <c r="F22" s="275">
        <v>39537</v>
      </c>
      <c r="G22" s="321">
        <f t="shared" si="1"/>
        <v>5.166666666666667</v>
      </c>
      <c r="H22" s="319">
        <f>SUM(J22)</f>
        <v>39382</v>
      </c>
      <c r="I22" s="320"/>
      <c r="J22" s="286">
        <v>39382</v>
      </c>
      <c r="K22" s="273">
        <f t="shared" si="2"/>
        <v>5.166666666666667</v>
      </c>
      <c r="L22" s="272"/>
      <c r="N22" s="252"/>
    </row>
    <row r="23" spans="1:14" ht="17.25" customHeight="1">
      <c r="A23" s="281" t="s">
        <v>297</v>
      </c>
      <c r="B23" s="302"/>
      <c r="C23" s="274" t="s">
        <v>298</v>
      </c>
      <c r="D23" s="275">
        <v>38961</v>
      </c>
      <c r="E23" s="276">
        <v>6</v>
      </c>
      <c r="F23" s="275">
        <v>39264</v>
      </c>
      <c r="G23" s="321">
        <f t="shared" si="1"/>
        <v>4.066666666666666</v>
      </c>
      <c r="H23" s="319">
        <v>39142</v>
      </c>
      <c r="I23" s="320"/>
      <c r="J23" s="286">
        <v>39094</v>
      </c>
      <c r="K23" s="273">
        <f t="shared" si="2"/>
        <v>4.066666666666666</v>
      </c>
      <c r="L23" s="272"/>
      <c r="M23" s="265"/>
      <c r="N23" s="252"/>
    </row>
    <row r="24" spans="1:14" ht="17.25" customHeight="1">
      <c r="A24" s="252" t="s">
        <v>328</v>
      </c>
      <c r="B24" s="302"/>
      <c r="C24" s="274" t="s">
        <v>299</v>
      </c>
      <c r="D24" s="275">
        <v>39083</v>
      </c>
      <c r="E24" s="276">
        <v>4</v>
      </c>
      <c r="F24" s="275">
        <v>39675</v>
      </c>
      <c r="G24" s="321">
        <f t="shared" si="1"/>
        <v>10.633333333333333</v>
      </c>
      <c r="H24" s="319">
        <v>39356</v>
      </c>
      <c r="I24" s="320"/>
      <c r="J24" s="286">
        <v>39405</v>
      </c>
      <c r="K24" s="273">
        <f t="shared" si="2"/>
        <v>10.633333333333333</v>
      </c>
      <c r="L24" s="272"/>
      <c r="N24" s="252"/>
    </row>
    <row r="25" spans="1:14" ht="17.25" customHeight="1">
      <c r="A25" s="281" t="s">
        <v>300</v>
      </c>
      <c r="B25" s="302"/>
      <c r="C25" s="274" t="s">
        <v>301</v>
      </c>
      <c r="D25" s="275">
        <v>39234</v>
      </c>
      <c r="E25" s="276">
        <v>3</v>
      </c>
      <c r="F25" s="275">
        <v>39767</v>
      </c>
      <c r="G25" s="321">
        <f t="shared" si="1"/>
        <v>6.6</v>
      </c>
      <c r="H25" s="319">
        <v>39569</v>
      </c>
      <c r="I25" s="320"/>
      <c r="J25" s="286">
        <v>39611</v>
      </c>
      <c r="K25" s="273">
        <f t="shared" si="2"/>
        <v>6.6</v>
      </c>
      <c r="L25" s="272"/>
      <c r="N25" s="252"/>
    </row>
    <row r="26" spans="1:14" ht="17.25" customHeight="1">
      <c r="A26" s="282" t="s">
        <v>302</v>
      </c>
      <c r="B26" s="302"/>
      <c r="C26" s="274" t="s">
        <v>303</v>
      </c>
      <c r="D26" s="275">
        <v>39326</v>
      </c>
      <c r="E26" s="276">
        <v>2</v>
      </c>
      <c r="F26" s="275">
        <v>39855</v>
      </c>
      <c r="G26" s="321">
        <f t="shared" si="1"/>
        <v>6.466666666666667</v>
      </c>
      <c r="H26" s="319">
        <v>39661</v>
      </c>
      <c r="I26" s="320"/>
      <c r="J26" s="286">
        <v>39702</v>
      </c>
      <c r="K26" s="273">
        <f t="shared" si="2"/>
        <v>6.466666666666667</v>
      </c>
      <c r="L26" s="272"/>
      <c r="M26" s="265"/>
      <c r="N26" s="252"/>
    </row>
    <row r="27" spans="1:14" ht="17.25" customHeight="1">
      <c r="A27" s="282" t="s">
        <v>304</v>
      </c>
      <c r="B27" s="302"/>
      <c r="C27" s="274" t="s">
        <v>305</v>
      </c>
      <c r="D27" s="275">
        <v>39387</v>
      </c>
      <c r="E27" s="276">
        <v>2</v>
      </c>
      <c r="F27" s="275">
        <v>39910</v>
      </c>
      <c r="G27" s="321">
        <f t="shared" si="1"/>
        <v>7.266666666666667</v>
      </c>
      <c r="H27" s="319">
        <v>39692</v>
      </c>
      <c r="I27" s="320"/>
      <c r="J27" s="286">
        <v>39759</v>
      </c>
      <c r="K27" s="273">
        <f t="shared" si="2"/>
        <v>7.266666666666667</v>
      </c>
      <c r="L27" s="272"/>
      <c r="M27" s="265"/>
      <c r="N27" s="252"/>
    </row>
    <row r="28" spans="1:14" ht="17.25" customHeight="1">
      <c r="A28" s="252" t="s">
        <v>306</v>
      </c>
      <c r="B28" s="302"/>
      <c r="C28" s="274" t="s">
        <v>307</v>
      </c>
      <c r="D28" s="275">
        <v>39387</v>
      </c>
      <c r="E28" s="276">
        <v>4</v>
      </c>
      <c r="F28" s="275">
        <v>39965</v>
      </c>
      <c r="G28" s="321">
        <f t="shared" si="1"/>
        <v>7.066666666666666</v>
      </c>
      <c r="H28" s="319">
        <v>39753</v>
      </c>
      <c r="I28" s="320"/>
      <c r="J28" s="286">
        <v>39810</v>
      </c>
      <c r="K28" s="273">
        <f t="shared" si="2"/>
        <v>7.066666666666666</v>
      </c>
      <c r="L28" s="272"/>
      <c r="M28" s="265"/>
      <c r="N28" s="252"/>
    </row>
    <row r="29" spans="1:14" ht="17.25" customHeight="1" thickBot="1">
      <c r="A29" s="252" t="s">
        <v>308</v>
      </c>
      <c r="B29" s="322"/>
      <c r="C29" s="323" t="s">
        <v>309</v>
      </c>
      <c r="D29" s="315">
        <v>39538</v>
      </c>
      <c r="E29" s="324">
        <v>0</v>
      </c>
      <c r="F29" s="315">
        <v>39980</v>
      </c>
      <c r="G29" s="325">
        <f t="shared" si="1"/>
        <v>6.566666666666666</v>
      </c>
      <c r="H29" s="326">
        <f>SUM(J29)</f>
        <v>39783</v>
      </c>
      <c r="I29" s="327"/>
      <c r="J29" s="286">
        <v>39783</v>
      </c>
      <c r="K29" s="273">
        <f t="shared" si="2"/>
        <v>6.566666666666666</v>
      </c>
      <c r="L29" s="272"/>
      <c r="M29" s="265"/>
      <c r="N29" s="252"/>
    </row>
    <row r="30" spans="1:14" ht="17.25" customHeight="1" hidden="1" thickBot="1">
      <c r="A30" s="252"/>
      <c r="B30" s="257"/>
      <c r="C30" s="252"/>
      <c r="D30" s="266"/>
      <c r="E30" s="263"/>
      <c r="F30" s="266"/>
      <c r="G30" s="268"/>
      <c r="H30" s="255"/>
      <c r="I30" s="264"/>
      <c r="J30" s="267"/>
      <c r="K30" s="273">
        <f>(+F30-J30)/30</f>
        <v>0</v>
      </c>
      <c r="L30" s="252"/>
      <c r="M30" s="265"/>
      <c r="N30" s="252"/>
    </row>
    <row r="31" spans="1:14" ht="17.25" customHeight="1">
      <c r="A31" s="252" t="s">
        <v>312</v>
      </c>
      <c r="B31" s="294" t="s">
        <v>313</v>
      </c>
      <c r="C31" s="295" t="s">
        <v>314</v>
      </c>
      <c r="D31" s="296">
        <f>DATE(103,12,20)</f>
        <v>37975</v>
      </c>
      <c r="E31" s="297">
        <f aca="true" t="shared" si="3" ref="E31:E38">(+F31-D31)/30</f>
        <v>0.3333333333333333</v>
      </c>
      <c r="F31" s="298">
        <v>37985</v>
      </c>
      <c r="G31" s="299"/>
      <c r="H31" s="300"/>
      <c r="I31" s="301">
        <f>DATE(103,10,20)</f>
        <v>37914</v>
      </c>
      <c r="J31" s="267"/>
      <c r="K31" s="273"/>
      <c r="L31" s="252"/>
      <c r="N31" s="252"/>
    </row>
    <row r="32" spans="1:14" ht="17.25" customHeight="1">
      <c r="A32" s="252" t="s">
        <v>315</v>
      </c>
      <c r="B32" s="302"/>
      <c r="C32" s="274" t="s">
        <v>316</v>
      </c>
      <c r="D32" s="303">
        <v>38047</v>
      </c>
      <c r="E32" s="276">
        <f t="shared" si="3"/>
        <v>1</v>
      </c>
      <c r="F32" s="304">
        <v>38077</v>
      </c>
      <c r="G32" s="278"/>
      <c r="H32" s="305"/>
      <c r="I32" s="306">
        <f>DATE(104,1,30)</f>
        <v>38016</v>
      </c>
      <c r="J32" s="271"/>
      <c r="K32" s="273"/>
      <c r="L32" s="252"/>
      <c r="M32" s="265"/>
      <c r="N32" s="252"/>
    </row>
    <row r="33" spans="1:14" ht="17.25" customHeight="1">
      <c r="A33" s="252" t="s">
        <v>317</v>
      </c>
      <c r="B33" s="302"/>
      <c r="C33" s="274" t="s">
        <v>318</v>
      </c>
      <c r="D33" s="303">
        <v>38139</v>
      </c>
      <c r="E33" s="276">
        <f t="shared" si="3"/>
        <v>0.9666666666666667</v>
      </c>
      <c r="F33" s="304">
        <v>38168</v>
      </c>
      <c r="G33" s="278"/>
      <c r="H33" s="305"/>
      <c r="I33" s="306">
        <f>DATE(104,5,26)</f>
        <v>38133</v>
      </c>
      <c r="J33" s="271"/>
      <c r="K33" s="273"/>
      <c r="L33" s="252"/>
      <c r="N33" s="252"/>
    </row>
    <row r="34" spans="1:14" ht="17.25" customHeight="1">
      <c r="A34" s="252" t="s">
        <v>319</v>
      </c>
      <c r="B34" s="302"/>
      <c r="C34" s="274" t="s">
        <v>320</v>
      </c>
      <c r="D34" s="275">
        <v>38231</v>
      </c>
      <c r="E34" s="276">
        <f t="shared" si="3"/>
        <v>0.9666666666666667</v>
      </c>
      <c r="F34" s="277">
        <v>38260</v>
      </c>
      <c r="G34" s="278"/>
      <c r="H34" s="279"/>
      <c r="I34" s="306">
        <f>DATE(104,9,15)</f>
        <v>38245</v>
      </c>
      <c r="J34" s="267"/>
      <c r="K34" s="273"/>
      <c r="L34" s="252"/>
      <c r="N34" s="252"/>
    </row>
    <row r="35" spans="1:11" ht="17.25" customHeight="1">
      <c r="A35" s="283" t="s">
        <v>279</v>
      </c>
      <c r="B35" s="307"/>
      <c r="C35" s="274" t="s">
        <v>321</v>
      </c>
      <c r="D35" s="308"/>
      <c r="E35" s="276">
        <f t="shared" si="3"/>
        <v>1278.3666666666666</v>
      </c>
      <c r="F35" s="277">
        <v>38351</v>
      </c>
      <c r="G35" s="278">
        <f>(+F35-I35)/30</f>
        <v>2.533333333333333</v>
      </c>
      <c r="H35" s="305"/>
      <c r="I35" s="306">
        <f>DATE(104,10,15)</f>
        <v>38275</v>
      </c>
      <c r="J35" s="267"/>
      <c r="K35" s="273"/>
    </row>
    <row r="36" spans="1:11" ht="17.25" customHeight="1">
      <c r="A36" s="283" t="s">
        <v>322</v>
      </c>
      <c r="B36" s="307"/>
      <c r="C36" s="274" t="s">
        <v>323</v>
      </c>
      <c r="D36" s="308"/>
      <c r="E36" s="276">
        <f t="shared" si="3"/>
        <v>1281.4</v>
      </c>
      <c r="F36" s="304">
        <v>38442</v>
      </c>
      <c r="G36" s="278">
        <f>(+F36-H36)/30</f>
        <v>1281.4</v>
      </c>
      <c r="H36" s="279"/>
      <c r="I36" s="306">
        <v>38441</v>
      </c>
      <c r="J36" s="284"/>
      <c r="K36" s="273"/>
    </row>
    <row r="37" spans="1:11" ht="17.25" customHeight="1">
      <c r="A37" s="283" t="s">
        <v>324</v>
      </c>
      <c r="B37" s="307"/>
      <c r="C37" s="274" t="s">
        <v>325</v>
      </c>
      <c r="D37" s="308"/>
      <c r="E37" s="276">
        <f t="shared" si="3"/>
        <v>1284.4333333333334</v>
      </c>
      <c r="F37" s="304">
        <v>38533</v>
      </c>
      <c r="G37" s="278">
        <f>(+F37-H37)/30</f>
        <v>1284.4333333333334</v>
      </c>
      <c r="H37" s="305"/>
      <c r="I37" s="309">
        <f>+F37</f>
        <v>38533</v>
      </c>
      <c r="J37" s="284"/>
      <c r="K37" s="273"/>
    </row>
    <row r="38" spans="1:11" ht="17.25" customHeight="1">
      <c r="A38" s="247" t="s">
        <v>326</v>
      </c>
      <c r="B38" s="307"/>
      <c r="C38" s="274" t="s">
        <v>327</v>
      </c>
      <c r="D38" s="308"/>
      <c r="E38" s="276">
        <f t="shared" si="3"/>
        <v>1287.5</v>
      </c>
      <c r="F38" s="362">
        <v>38625</v>
      </c>
      <c r="G38" s="362">
        <v>38656</v>
      </c>
      <c r="H38" s="363"/>
      <c r="I38" s="364">
        <v>38687</v>
      </c>
      <c r="J38" s="284">
        <v>38701</v>
      </c>
      <c r="K38" s="273">
        <f>(+F38-J38)/30</f>
        <v>-2.533333333333333</v>
      </c>
    </row>
    <row r="39" spans="1:11" ht="17.25" customHeight="1">
      <c r="A39" s="247" t="s">
        <v>330</v>
      </c>
      <c r="B39" s="307"/>
      <c r="C39" s="308" t="s">
        <v>669</v>
      </c>
      <c r="D39" s="308"/>
      <c r="E39" s="308"/>
      <c r="F39" s="275">
        <v>38990</v>
      </c>
      <c r="G39" s="311"/>
      <c r="H39" s="312">
        <v>38838</v>
      </c>
      <c r="I39" s="310"/>
      <c r="J39" s="284">
        <v>38798</v>
      </c>
      <c r="K39" s="273">
        <f>(+F39-J39)/30</f>
        <v>6.4</v>
      </c>
    </row>
    <row r="40" spans="1:11" ht="17.25" customHeight="1" thickBot="1">
      <c r="A40" s="247" t="s">
        <v>329</v>
      </c>
      <c r="B40" s="313"/>
      <c r="C40" s="314" t="s">
        <v>331</v>
      </c>
      <c r="D40" s="314"/>
      <c r="E40" s="314"/>
      <c r="F40" s="315">
        <v>39355</v>
      </c>
      <c r="G40" s="316"/>
      <c r="H40" s="317">
        <v>39052</v>
      </c>
      <c r="I40" s="318"/>
      <c r="J40" s="284">
        <v>39027</v>
      </c>
      <c r="K40" s="273">
        <f>(+F40-J40)/30</f>
        <v>10.933333333333334</v>
      </c>
    </row>
    <row r="41" ht="17.25" customHeight="1">
      <c r="H41" s="285"/>
    </row>
    <row r="42" ht="17.25" customHeight="1">
      <c r="H42" s="285"/>
    </row>
    <row r="43" ht="17.25" customHeight="1">
      <c r="H43" s="285"/>
    </row>
    <row r="44" ht="17.25" customHeight="1">
      <c r="H44" s="285"/>
    </row>
    <row r="45" ht="17.25" customHeight="1">
      <c r="H45" s="285"/>
    </row>
    <row r="46" ht="17.25" customHeight="1">
      <c r="H46" s="285"/>
    </row>
    <row r="47" ht="17.25" customHeight="1">
      <c r="B47" s="248" t="s">
        <v>257</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M35"/>
  <sheetViews>
    <sheetView zoomScale="75" zoomScaleNormal="75" workbookViewId="0" topLeftCell="A1">
      <selection activeCell="A1" sqref="A1:IV16384"/>
    </sheetView>
  </sheetViews>
  <sheetFormatPr defaultColWidth="9.140625" defaultRowHeight="15" customHeight="1"/>
  <cols>
    <col min="1" max="1" width="2.57421875" style="601" customWidth="1"/>
    <col min="2" max="2" width="1.57421875" style="612" customWidth="1"/>
    <col min="3" max="3" width="10.28125" style="612" hidden="1" customWidth="1"/>
    <col min="4" max="4" width="8.421875" style="612" hidden="1" customWidth="1"/>
    <col min="5" max="5" width="8.00390625" style="612" bestFit="1" customWidth="1"/>
    <col min="6" max="6" width="7.57421875" style="612" bestFit="1" customWidth="1"/>
    <col min="7" max="7" width="10.421875" style="612" bestFit="1" customWidth="1"/>
    <col min="8" max="8" width="6.8515625" style="612" customWidth="1"/>
    <col min="9" max="9" width="5.421875" style="612" bestFit="1" customWidth="1"/>
    <col min="10" max="10" width="5.140625" style="612" bestFit="1" customWidth="1"/>
    <col min="11" max="11" width="4.28125" style="612" bestFit="1" customWidth="1"/>
    <col min="12" max="23" width="5.57421875" style="612" customWidth="1"/>
    <col min="24" max="28" width="5.7109375" style="612" customWidth="1"/>
    <col min="29" max="36" width="5.57421875" style="612" customWidth="1"/>
    <col min="37" max="39" width="5.28125" style="612" customWidth="1"/>
    <col min="40" max="16384" width="8.421875" style="612" customWidth="1"/>
  </cols>
  <sheetData>
    <row r="1" spans="2:38" s="573" customFormat="1" ht="24" customHeight="1">
      <c r="B1" s="574"/>
      <c r="C1" s="574"/>
      <c r="D1" s="574"/>
      <c r="E1" s="575" t="s">
        <v>89</v>
      </c>
      <c r="F1" s="576"/>
      <c r="G1" s="576"/>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8"/>
      <c r="AK1" s="578"/>
      <c r="AL1" s="579"/>
    </row>
    <row r="2" spans="1:38" s="583" customFormat="1" ht="15" customHeight="1">
      <c r="A2" s="580"/>
      <c r="B2" s="581"/>
      <c r="C2" s="581"/>
      <c r="D2" s="581"/>
      <c r="E2" s="582"/>
      <c r="F2" s="581"/>
      <c r="G2" s="581"/>
      <c r="J2" s="427"/>
      <c r="L2" s="427" t="s">
        <v>651</v>
      </c>
      <c r="M2" s="427"/>
      <c r="N2" s="427"/>
      <c r="O2" s="427" t="s">
        <v>476</v>
      </c>
      <c r="P2" s="427"/>
      <c r="Q2" s="427"/>
      <c r="R2" s="581"/>
      <c r="T2" s="427" t="s">
        <v>90</v>
      </c>
      <c r="V2" s="581" t="s">
        <v>91</v>
      </c>
      <c r="W2" s="581"/>
      <c r="X2" s="581"/>
      <c r="Y2" s="581"/>
      <c r="Z2" s="581"/>
      <c r="AA2" s="581" t="s">
        <v>92</v>
      </c>
      <c r="AB2" s="581"/>
      <c r="AC2" s="581"/>
      <c r="AD2" s="581"/>
      <c r="AE2" s="581"/>
      <c r="AF2" s="581" t="s">
        <v>93</v>
      </c>
      <c r="AL2" s="584"/>
    </row>
    <row r="3" spans="2:38" s="583" customFormat="1" ht="15" customHeight="1">
      <c r="B3" s="581"/>
      <c r="C3" s="581"/>
      <c r="D3" s="581"/>
      <c r="E3" s="585"/>
      <c r="F3" s="586"/>
      <c r="G3" s="586"/>
      <c r="H3" s="581"/>
      <c r="I3" s="581"/>
      <c r="K3" s="581"/>
      <c r="L3" s="581"/>
      <c r="M3" s="581"/>
      <c r="N3" s="581"/>
      <c r="O3" s="581"/>
      <c r="P3" s="581"/>
      <c r="Q3" s="581"/>
      <c r="S3" s="581"/>
      <c r="T3" s="581"/>
      <c r="U3" s="587"/>
      <c r="V3" s="581" t="s">
        <v>94</v>
      </c>
      <c r="W3" s="581"/>
      <c r="X3" s="581"/>
      <c r="Y3" s="581"/>
      <c r="Z3" s="581"/>
      <c r="AA3" s="581" t="s">
        <v>95</v>
      </c>
      <c r="AB3" s="581"/>
      <c r="AC3" s="581"/>
      <c r="AD3" s="581"/>
      <c r="AE3" s="581"/>
      <c r="AF3" s="581"/>
      <c r="AL3" s="584"/>
    </row>
    <row r="4" spans="5:38" s="583" customFormat="1" ht="15" customHeight="1" thickBot="1">
      <c r="E4" s="582"/>
      <c r="F4" s="581"/>
      <c r="H4" s="581"/>
      <c r="I4" s="581"/>
      <c r="J4" s="581"/>
      <c r="L4" s="581"/>
      <c r="M4" s="581"/>
      <c r="N4" s="581"/>
      <c r="O4" s="581"/>
      <c r="P4" s="581"/>
      <c r="Q4" s="581"/>
      <c r="S4" s="581"/>
      <c r="T4" s="581"/>
      <c r="V4" s="587"/>
      <c r="W4" s="587"/>
      <c r="X4" s="581"/>
      <c r="Y4" s="581"/>
      <c r="Z4" s="581"/>
      <c r="AA4" s="581"/>
      <c r="AB4" s="581"/>
      <c r="AC4" s="581"/>
      <c r="AD4" s="581"/>
      <c r="AE4" s="581"/>
      <c r="AF4" s="581"/>
      <c r="AG4" s="581"/>
      <c r="AH4" s="581"/>
      <c r="AI4" s="581"/>
      <c r="AJ4" s="581"/>
      <c r="AK4" s="581"/>
      <c r="AL4" s="584"/>
    </row>
    <row r="5" spans="1:38" s="583" customFormat="1" ht="15" customHeight="1" thickBot="1">
      <c r="A5" s="580"/>
      <c r="B5" s="581"/>
      <c r="C5" s="581"/>
      <c r="D5" s="581"/>
      <c r="E5" s="588"/>
      <c r="F5" s="588" t="s">
        <v>471</v>
      </c>
      <c r="G5" s="589"/>
      <c r="H5" s="590" t="s">
        <v>472</v>
      </c>
      <c r="I5" s="590"/>
      <c r="J5" s="590"/>
      <c r="K5" s="590"/>
      <c r="L5" s="590"/>
      <c r="M5" s="590"/>
      <c r="N5" s="590"/>
      <c r="O5" s="590"/>
      <c r="P5" s="589"/>
      <c r="Q5" s="588">
        <v>2006</v>
      </c>
      <c r="R5" s="590"/>
      <c r="S5" s="590"/>
      <c r="T5" s="590"/>
      <c r="U5" s="590"/>
      <c r="V5" s="590"/>
      <c r="W5" s="590"/>
      <c r="X5" s="590"/>
      <c r="Y5" s="590"/>
      <c r="Z5" s="590"/>
      <c r="AA5" s="590"/>
      <c r="AB5" s="590"/>
      <c r="AC5" s="588">
        <v>2007</v>
      </c>
      <c r="AD5" s="590"/>
      <c r="AE5" s="590"/>
      <c r="AF5" s="590"/>
      <c r="AG5" s="590"/>
      <c r="AH5" s="590"/>
      <c r="AI5" s="590"/>
      <c r="AJ5" s="590"/>
      <c r="AK5" s="591"/>
      <c r="AL5" s="591"/>
    </row>
    <row r="6" spans="1:39" s="593" customFormat="1" ht="36.75" customHeight="1" thickBot="1">
      <c r="A6" s="592"/>
      <c r="C6" s="594">
        <v>38353</v>
      </c>
      <c r="D6" s="595">
        <v>38384</v>
      </c>
      <c r="E6" s="596" t="s">
        <v>475</v>
      </c>
      <c r="F6" s="594" t="s">
        <v>473</v>
      </c>
      <c r="G6" s="594" t="s">
        <v>477</v>
      </c>
      <c r="H6" s="594">
        <v>38443</v>
      </c>
      <c r="I6" s="594">
        <v>38473</v>
      </c>
      <c r="J6" s="594">
        <v>38504</v>
      </c>
      <c r="K6" s="597">
        <v>38534</v>
      </c>
      <c r="L6" s="594">
        <v>38565</v>
      </c>
      <c r="M6" s="594">
        <v>38596</v>
      </c>
      <c r="N6" s="594">
        <v>38626</v>
      </c>
      <c r="O6" s="594">
        <v>38657</v>
      </c>
      <c r="P6" s="594">
        <v>38687</v>
      </c>
      <c r="Q6" s="594">
        <v>38718</v>
      </c>
      <c r="R6" s="594">
        <v>38749</v>
      </c>
      <c r="S6" s="594">
        <v>38777</v>
      </c>
      <c r="T6" s="594">
        <v>38808</v>
      </c>
      <c r="U6" s="594">
        <v>38838</v>
      </c>
      <c r="V6" s="594">
        <v>38869</v>
      </c>
      <c r="W6" s="594">
        <v>38899</v>
      </c>
      <c r="X6" s="594">
        <v>38930</v>
      </c>
      <c r="Y6" s="594">
        <v>38961</v>
      </c>
      <c r="Z6" s="594">
        <v>38991</v>
      </c>
      <c r="AA6" s="595">
        <v>39022</v>
      </c>
      <c r="AB6" s="594">
        <v>39052</v>
      </c>
      <c r="AC6" s="598">
        <v>39083</v>
      </c>
      <c r="AD6" s="598">
        <v>39114</v>
      </c>
      <c r="AE6" s="598">
        <v>39142</v>
      </c>
      <c r="AF6" s="598">
        <v>39173</v>
      </c>
      <c r="AG6" s="599">
        <v>39203</v>
      </c>
      <c r="AH6" s="594">
        <v>39234</v>
      </c>
      <c r="AI6" s="594">
        <v>39264</v>
      </c>
      <c r="AJ6" s="594">
        <v>39295</v>
      </c>
      <c r="AK6" s="594" t="s">
        <v>96</v>
      </c>
      <c r="AL6" s="595" t="s">
        <v>97</v>
      </c>
      <c r="AM6" s="600"/>
    </row>
    <row r="7" spans="2:38" ht="15" customHeight="1">
      <c r="B7" s="602"/>
      <c r="C7" s="602"/>
      <c r="D7" s="602"/>
      <c r="E7" s="603"/>
      <c r="F7" s="604"/>
      <c r="G7" s="604"/>
      <c r="H7" s="605"/>
      <c r="I7" s="605"/>
      <c r="J7" s="605"/>
      <c r="K7" s="606"/>
      <c r="L7" s="606"/>
      <c r="M7" s="606"/>
      <c r="N7" s="607"/>
      <c r="O7" s="605"/>
      <c r="P7" s="605"/>
      <c r="Q7" s="605"/>
      <c r="R7" s="605"/>
      <c r="S7" s="605"/>
      <c r="T7" s="605"/>
      <c r="U7" s="608"/>
      <c r="V7" s="606"/>
      <c r="W7" s="606"/>
      <c r="X7" s="606"/>
      <c r="Y7" s="606"/>
      <c r="Z7" s="606"/>
      <c r="AA7" s="606"/>
      <c r="AB7" s="606"/>
      <c r="AC7" s="606"/>
      <c r="AD7" s="606"/>
      <c r="AE7" s="606"/>
      <c r="AF7" s="606"/>
      <c r="AG7" s="606"/>
      <c r="AH7" s="609"/>
      <c r="AI7" s="610"/>
      <c r="AJ7" s="610"/>
      <c r="AK7" s="610"/>
      <c r="AL7" s="611"/>
    </row>
    <row r="8" spans="1:38" ht="28.5" customHeight="1">
      <c r="A8" s="604"/>
      <c r="B8" s="602"/>
      <c r="C8" s="602"/>
      <c r="D8" s="602"/>
      <c r="E8" s="613" t="s">
        <v>71</v>
      </c>
      <c r="F8" s="614" t="s">
        <v>474</v>
      </c>
      <c r="G8" s="614" t="s">
        <v>474</v>
      </c>
      <c r="H8" s="605"/>
      <c r="I8" s="605"/>
      <c r="J8" s="605"/>
      <c r="K8" s="605"/>
      <c r="L8" s="605"/>
      <c r="M8" s="605"/>
      <c r="N8" s="615"/>
      <c r="O8" s="616"/>
      <c r="P8" s="616"/>
      <c r="Q8" s="616"/>
      <c r="R8" s="617"/>
      <c r="S8" s="617"/>
      <c r="T8" s="617"/>
      <c r="U8" s="618"/>
      <c r="V8" s="617"/>
      <c r="W8" s="617"/>
      <c r="X8" s="617"/>
      <c r="Y8" s="617"/>
      <c r="Z8" s="617"/>
      <c r="AA8" s="617"/>
      <c r="AB8" s="617"/>
      <c r="AC8" s="617"/>
      <c r="AD8" s="617"/>
      <c r="AE8" s="617"/>
      <c r="AF8" s="617"/>
      <c r="AG8" s="617"/>
      <c r="AH8" s="619"/>
      <c r="AI8" s="620"/>
      <c r="AJ8" s="620"/>
      <c r="AK8" s="621"/>
      <c r="AL8" s="611"/>
    </row>
    <row r="9" spans="1:38" ht="28.5" customHeight="1">
      <c r="A9" s="604"/>
      <c r="B9" s="602"/>
      <c r="C9" s="602"/>
      <c r="D9" s="602"/>
      <c r="E9" s="613" t="s">
        <v>76</v>
      </c>
      <c r="F9" s="614">
        <v>20</v>
      </c>
      <c r="G9" s="614">
        <v>22</v>
      </c>
      <c r="H9" s="605"/>
      <c r="I9" s="605"/>
      <c r="J9" s="605"/>
      <c r="K9" s="605"/>
      <c r="L9" s="605"/>
      <c r="M9" s="605"/>
      <c r="N9" s="622"/>
      <c r="O9" s="623"/>
      <c r="P9" s="616"/>
      <c r="Q9" s="624"/>
      <c r="R9" s="617"/>
      <c r="S9" s="618"/>
      <c r="T9" s="617"/>
      <c r="U9" s="618"/>
      <c r="V9" s="617"/>
      <c r="W9" s="617"/>
      <c r="X9" s="617"/>
      <c r="Y9" s="617"/>
      <c r="Z9" s="617"/>
      <c r="AA9" s="617"/>
      <c r="AB9" s="617"/>
      <c r="AC9" s="617"/>
      <c r="AD9" s="617"/>
      <c r="AE9" s="617"/>
      <c r="AF9" s="617"/>
      <c r="AG9" s="617"/>
      <c r="AH9" s="619"/>
      <c r="AI9" s="620"/>
      <c r="AJ9" s="620"/>
      <c r="AK9" s="621"/>
      <c r="AL9" s="611"/>
    </row>
    <row r="10" spans="1:38" ht="28.5" customHeight="1">
      <c r="A10" s="604"/>
      <c r="B10" s="602"/>
      <c r="C10" s="602"/>
      <c r="D10" s="602"/>
      <c r="E10" s="613" t="s">
        <v>77</v>
      </c>
      <c r="F10" s="614">
        <v>14</v>
      </c>
      <c r="G10" s="614">
        <v>16</v>
      </c>
      <c r="H10" s="605"/>
      <c r="I10" s="605"/>
      <c r="J10" s="605"/>
      <c r="K10" s="605"/>
      <c r="L10" s="605"/>
      <c r="M10" s="605"/>
      <c r="N10" s="624"/>
      <c r="O10" s="616"/>
      <c r="P10" s="623"/>
      <c r="Q10" s="616"/>
      <c r="R10" s="617"/>
      <c r="S10" s="617"/>
      <c r="T10" s="617"/>
      <c r="U10" s="618"/>
      <c r="V10" s="617"/>
      <c r="W10" s="617"/>
      <c r="X10" s="617"/>
      <c r="Y10" s="617"/>
      <c r="Z10" s="617"/>
      <c r="AA10" s="617"/>
      <c r="AB10" s="617"/>
      <c r="AC10" s="617"/>
      <c r="AD10" s="617"/>
      <c r="AE10" s="617"/>
      <c r="AF10" s="617"/>
      <c r="AG10" s="617"/>
      <c r="AH10" s="619"/>
      <c r="AI10" s="620"/>
      <c r="AJ10" s="620"/>
      <c r="AK10" s="621"/>
      <c r="AL10" s="611"/>
    </row>
    <row r="11" spans="1:38" ht="28.5" customHeight="1">
      <c r="A11" s="604"/>
      <c r="B11" s="602"/>
      <c r="C11" s="602"/>
      <c r="D11" s="602"/>
      <c r="E11" s="613" t="s">
        <v>78</v>
      </c>
      <c r="F11" s="614"/>
      <c r="G11" s="614">
        <v>15</v>
      </c>
      <c r="H11" s="605"/>
      <c r="I11" s="605"/>
      <c r="J11" s="605"/>
      <c r="K11" s="605"/>
      <c r="L11" s="605"/>
      <c r="M11" s="605"/>
      <c r="N11" s="624"/>
      <c r="O11" s="616"/>
      <c r="P11" s="616"/>
      <c r="Q11" s="616"/>
      <c r="R11" s="616"/>
      <c r="S11" s="616"/>
      <c r="T11" s="616"/>
      <c r="U11" s="625"/>
      <c r="V11" s="616"/>
      <c r="W11" s="616"/>
      <c r="X11" s="616"/>
      <c r="Y11" s="617"/>
      <c r="Z11" s="617"/>
      <c r="AA11" s="617"/>
      <c r="AB11" s="617"/>
      <c r="AC11" s="617"/>
      <c r="AD11" s="617"/>
      <c r="AE11" s="617"/>
      <c r="AF11" s="617"/>
      <c r="AG11" s="617"/>
      <c r="AH11" s="619"/>
      <c r="AI11" s="620"/>
      <c r="AJ11" s="620"/>
      <c r="AK11" s="621"/>
      <c r="AL11" s="611"/>
    </row>
    <row r="12" spans="1:38" ht="28.5" customHeight="1">
      <c r="A12" s="604"/>
      <c r="B12" s="602"/>
      <c r="C12" s="602"/>
      <c r="D12" s="602"/>
      <c r="E12" s="613" t="s">
        <v>79</v>
      </c>
      <c r="F12" s="614"/>
      <c r="G12" s="614">
        <v>14</v>
      </c>
      <c r="H12" s="605"/>
      <c r="I12" s="605"/>
      <c r="J12" s="605"/>
      <c r="K12" s="605"/>
      <c r="L12" s="605"/>
      <c r="M12" s="605"/>
      <c r="N12" s="626"/>
      <c r="O12" s="617"/>
      <c r="P12" s="617"/>
      <c r="Q12" s="616"/>
      <c r="R12" s="616"/>
      <c r="S12" s="627"/>
      <c r="T12" s="616"/>
      <c r="U12" s="625"/>
      <c r="V12" s="616"/>
      <c r="W12" s="616"/>
      <c r="X12" s="616"/>
      <c r="Y12" s="617"/>
      <c r="Z12" s="617"/>
      <c r="AA12" s="617"/>
      <c r="AB12" s="617"/>
      <c r="AC12" s="617"/>
      <c r="AD12" s="617"/>
      <c r="AE12" s="617"/>
      <c r="AF12" s="617"/>
      <c r="AG12" s="617"/>
      <c r="AH12" s="619"/>
      <c r="AI12" s="620"/>
      <c r="AJ12" s="620"/>
      <c r="AK12" s="621"/>
      <c r="AL12" s="611"/>
    </row>
    <row r="13" spans="1:38" ht="28.5" customHeight="1">
      <c r="A13" s="604"/>
      <c r="B13" s="602"/>
      <c r="C13" s="602"/>
      <c r="D13" s="602"/>
      <c r="E13" s="613" t="s">
        <v>80</v>
      </c>
      <c r="F13" s="614"/>
      <c r="G13" s="614">
        <v>14</v>
      </c>
      <c r="H13" s="605"/>
      <c r="I13" s="605"/>
      <c r="J13" s="605"/>
      <c r="K13" s="605"/>
      <c r="L13" s="605"/>
      <c r="M13" s="605"/>
      <c r="N13" s="626"/>
      <c r="O13" s="617"/>
      <c r="P13" s="617"/>
      <c r="Q13" s="616"/>
      <c r="R13" s="616"/>
      <c r="S13" s="616"/>
      <c r="T13" s="627"/>
      <c r="U13" s="625"/>
      <c r="V13" s="616"/>
      <c r="W13" s="616"/>
      <c r="X13" s="616"/>
      <c r="Y13" s="617"/>
      <c r="Z13" s="617"/>
      <c r="AA13" s="617"/>
      <c r="AB13" s="617"/>
      <c r="AC13" s="617"/>
      <c r="AD13" s="617"/>
      <c r="AE13" s="617"/>
      <c r="AF13" s="617"/>
      <c r="AG13" s="617"/>
      <c r="AH13" s="619"/>
      <c r="AI13" s="620"/>
      <c r="AJ13" s="620"/>
      <c r="AK13" s="621"/>
      <c r="AL13" s="611"/>
    </row>
    <row r="14" spans="1:38" ht="28.5" customHeight="1">
      <c r="A14" s="604"/>
      <c r="B14" s="602"/>
      <c r="C14" s="602"/>
      <c r="D14" s="602"/>
      <c r="E14" s="613" t="s">
        <v>81</v>
      </c>
      <c r="F14" s="614"/>
      <c r="G14" s="614">
        <v>16</v>
      </c>
      <c r="H14" s="605"/>
      <c r="I14" s="605"/>
      <c r="J14" s="605"/>
      <c r="K14" s="605"/>
      <c r="L14" s="605"/>
      <c r="M14" s="605"/>
      <c r="N14" s="626"/>
      <c r="O14" s="617"/>
      <c r="P14" s="617"/>
      <c r="Q14" s="616"/>
      <c r="R14" s="616"/>
      <c r="S14" s="616"/>
      <c r="T14" s="616"/>
      <c r="U14" s="628"/>
      <c r="V14" s="616"/>
      <c r="W14" s="616"/>
      <c r="X14" s="616"/>
      <c r="Y14" s="617"/>
      <c r="Z14" s="617"/>
      <c r="AA14" s="617"/>
      <c r="AB14" s="617"/>
      <c r="AC14" s="617"/>
      <c r="AD14" s="617"/>
      <c r="AE14" s="617"/>
      <c r="AF14" s="617"/>
      <c r="AG14" s="617"/>
      <c r="AH14" s="619"/>
      <c r="AI14" s="620"/>
      <c r="AJ14" s="620"/>
      <c r="AK14" s="621"/>
      <c r="AL14" s="611"/>
    </row>
    <row r="15" spans="1:38" ht="28.5" customHeight="1">
      <c r="A15" s="604"/>
      <c r="B15" s="602"/>
      <c r="C15" s="602"/>
      <c r="D15" s="602"/>
      <c r="E15" s="613" t="s">
        <v>86</v>
      </c>
      <c r="F15" s="614"/>
      <c r="G15" s="614">
        <v>14</v>
      </c>
      <c r="H15" s="605"/>
      <c r="I15" s="605"/>
      <c r="J15" s="605"/>
      <c r="K15" s="605"/>
      <c r="L15" s="605"/>
      <c r="M15" s="605"/>
      <c r="N15" s="626"/>
      <c r="O15" s="617"/>
      <c r="P15" s="617"/>
      <c r="Q15" s="616"/>
      <c r="R15" s="616"/>
      <c r="S15" s="616"/>
      <c r="T15" s="616"/>
      <c r="U15" s="625"/>
      <c r="V15" s="627"/>
      <c r="W15" s="629"/>
      <c r="X15" s="629"/>
      <c r="Y15" s="617"/>
      <c r="Z15" s="617"/>
      <c r="AA15" s="617"/>
      <c r="AB15" s="617"/>
      <c r="AC15" s="617"/>
      <c r="AD15" s="617"/>
      <c r="AE15" s="617"/>
      <c r="AF15" s="617"/>
      <c r="AG15" s="617"/>
      <c r="AH15" s="619"/>
      <c r="AI15" s="620"/>
      <c r="AJ15" s="620"/>
      <c r="AK15" s="621"/>
      <c r="AL15" s="611"/>
    </row>
    <row r="16" spans="1:38" ht="28.5" customHeight="1">
      <c r="A16" s="604"/>
      <c r="B16" s="602"/>
      <c r="C16" s="602"/>
      <c r="D16" s="602"/>
      <c r="E16" s="613" t="s">
        <v>82</v>
      </c>
      <c r="F16" s="614"/>
      <c r="G16" s="614">
        <v>14</v>
      </c>
      <c r="H16" s="605"/>
      <c r="I16" s="605"/>
      <c r="J16" s="605"/>
      <c r="K16" s="605"/>
      <c r="L16" s="605"/>
      <c r="M16" s="605"/>
      <c r="N16" s="617"/>
      <c r="O16" s="617"/>
      <c r="P16" s="626"/>
      <c r="Q16" s="616"/>
      <c r="R16" s="625"/>
      <c r="S16" s="616"/>
      <c r="T16" s="616"/>
      <c r="U16" s="616"/>
      <c r="V16" s="616"/>
      <c r="W16" s="623"/>
      <c r="X16" s="629"/>
      <c r="Y16" s="617"/>
      <c r="Z16" s="617"/>
      <c r="AA16" s="617"/>
      <c r="AB16" s="617"/>
      <c r="AC16" s="617"/>
      <c r="AD16" s="617"/>
      <c r="AE16" s="617"/>
      <c r="AF16" s="617"/>
      <c r="AG16" s="617"/>
      <c r="AH16" s="619"/>
      <c r="AI16" s="620"/>
      <c r="AJ16" s="620"/>
      <c r="AK16" s="621"/>
      <c r="AL16" s="611"/>
    </row>
    <row r="17" spans="1:38" ht="28.5" customHeight="1">
      <c r="A17" s="604"/>
      <c r="B17" s="602"/>
      <c r="C17" s="602"/>
      <c r="D17" s="602"/>
      <c r="E17" s="613" t="s">
        <v>87</v>
      </c>
      <c r="F17" s="614"/>
      <c r="G17" s="614">
        <v>16</v>
      </c>
      <c r="H17" s="605"/>
      <c r="I17" s="605"/>
      <c r="J17" s="605"/>
      <c r="K17" s="605"/>
      <c r="L17" s="605"/>
      <c r="M17" s="605"/>
      <c r="N17" s="617"/>
      <c r="O17" s="617"/>
      <c r="P17" s="617"/>
      <c r="Q17" s="616"/>
      <c r="R17" s="616"/>
      <c r="S17" s="616"/>
      <c r="T17" s="616"/>
      <c r="U17" s="616"/>
      <c r="V17" s="616"/>
      <c r="W17" s="629"/>
      <c r="X17" s="623"/>
      <c r="Y17" s="617"/>
      <c r="Z17" s="617"/>
      <c r="AA17" s="617"/>
      <c r="AB17" s="617"/>
      <c r="AC17" s="617"/>
      <c r="AD17" s="617"/>
      <c r="AE17" s="617"/>
      <c r="AF17" s="617"/>
      <c r="AG17" s="617"/>
      <c r="AH17" s="619"/>
      <c r="AI17" s="620"/>
      <c r="AJ17" s="620"/>
      <c r="AK17" s="621"/>
      <c r="AL17" s="611"/>
    </row>
    <row r="18" spans="1:38" ht="28.5" customHeight="1">
      <c r="A18" s="604"/>
      <c r="B18" s="602"/>
      <c r="C18" s="602"/>
      <c r="D18" s="602"/>
      <c r="E18" s="613" t="s">
        <v>83</v>
      </c>
      <c r="F18" s="614"/>
      <c r="G18" s="614">
        <v>14</v>
      </c>
      <c r="H18" s="605"/>
      <c r="I18" s="605"/>
      <c r="J18" s="605"/>
      <c r="K18" s="605"/>
      <c r="L18" s="605"/>
      <c r="M18" s="605"/>
      <c r="N18" s="617"/>
      <c r="O18" s="617"/>
      <c r="P18" s="617"/>
      <c r="Q18" s="617"/>
      <c r="R18" s="617"/>
      <c r="S18" s="617"/>
      <c r="T18" s="617"/>
      <c r="U18" s="617"/>
      <c r="V18" s="617"/>
      <c r="W18" s="617"/>
      <c r="X18" s="617"/>
      <c r="Y18" s="617"/>
      <c r="Z18" s="627"/>
      <c r="AA18" s="617"/>
      <c r="AB18" s="617"/>
      <c r="AC18" s="617"/>
      <c r="AD18" s="617"/>
      <c r="AE18" s="617"/>
      <c r="AF18" s="617"/>
      <c r="AG18" s="617"/>
      <c r="AH18" s="619"/>
      <c r="AI18" s="620"/>
      <c r="AJ18" s="620"/>
      <c r="AK18" s="621"/>
      <c r="AL18" s="611"/>
    </row>
    <row r="19" spans="1:38" ht="28.5" customHeight="1">
      <c r="A19" s="604"/>
      <c r="B19" s="602"/>
      <c r="C19" s="602"/>
      <c r="D19" s="602"/>
      <c r="E19" s="613" t="s">
        <v>84</v>
      </c>
      <c r="F19" s="614"/>
      <c r="G19" s="614">
        <v>14</v>
      </c>
      <c r="H19" s="605"/>
      <c r="I19" s="605"/>
      <c r="J19" s="605"/>
      <c r="K19" s="605"/>
      <c r="L19" s="605"/>
      <c r="M19" s="605"/>
      <c r="N19" s="617"/>
      <c r="O19" s="617"/>
      <c r="P19" s="617"/>
      <c r="Q19" s="617"/>
      <c r="R19" s="617"/>
      <c r="S19" s="617"/>
      <c r="T19" s="617"/>
      <c r="U19" s="617"/>
      <c r="V19" s="617"/>
      <c r="W19" s="617"/>
      <c r="X19" s="617"/>
      <c r="Y19" s="617"/>
      <c r="Z19" s="617"/>
      <c r="AA19" s="629"/>
      <c r="AB19" s="617"/>
      <c r="AC19" s="617"/>
      <c r="AD19" s="617"/>
      <c r="AE19" s="617"/>
      <c r="AF19" s="617"/>
      <c r="AG19" s="617"/>
      <c r="AH19" s="619"/>
      <c r="AI19" s="620"/>
      <c r="AJ19" s="620"/>
      <c r="AK19" s="621"/>
      <c r="AL19" s="611"/>
    </row>
    <row r="20" spans="1:38" ht="28.5" customHeight="1">
      <c r="A20" s="604"/>
      <c r="B20" s="602"/>
      <c r="C20" s="602"/>
      <c r="D20" s="602"/>
      <c r="E20" s="613" t="s">
        <v>85</v>
      </c>
      <c r="F20" s="614"/>
      <c r="G20" s="614">
        <v>14</v>
      </c>
      <c r="H20" s="605"/>
      <c r="I20" s="605"/>
      <c r="J20" s="605"/>
      <c r="K20" s="605"/>
      <c r="L20" s="605"/>
      <c r="M20" s="605"/>
      <c r="N20" s="617"/>
      <c r="O20" s="617"/>
      <c r="P20" s="617"/>
      <c r="Q20" s="617"/>
      <c r="R20" s="617"/>
      <c r="S20" s="617"/>
      <c r="T20" s="617"/>
      <c r="U20" s="617"/>
      <c r="V20" s="617"/>
      <c r="W20" s="617"/>
      <c r="X20" s="617"/>
      <c r="Y20" s="617"/>
      <c r="Z20" s="617"/>
      <c r="AA20" s="617"/>
      <c r="AB20" s="617"/>
      <c r="AC20" s="617"/>
      <c r="AD20" s="629"/>
      <c r="AE20" s="617"/>
      <c r="AF20" s="617"/>
      <c r="AG20" s="617"/>
      <c r="AH20" s="619"/>
      <c r="AI20" s="620"/>
      <c r="AJ20" s="620"/>
      <c r="AK20" s="621"/>
      <c r="AL20" s="611"/>
    </row>
    <row r="21" spans="1:38" ht="28.5" customHeight="1">
      <c r="A21" s="604"/>
      <c r="B21" s="602"/>
      <c r="C21" s="602"/>
      <c r="D21" s="602"/>
      <c r="E21" s="613" t="s">
        <v>88</v>
      </c>
      <c r="F21" s="614"/>
      <c r="G21" s="614">
        <v>15</v>
      </c>
      <c r="H21" s="605"/>
      <c r="I21" s="605"/>
      <c r="J21" s="605"/>
      <c r="K21" s="605"/>
      <c r="L21" s="605"/>
      <c r="M21" s="605"/>
      <c r="N21" s="617"/>
      <c r="O21" s="617"/>
      <c r="P21" s="617"/>
      <c r="Q21" s="617"/>
      <c r="R21" s="617"/>
      <c r="S21" s="617"/>
      <c r="T21" s="617"/>
      <c r="U21" s="617"/>
      <c r="V21" s="617"/>
      <c r="W21" s="617"/>
      <c r="X21" s="617"/>
      <c r="Y21" s="617"/>
      <c r="Z21" s="617"/>
      <c r="AA21" s="617"/>
      <c r="AB21" s="617"/>
      <c r="AC21" s="617"/>
      <c r="AD21" s="623"/>
      <c r="AE21" s="617"/>
      <c r="AF21" s="617"/>
      <c r="AG21" s="617"/>
      <c r="AH21" s="619"/>
      <c r="AI21" s="620"/>
      <c r="AJ21" s="620"/>
      <c r="AK21" s="621"/>
      <c r="AL21" s="611"/>
    </row>
    <row r="22" spans="1:38" ht="28.5" customHeight="1">
      <c r="A22" s="604"/>
      <c r="B22" s="602"/>
      <c r="C22" s="602"/>
      <c r="D22" s="602"/>
      <c r="E22" s="613" t="s">
        <v>75</v>
      </c>
      <c r="F22" s="614"/>
      <c r="G22" s="614">
        <v>14</v>
      </c>
      <c r="H22" s="605"/>
      <c r="I22" s="605"/>
      <c r="J22" s="605"/>
      <c r="K22" s="605"/>
      <c r="L22" s="605"/>
      <c r="M22" s="605"/>
      <c r="N22" s="617"/>
      <c r="O22" s="617"/>
      <c r="P22" s="617"/>
      <c r="Q22" s="617"/>
      <c r="R22" s="617"/>
      <c r="S22" s="617"/>
      <c r="T22" s="617"/>
      <c r="U22" s="617"/>
      <c r="V22" s="617"/>
      <c r="W22" s="617"/>
      <c r="X22" s="617"/>
      <c r="Y22" s="617"/>
      <c r="Z22" s="617"/>
      <c r="AA22" s="617"/>
      <c r="AB22" s="617"/>
      <c r="AC22" s="617"/>
      <c r="AD22" s="617"/>
      <c r="AE22" s="617"/>
      <c r="AF22" s="617"/>
      <c r="AG22" s="629"/>
      <c r="AH22" s="619"/>
      <c r="AI22" s="620"/>
      <c r="AJ22" s="620"/>
      <c r="AK22" s="621"/>
      <c r="AL22" s="611"/>
    </row>
    <row r="23" spans="1:38" ht="28.5" customHeight="1">
      <c r="A23" s="604"/>
      <c r="B23" s="602"/>
      <c r="C23" s="602"/>
      <c r="D23" s="602"/>
      <c r="E23" s="613" t="s">
        <v>74</v>
      </c>
      <c r="F23" s="614"/>
      <c r="G23" s="614">
        <v>14</v>
      </c>
      <c r="H23" s="605"/>
      <c r="I23" s="605"/>
      <c r="J23" s="605"/>
      <c r="K23" s="605"/>
      <c r="L23" s="605"/>
      <c r="M23" s="605"/>
      <c r="N23" s="617"/>
      <c r="O23" s="617"/>
      <c r="P23" s="617"/>
      <c r="Q23" s="617"/>
      <c r="R23" s="617"/>
      <c r="S23" s="617"/>
      <c r="T23" s="617"/>
      <c r="U23" s="617"/>
      <c r="V23" s="617"/>
      <c r="W23" s="617"/>
      <c r="X23" s="617"/>
      <c r="Y23" s="617"/>
      <c r="Z23" s="617"/>
      <c r="AA23" s="617"/>
      <c r="AB23" s="617"/>
      <c r="AC23" s="617"/>
      <c r="AD23" s="617"/>
      <c r="AE23" s="617"/>
      <c r="AF23" s="617"/>
      <c r="AG23" s="623"/>
      <c r="AH23" s="619"/>
      <c r="AI23" s="620"/>
      <c r="AJ23" s="620"/>
      <c r="AK23" s="621"/>
      <c r="AL23" s="611"/>
    </row>
    <row r="24" spans="1:38" ht="28.5" customHeight="1">
      <c r="A24" s="604"/>
      <c r="B24" s="602"/>
      <c r="C24" s="602"/>
      <c r="D24" s="602"/>
      <c r="E24" s="613" t="s">
        <v>73</v>
      </c>
      <c r="F24" s="614"/>
      <c r="G24" s="614">
        <v>14</v>
      </c>
      <c r="H24" s="605"/>
      <c r="I24" s="605"/>
      <c r="J24" s="605"/>
      <c r="K24" s="605"/>
      <c r="L24" s="605"/>
      <c r="M24" s="605"/>
      <c r="N24" s="617"/>
      <c r="O24" s="617"/>
      <c r="P24" s="617"/>
      <c r="Q24" s="617"/>
      <c r="R24" s="617"/>
      <c r="S24" s="617"/>
      <c r="T24" s="617"/>
      <c r="U24" s="617"/>
      <c r="V24" s="617"/>
      <c r="W24" s="617"/>
      <c r="X24" s="617"/>
      <c r="Y24" s="617"/>
      <c r="Z24" s="617"/>
      <c r="AA24" s="617"/>
      <c r="AB24" s="617"/>
      <c r="AC24" s="617"/>
      <c r="AD24" s="617"/>
      <c r="AE24" s="617"/>
      <c r="AF24" s="617"/>
      <c r="AG24" s="617"/>
      <c r="AH24" s="630"/>
      <c r="AI24" s="631"/>
      <c r="AJ24" s="620"/>
      <c r="AK24" s="621"/>
      <c r="AL24" s="611"/>
    </row>
    <row r="25" spans="1:38" ht="28.5" customHeight="1" thickBot="1">
      <c r="A25" s="604"/>
      <c r="B25" s="602"/>
      <c r="C25" s="602"/>
      <c r="D25" s="602"/>
      <c r="E25" s="632" t="s">
        <v>72</v>
      </c>
      <c r="F25" s="633"/>
      <c r="G25" s="633">
        <v>14</v>
      </c>
      <c r="H25" s="634"/>
      <c r="I25" s="634"/>
      <c r="J25" s="634"/>
      <c r="K25" s="634"/>
      <c r="L25" s="634"/>
      <c r="M25" s="634"/>
      <c r="N25" s="635"/>
      <c r="O25" s="635"/>
      <c r="P25" s="635"/>
      <c r="Q25" s="635"/>
      <c r="R25" s="635"/>
      <c r="S25" s="635"/>
      <c r="T25" s="635"/>
      <c r="U25" s="635"/>
      <c r="V25" s="635"/>
      <c r="W25" s="635"/>
      <c r="X25" s="635"/>
      <c r="Y25" s="635"/>
      <c r="Z25" s="635"/>
      <c r="AA25" s="635"/>
      <c r="AB25" s="635"/>
      <c r="AC25" s="635"/>
      <c r="AD25" s="635"/>
      <c r="AE25" s="635"/>
      <c r="AF25" s="635"/>
      <c r="AG25" s="635"/>
      <c r="AH25" s="636"/>
      <c r="AI25" s="637"/>
      <c r="AJ25" s="638"/>
      <c r="AK25" s="639"/>
      <c r="AL25" s="640"/>
    </row>
    <row r="26" spans="1:18" ht="9.75" customHeight="1" thickBot="1">
      <c r="A26" s="641"/>
      <c r="B26" s="602"/>
      <c r="C26" s="602"/>
      <c r="D26" s="602"/>
      <c r="E26" s="602"/>
      <c r="F26" s="602"/>
      <c r="G26" s="602"/>
      <c r="H26" s="602"/>
      <c r="I26" s="602"/>
      <c r="J26" s="602"/>
      <c r="K26" s="602"/>
      <c r="L26" s="602"/>
      <c r="M26" s="602"/>
      <c r="N26" s="602"/>
      <c r="O26" s="602"/>
      <c r="P26" s="602"/>
      <c r="Q26" s="602"/>
      <c r="R26" s="602"/>
    </row>
    <row r="27" spans="1:38" s="583" customFormat="1" ht="15" customHeight="1" thickBot="1">
      <c r="A27" s="580"/>
      <c r="B27" s="581"/>
      <c r="C27" s="581"/>
      <c r="D27" s="581"/>
      <c r="E27" s="588">
        <v>2005</v>
      </c>
      <c r="F27" s="590"/>
      <c r="G27" s="590"/>
      <c r="H27" s="590"/>
      <c r="I27" s="590"/>
      <c r="J27" s="590"/>
      <c r="K27" s="590"/>
      <c r="L27" s="590"/>
      <c r="M27" s="590"/>
      <c r="N27" s="590"/>
      <c r="O27" s="590"/>
      <c r="P27" s="589"/>
      <c r="Q27" s="588">
        <v>2006</v>
      </c>
      <c r="R27" s="590"/>
      <c r="S27" s="590"/>
      <c r="T27" s="590"/>
      <c r="U27" s="590"/>
      <c r="V27" s="590"/>
      <c r="W27" s="590"/>
      <c r="X27" s="590"/>
      <c r="Y27" s="590"/>
      <c r="Z27" s="590"/>
      <c r="AA27" s="590"/>
      <c r="AB27" s="590"/>
      <c r="AC27" s="588">
        <v>2007</v>
      </c>
      <c r="AD27" s="590"/>
      <c r="AE27" s="590"/>
      <c r="AF27" s="590"/>
      <c r="AG27" s="590"/>
      <c r="AH27" s="590"/>
      <c r="AI27" s="590"/>
      <c r="AJ27" s="590"/>
      <c r="AK27" s="591"/>
      <c r="AL27" s="591"/>
    </row>
    <row r="28" spans="1:39" s="593" customFormat="1" ht="28.5" customHeight="1" thickBot="1">
      <c r="A28" s="592"/>
      <c r="C28" s="594">
        <v>38353</v>
      </c>
      <c r="D28" s="595">
        <v>38384</v>
      </c>
      <c r="E28" s="594">
        <v>38412</v>
      </c>
      <c r="F28" s="594"/>
      <c r="G28" s="594"/>
      <c r="H28" s="594">
        <v>38443</v>
      </c>
      <c r="I28" s="594">
        <v>38473</v>
      </c>
      <c r="J28" s="594">
        <v>38504</v>
      </c>
      <c r="K28" s="597">
        <v>38534</v>
      </c>
      <c r="L28" s="594">
        <v>38565</v>
      </c>
      <c r="M28" s="594">
        <v>38596</v>
      </c>
      <c r="N28" s="594">
        <v>38626</v>
      </c>
      <c r="O28" s="594">
        <v>38657</v>
      </c>
      <c r="P28" s="594">
        <v>38687</v>
      </c>
      <c r="Q28" s="594">
        <v>38718</v>
      </c>
      <c r="R28" s="594">
        <v>38749</v>
      </c>
      <c r="S28" s="594">
        <v>38777</v>
      </c>
      <c r="T28" s="594">
        <v>38808</v>
      </c>
      <c r="U28" s="594">
        <v>38838</v>
      </c>
      <c r="V28" s="594">
        <v>38869</v>
      </c>
      <c r="W28" s="594">
        <v>38899</v>
      </c>
      <c r="X28" s="594">
        <v>38930</v>
      </c>
      <c r="Y28" s="594">
        <v>38961</v>
      </c>
      <c r="Z28" s="594">
        <v>38991</v>
      </c>
      <c r="AA28" s="595">
        <v>39022</v>
      </c>
      <c r="AB28" s="594">
        <v>39052</v>
      </c>
      <c r="AC28" s="598">
        <v>39083</v>
      </c>
      <c r="AD28" s="598">
        <v>39114</v>
      </c>
      <c r="AE28" s="598">
        <v>39142</v>
      </c>
      <c r="AF28" s="598">
        <v>39173</v>
      </c>
      <c r="AG28" s="599">
        <v>39203</v>
      </c>
      <c r="AH28" s="594">
        <v>39234</v>
      </c>
      <c r="AI28" s="594">
        <v>39264</v>
      </c>
      <c r="AJ28" s="594">
        <v>39295</v>
      </c>
      <c r="AK28" s="594" t="s">
        <v>96</v>
      </c>
      <c r="AL28" s="594" t="s">
        <v>97</v>
      </c>
      <c r="AM28" s="597" t="s">
        <v>98</v>
      </c>
    </row>
    <row r="29" spans="1:18" ht="15" customHeight="1">
      <c r="A29" s="641"/>
      <c r="B29" s="602"/>
      <c r="C29" s="602"/>
      <c r="D29" s="602"/>
      <c r="J29" s="602"/>
      <c r="K29" s="602"/>
      <c r="L29" s="602"/>
      <c r="M29" s="602"/>
      <c r="N29" s="602"/>
      <c r="O29" s="602"/>
      <c r="P29" s="602"/>
      <c r="Q29" s="602"/>
      <c r="R29" s="602"/>
    </row>
    <row r="30" spans="1:18" ht="15" customHeight="1">
      <c r="A30" s="641"/>
      <c r="B30" s="602"/>
      <c r="C30" s="602"/>
      <c r="D30" s="602"/>
      <c r="E30" s="642" t="s">
        <v>99</v>
      </c>
      <c r="F30" s="642"/>
      <c r="G30" s="642"/>
      <c r="H30" s="643" t="s">
        <v>100</v>
      </c>
      <c r="I30" s="602"/>
      <c r="J30" s="602"/>
      <c r="K30" s="602"/>
      <c r="L30" s="602"/>
      <c r="M30" s="602"/>
      <c r="N30" s="602"/>
      <c r="O30" s="602"/>
      <c r="P30" s="602"/>
      <c r="Q30" s="602"/>
      <c r="R30" s="602"/>
    </row>
    <row r="31" spans="1:18" ht="15" customHeight="1">
      <c r="A31" s="641"/>
      <c r="B31" s="602"/>
      <c r="C31" s="602"/>
      <c r="D31" s="602"/>
      <c r="E31" s="602"/>
      <c r="F31" s="602"/>
      <c r="G31" s="602"/>
      <c r="H31" s="602" t="s">
        <v>101</v>
      </c>
      <c r="I31" s="602"/>
      <c r="J31" s="602"/>
      <c r="K31" s="602"/>
      <c r="L31" s="602"/>
      <c r="M31" s="602"/>
      <c r="N31" s="602"/>
      <c r="O31" s="602"/>
      <c r="P31" s="602"/>
      <c r="Q31" s="602"/>
      <c r="R31" s="602"/>
    </row>
    <row r="32" spans="1:18" ht="15" customHeight="1">
      <c r="A32" s="641"/>
      <c r="B32" s="602"/>
      <c r="C32" s="602"/>
      <c r="D32" s="602"/>
      <c r="E32" s="602"/>
      <c r="F32" s="602"/>
      <c r="G32" s="602"/>
      <c r="H32" s="602" t="s">
        <v>102</v>
      </c>
      <c r="I32" s="602"/>
      <c r="J32" s="602"/>
      <c r="K32" s="602"/>
      <c r="L32" s="602"/>
      <c r="M32" s="602"/>
      <c r="N32" s="602"/>
      <c r="O32" s="602"/>
      <c r="P32" s="602"/>
      <c r="Q32" s="602"/>
      <c r="R32" s="602"/>
    </row>
    <row r="33" spans="1:18" ht="15" customHeight="1">
      <c r="A33" s="641"/>
      <c r="B33" s="602"/>
      <c r="C33" s="602"/>
      <c r="D33" s="602"/>
      <c r="E33" s="602"/>
      <c r="F33" s="602"/>
      <c r="G33" s="602"/>
      <c r="H33" s="602" t="s">
        <v>103</v>
      </c>
      <c r="I33" s="602"/>
      <c r="J33" s="602"/>
      <c r="K33" s="602"/>
      <c r="L33" s="602"/>
      <c r="M33" s="602"/>
      <c r="N33" s="602"/>
      <c r="O33" s="602"/>
      <c r="P33" s="602"/>
      <c r="Q33" s="602"/>
      <c r="R33" s="602"/>
    </row>
    <row r="34" spans="1:18" ht="15" customHeight="1">
      <c r="A34" s="641"/>
      <c r="B34" s="602"/>
      <c r="C34" s="602"/>
      <c r="D34" s="602"/>
      <c r="E34" s="602"/>
      <c r="F34" s="602"/>
      <c r="G34" s="602"/>
      <c r="H34" s="602" t="s">
        <v>104</v>
      </c>
      <c r="I34" s="602"/>
      <c r="J34" s="602"/>
      <c r="K34" s="602"/>
      <c r="L34" s="602"/>
      <c r="M34" s="602"/>
      <c r="N34" s="602"/>
      <c r="O34" s="602"/>
      <c r="P34" s="602"/>
      <c r="Q34" s="602"/>
      <c r="R34" s="602"/>
    </row>
    <row r="35" spans="1:18" ht="15" customHeight="1">
      <c r="A35" s="641"/>
      <c r="B35" s="602"/>
      <c r="C35" s="602"/>
      <c r="D35" s="602"/>
      <c r="E35" s="602"/>
      <c r="F35" s="602"/>
      <c r="G35" s="602"/>
      <c r="H35" s="602"/>
      <c r="I35" s="602"/>
      <c r="J35" s="602"/>
      <c r="K35" s="602"/>
      <c r="L35" s="602"/>
      <c r="M35" s="602"/>
      <c r="N35" s="602"/>
      <c r="O35" s="602"/>
      <c r="P35" s="602"/>
      <c r="Q35" s="602"/>
      <c r="R35" s="602"/>
    </row>
  </sheetData>
  <printOptions/>
  <pageMargins left="0.39" right="0.21" top="1.27" bottom="0.47" header="0.5" footer="0.27"/>
  <pageSetup fitToHeight="1" fitToWidth="1" horizontalDpi="600" verticalDpi="600" orientation="landscape" scale="67" r:id="rId4"/>
  <headerFooter alignWithMargins="0">
    <oddFooter>&amp;R&amp;F                   &amp;A      &amp;D   &amp;T</oddFooter>
  </headerFooter>
  <drawing r:id="rId3"/>
  <legacyDrawing r:id="rId2"/>
  <oleObjects>
    <oleObject progId="Word.Document.8" shapeId="34526300" r:id="rId1"/>
  </oleObjects>
</worksheet>
</file>

<file path=xl/worksheets/sheet12.xml><?xml version="1.0" encoding="utf-8"?>
<worksheet xmlns="http://schemas.openxmlformats.org/spreadsheetml/2006/main" xmlns:r="http://schemas.openxmlformats.org/officeDocument/2006/relationships">
  <sheetPr>
    <pageSetUpPr fitToPage="1"/>
  </sheetPr>
  <dimension ref="A2:CR385"/>
  <sheetViews>
    <sheetView zoomScale="200" zoomScaleNormal="200" workbookViewId="0" topLeftCell="Z4">
      <pane ySplit="1965" topLeftCell="BM23" activePane="bottomLeft" state="split"/>
      <selection pane="topLeft" activeCell="AC4" sqref="AC4"/>
      <selection pane="bottomLeft" activeCell="BE35" sqref="BE35"/>
    </sheetView>
  </sheetViews>
  <sheetFormatPr defaultColWidth="9.140625" defaultRowHeight="12.75"/>
  <cols>
    <col min="1" max="1" width="13.421875" style="64" customWidth="1"/>
    <col min="2" max="3" width="0.9921875" style="64" customWidth="1"/>
    <col min="4" max="8" width="2.57421875" style="64" customWidth="1"/>
    <col min="9" max="45" width="2.421875" style="64" customWidth="1"/>
    <col min="46" max="47" width="1.28515625" style="64" customWidth="1"/>
    <col min="48" max="53" width="2.421875" style="64" customWidth="1"/>
    <col min="54" max="55" width="1.28515625" style="64" customWidth="1"/>
    <col min="56" max="57" width="2.421875" style="64" customWidth="1"/>
    <col min="58" max="59" width="0.9921875" style="64" customWidth="1"/>
    <col min="60" max="66" width="2.421875" style="64" customWidth="1"/>
    <col min="67" max="91" width="2.28125" style="64" customWidth="1"/>
    <col min="92" max="92" width="2.421875" style="64" customWidth="1"/>
    <col min="93" max="16384" width="2.28125" style="64" customWidth="1"/>
  </cols>
  <sheetData>
    <row r="1" ht="15" thickBot="1"/>
    <row r="2" spans="1:94" ht="4.5" customHeight="1">
      <c r="A2" s="65"/>
      <c r="B2" s="65"/>
      <c r="C2" s="65"/>
      <c r="D2" s="65"/>
      <c r="E2" s="65"/>
      <c r="F2" s="65"/>
      <c r="G2" s="65"/>
      <c r="H2" s="65"/>
      <c r="I2" s="66"/>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8"/>
    </row>
    <row r="3" spans="1:94" s="73" customFormat="1" ht="18.75" customHeight="1">
      <c r="A3" s="69"/>
      <c r="B3" s="69"/>
      <c r="C3" s="69"/>
      <c r="D3" s="69"/>
      <c r="E3" s="69"/>
      <c r="F3" s="69"/>
      <c r="G3" s="69"/>
      <c r="H3" s="69"/>
      <c r="I3" s="70" t="s">
        <v>10</v>
      </c>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69"/>
      <c r="CD3" s="69"/>
      <c r="CE3" s="69"/>
      <c r="CF3" s="69"/>
      <c r="CG3" s="69"/>
      <c r="CH3" s="69"/>
      <c r="CI3" s="69"/>
      <c r="CJ3" s="69"/>
      <c r="CK3" s="69"/>
      <c r="CL3" s="69"/>
      <c r="CM3" s="69"/>
      <c r="CN3" s="69"/>
      <c r="CO3" s="69"/>
      <c r="CP3" s="72"/>
    </row>
    <row r="4" spans="2:94" ht="3" customHeight="1">
      <c r="B4" s="65"/>
      <c r="C4" s="65"/>
      <c r="D4" s="65"/>
      <c r="E4" s="65"/>
      <c r="F4" s="65"/>
      <c r="G4" s="65"/>
      <c r="H4" s="65"/>
      <c r="I4" s="7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75"/>
    </row>
    <row r="5" spans="2:94" ht="3" customHeight="1">
      <c r="B5" s="65"/>
      <c r="C5" s="65"/>
      <c r="D5" s="65"/>
      <c r="E5" s="65"/>
      <c r="F5" s="65"/>
      <c r="G5" s="65"/>
      <c r="H5" s="65"/>
      <c r="I5" s="74"/>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75"/>
    </row>
    <row r="6" spans="2:95" ht="14.25">
      <c r="B6" s="65"/>
      <c r="C6" s="65"/>
      <c r="D6" s="76" t="s">
        <v>11</v>
      </c>
      <c r="E6" s="77"/>
      <c r="F6" s="77"/>
      <c r="G6" s="77"/>
      <c r="H6" s="77"/>
      <c r="I6" s="78" t="s">
        <v>106</v>
      </c>
      <c r="J6" s="79"/>
      <c r="K6" s="79"/>
      <c r="L6" s="79"/>
      <c r="M6" s="79"/>
      <c r="N6" s="79"/>
      <c r="O6" s="79"/>
      <c r="P6" s="79"/>
      <c r="Q6" s="79"/>
      <c r="R6" s="79"/>
      <c r="S6" s="79"/>
      <c r="T6" s="80"/>
      <c r="U6" s="81" t="s">
        <v>107</v>
      </c>
      <c r="V6" s="79"/>
      <c r="W6" s="79"/>
      <c r="X6" s="79"/>
      <c r="Y6" s="79"/>
      <c r="Z6" s="79"/>
      <c r="AA6" s="79"/>
      <c r="AB6" s="82"/>
      <c r="AC6" s="82"/>
      <c r="AD6" s="82"/>
      <c r="AE6" s="82"/>
      <c r="AF6" s="83"/>
      <c r="AG6" s="84" t="s">
        <v>108</v>
      </c>
      <c r="AH6" s="82"/>
      <c r="AI6" s="82"/>
      <c r="AJ6" s="82"/>
      <c r="AK6" s="82"/>
      <c r="AL6" s="82"/>
      <c r="AM6" s="82"/>
      <c r="AN6" s="82"/>
      <c r="AO6" s="82"/>
      <c r="AP6" s="82"/>
      <c r="AQ6" s="82"/>
      <c r="AR6" s="83"/>
      <c r="AS6" s="84" t="s">
        <v>109</v>
      </c>
      <c r="AT6" s="82"/>
      <c r="AU6" s="82"/>
      <c r="AV6" s="82"/>
      <c r="AW6" s="82"/>
      <c r="AX6" s="82"/>
      <c r="AY6" s="82"/>
      <c r="AZ6" s="82"/>
      <c r="BA6" s="82"/>
      <c r="BB6" s="82"/>
      <c r="BC6" s="82"/>
      <c r="BD6" s="82"/>
      <c r="BE6" s="82"/>
      <c r="BF6" s="82"/>
      <c r="BG6" s="83"/>
      <c r="BH6" s="84" t="s">
        <v>110</v>
      </c>
      <c r="BI6" s="82"/>
      <c r="BJ6" s="82"/>
      <c r="BK6" s="82"/>
      <c r="BL6" s="82"/>
      <c r="BM6" s="82"/>
      <c r="BN6" s="82"/>
      <c r="BO6" s="82"/>
      <c r="BP6" s="82"/>
      <c r="BQ6" s="82"/>
      <c r="BR6" s="82"/>
      <c r="BS6" s="83"/>
      <c r="BT6" s="84" t="s">
        <v>111</v>
      </c>
      <c r="BU6" s="82"/>
      <c r="BV6" s="82"/>
      <c r="BW6" s="82"/>
      <c r="BX6" s="82"/>
      <c r="BY6" s="82"/>
      <c r="BZ6" s="82"/>
      <c r="CA6" s="82"/>
      <c r="CB6" s="82"/>
      <c r="CC6" s="82"/>
      <c r="CD6" s="82"/>
      <c r="CE6" s="83"/>
      <c r="CF6" s="84" t="s">
        <v>112</v>
      </c>
      <c r="CG6" s="82"/>
      <c r="CH6" s="82"/>
      <c r="CI6" s="82"/>
      <c r="CJ6" s="82"/>
      <c r="CK6" s="82"/>
      <c r="CL6" s="82"/>
      <c r="CM6" s="82"/>
      <c r="CN6" s="82"/>
      <c r="CO6" s="82"/>
      <c r="CP6" s="85"/>
      <c r="CQ6" s="83" t="s">
        <v>472</v>
      </c>
    </row>
    <row r="7" spans="2:95" s="86" customFormat="1" ht="11.25">
      <c r="B7" s="87"/>
      <c r="C7" s="87"/>
      <c r="D7" s="88" t="s">
        <v>12</v>
      </c>
      <c r="E7" s="88" t="s">
        <v>13</v>
      </c>
      <c r="F7" s="88" t="s">
        <v>13</v>
      </c>
      <c r="G7" s="88" t="s">
        <v>14</v>
      </c>
      <c r="H7" s="89" t="s">
        <v>15</v>
      </c>
      <c r="I7" s="90" t="s">
        <v>16</v>
      </c>
      <c r="J7" s="88" t="s">
        <v>17</v>
      </c>
      <c r="K7" s="88" t="s">
        <v>18</v>
      </c>
      <c r="L7" s="88" t="s">
        <v>13</v>
      </c>
      <c r="M7" s="88" t="s">
        <v>19</v>
      </c>
      <c r="N7" s="88" t="s">
        <v>12</v>
      </c>
      <c r="O7" s="88" t="s">
        <v>14</v>
      </c>
      <c r="P7" s="88" t="s">
        <v>12</v>
      </c>
      <c r="Q7" s="88" t="s">
        <v>13</v>
      </c>
      <c r="R7" s="88" t="s">
        <v>13</v>
      </c>
      <c r="S7" s="88" t="s">
        <v>14</v>
      </c>
      <c r="T7" s="88" t="s">
        <v>15</v>
      </c>
      <c r="U7" s="88" t="s">
        <v>16</v>
      </c>
      <c r="V7" s="88" t="s">
        <v>17</v>
      </c>
      <c r="W7" s="89" t="s">
        <v>18</v>
      </c>
      <c r="X7" s="91" t="s">
        <v>13</v>
      </c>
      <c r="Y7" s="91" t="s">
        <v>19</v>
      </c>
      <c r="Z7" s="91" t="s">
        <v>12</v>
      </c>
      <c r="AA7" s="91" t="s">
        <v>14</v>
      </c>
      <c r="AB7" s="92" t="s">
        <v>12</v>
      </c>
      <c r="AC7" s="93" t="s">
        <v>13</v>
      </c>
      <c r="AD7" s="93" t="s">
        <v>13</v>
      </c>
      <c r="AE7" s="93" t="s">
        <v>14</v>
      </c>
      <c r="AF7" s="93" t="s">
        <v>15</v>
      </c>
      <c r="AG7" s="93" t="s">
        <v>16</v>
      </c>
      <c r="AH7" s="93" t="s">
        <v>17</v>
      </c>
      <c r="AI7" s="93" t="s">
        <v>18</v>
      </c>
      <c r="AJ7" s="93" t="s">
        <v>13</v>
      </c>
      <c r="AK7" s="93" t="s">
        <v>19</v>
      </c>
      <c r="AL7" s="93" t="s">
        <v>12</v>
      </c>
      <c r="AM7" s="93" t="s">
        <v>14</v>
      </c>
      <c r="AN7" s="93" t="s">
        <v>12</v>
      </c>
      <c r="AO7" s="93" t="s">
        <v>13</v>
      </c>
      <c r="AP7" s="93" t="s">
        <v>13</v>
      </c>
      <c r="AQ7" s="93" t="s">
        <v>14</v>
      </c>
      <c r="AR7" s="93" t="s">
        <v>15</v>
      </c>
      <c r="AS7" s="94" t="s">
        <v>16</v>
      </c>
      <c r="AT7" s="95" t="s">
        <v>17</v>
      </c>
      <c r="AU7" s="96"/>
      <c r="AV7" s="92" t="s">
        <v>18</v>
      </c>
      <c r="AW7" s="93" t="s">
        <v>13</v>
      </c>
      <c r="AX7" s="93" t="s">
        <v>19</v>
      </c>
      <c r="AY7" s="93" t="s">
        <v>12</v>
      </c>
      <c r="AZ7" s="93" t="s">
        <v>14</v>
      </c>
      <c r="BA7" s="93" t="s">
        <v>12</v>
      </c>
      <c r="BB7" s="97" t="s">
        <v>13</v>
      </c>
      <c r="BC7" s="97"/>
      <c r="BD7" s="93" t="s">
        <v>13</v>
      </c>
      <c r="BE7" s="93" t="s">
        <v>14</v>
      </c>
      <c r="BF7" s="93" t="s">
        <v>15</v>
      </c>
      <c r="BG7" s="93"/>
      <c r="BH7" s="93" t="s">
        <v>16</v>
      </c>
      <c r="BI7" s="93" t="s">
        <v>17</v>
      </c>
      <c r="BJ7" s="93" t="s">
        <v>18</v>
      </c>
      <c r="BK7" s="93" t="s">
        <v>13</v>
      </c>
      <c r="BL7" s="93" t="s">
        <v>19</v>
      </c>
      <c r="BM7" s="93" t="s">
        <v>12</v>
      </c>
      <c r="BN7" s="93" t="s">
        <v>14</v>
      </c>
      <c r="BO7" s="93" t="s">
        <v>12</v>
      </c>
      <c r="BP7" s="93" t="s">
        <v>13</v>
      </c>
      <c r="BQ7" s="93" t="s">
        <v>13</v>
      </c>
      <c r="BR7" s="93" t="s">
        <v>14</v>
      </c>
      <c r="BS7" s="93" t="s">
        <v>15</v>
      </c>
      <c r="BT7" s="93" t="s">
        <v>16</v>
      </c>
      <c r="BU7" s="93" t="s">
        <v>17</v>
      </c>
      <c r="BV7" s="93" t="s">
        <v>18</v>
      </c>
      <c r="BW7" s="93" t="s">
        <v>13</v>
      </c>
      <c r="BX7" s="93" t="s">
        <v>19</v>
      </c>
      <c r="BY7" s="93" t="s">
        <v>12</v>
      </c>
      <c r="BZ7" s="93" t="s">
        <v>14</v>
      </c>
      <c r="CA7" s="93" t="s">
        <v>12</v>
      </c>
      <c r="CB7" s="93" t="s">
        <v>13</v>
      </c>
      <c r="CC7" s="93" t="s">
        <v>13</v>
      </c>
      <c r="CD7" s="93" t="s">
        <v>14</v>
      </c>
      <c r="CE7" s="93" t="s">
        <v>15</v>
      </c>
      <c r="CF7" s="93" t="s">
        <v>16</v>
      </c>
      <c r="CG7" s="93" t="s">
        <v>17</v>
      </c>
      <c r="CH7" s="93" t="s">
        <v>18</v>
      </c>
      <c r="CI7" s="93" t="s">
        <v>13</v>
      </c>
      <c r="CJ7" s="93" t="s">
        <v>19</v>
      </c>
      <c r="CK7" s="93" t="s">
        <v>12</v>
      </c>
      <c r="CL7" s="93" t="s">
        <v>14</v>
      </c>
      <c r="CM7" s="93" t="s">
        <v>12</v>
      </c>
      <c r="CN7" s="93" t="s">
        <v>13</v>
      </c>
      <c r="CO7" s="93" t="s">
        <v>13</v>
      </c>
      <c r="CP7" s="98" t="s">
        <v>14</v>
      </c>
      <c r="CQ7" s="92" t="s">
        <v>15</v>
      </c>
    </row>
    <row r="8" spans="2:94" s="86" customFormat="1" ht="1.5" customHeight="1">
      <c r="B8" s="87"/>
      <c r="C8" s="87"/>
      <c r="D8" s="99"/>
      <c r="E8" s="100"/>
      <c r="F8" s="100"/>
      <c r="G8" s="100"/>
      <c r="H8" s="100"/>
      <c r="I8" s="101"/>
      <c r="J8" s="100"/>
      <c r="K8" s="100"/>
      <c r="L8" s="100"/>
      <c r="M8" s="100"/>
      <c r="N8" s="100"/>
      <c r="O8" s="100"/>
      <c r="P8" s="100"/>
      <c r="Q8" s="100"/>
      <c r="R8" s="100"/>
      <c r="S8" s="100"/>
      <c r="T8" s="102"/>
      <c r="U8" s="100"/>
      <c r="V8" s="100"/>
      <c r="W8" s="100"/>
      <c r="X8" s="103"/>
      <c r="Y8" s="103"/>
      <c r="Z8" s="103"/>
      <c r="AA8" s="103"/>
      <c r="AB8" s="87"/>
      <c r="AC8" s="87"/>
      <c r="AD8" s="87"/>
      <c r="AE8" s="87"/>
      <c r="AF8" s="104"/>
      <c r="AG8" s="87"/>
      <c r="AH8" s="87"/>
      <c r="AI8" s="87"/>
      <c r="AJ8" s="87"/>
      <c r="AK8" s="87"/>
      <c r="AL8" s="87"/>
      <c r="AM8" s="87"/>
      <c r="AN8" s="87"/>
      <c r="AO8" s="87"/>
      <c r="AP8" s="87"/>
      <c r="AQ8" s="87"/>
      <c r="AR8" s="104"/>
      <c r="AS8" s="87"/>
      <c r="AT8" s="87"/>
      <c r="AU8" s="87"/>
      <c r="AV8" s="87"/>
      <c r="AW8" s="87"/>
      <c r="AX8" s="87"/>
      <c r="AY8" s="87"/>
      <c r="AZ8" s="87"/>
      <c r="BA8" s="87"/>
      <c r="BB8" s="87"/>
      <c r="BC8" s="87"/>
      <c r="BD8" s="87"/>
      <c r="BE8" s="87"/>
      <c r="BF8" s="87"/>
      <c r="BG8" s="104"/>
      <c r="BH8" s="87"/>
      <c r="BI8" s="87"/>
      <c r="BJ8" s="87"/>
      <c r="BK8" s="87"/>
      <c r="BL8" s="87"/>
      <c r="BM8" s="87"/>
      <c r="BN8" s="87"/>
      <c r="BO8" s="87"/>
      <c r="BP8" s="87"/>
      <c r="BQ8" s="87"/>
      <c r="BR8" s="87"/>
      <c r="BS8" s="104"/>
      <c r="BT8" s="87"/>
      <c r="BU8" s="87"/>
      <c r="BV8" s="87"/>
      <c r="BW8" s="87"/>
      <c r="BX8" s="87"/>
      <c r="BY8" s="87"/>
      <c r="BZ8" s="87"/>
      <c r="CA8" s="87"/>
      <c r="CB8" s="104"/>
      <c r="CC8" s="87"/>
      <c r="CD8" s="87"/>
      <c r="CE8" s="87"/>
      <c r="CF8" s="87"/>
      <c r="CG8" s="87"/>
      <c r="CH8" s="87"/>
      <c r="CI8" s="87"/>
      <c r="CJ8" s="87"/>
      <c r="CK8" s="87"/>
      <c r="CL8" s="87"/>
      <c r="CM8" s="87"/>
      <c r="CN8" s="87"/>
      <c r="CO8" s="87"/>
      <c r="CP8" s="105"/>
    </row>
    <row r="9" spans="2:94" s="86" customFormat="1" ht="1.5" customHeight="1">
      <c r="B9" s="87"/>
      <c r="C9" s="87"/>
      <c r="E9" s="100"/>
      <c r="F9" s="100"/>
      <c r="G9" s="100"/>
      <c r="H9" s="100"/>
      <c r="I9" s="106"/>
      <c r="J9" s="87"/>
      <c r="K9" s="100"/>
      <c r="L9" s="100"/>
      <c r="M9" s="100"/>
      <c r="N9" s="100"/>
      <c r="O9" s="100"/>
      <c r="P9" s="100"/>
      <c r="Q9" s="100"/>
      <c r="R9" s="100"/>
      <c r="S9" s="100"/>
      <c r="T9" s="102"/>
      <c r="U9" s="100"/>
      <c r="V9" s="100"/>
      <c r="W9" s="100"/>
      <c r="X9" s="103"/>
      <c r="Y9" s="103"/>
      <c r="Z9" s="103"/>
      <c r="AA9" s="103"/>
      <c r="AB9" s="87"/>
      <c r="AC9" s="87"/>
      <c r="AD9" s="87"/>
      <c r="AE9" s="87"/>
      <c r="AF9" s="104"/>
      <c r="AG9" s="87"/>
      <c r="AH9" s="87"/>
      <c r="AI9" s="87"/>
      <c r="AJ9" s="87"/>
      <c r="AK9" s="87"/>
      <c r="AL9" s="87"/>
      <c r="AM9" s="87"/>
      <c r="AN9" s="87"/>
      <c r="AO9" s="87"/>
      <c r="AP9" s="87"/>
      <c r="AQ9" s="87"/>
      <c r="AR9" s="104"/>
      <c r="AS9" s="87"/>
      <c r="AT9" s="87"/>
      <c r="AU9" s="87"/>
      <c r="AV9" s="87"/>
      <c r="AW9" s="87"/>
      <c r="AX9" s="87"/>
      <c r="AY9" s="87"/>
      <c r="AZ9" s="87"/>
      <c r="BA9" s="87"/>
      <c r="BB9" s="87"/>
      <c r="BC9" s="87"/>
      <c r="BD9" s="87"/>
      <c r="BE9" s="87"/>
      <c r="BF9" s="87"/>
      <c r="BG9" s="104"/>
      <c r="BH9" s="87"/>
      <c r="BI9" s="87"/>
      <c r="BJ9" s="87"/>
      <c r="BK9" s="87"/>
      <c r="BL9" s="87"/>
      <c r="BM9" s="100"/>
      <c r="BN9" s="87"/>
      <c r="BO9" s="87"/>
      <c r="BP9" s="87"/>
      <c r="BQ9" s="87"/>
      <c r="BR9" s="87"/>
      <c r="BS9" s="104"/>
      <c r="BT9" s="87"/>
      <c r="BU9" s="87"/>
      <c r="BV9" s="87"/>
      <c r="BW9" s="87"/>
      <c r="BX9" s="87"/>
      <c r="BY9" s="87"/>
      <c r="BZ9" s="87"/>
      <c r="CA9" s="87"/>
      <c r="CB9" s="87"/>
      <c r="CC9" s="87"/>
      <c r="CD9" s="87"/>
      <c r="CE9" s="87"/>
      <c r="CF9" s="87"/>
      <c r="CG9" s="87"/>
      <c r="CH9" s="87"/>
      <c r="CI9" s="87"/>
      <c r="CJ9" s="87"/>
      <c r="CK9" s="87"/>
      <c r="CL9" s="87"/>
      <c r="CM9" s="87"/>
      <c r="CN9" s="87"/>
      <c r="CO9" s="87"/>
      <c r="CP9" s="105"/>
    </row>
    <row r="10" spans="2:94" s="86" customFormat="1" ht="1.5" customHeight="1">
      <c r="B10" s="87"/>
      <c r="C10" s="87"/>
      <c r="D10" s="99"/>
      <c r="E10" s="100"/>
      <c r="F10" s="100"/>
      <c r="G10" s="100"/>
      <c r="H10" s="100"/>
      <c r="I10" s="101"/>
      <c r="J10" s="100"/>
      <c r="K10" s="100"/>
      <c r="L10" s="100"/>
      <c r="M10" s="100"/>
      <c r="N10" s="100"/>
      <c r="O10" s="100"/>
      <c r="P10" s="87"/>
      <c r="Q10" s="100"/>
      <c r="R10" s="100"/>
      <c r="S10" s="100"/>
      <c r="T10" s="102"/>
      <c r="U10" s="100"/>
      <c r="V10" s="100"/>
      <c r="W10" s="100"/>
      <c r="X10" s="103"/>
      <c r="Y10" s="103"/>
      <c r="Z10" s="103"/>
      <c r="AA10" s="103"/>
      <c r="AB10" s="87"/>
      <c r="AC10" s="87"/>
      <c r="AD10" s="87"/>
      <c r="AE10" s="87"/>
      <c r="AF10" s="104"/>
      <c r="AG10" s="87"/>
      <c r="AH10" s="87"/>
      <c r="AI10" s="87"/>
      <c r="AJ10" s="87"/>
      <c r="AK10" s="87"/>
      <c r="AL10" s="87"/>
      <c r="AM10" s="87"/>
      <c r="AN10" s="87"/>
      <c r="AO10" s="87"/>
      <c r="AP10" s="87"/>
      <c r="AQ10" s="87"/>
      <c r="AR10" s="104"/>
      <c r="AS10" s="87"/>
      <c r="AT10" s="87"/>
      <c r="AU10" s="87"/>
      <c r="AV10" s="87"/>
      <c r="AW10" s="87"/>
      <c r="AX10" s="87"/>
      <c r="AY10" s="87"/>
      <c r="AZ10" s="87"/>
      <c r="BA10" s="87"/>
      <c r="BB10" s="87"/>
      <c r="BC10" s="87"/>
      <c r="BD10" s="87"/>
      <c r="BE10" s="87"/>
      <c r="BF10" s="87"/>
      <c r="BG10" s="104"/>
      <c r="BH10" s="87"/>
      <c r="BI10" s="87"/>
      <c r="BJ10" s="87"/>
      <c r="BK10" s="87"/>
      <c r="BL10" s="87"/>
      <c r="BM10" s="100"/>
      <c r="BN10" s="87"/>
      <c r="BO10" s="87"/>
      <c r="BP10" s="87"/>
      <c r="BQ10" s="87"/>
      <c r="BR10" s="87"/>
      <c r="BS10" s="104"/>
      <c r="BT10" s="87"/>
      <c r="BU10" s="87"/>
      <c r="BV10" s="87"/>
      <c r="BW10" s="87"/>
      <c r="BX10" s="87"/>
      <c r="BY10" s="87"/>
      <c r="BZ10" s="87"/>
      <c r="CA10" s="87"/>
      <c r="CB10" s="87"/>
      <c r="CC10" s="87"/>
      <c r="CD10" s="87"/>
      <c r="CE10" s="87"/>
      <c r="CF10" s="87"/>
      <c r="CG10" s="87"/>
      <c r="CH10" s="87"/>
      <c r="CI10" s="87"/>
      <c r="CJ10" s="87"/>
      <c r="CK10" s="87"/>
      <c r="CL10" s="87"/>
      <c r="CM10" s="87"/>
      <c r="CN10" s="87"/>
      <c r="CO10" s="87"/>
      <c r="CP10" s="105"/>
    </row>
    <row r="11" spans="2:95" s="86" customFormat="1" ht="13.5" customHeight="1">
      <c r="B11" s="87"/>
      <c r="C11" s="87"/>
      <c r="D11" s="99"/>
      <c r="E11" s="9" t="s">
        <v>20</v>
      </c>
      <c r="F11" s="100"/>
      <c r="G11" s="100"/>
      <c r="H11" s="100"/>
      <c r="I11" s="354" t="s">
        <v>21</v>
      </c>
      <c r="J11" s="356"/>
      <c r="K11" s="308"/>
      <c r="L11" s="308"/>
      <c r="M11" s="308"/>
      <c r="N11" s="308"/>
      <c r="O11" s="308"/>
      <c r="P11" s="100"/>
      <c r="Q11" s="100"/>
      <c r="R11" s="100"/>
      <c r="S11" s="100"/>
      <c r="T11" s="102"/>
      <c r="U11" s="100"/>
      <c r="V11" s="100"/>
      <c r="W11" s="107"/>
      <c r="X11" s="107"/>
      <c r="Y11" s="107"/>
      <c r="Z11" s="107"/>
      <c r="AA11" s="103"/>
      <c r="AB11" s="87"/>
      <c r="AC11" s="87"/>
      <c r="AD11" s="87"/>
      <c r="AE11" s="87"/>
      <c r="AF11" s="104"/>
      <c r="AG11" s="87"/>
      <c r="AH11" s="87"/>
      <c r="AI11" s="87"/>
      <c r="AJ11" s="87"/>
      <c r="AK11" s="87"/>
      <c r="AL11" s="87"/>
      <c r="AM11" s="87"/>
      <c r="AN11" s="87"/>
      <c r="AO11" s="87"/>
      <c r="AP11" s="87"/>
      <c r="AQ11" s="87"/>
      <c r="AR11" s="104"/>
      <c r="AS11" s="87"/>
      <c r="AT11" s="87"/>
      <c r="AU11" s="87"/>
      <c r="AV11" s="87"/>
      <c r="AW11" s="87"/>
      <c r="AX11" s="87"/>
      <c r="AY11" s="87"/>
      <c r="AZ11" s="87"/>
      <c r="BA11" s="87"/>
      <c r="BB11" s="87"/>
      <c r="BC11" s="87"/>
      <c r="BD11" s="87"/>
      <c r="BE11" s="87"/>
      <c r="BF11" s="87"/>
      <c r="BG11" s="104"/>
      <c r="BH11" s="87"/>
      <c r="BI11" s="87"/>
      <c r="BJ11" s="87"/>
      <c r="BK11" s="87"/>
      <c r="BL11" s="87"/>
      <c r="BM11" s="100"/>
      <c r="BN11" s="87"/>
      <c r="BO11" s="87"/>
      <c r="BP11" s="87"/>
      <c r="BQ11" s="87"/>
      <c r="BR11" s="87"/>
      <c r="BS11" s="104"/>
      <c r="BT11" s="87"/>
      <c r="BU11" s="87"/>
      <c r="BV11" s="87"/>
      <c r="BW11" s="87"/>
      <c r="BX11" s="87"/>
      <c r="BY11" s="87"/>
      <c r="BZ11" s="87"/>
      <c r="CA11" s="87"/>
      <c r="CB11" s="87"/>
      <c r="CC11" s="87"/>
      <c r="CD11" s="87"/>
      <c r="CE11" s="104"/>
      <c r="CF11" s="87"/>
      <c r="CG11" s="87"/>
      <c r="CH11" s="87"/>
      <c r="CI11" s="87"/>
      <c r="CJ11" s="87"/>
      <c r="CK11" s="87"/>
      <c r="CL11" s="87"/>
      <c r="CM11" s="87"/>
      <c r="CN11" s="87"/>
      <c r="CO11" s="87"/>
      <c r="CP11" s="105"/>
      <c r="CQ11" s="104"/>
    </row>
    <row r="12" spans="2:95" s="86" customFormat="1" ht="11.25" customHeight="1">
      <c r="B12" s="87"/>
      <c r="C12" s="87"/>
      <c r="D12" s="99"/>
      <c r="E12" s="100"/>
      <c r="F12" s="108" t="s">
        <v>105</v>
      </c>
      <c r="G12" s="100"/>
      <c r="I12" s="101"/>
      <c r="J12" s="100"/>
      <c r="K12" s="100"/>
      <c r="L12" s="100"/>
      <c r="M12" s="100"/>
      <c r="N12" s="100"/>
      <c r="O12" s="100"/>
      <c r="P12" s="100"/>
      <c r="Q12" s="100"/>
      <c r="R12" s="100"/>
      <c r="S12" s="100"/>
      <c r="T12" s="103" t="s">
        <v>22</v>
      </c>
      <c r="U12" s="100"/>
      <c r="V12" s="100"/>
      <c r="W12" s="107"/>
      <c r="X12" s="107"/>
      <c r="Y12" s="107"/>
      <c r="Z12" s="107" t="s">
        <v>23</v>
      </c>
      <c r="AA12" s="103"/>
      <c r="AB12" s="87"/>
      <c r="AC12" s="87"/>
      <c r="AD12" s="87"/>
      <c r="AE12" s="87"/>
      <c r="AF12" s="104"/>
      <c r="AG12" s="87"/>
      <c r="AH12" s="87"/>
      <c r="AI12" s="87"/>
      <c r="AJ12" s="87"/>
      <c r="AK12" s="87"/>
      <c r="AL12" s="87"/>
      <c r="AM12" s="87"/>
      <c r="AN12" s="87"/>
      <c r="AO12" s="87"/>
      <c r="AP12" s="87"/>
      <c r="AQ12" s="87"/>
      <c r="AR12" s="104"/>
      <c r="AS12" s="87"/>
      <c r="AT12" s="87"/>
      <c r="AU12" s="87"/>
      <c r="AV12" s="87"/>
      <c r="AW12" s="87"/>
      <c r="AX12" s="87"/>
      <c r="AY12" s="87"/>
      <c r="AZ12" s="87"/>
      <c r="BA12" s="87"/>
      <c r="BB12" s="87"/>
      <c r="BC12" s="87"/>
      <c r="BD12" s="87"/>
      <c r="BE12" s="87"/>
      <c r="BF12" s="87"/>
      <c r="BG12" s="340" t="s">
        <v>659</v>
      </c>
      <c r="BH12" s="87"/>
      <c r="BI12" s="87"/>
      <c r="BJ12" s="87"/>
      <c r="BK12" s="87"/>
      <c r="BL12" s="87"/>
      <c r="BM12" s="100"/>
      <c r="BN12" s="87"/>
      <c r="BO12" s="87"/>
      <c r="BP12" s="87"/>
      <c r="BQ12" s="87"/>
      <c r="BR12" s="87"/>
      <c r="BS12" s="104"/>
      <c r="BT12" s="87"/>
      <c r="BU12" s="87"/>
      <c r="BV12" s="87"/>
      <c r="BW12" s="87"/>
      <c r="BX12" s="87"/>
      <c r="BY12" s="87"/>
      <c r="BZ12" s="87"/>
      <c r="CA12" s="87"/>
      <c r="CB12" s="87"/>
      <c r="CC12" s="87"/>
      <c r="CD12" s="87"/>
      <c r="CE12" s="104"/>
      <c r="CF12" s="87"/>
      <c r="CG12" s="87"/>
      <c r="CH12" s="87"/>
      <c r="CI12" s="87"/>
      <c r="CJ12" s="87"/>
      <c r="CK12" s="87"/>
      <c r="CL12" s="87"/>
      <c r="CM12" s="87"/>
      <c r="CN12" s="87"/>
      <c r="CO12" s="87"/>
      <c r="CP12" s="105"/>
      <c r="CQ12" s="104"/>
    </row>
    <row r="13" spans="2:95" s="86" customFormat="1" ht="11.25" customHeight="1">
      <c r="B13" s="87"/>
      <c r="C13" s="87"/>
      <c r="D13" s="99"/>
      <c r="E13" s="100"/>
      <c r="F13" s="100"/>
      <c r="G13" s="100"/>
      <c r="H13" s="100"/>
      <c r="I13" s="101"/>
      <c r="J13" s="100"/>
      <c r="K13" s="100"/>
      <c r="L13" s="100"/>
      <c r="M13" s="100"/>
      <c r="N13" s="100"/>
      <c r="O13" s="100"/>
      <c r="P13" s="87"/>
      <c r="Q13" s="100"/>
      <c r="R13" s="100"/>
      <c r="S13" s="100"/>
      <c r="T13" s="102"/>
      <c r="U13" s="100"/>
      <c r="V13" s="100"/>
      <c r="W13" s="107" t="s">
        <v>24</v>
      </c>
      <c r="X13" s="107"/>
      <c r="Y13" s="107"/>
      <c r="Z13" s="107"/>
      <c r="AA13" s="103"/>
      <c r="AB13" s="87"/>
      <c r="AC13" s="87"/>
      <c r="AD13" s="87"/>
      <c r="AE13" s="87"/>
      <c r="AF13" s="104"/>
      <c r="AG13" s="109" t="s">
        <v>25</v>
      </c>
      <c r="AH13" s="87"/>
      <c r="AI13" s="87"/>
      <c r="AJ13" s="87"/>
      <c r="AK13" s="87"/>
      <c r="AL13" s="87"/>
      <c r="AM13" s="87"/>
      <c r="AN13" s="87"/>
      <c r="AO13" s="87"/>
      <c r="AP13" s="87"/>
      <c r="AQ13" s="87"/>
      <c r="AR13" s="104"/>
      <c r="AS13" s="87"/>
      <c r="AT13" s="87"/>
      <c r="AU13" s="87"/>
      <c r="AV13" s="87"/>
      <c r="AW13" s="87"/>
      <c r="AX13" s="87"/>
      <c r="AY13" s="87"/>
      <c r="AZ13" s="87"/>
      <c r="BA13" s="87"/>
      <c r="BB13" s="87"/>
      <c r="BC13" s="87"/>
      <c r="BD13" s="87"/>
      <c r="BE13" s="87"/>
      <c r="BF13" s="87"/>
      <c r="BG13" s="87"/>
      <c r="BH13" s="87"/>
      <c r="BI13" s="87"/>
      <c r="BJ13" s="87"/>
      <c r="BK13" s="87"/>
      <c r="BL13" s="87"/>
      <c r="BM13" s="100"/>
      <c r="BN13" s="87"/>
      <c r="BO13" s="87"/>
      <c r="BP13" s="87"/>
      <c r="BQ13" s="87"/>
      <c r="BR13" s="87"/>
      <c r="BS13" s="104"/>
      <c r="BT13" s="87"/>
      <c r="BU13" s="87"/>
      <c r="BV13" s="87"/>
      <c r="BW13" s="87"/>
      <c r="BX13" s="87"/>
      <c r="BY13" s="87"/>
      <c r="BZ13" s="87"/>
      <c r="CA13" s="87"/>
      <c r="CB13" s="87"/>
      <c r="CC13" s="110" t="s">
        <v>26</v>
      </c>
      <c r="CD13" s="87"/>
      <c r="CE13" s="104"/>
      <c r="CF13" s="87"/>
      <c r="CG13" s="87"/>
      <c r="CH13" s="87"/>
      <c r="CI13" s="87"/>
      <c r="CJ13" s="87"/>
      <c r="CK13" s="87"/>
      <c r="CL13" s="87"/>
      <c r="CM13" s="87"/>
      <c r="CN13" s="87"/>
      <c r="CO13" s="87"/>
      <c r="CP13" s="105"/>
      <c r="CQ13" s="104"/>
    </row>
    <row r="14" spans="2:95" s="86" customFormat="1" ht="11.25" customHeight="1">
      <c r="B14" s="87"/>
      <c r="C14" s="87"/>
      <c r="D14" s="99"/>
      <c r="E14" s="100"/>
      <c r="F14" s="100"/>
      <c r="G14" s="100"/>
      <c r="H14" s="100"/>
      <c r="I14" s="101"/>
      <c r="J14" s="100"/>
      <c r="K14" s="100"/>
      <c r="L14" s="100"/>
      <c r="M14" s="100"/>
      <c r="N14" s="100"/>
      <c r="O14" s="100"/>
      <c r="P14" s="9" t="s">
        <v>27</v>
      </c>
      <c r="Q14" s="100"/>
      <c r="R14" s="100"/>
      <c r="S14" s="100"/>
      <c r="T14" s="102"/>
      <c r="U14" s="100"/>
      <c r="V14" s="100"/>
      <c r="W14" s="100"/>
      <c r="X14" s="103"/>
      <c r="Y14" s="103"/>
      <c r="Z14" s="103"/>
      <c r="AA14" s="103" t="s">
        <v>28</v>
      </c>
      <c r="AB14" s="87"/>
      <c r="AC14" s="87"/>
      <c r="AD14" s="87"/>
      <c r="AE14" s="87"/>
      <c r="AF14" s="111"/>
      <c r="AG14" s="87"/>
      <c r="AH14" s="87"/>
      <c r="AI14" s="87"/>
      <c r="AJ14" s="87"/>
      <c r="AK14" s="87"/>
      <c r="AL14" s="87"/>
      <c r="AM14" s="87"/>
      <c r="AN14" s="87"/>
      <c r="AO14" s="87"/>
      <c r="AP14" s="87"/>
      <c r="AQ14" s="87"/>
      <c r="AR14" s="104"/>
      <c r="AS14" s="87"/>
      <c r="AT14" s="87"/>
      <c r="AU14" s="87"/>
      <c r="AV14" s="87"/>
      <c r="AW14" s="87"/>
      <c r="AX14" s="87"/>
      <c r="AY14" s="87"/>
      <c r="AZ14" s="87"/>
      <c r="BA14" s="87"/>
      <c r="BB14" s="87"/>
      <c r="BC14" s="87"/>
      <c r="BD14" s="87"/>
      <c r="BE14" s="87"/>
      <c r="BF14" s="87"/>
      <c r="BG14" s="104"/>
      <c r="BH14" s="110"/>
      <c r="BI14" s="87"/>
      <c r="BJ14" s="87"/>
      <c r="BK14" s="87"/>
      <c r="BL14" s="87"/>
      <c r="BM14" s="100"/>
      <c r="BN14" s="87"/>
      <c r="BO14" s="87"/>
      <c r="BP14" s="87"/>
      <c r="BQ14" s="87"/>
      <c r="BR14" s="87"/>
      <c r="BS14" s="104"/>
      <c r="BT14" s="87"/>
      <c r="BU14" s="87"/>
      <c r="BV14" s="87"/>
      <c r="BW14" s="87"/>
      <c r="BX14" s="87"/>
      <c r="BY14" s="87"/>
      <c r="BZ14" s="87"/>
      <c r="CA14" s="87"/>
      <c r="CB14" s="87"/>
      <c r="CC14" s="87"/>
      <c r="CD14" s="87"/>
      <c r="CE14" s="104"/>
      <c r="CF14" s="87"/>
      <c r="CG14" s="87"/>
      <c r="CH14" s="87"/>
      <c r="CI14" s="87"/>
      <c r="CJ14" s="87"/>
      <c r="CK14" s="87"/>
      <c r="CL14" s="87"/>
      <c r="CM14" s="87"/>
      <c r="CN14" s="87"/>
      <c r="CO14" s="87"/>
      <c r="CP14" s="105"/>
      <c r="CQ14" s="104"/>
    </row>
    <row r="15" spans="2:95" s="86" customFormat="1" ht="11.25" customHeight="1">
      <c r="B15" s="87"/>
      <c r="C15" s="87"/>
      <c r="D15" s="99"/>
      <c r="E15" s="100"/>
      <c r="F15" s="100"/>
      <c r="G15" s="100"/>
      <c r="H15" s="100"/>
      <c r="I15" s="101"/>
      <c r="J15" s="100"/>
      <c r="K15" s="100"/>
      <c r="L15" s="100"/>
      <c r="M15" s="100"/>
      <c r="N15" s="100"/>
      <c r="O15" s="100"/>
      <c r="P15" s="100"/>
      <c r="Q15" s="100"/>
      <c r="R15" s="100"/>
      <c r="S15" s="100"/>
      <c r="T15" s="102"/>
      <c r="U15" s="100"/>
      <c r="V15" s="100"/>
      <c r="W15" s="100"/>
      <c r="X15" s="103"/>
      <c r="Y15" s="103"/>
      <c r="Z15" s="103"/>
      <c r="AA15" s="103" t="s">
        <v>29</v>
      </c>
      <c r="AB15" s="87"/>
      <c r="AC15" s="87"/>
      <c r="AD15" s="87"/>
      <c r="AE15" s="87"/>
      <c r="AF15" s="111"/>
      <c r="AG15" s="87"/>
      <c r="AH15" s="87"/>
      <c r="AI15" s="112"/>
      <c r="AJ15" s="87"/>
      <c r="AK15" s="87"/>
      <c r="AL15" s="87"/>
      <c r="AM15" s="87"/>
      <c r="AN15" s="87"/>
      <c r="AO15" s="87"/>
      <c r="AP15" s="87"/>
      <c r="AQ15" s="87"/>
      <c r="AR15" s="104"/>
      <c r="AS15" s="87"/>
      <c r="AT15" s="87"/>
      <c r="AU15" s="87"/>
      <c r="AV15" s="87"/>
      <c r="AW15" s="87"/>
      <c r="AX15" s="87"/>
      <c r="AY15" s="87"/>
      <c r="AZ15" s="87"/>
      <c r="BA15" s="87"/>
      <c r="BB15" s="87"/>
      <c r="BC15" s="87"/>
      <c r="BD15" s="87"/>
      <c r="BE15" s="87"/>
      <c r="BF15" s="87"/>
      <c r="BG15" s="87"/>
      <c r="BH15" s="110"/>
      <c r="BI15" s="87"/>
      <c r="BJ15" s="87"/>
      <c r="BK15" s="87"/>
      <c r="BL15" s="87"/>
      <c r="BM15" s="100"/>
      <c r="BN15" s="87"/>
      <c r="BO15" s="87"/>
      <c r="BP15" s="87"/>
      <c r="BQ15" s="87"/>
      <c r="BR15" s="87"/>
      <c r="BS15" s="104"/>
      <c r="BT15" s="87"/>
      <c r="BU15" s="112"/>
      <c r="BV15" s="87"/>
      <c r="BW15" s="87"/>
      <c r="BX15" s="87"/>
      <c r="BY15" s="87"/>
      <c r="BZ15" s="87"/>
      <c r="CA15" s="87"/>
      <c r="CB15" s="87"/>
      <c r="CC15" s="87"/>
      <c r="CD15" s="87"/>
      <c r="CE15" s="104"/>
      <c r="CF15" s="87"/>
      <c r="CG15" s="100"/>
      <c r="CH15" s="87"/>
      <c r="CI15" s="113"/>
      <c r="CJ15" s="113"/>
      <c r="CK15" s="100"/>
      <c r="CL15" s="100"/>
      <c r="CM15" s="100"/>
      <c r="CN15" s="87"/>
      <c r="CO15" s="87"/>
      <c r="CP15" s="105"/>
      <c r="CQ15" s="104"/>
    </row>
    <row r="16" spans="2:96" s="86" customFormat="1" ht="11.25" customHeight="1">
      <c r="B16" s="87"/>
      <c r="C16" s="87"/>
      <c r="D16" s="99"/>
      <c r="E16" s="100"/>
      <c r="F16" s="100"/>
      <c r="G16" s="100"/>
      <c r="H16" s="100"/>
      <c r="I16" s="101"/>
      <c r="J16" s="100"/>
      <c r="K16" s="100"/>
      <c r="L16" s="100"/>
      <c r="M16" s="100"/>
      <c r="N16" s="100"/>
      <c r="O16" s="100"/>
      <c r="P16" s="100"/>
      <c r="Q16" s="100"/>
      <c r="R16" s="100"/>
      <c r="S16" s="100"/>
      <c r="T16" s="102"/>
      <c r="U16" s="100"/>
      <c r="V16" s="100"/>
      <c r="W16" s="103" t="s">
        <v>30</v>
      </c>
      <c r="X16" s="103"/>
      <c r="Y16" s="103"/>
      <c r="Z16" s="103"/>
      <c r="AA16" s="103"/>
      <c r="AB16" s="87"/>
      <c r="AC16" s="87"/>
      <c r="AD16" s="87"/>
      <c r="AE16" s="87"/>
      <c r="AF16" s="111"/>
      <c r="AG16" s="87"/>
      <c r="AH16" s="87"/>
      <c r="AI16" s="87"/>
      <c r="AJ16" s="114" t="s">
        <v>31</v>
      </c>
      <c r="AK16" s="114"/>
      <c r="AL16" s="87"/>
      <c r="AM16" s="87"/>
      <c r="AN16" s="87"/>
      <c r="AO16" s="87"/>
      <c r="AP16" s="87"/>
      <c r="AQ16" s="87"/>
      <c r="AR16" s="104"/>
      <c r="AS16" s="87"/>
      <c r="AT16" s="87"/>
      <c r="AU16" s="87"/>
      <c r="AV16" s="87"/>
      <c r="AW16" s="87"/>
      <c r="AX16" s="87"/>
      <c r="AY16" s="87"/>
      <c r="AZ16" s="87"/>
      <c r="BA16" s="87"/>
      <c r="BB16" s="87"/>
      <c r="BC16" s="87"/>
      <c r="BD16" s="87"/>
      <c r="BE16" s="87"/>
      <c r="BF16" s="87"/>
      <c r="BG16" s="104"/>
      <c r="BH16" s="110"/>
      <c r="BI16" s="87"/>
      <c r="BJ16" s="87"/>
      <c r="BK16" s="87"/>
      <c r="BL16" s="87"/>
      <c r="BM16" s="100"/>
      <c r="BN16" s="87"/>
      <c r="BO16" s="87"/>
      <c r="BP16" s="87"/>
      <c r="BQ16" s="87"/>
      <c r="BR16" s="87"/>
      <c r="BS16" s="104"/>
      <c r="BT16" s="87"/>
      <c r="BU16" s="87"/>
      <c r="BV16" s="87"/>
      <c r="BW16" s="87"/>
      <c r="BX16" s="87"/>
      <c r="BY16" s="87"/>
      <c r="BZ16" s="87"/>
      <c r="CA16" s="87"/>
      <c r="CB16" s="87"/>
      <c r="CC16" s="87"/>
      <c r="CD16" s="100"/>
      <c r="CE16" s="102"/>
      <c r="CF16" s="100"/>
      <c r="CG16" s="100"/>
      <c r="CH16" s="87"/>
      <c r="CI16" s="100"/>
      <c r="CJ16" s="100"/>
      <c r="CK16" s="110" t="s">
        <v>32</v>
      </c>
      <c r="CL16" s="100"/>
      <c r="CM16" s="100"/>
      <c r="CN16" s="100"/>
      <c r="CO16" s="100"/>
      <c r="CP16" s="115"/>
      <c r="CQ16" s="102"/>
      <c r="CR16" s="116"/>
    </row>
    <row r="17" spans="2:96" s="86" customFormat="1" ht="11.25" customHeight="1">
      <c r="B17" s="87"/>
      <c r="C17" s="87"/>
      <c r="D17" s="117"/>
      <c r="E17" s="118"/>
      <c r="F17" s="118"/>
      <c r="G17" s="100"/>
      <c r="H17" s="100"/>
      <c r="I17" s="101"/>
      <c r="J17" s="100"/>
      <c r="K17" s="100"/>
      <c r="L17" s="100"/>
      <c r="M17" s="100"/>
      <c r="N17" s="100"/>
      <c r="O17" s="100"/>
      <c r="P17" s="100"/>
      <c r="Q17" s="100"/>
      <c r="R17" s="100"/>
      <c r="S17" s="100"/>
      <c r="T17" s="102"/>
      <c r="U17" s="100"/>
      <c r="V17" s="100"/>
      <c r="W17" s="100"/>
      <c r="X17" s="103"/>
      <c r="Y17" s="103"/>
      <c r="Z17" s="103" t="s">
        <v>33</v>
      </c>
      <c r="AA17" s="103"/>
      <c r="AB17" s="87"/>
      <c r="AC17" s="87"/>
      <c r="AD17" s="87"/>
      <c r="AE17" s="87"/>
      <c r="AF17" s="111"/>
      <c r="AG17" s="87"/>
      <c r="AH17" s="87"/>
      <c r="AI17" s="112"/>
      <c r="AJ17" s="87"/>
      <c r="AK17" s="87"/>
      <c r="AL17" s="87"/>
      <c r="AM17" s="87" t="s">
        <v>34</v>
      </c>
      <c r="AN17" s="87"/>
      <c r="AO17" s="87"/>
      <c r="AP17" s="87"/>
      <c r="AQ17" s="87"/>
      <c r="AR17" s="104"/>
      <c r="AS17" s="87"/>
      <c r="AT17" s="87"/>
      <c r="AU17" s="87"/>
      <c r="AV17" s="87"/>
      <c r="AW17" s="87"/>
      <c r="AX17" s="87"/>
      <c r="AY17" s="87"/>
      <c r="AZ17" s="87"/>
      <c r="BA17" s="87"/>
      <c r="BB17" s="87"/>
      <c r="BC17" s="87"/>
      <c r="BD17" s="87"/>
      <c r="BE17" s="87"/>
      <c r="BF17" s="87"/>
      <c r="BG17" s="104"/>
      <c r="BH17" s="110"/>
      <c r="BI17" s="87"/>
      <c r="BJ17" s="87"/>
      <c r="BK17" s="87"/>
      <c r="BL17" s="87"/>
      <c r="BM17" s="100"/>
      <c r="BN17" s="87"/>
      <c r="BO17" s="87"/>
      <c r="BP17" s="87"/>
      <c r="BQ17" s="87"/>
      <c r="BR17" s="87"/>
      <c r="BS17" s="104"/>
      <c r="BT17" s="87"/>
      <c r="BU17" s="87"/>
      <c r="BV17" s="87"/>
      <c r="BW17" s="87"/>
      <c r="BX17" s="87"/>
      <c r="BY17" s="87"/>
      <c r="BZ17" s="87"/>
      <c r="CA17" s="87"/>
      <c r="CB17" s="87"/>
      <c r="CC17" s="87"/>
      <c r="CD17" s="100"/>
      <c r="CE17" s="102"/>
      <c r="CF17" s="100"/>
      <c r="CG17" s="100"/>
      <c r="CH17" s="87"/>
      <c r="CI17" s="119"/>
      <c r="CJ17" s="87"/>
      <c r="CK17" s="100"/>
      <c r="CL17" s="100"/>
      <c r="CM17" s="100"/>
      <c r="CN17" s="100"/>
      <c r="CO17" s="100"/>
      <c r="CP17" s="115"/>
      <c r="CQ17" s="102"/>
      <c r="CR17" s="116"/>
    </row>
    <row r="18" spans="2:96" s="86" customFormat="1" ht="11.25" customHeight="1">
      <c r="B18" s="87"/>
      <c r="C18" s="87"/>
      <c r="D18" s="117"/>
      <c r="E18" s="118"/>
      <c r="F18" s="118"/>
      <c r="G18" s="100"/>
      <c r="H18" s="100"/>
      <c r="I18" s="101"/>
      <c r="J18" s="100"/>
      <c r="K18" s="100"/>
      <c r="L18" s="100"/>
      <c r="M18" s="100"/>
      <c r="N18" s="100"/>
      <c r="O18" s="100"/>
      <c r="P18" s="100"/>
      <c r="Q18" s="100"/>
      <c r="R18" s="100"/>
      <c r="S18" s="100"/>
      <c r="T18" s="102"/>
      <c r="U18" s="100"/>
      <c r="V18" s="100"/>
      <c r="W18" s="100"/>
      <c r="X18" s="120"/>
      <c r="Y18" s="120"/>
      <c r="Z18" s="120"/>
      <c r="AA18" s="120"/>
      <c r="AB18" s="87"/>
      <c r="AC18" s="112" t="s">
        <v>35</v>
      </c>
      <c r="AD18" s="87"/>
      <c r="AE18" s="87"/>
      <c r="AF18" s="111"/>
      <c r="AG18" s="87"/>
      <c r="AH18" s="87"/>
      <c r="AI18" s="87"/>
      <c r="AJ18" s="87"/>
      <c r="AK18" s="87"/>
      <c r="AL18" s="87"/>
      <c r="AM18" s="87"/>
      <c r="AN18" s="87"/>
      <c r="AO18" s="87"/>
      <c r="AP18" s="87" t="s">
        <v>36</v>
      </c>
      <c r="AQ18" s="87"/>
      <c r="AR18" s="104"/>
      <c r="AS18" s="87"/>
      <c r="AT18" s="87"/>
      <c r="AU18" s="87"/>
      <c r="AV18" s="87"/>
      <c r="AW18" s="87"/>
      <c r="AX18" s="87"/>
      <c r="AY18" s="87"/>
      <c r="AZ18" s="87"/>
      <c r="BA18" s="87"/>
      <c r="BB18" s="87"/>
      <c r="BC18" s="87"/>
      <c r="BD18" s="87"/>
      <c r="BE18" s="87"/>
      <c r="BF18" s="87"/>
      <c r="BG18" s="104"/>
      <c r="BH18" s="110"/>
      <c r="BI18" s="87"/>
      <c r="BJ18" s="87"/>
      <c r="BK18" s="87"/>
      <c r="BL18" s="87"/>
      <c r="BM18" s="100"/>
      <c r="BN18" s="87"/>
      <c r="BO18" s="87"/>
      <c r="BP18" s="87"/>
      <c r="BQ18" s="87"/>
      <c r="BR18" s="87"/>
      <c r="BS18" s="104"/>
      <c r="BT18" s="87"/>
      <c r="BU18" s="87"/>
      <c r="BV18" s="87"/>
      <c r="BW18" s="87"/>
      <c r="BX18" s="87"/>
      <c r="BY18" s="87"/>
      <c r="BZ18" s="87"/>
      <c r="CA18" s="87"/>
      <c r="CB18" s="87"/>
      <c r="CC18" s="87"/>
      <c r="CD18" s="100"/>
      <c r="CE18" s="102"/>
      <c r="CF18" s="87"/>
      <c r="CG18" s="87"/>
      <c r="CH18" s="87"/>
      <c r="CI18" s="87"/>
      <c r="CJ18" s="87"/>
      <c r="CK18" s="87"/>
      <c r="CL18" s="87"/>
      <c r="CM18" s="87"/>
      <c r="CN18" s="110" t="s">
        <v>37</v>
      </c>
      <c r="CO18" s="100"/>
      <c r="CP18" s="115"/>
      <c r="CQ18" s="102"/>
      <c r="CR18" s="116"/>
    </row>
    <row r="19" spans="2:96" s="86" customFormat="1" ht="11.25" customHeight="1">
      <c r="B19" s="87"/>
      <c r="C19" s="87"/>
      <c r="D19" s="117"/>
      <c r="E19" s="118"/>
      <c r="F19" s="118"/>
      <c r="G19" s="100"/>
      <c r="H19" s="100"/>
      <c r="I19" s="101"/>
      <c r="J19" s="100"/>
      <c r="K19" s="100"/>
      <c r="L19" s="100"/>
      <c r="M19" s="100"/>
      <c r="N19" s="100"/>
      <c r="O19" s="100"/>
      <c r="P19" s="100"/>
      <c r="Q19" s="100"/>
      <c r="R19" s="100"/>
      <c r="S19" s="100"/>
      <c r="T19" s="102"/>
      <c r="U19" s="100"/>
      <c r="V19" s="100"/>
      <c r="W19" s="100"/>
      <c r="X19" s="120"/>
      <c r="Y19" s="120"/>
      <c r="Z19" s="120"/>
      <c r="AA19" s="120"/>
      <c r="AB19" s="109"/>
      <c r="AC19" s="87"/>
      <c r="AD19" s="87"/>
      <c r="AE19" s="87"/>
      <c r="AF19" s="112" t="s">
        <v>38</v>
      </c>
      <c r="AG19" s="87"/>
      <c r="AH19" s="87"/>
      <c r="AI19" s="87"/>
      <c r="AJ19" s="87"/>
      <c r="AK19" s="87"/>
      <c r="AL19" s="87"/>
      <c r="AM19" s="87"/>
      <c r="AN19" s="87"/>
      <c r="AO19" s="87"/>
      <c r="AP19" s="87"/>
      <c r="AQ19" s="87"/>
      <c r="AR19" s="104"/>
      <c r="AS19" s="87"/>
      <c r="AT19" s="112" t="s">
        <v>658</v>
      </c>
      <c r="AU19" s="87"/>
      <c r="AV19" s="87"/>
      <c r="AW19" s="87"/>
      <c r="AX19" s="87"/>
      <c r="AY19" s="87"/>
      <c r="AZ19" s="87"/>
      <c r="BA19" s="87"/>
      <c r="BB19" s="87"/>
      <c r="BC19" s="87"/>
      <c r="BD19" s="110"/>
      <c r="BE19" s="87"/>
      <c r="BF19" s="87"/>
      <c r="BG19" s="104"/>
      <c r="BH19" s="87"/>
      <c r="BI19" s="87"/>
      <c r="BJ19" s="87"/>
      <c r="BK19" s="87"/>
      <c r="BL19" s="87"/>
      <c r="BM19" s="100"/>
      <c r="BN19" s="87"/>
      <c r="BO19" s="87"/>
      <c r="BP19" s="87"/>
      <c r="BQ19" s="87"/>
      <c r="BR19" s="87"/>
      <c r="BS19" s="104"/>
      <c r="BT19" s="87"/>
      <c r="BU19" s="87"/>
      <c r="BV19" s="87"/>
      <c r="BW19" s="87"/>
      <c r="BX19" s="87"/>
      <c r="BY19" s="87"/>
      <c r="BZ19" s="87"/>
      <c r="CA19" s="87"/>
      <c r="CB19" s="87"/>
      <c r="CC19" s="87"/>
      <c r="CD19" s="100"/>
      <c r="CE19" s="104"/>
      <c r="CF19" s="87"/>
      <c r="CG19" s="87"/>
      <c r="CH19" s="87"/>
      <c r="CI19" s="87"/>
      <c r="CJ19" s="87"/>
      <c r="CK19" s="87"/>
      <c r="CL19" s="87"/>
      <c r="CM19" s="87"/>
      <c r="CN19" s="100"/>
      <c r="CO19" s="100"/>
      <c r="CP19" s="115"/>
      <c r="CQ19" s="102"/>
      <c r="CR19" s="116"/>
    </row>
    <row r="20" spans="2:96" s="121" customFormat="1" ht="18">
      <c r="B20" s="122"/>
      <c r="C20" s="122"/>
      <c r="D20" s="123"/>
      <c r="E20" s="124"/>
      <c r="F20" s="124"/>
      <c r="G20" s="119"/>
      <c r="H20" s="119"/>
      <c r="I20" s="354" t="s">
        <v>39</v>
      </c>
      <c r="J20" s="351"/>
      <c r="K20" s="351"/>
      <c r="L20" s="351"/>
      <c r="M20" s="351"/>
      <c r="N20" s="351"/>
      <c r="O20" s="351"/>
      <c r="P20" s="351"/>
      <c r="Q20" s="351"/>
      <c r="R20" s="119"/>
      <c r="S20" s="119"/>
      <c r="T20" s="125"/>
      <c r="U20" s="119"/>
      <c r="V20" s="119"/>
      <c r="W20" s="119"/>
      <c r="X20" s="120"/>
      <c r="Y20" s="120"/>
      <c r="Z20" s="120"/>
      <c r="AA20" s="120"/>
      <c r="AB20" s="122"/>
      <c r="AC20" s="122"/>
      <c r="AD20" s="122"/>
      <c r="AE20" s="122"/>
      <c r="AF20" s="126"/>
      <c r="AG20" s="122"/>
      <c r="AH20" s="122"/>
      <c r="AI20" s="122"/>
      <c r="AJ20" s="122"/>
      <c r="AK20" s="122"/>
      <c r="AL20" s="122"/>
      <c r="AM20" s="122"/>
      <c r="AN20" s="122"/>
      <c r="AO20" s="122"/>
      <c r="AP20" s="122"/>
      <c r="AQ20" s="122"/>
      <c r="AR20" s="126"/>
      <c r="AS20" s="122"/>
      <c r="AT20" s="122"/>
      <c r="AU20" s="122"/>
      <c r="AV20" s="122"/>
      <c r="AW20" s="122"/>
      <c r="AX20" s="122"/>
      <c r="AY20" s="122"/>
      <c r="AZ20" s="122"/>
      <c r="BA20" s="122"/>
      <c r="BB20" s="122"/>
      <c r="BC20" s="122"/>
      <c r="BD20" s="122"/>
      <c r="BE20" s="122"/>
      <c r="BF20" s="122"/>
      <c r="BG20" s="126"/>
      <c r="BH20" s="122"/>
      <c r="BI20" s="122"/>
      <c r="BJ20" s="122"/>
      <c r="BK20" s="122"/>
      <c r="BL20" s="122"/>
      <c r="BM20" s="119"/>
      <c r="BN20" s="122"/>
      <c r="BO20" s="122"/>
      <c r="BP20" s="122"/>
      <c r="BQ20" s="122"/>
      <c r="BR20" s="122"/>
      <c r="BS20" s="104"/>
      <c r="BT20" s="122"/>
      <c r="BU20" s="122"/>
      <c r="BV20" s="122"/>
      <c r="BW20" s="122"/>
      <c r="BX20" s="122"/>
      <c r="BY20" s="122"/>
      <c r="BZ20" s="122"/>
      <c r="CA20" s="122"/>
      <c r="CB20" s="122"/>
      <c r="CC20" s="122"/>
      <c r="CD20" s="119"/>
      <c r="CE20" s="126"/>
      <c r="CF20" s="122"/>
      <c r="CG20" s="119"/>
      <c r="CH20" s="122"/>
      <c r="CI20" s="127"/>
      <c r="CJ20" s="127"/>
      <c r="CK20" s="119"/>
      <c r="CL20" s="119"/>
      <c r="CM20" s="119"/>
      <c r="CN20" s="119"/>
      <c r="CO20" s="119"/>
      <c r="CP20" s="128"/>
      <c r="CQ20" s="125"/>
      <c r="CR20" s="129"/>
    </row>
    <row r="21" spans="2:96" s="130" customFormat="1" ht="6" customHeight="1">
      <c r="B21" s="131"/>
      <c r="C21" s="131"/>
      <c r="D21" s="132"/>
      <c r="E21" s="133"/>
      <c r="F21" s="133"/>
      <c r="G21" s="134"/>
      <c r="H21" s="134"/>
      <c r="I21" s="135"/>
      <c r="J21" s="127"/>
      <c r="K21" s="127"/>
      <c r="L21" s="127"/>
      <c r="M21" s="127"/>
      <c r="N21" s="127"/>
      <c r="O21" s="127"/>
      <c r="P21" s="127"/>
      <c r="Q21" s="127"/>
      <c r="R21" s="127"/>
      <c r="S21" s="127"/>
      <c r="T21" s="127"/>
      <c r="U21" s="127"/>
      <c r="V21" s="127"/>
      <c r="W21" s="127"/>
      <c r="X21" s="120"/>
      <c r="Y21" s="120"/>
      <c r="Z21" s="120"/>
      <c r="AA21" s="120"/>
      <c r="AB21" s="136"/>
      <c r="AC21" s="136"/>
      <c r="AD21" s="136"/>
      <c r="AE21" s="136"/>
      <c r="AF21" s="137"/>
      <c r="AG21" s="136"/>
      <c r="AH21" s="136"/>
      <c r="AI21" s="136"/>
      <c r="AJ21" s="136"/>
      <c r="AK21" s="136"/>
      <c r="AL21" s="136"/>
      <c r="AM21" s="136"/>
      <c r="AN21" s="136"/>
      <c r="AO21" s="136"/>
      <c r="AP21" s="136"/>
      <c r="AQ21" s="136"/>
      <c r="AR21" s="137"/>
      <c r="AS21" s="136"/>
      <c r="AT21" s="136"/>
      <c r="AU21" s="136"/>
      <c r="AV21" s="136"/>
      <c r="AW21" s="136"/>
      <c r="AX21" s="136"/>
      <c r="AY21" s="136"/>
      <c r="AZ21" s="136"/>
      <c r="BA21" s="136"/>
      <c r="BB21" s="136"/>
      <c r="BC21" s="136"/>
      <c r="BD21" s="136"/>
      <c r="BE21" s="136"/>
      <c r="BF21" s="136"/>
      <c r="BG21" s="137"/>
      <c r="BH21" s="136"/>
      <c r="BI21" s="136"/>
      <c r="BJ21" s="136"/>
      <c r="BK21" s="136"/>
      <c r="BL21" s="136"/>
      <c r="BM21" s="127"/>
      <c r="BN21" s="136"/>
      <c r="BO21" s="136"/>
      <c r="BP21" s="136"/>
      <c r="BQ21" s="136"/>
      <c r="BR21" s="136"/>
      <c r="BS21" s="137"/>
      <c r="BT21" s="136"/>
      <c r="BU21" s="136"/>
      <c r="BV21" s="136"/>
      <c r="BW21" s="136"/>
      <c r="BX21" s="136"/>
      <c r="BY21" s="136"/>
      <c r="BZ21" s="136"/>
      <c r="CA21" s="136"/>
      <c r="CB21" s="136"/>
      <c r="CC21" s="136"/>
      <c r="CD21" s="127"/>
      <c r="CE21" s="137"/>
      <c r="CF21" s="136"/>
      <c r="CG21" s="127"/>
      <c r="CH21" s="136"/>
      <c r="CI21" s="127"/>
      <c r="CJ21" s="127"/>
      <c r="CK21" s="127"/>
      <c r="CL21" s="127"/>
      <c r="CM21" s="127"/>
      <c r="CN21" s="127"/>
      <c r="CO21" s="127"/>
      <c r="CP21" s="138"/>
      <c r="CQ21" s="139"/>
      <c r="CR21" s="140"/>
    </row>
    <row r="22" spans="2:96" s="141" customFormat="1" ht="11.25" customHeight="1">
      <c r="B22" s="142"/>
      <c r="C22" s="142"/>
      <c r="D22" s="143"/>
      <c r="E22" s="144"/>
      <c r="F22" s="144"/>
      <c r="G22" s="145"/>
      <c r="H22" s="145"/>
      <c r="I22" s="146"/>
      <c r="J22" s="145"/>
      <c r="K22" s="145"/>
      <c r="L22" s="145"/>
      <c r="M22" s="145"/>
      <c r="N22" s="147" t="s">
        <v>40</v>
      </c>
      <c r="O22" s="148"/>
      <c r="P22" s="149"/>
      <c r="Q22" s="149"/>
      <c r="R22" s="149"/>
      <c r="S22" s="149"/>
      <c r="T22" s="149"/>
      <c r="U22" s="148"/>
      <c r="V22" s="149"/>
      <c r="W22" s="149"/>
      <c r="X22" s="149"/>
      <c r="Y22" s="149"/>
      <c r="Z22" s="149"/>
      <c r="AA22" s="150"/>
      <c r="AB22" s="142"/>
      <c r="AC22" s="142"/>
      <c r="AD22" s="142"/>
      <c r="AE22" s="151" t="s">
        <v>41</v>
      </c>
      <c r="AF22" s="152"/>
      <c r="AG22" s="142"/>
      <c r="AH22" s="142"/>
      <c r="AI22" s="142"/>
      <c r="AJ22" s="142"/>
      <c r="AK22" s="142"/>
      <c r="AL22" s="142"/>
      <c r="AM22" s="142"/>
      <c r="AN22" s="142"/>
      <c r="AO22" s="142"/>
      <c r="AP22" s="142"/>
      <c r="AQ22" s="142"/>
      <c r="AR22" s="152"/>
      <c r="AS22" s="142"/>
      <c r="AT22" s="142"/>
      <c r="AU22" s="142"/>
      <c r="AV22" s="145"/>
      <c r="AW22" s="145"/>
      <c r="AX22" s="145"/>
      <c r="AY22" s="145"/>
      <c r="AZ22" s="145"/>
      <c r="BA22" s="145"/>
      <c r="BB22" s="145"/>
      <c r="BC22" s="145"/>
      <c r="BD22" s="145"/>
      <c r="BE22" s="142"/>
      <c r="BF22" s="142"/>
      <c r="BG22" s="152"/>
      <c r="BH22" s="142"/>
      <c r="BI22" s="142"/>
      <c r="BJ22" s="142"/>
      <c r="BK22" s="142"/>
      <c r="BL22" s="142"/>
      <c r="BM22" s="145"/>
      <c r="BN22" s="142"/>
      <c r="BO22" s="142"/>
      <c r="BP22" s="142"/>
      <c r="BQ22" s="142"/>
      <c r="BR22" s="142"/>
      <c r="BS22" s="152"/>
      <c r="BT22" s="142"/>
      <c r="BU22" s="142"/>
      <c r="BV22" s="142"/>
      <c r="BW22" s="142"/>
      <c r="BX22" s="142"/>
      <c r="BY22" s="142"/>
      <c r="BZ22" s="145"/>
      <c r="CA22" s="145"/>
      <c r="CB22" s="145"/>
      <c r="CC22" s="142"/>
      <c r="CD22" s="145"/>
      <c r="CE22" s="153"/>
      <c r="CF22" s="154"/>
      <c r="CG22" s="113"/>
      <c r="CH22" s="154"/>
      <c r="CI22" s="127"/>
      <c r="CJ22" s="127"/>
      <c r="CK22" s="113"/>
      <c r="CL22" s="113"/>
      <c r="CM22" s="113"/>
      <c r="CN22" s="113"/>
      <c r="CO22" s="113"/>
      <c r="CP22" s="155"/>
      <c r="CQ22" s="156"/>
      <c r="CR22" s="157"/>
    </row>
    <row r="23" spans="2:95" s="140" customFormat="1" ht="3" customHeight="1">
      <c r="B23" s="120"/>
      <c r="C23" s="120"/>
      <c r="D23" s="158"/>
      <c r="E23" s="159"/>
      <c r="F23" s="159"/>
      <c r="G23" s="120"/>
      <c r="H23" s="120"/>
      <c r="I23" s="160"/>
      <c r="J23" s="120"/>
      <c r="K23" s="147"/>
      <c r="L23" s="120"/>
      <c r="M23" s="120"/>
      <c r="N23" s="120"/>
      <c r="O23" s="120"/>
      <c r="P23" s="120"/>
      <c r="Q23" s="120"/>
      <c r="R23" s="120"/>
      <c r="S23" s="120"/>
      <c r="T23" s="120"/>
      <c r="U23" s="120"/>
      <c r="V23" s="120"/>
      <c r="W23" s="120"/>
      <c r="X23" s="120"/>
      <c r="Y23" s="120"/>
      <c r="Z23" s="120"/>
      <c r="AA23" s="120"/>
      <c r="AB23" s="120"/>
      <c r="AC23" s="120"/>
      <c r="AD23" s="120"/>
      <c r="AE23" s="120"/>
      <c r="AF23" s="161"/>
      <c r="AG23" s="120"/>
      <c r="AH23" s="120"/>
      <c r="AI23" s="120"/>
      <c r="AJ23" s="120"/>
      <c r="AK23" s="120"/>
      <c r="AL23" s="120"/>
      <c r="AM23" s="120"/>
      <c r="AN23" s="120"/>
      <c r="AO23" s="120"/>
      <c r="AP23" s="120"/>
      <c r="AQ23" s="120"/>
      <c r="AR23" s="161"/>
      <c r="AS23" s="120"/>
      <c r="AT23" s="120"/>
      <c r="AU23" s="120"/>
      <c r="AV23" s="120"/>
      <c r="AW23" s="120"/>
      <c r="AX23" s="120"/>
      <c r="AY23" s="120"/>
      <c r="AZ23" s="120"/>
      <c r="BA23" s="120"/>
      <c r="BB23" s="120"/>
      <c r="BC23" s="120"/>
      <c r="BD23" s="120"/>
      <c r="BE23" s="120"/>
      <c r="BF23" s="120"/>
      <c r="BG23" s="161"/>
      <c r="BH23" s="120"/>
      <c r="BI23" s="120"/>
      <c r="BJ23" s="120"/>
      <c r="BK23" s="120"/>
      <c r="BL23" s="120"/>
      <c r="BM23" s="120"/>
      <c r="BN23" s="120"/>
      <c r="BO23" s="120"/>
      <c r="BP23" s="120"/>
      <c r="BQ23" s="120"/>
      <c r="BR23" s="120"/>
      <c r="BS23" s="161"/>
      <c r="BT23" s="120"/>
      <c r="BU23" s="120"/>
      <c r="BV23" s="120"/>
      <c r="BW23" s="120"/>
      <c r="BX23" s="120"/>
      <c r="BY23" s="120"/>
      <c r="BZ23" s="120"/>
      <c r="CA23" s="120"/>
      <c r="CB23" s="120"/>
      <c r="CC23" s="120"/>
      <c r="CD23" s="120"/>
      <c r="CE23" s="139"/>
      <c r="CF23" s="127"/>
      <c r="CG23" s="127"/>
      <c r="CH23" s="127"/>
      <c r="CI23" s="127"/>
      <c r="CJ23" s="127"/>
      <c r="CK23" s="127"/>
      <c r="CL23" s="127"/>
      <c r="CM23" s="127"/>
      <c r="CN23" s="127"/>
      <c r="CO23" s="127"/>
      <c r="CP23" s="138"/>
      <c r="CQ23" s="139"/>
    </row>
    <row r="24" spans="2:96" s="130" customFormat="1" ht="11.25" customHeight="1">
      <c r="B24" s="162"/>
      <c r="C24" s="162"/>
      <c r="D24" s="158"/>
      <c r="E24" s="159"/>
      <c r="F24" s="159"/>
      <c r="G24" s="120"/>
      <c r="H24" s="120"/>
      <c r="I24" s="160"/>
      <c r="J24" s="120"/>
      <c r="K24" s="120"/>
      <c r="L24" s="120"/>
      <c r="M24" s="120"/>
      <c r="N24" s="147" t="s">
        <v>42</v>
      </c>
      <c r="O24" s="163"/>
      <c r="P24" s="164"/>
      <c r="Q24" s="164"/>
      <c r="R24" s="164"/>
      <c r="S24" s="164"/>
      <c r="T24" s="164"/>
      <c r="U24" s="164"/>
      <c r="V24" s="164"/>
      <c r="W24" s="164"/>
      <c r="X24" s="164"/>
      <c r="Y24" s="164"/>
      <c r="Z24" s="165"/>
      <c r="AA24" s="164"/>
      <c r="AB24" s="164"/>
      <c r="AC24" s="163"/>
      <c r="AD24" s="164"/>
      <c r="AE24" s="166"/>
      <c r="AF24" s="151"/>
      <c r="AG24" s="162"/>
      <c r="AH24" s="162"/>
      <c r="AI24" s="136"/>
      <c r="AJ24" s="162"/>
      <c r="AK24" s="162"/>
      <c r="AL24" s="162"/>
      <c r="AM24" s="162"/>
      <c r="AN24" s="162"/>
      <c r="AO24" s="162"/>
      <c r="AP24" s="162"/>
      <c r="AQ24" s="162"/>
      <c r="AR24" s="167"/>
      <c r="AS24" s="162"/>
      <c r="AT24" s="162"/>
      <c r="AU24" s="162"/>
      <c r="AV24" s="120"/>
      <c r="AW24" s="120"/>
      <c r="AX24" s="120"/>
      <c r="AY24" s="120"/>
      <c r="AZ24" s="120"/>
      <c r="BA24" s="120"/>
      <c r="BB24" s="120"/>
      <c r="BC24" s="120"/>
      <c r="BD24" s="120"/>
      <c r="BE24" s="162"/>
      <c r="BF24" s="162"/>
      <c r="BG24" s="167"/>
      <c r="BH24" s="162"/>
      <c r="BI24" s="162"/>
      <c r="BJ24" s="162"/>
      <c r="BK24" s="162"/>
      <c r="BL24" s="162"/>
      <c r="BM24" s="120"/>
      <c r="BN24" s="162"/>
      <c r="BO24" s="162"/>
      <c r="BP24" s="162"/>
      <c r="BQ24" s="162"/>
      <c r="BR24" s="162"/>
      <c r="BS24" s="167"/>
      <c r="BT24" s="162"/>
      <c r="BU24" s="162"/>
      <c r="BV24" s="162"/>
      <c r="BW24" s="162"/>
      <c r="BX24" s="162"/>
      <c r="BY24" s="162"/>
      <c r="BZ24" s="120"/>
      <c r="CA24" s="120"/>
      <c r="CB24" s="120"/>
      <c r="CC24" s="162"/>
      <c r="CD24" s="120"/>
      <c r="CE24" s="137"/>
      <c r="CF24" s="136"/>
      <c r="CG24" s="127"/>
      <c r="CH24" s="136"/>
      <c r="CI24" s="127"/>
      <c r="CJ24" s="127"/>
      <c r="CK24" s="127"/>
      <c r="CL24" s="127"/>
      <c r="CM24" s="127"/>
      <c r="CN24" s="127"/>
      <c r="CO24" s="127"/>
      <c r="CP24" s="138"/>
      <c r="CQ24" s="139"/>
      <c r="CR24" s="140"/>
    </row>
    <row r="25" spans="2:95" s="140" customFormat="1" ht="3.75" customHeight="1">
      <c r="B25" s="120"/>
      <c r="C25" s="120"/>
      <c r="D25" s="158"/>
      <c r="E25" s="159"/>
      <c r="F25" s="159"/>
      <c r="G25" s="120"/>
      <c r="H25" s="120"/>
      <c r="I25" s="16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61"/>
      <c r="AS25" s="120"/>
      <c r="AT25" s="120"/>
      <c r="AU25" s="120"/>
      <c r="AV25" s="120"/>
      <c r="AW25" s="120"/>
      <c r="AX25" s="120"/>
      <c r="AY25" s="120"/>
      <c r="AZ25" s="120"/>
      <c r="BA25" s="120"/>
      <c r="BB25" s="120"/>
      <c r="BC25" s="120"/>
      <c r="BD25" s="120"/>
      <c r="BE25" s="120"/>
      <c r="BF25" s="120"/>
      <c r="BG25" s="120"/>
      <c r="BH25" s="168"/>
      <c r="BI25" s="120"/>
      <c r="BJ25" s="120"/>
      <c r="BK25" s="120"/>
      <c r="BL25" s="120"/>
      <c r="BM25" s="120"/>
      <c r="BN25" s="120"/>
      <c r="BO25" s="120"/>
      <c r="BP25" s="120"/>
      <c r="BQ25" s="120"/>
      <c r="BR25" s="120"/>
      <c r="BS25" s="161"/>
      <c r="BT25" s="120"/>
      <c r="BU25" s="120"/>
      <c r="BV25" s="120"/>
      <c r="BW25" s="120"/>
      <c r="BX25" s="120"/>
      <c r="BY25" s="120"/>
      <c r="BZ25" s="120"/>
      <c r="CA25" s="120"/>
      <c r="CB25" s="120"/>
      <c r="CC25" s="120"/>
      <c r="CD25" s="120"/>
      <c r="CE25" s="139"/>
      <c r="CF25" s="127"/>
      <c r="CG25" s="127"/>
      <c r="CH25" s="127"/>
      <c r="CI25" s="127"/>
      <c r="CJ25" s="127"/>
      <c r="CK25" s="127"/>
      <c r="CL25" s="127"/>
      <c r="CM25" s="127"/>
      <c r="CN25" s="127"/>
      <c r="CO25" s="127"/>
      <c r="CP25" s="138"/>
      <c r="CQ25" s="139"/>
    </row>
    <row r="26" spans="2:96" s="130" customFormat="1" ht="11.25" customHeight="1">
      <c r="B26" s="162"/>
      <c r="C26" s="162"/>
      <c r="D26" s="158"/>
      <c r="E26" s="159"/>
      <c r="F26" s="159"/>
      <c r="G26" s="120"/>
      <c r="H26" s="120"/>
      <c r="I26" s="160"/>
      <c r="J26" s="120"/>
      <c r="K26" s="120"/>
      <c r="L26" s="120"/>
      <c r="M26" s="120"/>
      <c r="N26" s="120"/>
      <c r="O26" s="120"/>
      <c r="P26" s="120"/>
      <c r="Q26" s="120"/>
      <c r="R26" s="120"/>
      <c r="S26" s="120"/>
      <c r="T26" s="120"/>
      <c r="U26" s="120"/>
      <c r="V26" s="120"/>
      <c r="W26" s="120"/>
      <c r="X26" s="120"/>
      <c r="Y26" s="120"/>
      <c r="Z26" s="120"/>
      <c r="AA26" s="120"/>
      <c r="AB26" s="162"/>
      <c r="AC26" s="136"/>
      <c r="AD26" s="136"/>
      <c r="AE26" s="136"/>
      <c r="AF26" s="169" t="s">
        <v>43</v>
      </c>
      <c r="AG26" s="163"/>
      <c r="AH26" s="164"/>
      <c r="AI26" s="164"/>
      <c r="AJ26" s="164"/>
      <c r="AK26" s="163"/>
      <c r="AL26" s="164"/>
      <c r="AM26" s="164"/>
      <c r="AN26" s="164"/>
      <c r="AO26" s="164"/>
      <c r="AP26" s="164"/>
      <c r="AQ26" s="164"/>
      <c r="AR26" s="163"/>
      <c r="AS26" s="164"/>
      <c r="AT26" s="164"/>
      <c r="AU26" s="164"/>
      <c r="AV26" s="170">
        <v>1</v>
      </c>
      <c r="AW26" s="171"/>
      <c r="AX26" s="172">
        <v>2</v>
      </c>
      <c r="AY26" s="172">
        <v>3</v>
      </c>
      <c r="AZ26" s="120"/>
      <c r="BA26" s="120"/>
      <c r="BB26" s="120"/>
      <c r="BC26" s="120"/>
      <c r="BD26" s="120"/>
      <c r="BE26" s="162"/>
      <c r="BF26" s="162"/>
      <c r="BG26" s="162"/>
      <c r="BH26" s="173"/>
      <c r="BI26" s="162"/>
      <c r="BJ26" s="162"/>
      <c r="BK26" s="162"/>
      <c r="BL26" s="162"/>
      <c r="BM26" s="120"/>
      <c r="BN26" s="162"/>
      <c r="BO26" s="162"/>
      <c r="BP26" s="162"/>
      <c r="BQ26" s="162"/>
      <c r="BR26" s="162"/>
      <c r="BS26" s="167"/>
      <c r="BT26" s="162"/>
      <c r="BU26" s="162"/>
      <c r="BV26" s="162"/>
      <c r="BW26" s="162"/>
      <c r="BX26" s="162"/>
      <c r="BY26" s="162"/>
      <c r="BZ26" s="120"/>
      <c r="CA26" s="120"/>
      <c r="CB26" s="120"/>
      <c r="CC26" s="162"/>
      <c r="CD26" s="120"/>
      <c r="CE26" s="137"/>
      <c r="CF26" s="136"/>
      <c r="CG26" s="127"/>
      <c r="CH26" s="136"/>
      <c r="CI26" s="127"/>
      <c r="CJ26" s="127"/>
      <c r="CK26" s="127"/>
      <c r="CL26" s="127"/>
      <c r="CM26" s="127"/>
      <c r="CN26" s="127"/>
      <c r="CO26" s="127"/>
      <c r="CP26" s="138"/>
      <c r="CQ26" s="139"/>
      <c r="CR26" s="140"/>
    </row>
    <row r="27" spans="2:95" s="140" customFormat="1" ht="3.75" customHeight="1">
      <c r="B27" s="120"/>
      <c r="C27" s="120"/>
      <c r="D27" s="174"/>
      <c r="E27" s="159"/>
      <c r="F27" s="159"/>
      <c r="G27" s="120"/>
      <c r="H27" s="120"/>
      <c r="I27" s="160"/>
      <c r="J27" s="120"/>
      <c r="K27" s="120"/>
      <c r="L27" s="120"/>
      <c r="M27" s="120"/>
      <c r="N27" s="120"/>
      <c r="O27" s="120"/>
      <c r="P27" s="120"/>
      <c r="Q27" s="120"/>
      <c r="R27" s="120"/>
      <c r="S27" s="120"/>
      <c r="T27" s="161"/>
      <c r="U27" s="120"/>
      <c r="V27" s="120"/>
      <c r="W27" s="120"/>
      <c r="X27" s="120"/>
      <c r="Y27" s="120"/>
      <c r="Z27" s="120"/>
      <c r="AA27" s="120"/>
      <c r="AB27" s="120"/>
      <c r="AC27" s="147"/>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68"/>
      <c r="BI27" s="120"/>
      <c r="BJ27" s="120"/>
      <c r="BK27" s="120"/>
      <c r="BL27" s="120"/>
      <c r="BM27" s="120"/>
      <c r="BN27" s="120"/>
      <c r="BO27" s="120"/>
      <c r="BP27" s="120"/>
      <c r="BQ27" s="120"/>
      <c r="BR27" s="120"/>
      <c r="BS27" s="161"/>
      <c r="BT27" s="120"/>
      <c r="BU27" s="120"/>
      <c r="BV27" s="120"/>
      <c r="BW27" s="120"/>
      <c r="BX27" s="120"/>
      <c r="BY27" s="120"/>
      <c r="BZ27" s="120"/>
      <c r="CA27" s="120"/>
      <c r="CB27" s="120"/>
      <c r="CC27" s="120"/>
      <c r="CD27" s="120"/>
      <c r="CE27" s="139"/>
      <c r="CF27" s="127"/>
      <c r="CG27" s="127"/>
      <c r="CH27" s="127"/>
      <c r="CI27" s="127"/>
      <c r="CJ27" s="127"/>
      <c r="CK27" s="127"/>
      <c r="CL27" s="127"/>
      <c r="CM27" s="127"/>
      <c r="CN27" s="127"/>
      <c r="CO27" s="127"/>
      <c r="CP27" s="138"/>
      <c r="CQ27" s="139"/>
    </row>
    <row r="28" spans="2:96" s="130" customFormat="1" ht="15.75" customHeight="1">
      <c r="B28" s="162"/>
      <c r="C28" s="162"/>
      <c r="D28" s="175"/>
      <c r="E28" s="159"/>
      <c r="F28" s="159"/>
      <c r="G28" s="120"/>
      <c r="H28" s="120"/>
      <c r="I28" s="354" t="s">
        <v>44</v>
      </c>
      <c r="J28" s="351"/>
      <c r="K28" s="351"/>
      <c r="L28" s="351"/>
      <c r="M28" s="351"/>
      <c r="N28" s="351"/>
      <c r="O28" s="351"/>
      <c r="P28" s="351"/>
      <c r="Q28" s="351"/>
      <c r="R28" s="351"/>
      <c r="S28" s="120"/>
      <c r="T28" s="161"/>
      <c r="U28" s="120"/>
      <c r="V28" s="120"/>
      <c r="W28" s="120"/>
      <c r="X28" s="120"/>
      <c r="Y28" s="120"/>
      <c r="Z28" s="120"/>
      <c r="AA28" s="120"/>
      <c r="AB28" s="162"/>
      <c r="AC28" s="162"/>
      <c r="AD28" s="162"/>
      <c r="AE28" s="162"/>
      <c r="AF28" s="167"/>
      <c r="AG28" s="162"/>
      <c r="AH28" s="162"/>
      <c r="AI28" s="120"/>
      <c r="AJ28" s="120"/>
      <c r="AK28" s="120"/>
      <c r="AL28" s="120"/>
      <c r="AM28" s="120"/>
      <c r="AN28" s="120"/>
      <c r="AO28" s="120"/>
      <c r="AP28" s="120"/>
      <c r="AQ28" s="120"/>
      <c r="AR28" s="120"/>
      <c r="AS28" s="168"/>
      <c r="AT28" s="120"/>
      <c r="AU28" s="147"/>
      <c r="AV28" s="127"/>
      <c r="AW28" s="127"/>
      <c r="AX28" s="127"/>
      <c r="AY28" s="147"/>
      <c r="AZ28" s="120"/>
      <c r="BA28" s="120"/>
      <c r="BB28" s="120"/>
      <c r="BC28" s="120"/>
      <c r="BD28" s="120"/>
      <c r="BE28" s="120"/>
      <c r="BF28" s="120"/>
      <c r="BG28" s="120"/>
      <c r="BH28" s="168"/>
      <c r="BI28" s="120"/>
      <c r="BJ28" s="162"/>
      <c r="BK28" s="162"/>
      <c r="BL28" s="162"/>
      <c r="BM28" s="162"/>
      <c r="BN28" s="162"/>
      <c r="BO28" s="162"/>
      <c r="BP28" s="162"/>
      <c r="BQ28" s="162"/>
      <c r="BR28" s="162"/>
      <c r="BS28" s="167"/>
      <c r="BT28" s="162"/>
      <c r="BU28" s="162"/>
      <c r="BV28" s="162"/>
      <c r="BW28" s="162"/>
      <c r="BX28" s="162"/>
      <c r="BY28" s="162"/>
      <c r="BZ28" s="120"/>
      <c r="CA28" s="120"/>
      <c r="CB28" s="120"/>
      <c r="CC28" s="162"/>
      <c r="CD28" s="120"/>
      <c r="CE28" s="137"/>
      <c r="CF28" s="136"/>
      <c r="CG28" s="127"/>
      <c r="CH28" s="136"/>
      <c r="CI28" s="127"/>
      <c r="CJ28" s="127"/>
      <c r="CK28" s="127"/>
      <c r="CL28" s="127"/>
      <c r="CM28" s="127"/>
      <c r="CN28" s="127"/>
      <c r="CO28" s="127"/>
      <c r="CP28" s="138"/>
      <c r="CQ28" s="139"/>
      <c r="CR28" s="140"/>
    </row>
    <row r="29" spans="2:96" s="130" customFormat="1" ht="3" customHeight="1">
      <c r="B29" s="162"/>
      <c r="C29" s="162"/>
      <c r="D29" s="175"/>
      <c r="E29" s="159"/>
      <c r="F29" s="159"/>
      <c r="G29" s="120"/>
      <c r="H29" s="120"/>
      <c r="I29" s="355"/>
      <c r="J29" s="351"/>
      <c r="K29" s="351"/>
      <c r="L29" s="351"/>
      <c r="M29" s="351"/>
      <c r="N29" s="351"/>
      <c r="O29" s="351"/>
      <c r="P29" s="351"/>
      <c r="Q29" s="351"/>
      <c r="R29" s="351"/>
      <c r="S29" s="120"/>
      <c r="T29" s="161"/>
      <c r="U29" s="120"/>
      <c r="V29" s="120"/>
      <c r="W29" s="120"/>
      <c r="X29" s="120"/>
      <c r="Y29" s="120"/>
      <c r="Z29" s="120"/>
      <c r="AA29" s="120"/>
      <c r="AB29" s="162"/>
      <c r="AC29" s="162"/>
      <c r="AD29" s="162"/>
      <c r="AE29" s="162"/>
      <c r="AF29" s="167"/>
      <c r="AG29" s="162"/>
      <c r="AH29" s="162"/>
      <c r="AI29" s="162"/>
      <c r="AJ29" s="162"/>
      <c r="AK29" s="162"/>
      <c r="AL29" s="162"/>
      <c r="AM29" s="162"/>
      <c r="AN29" s="162"/>
      <c r="AO29" s="162"/>
      <c r="AP29" s="162"/>
      <c r="AQ29" s="162"/>
      <c r="AR29" s="167"/>
      <c r="AS29" s="162"/>
      <c r="AT29" s="162"/>
      <c r="AU29" s="162"/>
      <c r="AV29" s="147"/>
      <c r="AW29" s="120"/>
      <c r="AX29" s="120"/>
      <c r="AY29" s="120"/>
      <c r="AZ29" s="120"/>
      <c r="BA29" s="120"/>
      <c r="BB29" s="120"/>
      <c r="BC29" s="162"/>
      <c r="BD29" s="162"/>
      <c r="BE29" s="162"/>
      <c r="BF29" s="162"/>
      <c r="BG29" s="162"/>
      <c r="BH29" s="173"/>
      <c r="BI29" s="162"/>
      <c r="BJ29" s="162"/>
      <c r="BK29" s="162"/>
      <c r="BL29" s="162"/>
      <c r="BM29" s="162"/>
      <c r="BN29" s="162"/>
      <c r="BO29" s="162"/>
      <c r="BP29" s="162"/>
      <c r="BQ29" s="162"/>
      <c r="BR29" s="162"/>
      <c r="BS29" s="167"/>
      <c r="BT29" s="162"/>
      <c r="BU29" s="162"/>
      <c r="BV29" s="162"/>
      <c r="BW29" s="162"/>
      <c r="BX29" s="162"/>
      <c r="BY29" s="162"/>
      <c r="BZ29" s="120"/>
      <c r="CA29" s="120"/>
      <c r="CB29" s="120"/>
      <c r="CC29" s="162"/>
      <c r="CD29" s="120"/>
      <c r="CE29" s="137"/>
      <c r="CF29" s="136"/>
      <c r="CG29" s="127"/>
      <c r="CH29" s="136"/>
      <c r="CI29" s="127"/>
      <c r="CJ29" s="127"/>
      <c r="CK29" s="127"/>
      <c r="CL29" s="127"/>
      <c r="CM29" s="127"/>
      <c r="CN29" s="127"/>
      <c r="CO29" s="127"/>
      <c r="CP29" s="138"/>
      <c r="CQ29" s="139"/>
      <c r="CR29" s="140"/>
    </row>
    <row r="30" spans="2:96" s="130" customFormat="1" ht="3" customHeight="1">
      <c r="B30" s="169"/>
      <c r="C30" s="169"/>
      <c r="D30" s="177"/>
      <c r="E30" s="178"/>
      <c r="F30" s="178"/>
      <c r="G30" s="147"/>
      <c r="H30" s="147"/>
      <c r="I30" s="135"/>
      <c r="J30" s="351"/>
      <c r="K30" s="351"/>
      <c r="L30" s="351"/>
      <c r="M30" s="351"/>
      <c r="N30" s="351"/>
      <c r="O30" s="351"/>
      <c r="P30" s="351"/>
      <c r="Q30" s="351"/>
      <c r="R30" s="351"/>
      <c r="S30" s="120"/>
      <c r="T30" s="120"/>
      <c r="U30" s="120"/>
      <c r="V30" s="120"/>
      <c r="W30" s="120"/>
      <c r="X30" s="120"/>
      <c r="Y30" s="120"/>
      <c r="Z30" s="120"/>
      <c r="AA30" s="120"/>
      <c r="AB30" s="162"/>
      <c r="AC30" s="162"/>
      <c r="AD30" s="162"/>
      <c r="AE30" s="162"/>
      <c r="AF30" s="167"/>
      <c r="AG30" s="162"/>
      <c r="AH30" s="162"/>
      <c r="AI30" s="162"/>
      <c r="AJ30" s="162"/>
      <c r="AK30" s="162"/>
      <c r="AL30" s="162"/>
      <c r="AM30" s="162"/>
      <c r="AN30" s="162"/>
      <c r="AO30" s="162"/>
      <c r="AP30" s="162"/>
      <c r="AQ30" s="162"/>
      <c r="AR30" s="167"/>
      <c r="AS30" s="162"/>
      <c r="AT30" s="162"/>
      <c r="AU30" s="162"/>
      <c r="AV30" s="162"/>
      <c r="AW30" s="162"/>
      <c r="AX30" s="162"/>
      <c r="AY30" s="162"/>
      <c r="AZ30" s="162"/>
      <c r="BA30" s="162"/>
      <c r="BB30" s="162"/>
      <c r="BC30" s="162"/>
      <c r="BD30" s="162"/>
      <c r="BE30" s="162"/>
      <c r="BF30" s="162"/>
      <c r="BG30" s="162"/>
      <c r="BH30" s="173"/>
      <c r="BI30" s="162"/>
      <c r="BJ30" s="162"/>
      <c r="BK30" s="162"/>
      <c r="BL30" s="162"/>
      <c r="BM30" s="162"/>
      <c r="BN30" s="162"/>
      <c r="BO30" s="162"/>
      <c r="BP30" s="162"/>
      <c r="BQ30" s="162"/>
      <c r="BR30" s="162"/>
      <c r="BS30" s="167"/>
      <c r="BT30" s="162"/>
      <c r="BU30" s="162"/>
      <c r="BV30" s="162"/>
      <c r="BW30" s="162"/>
      <c r="BX30" s="162"/>
      <c r="BY30" s="162"/>
      <c r="BZ30" s="120"/>
      <c r="CA30" s="120"/>
      <c r="CB30" s="120"/>
      <c r="CC30" s="162"/>
      <c r="CD30" s="120"/>
      <c r="CE30" s="137"/>
      <c r="CF30" s="136"/>
      <c r="CG30" s="127"/>
      <c r="CH30" s="136"/>
      <c r="CI30" s="127"/>
      <c r="CJ30" s="127"/>
      <c r="CK30" s="127"/>
      <c r="CL30" s="127"/>
      <c r="CM30" s="127"/>
      <c r="CN30" s="127"/>
      <c r="CO30" s="127"/>
      <c r="CP30" s="138"/>
      <c r="CQ30" s="139"/>
      <c r="CR30" s="140"/>
    </row>
    <row r="31" spans="2:96" s="130" customFormat="1" ht="11.25" customHeight="1">
      <c r="B31" s="162"/>
      <c r="C31" s="162"/>
      <c r="D31" s="158"/>
      <c r="E31" s="159"/>
      <c r="F31" s="159"/>
      <c r="G31" s="120"/>
      <c r="H31" s="120"/>
      <c r="I31" s="160"/>
      <c r="J31" s="120"/>
      <c r="K31" s="120"/>
      <c r="L31" s="120"/>
      <c r="M31" s="120"/>
      <c r="N31" s="147" t="s">
        <v>45</v>
      </c>
      <c r="O31" s="163"/>
      <c r="P31" s="164"/>
      <c r="Q31" s="164"/>
      <c r="R31" s="164"/>
      <c r="S31" s="164"/>
      <c r="T31" s="164"/>
      <c r="U31" s="163"/>
      <c r="V31" s="164"/>
      <c r="W31" s="179"/>
      <c r="X31" s="180"/>
      <c r="Y31" s="180"/>
      <c r="Z31" s="180"/>
      <c r="AA31" s="180"/>
      <c r="AB31" s="181"/>
      <c r="AC31" s="120"/>
      <c r="AD31" s="120"/>
      <c r="AE31" s="120"/>
      <c r="AF31" s="161"/>
      <c r="AG31" s="120"/>
      <c r="AH31" s="120"/>
      <c r="AI31" s="120"/>
      <c r="AJ31" s="120"/>
      <c r="AK31" s="151"/>
      <c r="AL31" s="120"/>
      <c r="AM31" s="120"/>
      <c r="AN31" s="120"/>
      <c r="AO31" s="120"/>
      <c r="AP31" s="120"/>
      <c r="AQ31" s="120"/>
      <c r="AR31" s="161"/>
      <c r="AS31" s="120"/>
      <c r="AT31" s="120"/>
      <c r="AU31" s="120"/>
      <c r="AV31" s="120"/>
      <c r="AW31" s="120"/>
      <c r="AX31" s="120"/>
      <c r="AY31" s="120"/>
      <c r="AZ31" s="120"/>
      <c r="BA31" s="120"/>
      <c r="BB31" s="120"/>
      <c r="BC31" s="120"/>
      <c r="BD31" s="120"/>
      <c r="BE31" s="120"/>
      <c r="BF31" s="120"/>
      <c r="BG31" s="120"/>
      <c r="BH31" s="168"/>
      <c r="BI31" s="120"/>
      <c r="BJ31" s="162"/>
      <c r="BK31" s="162"/>
      <c r="BL31" s="162"/>
      <c r="BM31" s="162"/>
      <c r="BN31" s="162"/>
      <c r="BO31" s="162"/>
      <c r="BP31" s="162"/>
      <c r="BQ31" s="162"/>
      <c r="BR31" s="162"/>
      <c r="BS31" s="167"/>
      <c r="BT31" s="162"/>
      <c r="BU31" s="162"/>
      <c r="BV31" s="162"/>
      <c r="BW31" s="162"/>
      <c r="BX31" s="162"/>
      <c r="BY31" s="162"/>
      <c r="BZ31" s="120"/>
      <c r="CA31" s="120"/>
      <c r="CB31" s="120"/>
      <c r="CC31" s="162"/>
      <c r="CD31" s="120"/>
      <c r="CE31" s="137"/>
      <c r="CF31" s="136"/>
      <c r="CG31" s="127"/>
      <c r="CH31" s="136"/>
      <c r="CI31" s="127"/>
      <c r="CJ31" s="127"/>
      <c r="CK31" s="127"/>
      <c r="CL31" s="127"/>
      <c r="CM31" s="127"/>
      <c r="CN31" s="127"/>
      <c r="CO31" s="127"/>
      <c r="CP31" s="138"/>
      <c r="CQ31" s="139"/>
      <c r="CR31" s="140"/>
    </row>
    <row r="32" spans="2:95" s="140" customFormat="1" ht="2.25" customHeight="1">
      <c r="B32" s="120"/>
      <c r="C32" s="120"/>
      <c r="D32" s="158"/>
      <c r="E32" s="159"/>
      <c r="F32" s="159"/>
      <c r="G32" s="120"/>
      <c r="H32" s="120"/>
      <c r="I32" s="160"/>
      <c r="J32" s="120"/>
      <c r="K32" s="120"/>
      <c r="L32" s="120"/>
      <c r="M32" s="120"/>
      <c r="N32" s="147"/>
      <c r="O32" s="120"/>
      <c r="P32" s="120"/>
      <c r="Q32" s="120"/>
      <c r="R32" s="120"/>
      <c r="S32" s="120"/>
      <c r="T32" s="120"/>
      <c r="U32" s="120"/>
      <c r="V32" s="120"/>
      <c r="W32" s="127"/>
      <c r="X32" s="120"/>
      <c r="Y32" s="120"/>
      <c r="Z32" s="120"/>
      <c r="AA32" s="120"/>
      <c r="AB32" s="120"/>
      <c r="AC32" s="120"/>
      <c r="AD32" s="120"/>
      <c r="AE32" s="120"/>
      <c r="AF32" s="120"/>
      <c r="AG32" s="120"/>
      <c r="AH32" s="120"/>
      <c r="AI32" s="120"/>
      <c r="AJ32" s="120"/>
      <c r="AK32" s="151"/>
      <c r="AL32" s="120"/>
      <c r="AM32" s="120"/>
      <c r="AN32" s="120"/>
      <c r="AO32" s="120"/>
      <c r="AP32" s="120"/>
      <c r="AQ32" s="120"/>
      <c r="AR32" s="161"/>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61"/>
      <c r="BT32" s="120"/>
      <c r="BU32" s="120"/>
      <c r="BV32" s="120"/>
      <c r="BW32" s="120"/>
      <c r="BX32" s="120"/>
      <c r="BY32" s="120"/>
      <c r="BZ32" s="120"/>
      <c r="CA32" s="120"/>
      <c r="CB32" s="120"/>
      <c r="CC32" s="120"/>
      <c r="CD32" s="120"/>
      <c r="CE32" s="139"/>
      <c r="CF32" s="127"/>
      <c r="CG32" s="127"/>
      <c r="CH32" s="127"/>
      <c r="CI32" s="127"/>
      <c r="CJ32" s="127"/>
      <c r="CK32" s="127"/>
      <c r="CL32" s="127"/>
      <c r="CM32" s="127"/>
      <c r="CN32" s="127"/>
      <c r="CO32" s="127"/>
      <c r="CP32" s="138"/>
      <c r="CQ32" s="139"/>
    </row>
    <row r="33" spans="2:95" s="140" customFormat="1" ht="11.25" customHeight="1">
      <c r="B33" s="120"/>
      <c r="C33" s="120"/>
      <c r="D33" s="158"/>
      <c r="E33" s="159"/>
      <c r="F33" s="159"/>
      <c r="G33" s="120"/>
      <c r="H33" s="120"/>
      <c r="I33" s="160"/>
      <c r="J33" s="120"/>
      <c r="K33" s="120"/>
      <c r="L33" s="120"/>
      <c r="M33" s="120"/>
      <c r="N33" s="147"/>
      <c r="O33" s="120"/>
      <c r="P33" s="120"/>
      <c r="Q33" s="120"/>
      <c r="R33" s="120"/>
      <c r="S33" s="120"/>
      <c r="T33" s="120"/>
      <c r="U33" s="120"/>
      <c r="V33" s="120"/>
      <c r="W33" s="127"/>
      <c r="X33" s="120"/>
      <c r="Y33" s="120"/>
      <c r="Z33" s="120"/>
      <c r="AA33" s="120"/>
      <c r="AB33" s="120"/>
      <c r="AC33" s="120"/>
      <c r="AD33" s="120"/>
      <c r="AE33" s="182"/>
      <c r="AF33" s="120"/>
      <c r="AG33" s="183" t="s">
        <v>46</v>
      </c>
      <c r="AH33" s="184"/>
      <c r="AI33" s="185"/>
      <c r="AJ33" s="185"/>
      <c r="AK33" s="186"/>
      <c r="AL33" s="187"/>
      <c r="AM33" s="188"/>
      <c r="AN33" s="189"/>
      <c r="AO33" s="120"/>
      <c r="AP33" s="120"/>
      <c r="AQ33" s="120"/>
      <c r="AR33" s="161"/>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61"/>
      <c r="BT33" s="120"/>
      <c r="BU33" s="120"/>
      <c r="BV33" s="120"/>
      <c r="BW33" s="120"/>
      <c r="BX33" s="120"/>
      <c r="BY33" s="120"/>
      <c r="BZ33" s="120"/>
      <c r="CA33" s="120"/>
      <c r="CB33" s="120"/>
      <c r="CC33" s="120"/>
      <c r="CD33" s="120"/>
      <c r="CE33" s="139"/>
      <c r="CF33" s="127"/>
      <c r="CG33" s="127"/>
      <c r="CH33" s="127"/>
      <c r="CI33" s="127"/>
      <c r="CJ33" s="127"/>
      <c r="CK33" s="127"/>
      <c r="CL33" s="127"/>
      <c r="CM33" s="127"/>
      <c r="CN33" s="127"/>
      <c r="CO33" s="127"/>
      <c r="CP33" s="138"/>
      <c r="CQ33" s="139"/>
    </row>
    <row r="34" spans="2:95" s="140" customFormat="1" ht="12.75" customHeight="1">
      <c r="B34" s="120"/>
      <c r="C34" s="120"/>
      <c r="D34" s="158"/>
      <c r="E34" s="159"/>
      <c r="F34" s="159"/>
      <c r="G34" s="120"/>
      <c r="H34" s="120"/>
      <c r="I34" s="160"/>
      <c r="J34" s="120"/>
      <c r="K34" s="120"/>
      <c r="L34" s="120"/>
      <c r="M34" s="120"/>
      <c r="N34" s="147"/>
      <c r="O34" s="120"/>
      <c r="P34" s="120"/>
      <c r="Q34" s="120"/>
      <c r="R34" s="120"/>
      <c r="S34" s="120"/>
      <c r="T34" s="120"/>
      <c r="U34" s="120"/>
      <c r="V34" s="120"/>
      <c r="W34" s="127"/>
      <c r="X34" s="120"/>
      <c r="Y34" s="120"/>
      <c r="Z34" s="120"/>
      <c r="AA34" s="120"/>
      <c r="AB34" s="120"/>
      <c r="AC34" s="120"/>
      <c r="AD34" s="120"/>
      <c r="AE34" s="120"/>
      <c r="AF34" s="120"/>
      <c r="AG34" s="120"/>
      <c r="AH34" s="120"/>
      <c r="AI34" s="120"/>
      <c r="AJ34" s="120"/>
      <c r="AK34" s="151"/>
      <c r="AL34" s="120"/>
      <c r="AM34" s="120"/>
      <c r="AN34" s="120"/>
      <c r="AO34" s="120"/>
      <c r="AP34" s="120"/>
      <c r="AQ34" s="120"/>
      <c r="AR34" s="161"/>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61"/>
      <c r="BT34" s="120"/>
      <c r="BU34" s="120"/>
      <c r="BV34" s="120"/>
      <c r="BW34" s="120"/>
      <c r="BX34" s="120"/>
      <c r="BY34" s="120"/>
      <c r="BZ34" s="120"/>
      <c r="CA34" s="120"/>
      <c r="CB34" s="120"/>
      <c r="CC34" s="120"/>
      <c r="CD34" s="120"/>
      <c r="CE34" s="139"/>
      <c r="CF34" s="127"/>
      <c r="CG34" s="127"/>
      <c r="CH34" s="127"/>
      <c r="CI34" s="127"/>
      <c r="CJ34" s="127"/>
      <c r="CK34" s="127"/>
      <c r="CL34" s="127"/>
      <c r="CM34" s="127"/>
      <c r="CN34" s="127"/>
      <c r="CO34" s="127"/>
      <c r="CP34" s="138"/>
      <c r="CQ34" s="139"/>
    </row>
    <row r="35" spans="2:95" s="140" customFormat="1" ht="11.25" customHeight="1">
      <c r="B35" s="120"/>
      <c r="C35" s="120"/>
      <c r="D35" s="190"/>
      <c r="E35" s="191"/>
      <c r="F35" s="191"/>
      <c r="G35" s="192"/>
      <c r="H35" s="192"/>
      <c r="I35" s="160"/>
      <c r="J35" s="192"/>
      <c r="K35" s="192"/>
      <c r="L35" s="192"/>
      <c r="M35" s="192"/>
      <c r="N35" s="120"/>
      <c r="O35" s="120"/>
      <c r="P35" s="120"/>
      <c r="Q35" s="120"/>
      <c r="R35" s="120"/>
      <c r="S35" s="120"/>
      <c r="T35" s="120"/>
      <c r="U35" s="120"/>
      <c r="V35" s="120"/>
      <c r="W35" s="147" t="s">
        <v>47</v>
      </c>
      <c r="X35" s="193"/>
      <c r="Y35" s="194"/>
      <c r="Z35" s="194"/>
      <c r="AA35" s="194"/>
      <c r="AB35" s="193"/>
      <c r="AC35" s="164"/>
      <c r="AD35" s="164"/>
      <c r="AE35" s="195"/>
      <c r="AF35" s="164"/>
      <c r="AG35" s="196"/>
      <c r="AH35" s="187" t="s">
        <v>48</v>
      </c>
      <c r="AI35" s="185"/>
      <c r="AJ35" s="185"/>
      <c r="AK35" s="197"/>
      <c r="AL35" s="198" t="s">
        <v>48</v>
      </c>
      <c r="AM35" s="165"/>
      <c r="AN35" s="342"/>
      <c r="AO35" s="165"/>
      <c r="AP35" s="165"/>
      <c r="AQ35" s="165"/>
      <c r="AR35" s="343"/>
      <c r="AS35" s="347"/>
      <c r="AT35" s="365"/>
      <c r="AU35" s="367"/>
      <c r="AV35" s="187" t="s">
        <v>50</v>
      </c>
      <c r="AW35" s="343"/>
      <c r="AX35" s="366"/>
      <c r="AY35" s="170"/>
      <c r="AZ35" s="341" t="s">
        <v>49</v>
      </c>
      <c r="BA35" s="120"/>
      <c r="BB35" s="120"/>
      <c r="BC35" s="120"/>
      <c r="BD35" s="120"/>
      <c r="BE35" s="120"/>
      <c r="BF35" s="120"/>
      <c r="BG35" s="161"/>
      <c r="BH35" s="120"/>
      <c r="BI35" s="120"/>
      <c r="BJ35" s="120"/>
      <c r="BK35" s="120"/>
      <c r="BL35" s="120"/>
      <c r="BM35" s="120"/>
      <c r="BN35" s="120"/>
      <c r="BO35" s="120"/>
      <c r="BP35" s="120"/>
      <c r="BQ35" s="120"/>
      <c r="BR35" s="120"/>
      <c r="BS35" s="161"/>
      <c r="BT35" s="120"/>
      <c r="BU35" s="120"/>
      <c r="BV35" s="120"/>
      <c r="BW35" s="120"/>
      <c r="BX35" s="120"/>
      <c r="BY35" s="120"/>
      <c r="BZ35" s="120"/>
      <c r="CA35" s="120"/>
      <c r="CB35" s="120"/>
      <c r="CC35" s="120"/>
      <c r="CD35" s="120"/>
      <c r="CE35" s="139"/>
      <c r="CF35" s="127"/>
      <c r="CG35" s="127"/>
      <c r="CH35" s="127"/>
      <c r="CI35" s="127"/>
      <c r="CJ35" s="127"/>
      <c r="CK35" s="127"/>
      <c r="CL35" s="127"/>
      <c r="CM35" s="127"/>
      <c r="CN35" s="127"/>
      <c r="CO35" s="127"/>
      <c r="CP35" s="138"/>
      <c r="CQ35" s="139"/>
    </row>
    <row r="36" spans="2:95" s="140" customFormat="1" ht="13.5" customHeight="1">
      <c r="B36" s="120"/>
      <c r="C36" s="120"/>
      <c r="D36" s="190"/>
      <c r="E36" s="191"/>
      <c r="F36" s="191"/>
      <c r="G36" s="192"/>
      <c r="H36" s="192"/>
      <c r="I36" s="160"/>
      <c r="J36" s="192"/>
      <c r="K36" s="192"/>
      <c r="L36" s="192"/>
      <c r="M36" s="192"/>
      <c r="N36" s="120"/>
      <c r="O36" s="120"/>
      <c r="P36" s="120"/>
      <c r="Q36" s="120"/>
      <c r="R36" s="120"/>
      <c r="S36" s="120"/>
      <c r="T36" s="120"/>
      <c r="U36" s="120"/>
      <c r="V36" s="120"/>
      <c r="W36" s="147"/>
      <c r="X36" s="120"/>
      <c r="Y36" s="120"/>
      <c r="Z36" s="120"/>
      <c r="AA36" s="120"/>
      <c r="AB36" s="120"/>
      <c r="AC36" s="120"/>
      <c r="AD36" s="120"/>
      <c r="AE36" s="182"/>
      <c r="AF36" s="120"/>
      <c r="AG36" s="200"/>
      <c r="AH36" s="201"/>
      <c r="AI36" s="202"/>
      <c r="AJ36" s="202"/>
      <c r="AK36" s="200"/>
      <c r="AL36" s="201"/>
      <c r="AM36" s="202"/>
      <c r="AN36" s="203"/>
      <c r="AO36" s="204"/>
      <c r="AP36" s="200"/>
      <c r="AQ36" s="200"/>
      <c r="AR36" s="161"/>
      <c r="AS36" s="120"/>
      <c r="AT36" s="120"/>
      <c r="AU36" s="120"/>
      <c r="AV36" s="120"/>
      <c r="AW36" s="120"/>
      <c r="AX36" s="120"/>
      <c r="AY36" s="120"/>
      <c r="AZ36" s="120"/>
      <c r="BA36" s="120"/>
      <c r="BB36" s="120"/>
      <c r="BC36" s="120"/>
      <c r="BD36" s="120"/>
      <c r="BE36" s="120"/>
      <c r="BF36" s="120"/>
      <c r="BG36" s="161"/>
      <c r="BH36" s="120"/>
      <c r="BI36" s="120"/>
      <c r="BJ36" s="120"/>
      <c r="BK36" s="120"/>
      <c r="BL36" s="120"/>
      <c r="BM36" s="120"/>
      <c r="BN36" s="120"/>
      <c r="BO36" s="120"/>
      <c r="BP36" s="120"/>
      <c r="BQ36" s="120"/>
      <c r="BR36" s="120"/>
      <c r="BS36" s="161"/>
      <c r="BT36" s="120"/>
      <c r="BU36" s="120"/>
      <c r="BV36" s="120"/>
      <c r="BW36" s="120"/>
      <c r="BX36" s="120"/>
      <c r="BY36" s="120"/>
      <c r="BZ36" s="120"/>
      <c r="CA36" s="120"/>
      <c r="CB36" s="120"/>
      <c r="CC36" s="120"/>
      <c r="CD36" s="120"/>
      <c r="CE36" s="139"/>
      <c r="CF36" s="127"/>
      <c r="CG36" s="127"/>
      <c r="CH36" s="127"/>
      <c r="CI36" s="127"/>
      <c r="CJ36" s="127"/>
      <c r="CK36" s="127"/>
      <c r="CL36" s="127"/>
      <c r="CM36" s="127"/>
      <c r="CN36" s="127"/>
      <c r="CO36" s="127"/>
      <c r="CP36" s="138"/>
      <c r="CQ36" s="139"/>
    </row>
    <row r="37" spans="2:95" s="140" customFormat="1" ht="11.25" customHeight="1">
      <c r="B37" s="120"/>
      <c r="C37" s="120"/>
      <c r="D37" s="190"/>
      <c r="E37" s="191"/>
      <c r="F37" s="191"/>
      <c r="G37" s="192"/>
      <c r="H37" s="192"/>
      <c r="I37" s="160"/>
      <c r="J37" s="192"/>
      <c r="K37" s="192"/>
      <c r="L37" s="192"/>
      <c r="M37" s="192"/>
      <c r="N37" s="120"/>
      <c r="O37" s="120"/>
      <c r="P37" s="120"/>
      <c r="Q37" s="120"/>
      <c r="R37" s="120"/>
      <c r="S37" s="120"/>
      <c r="T37" s="120"/>
      <c r="U37" s="120"/>
      <c r="V37" s="120"/>
      <c r="W37" s="147"/>
      <c r="X37" s="120"/>
      <c r="Y37" s="120"/>
      <c r="Z37" s="120"/>
      <c r="AA37" s="120"/>
      <c r="AB37" s="120"/>
      <c r="AC37" s="120"/>
      <c r="AD37" s="120"/>
      <c r="AE37" s="182"/>
      <c r="AF37" s="120"/>
      <c r="AG37" s="200"/>
      <c r="AH37" s="201"/>
      <c r="AI37" s="202"/>
      <c r="AJ37" s="127"/>
      <c r="AK37" s="200"/>
      <c r="AL37" s="127"/>
      <c r="AM37" s="183" t="s">
        <v>51</v>
      </c>
      <c r="AN37" s="203"/>
      <c r="AO37" s="205"/>
      <c r="AP37" s="186"/>
      <c r="AQ37" s="186"/>
      <c r="AR37" s="164"/>
      <c r="AS37" s="163"/>
      <c r="AT37" s="164"/>
      <c r="AU37" s="164"/>
      <c r="AV37" s="164"/>
      <c r="AW37" s="164"/>
      <c r="AX37" s="164"/>
      <c r="AY37" s="164"/>
      <c r="AZ37" s="170"/>
      <c r="BA37" s="170"/>
      <c r="BB37" s="170"/>
      <c r="BC37" s="170"/>
      <c r="BD37" s="170"/>
      <c r="BE37" s="170"/>
      <c r="BF37" s="170"/>
      <c r="BG37" s="170"/>
      <c r="BH37" s="170"/>
      <c r="BI37" s="170"/>
      <c r="BJ37" s="170"/>
      <c r="BK37" s="170"/>
      <c r="BL37" s="170"/>
      <c r="BM37" s="170"/>
      <c r="BN37" s="170"/>
      <c r="BO37" s="172"/>
      <c r="BP37" s="120"/>
      <c r="BQ37" s="120"/>
      <c r="BR37" s="120"/>
      <c r="BS37" s="161"/>
      <c r="BT37" s="120"/>
      <c r="BU37" s="120"/>
      <c r="BV37" s="120"/>
      <c r="BW37" s="120"/>
      <c r="BX37" s="120"/>
      <c r="BY37" s="120"/>
      <c r="BZ37" s="120"/>
      <c r="CA37" s="120"/>
      <c r="CB37" s="120"/>
      <c r="CC37" s="120"/>
      <c r="CD37" s="120"/>
      <c r="CE37" s="139"/>
      <c r="CF37" s="127"/>
      <c r="CG37" s="127"/>
      <c r="CH37" s="127"/>
      <c r="CI37" s="127"/>
      <c r="CJ37" s="127"/>
      <c r="CK37" s="127"/>
      <c r="CL37" s="127"/>
      <c r="CM37" s="127"/>
      <c r="CN37" s="127"/>
      <c r="CO37" s="127"/>
      <c r="CP37" s="138"/>
      <c r="CQ37" s="139"/>
    </row>
    <row r="38" spans="2:95" s="140" customFormat="1" ht="14.25" customHeight="1">
      <c r="B38" s="120"/>
      <c r="C38" s="120"/>
      <c r="D38" s="190"/>
      <c r="E38" s="191"/>
      <c r="F38" s="191"/>
      <c r="G38" s="192"/>
      <c r="H38" s="192"/>
      <c r="I38" s="160"/>
      <c r="J38" s="192"/>
      <c r="K38" s="192"/>
      <c r="L38" s="192"/>
      <c r="M38" s="192"/>
      <c r="N38" s="120"/>
      <c r="O38" s="120"/>
      <c r="P38" s="120"/>
      <c r="Q38" s="120"/>
      <c r="R38" s="120"/>
      <c r="S38" s="120"/>
      <c r="T38" s="120"/>
      <c r="U38" s="120"/>
      <c r="V38" s="120"/>
      <c r="W38" s="147"/>
      <c r="X38" s="120"/>
      <c r="Y38" s="120"/>
      <c r="Z38" s="120"/>
      <c r="AA38" s="120"/>
      <c r="AB38" s="120"/>
      <c r="AC38" s="120"/>
      <c r="AD38" s="120"/>
      <c r="AE38" s="182"/>
      <c r="AF38" s="120"/>
      <c r="AG38" s="200"/>
      <c r="AH38" s="201"/>
      <c r="AI38" s="202"/>
      <c r="AJ38" s="202"/>
      <c r="AK38" s="200"/>
      <c r="AL38" s="201"/>
      <c r="AM38" s="202"/>
      <c r="AN38" s="203"/>
      <c r="AO38" s="204"/>
      <c r="AP38" s="200"/>
      <c r="AQ38" s="200"/>
      <c r="AR38" s="161"/>
      <c r="AS38" s="120"/>
      <c r="AT38" s="120"/>
      <c r="AU38" s="120"/>
      <c r="AV38" s="120"/>
      <c r="AW38" s="120"/>
      <c r="AX38" s="120"/>
      <c r="AY38" s="120"/>
      <c r="AZ38" s="120"/>
      <c r="BA38" s="120"/>
      <c r="BB38" s="120"/>
      <c r="BC38" s="120"/>
      <c r="BD38" s="120"/>
      <c r="BE38" s="120"/>
      <c r="BF38" s="120"/>
      <c r="BG38" s="161"/>
      <c r="BH38" s="120"/>
      <c r="BI38" s="120"/>
      <c r="BJ38" s="120"/>
      <c r="BK38" s="120"/>
      <c r="BL38" s="120"/>
      <c r="BM38" s="120"/>
      <c r="BN38" s="120"/>
      <c r="BO38" s="120"/>
      <c r="BP38" s="120"/>
      <c r="BQ38" s="120"/>
      <c r="BR38" s="120"/>
      <c r="BS38" s="161"/>
      <c r="BT38" s="120"/>
      <c r="BU38" s="120"/>
      <c r="BV38" s="120"/>
      <c r="BW38" s="120"/>
      <c r="BX38" s="120"/>
      <c r="BY38" s="120"/>
      <c r="BZ38" s="120"/>
      <c r="CA38" s="120"/>
      <c r="CB38" s="120"/>
      <c r="CC38" s="120"/>
      <c r="CD38" s="120"/>
      <c r="CE38" s="139"/>
      <c r="CF38" s="127"/>
      <c r="CG38" s="127"/>
      <c r="CH38" s="127"/>
      <c r="CI38" s="127"/>
      <c r="CJ38" s="127"/>
      <c r="CK38" s="127"/>
      <c r="CL38" s="127"/>
      <c r="CM38" s="127"/>
      <c r="CN38" s="127"/>
      <c r="CO38" s="127"/>
      <c r="CP38" s="138"/>
      <c r="CQ38" s="139"/>
    </row>
    <row r="39" spans="2:95" s="140" customFormat="1" ht="3" customHeight="1">
      <c r="B39" s="120"/>
      <c r="C39" s="120"/>
      <c r="D39" s="158"/>
      <c r="E39" s="159"/>
      <c r="F39" s="159"/>
      <c r="G39" s="120"/>
      <c r="H39" s="120"/>
      <c r="I39" s="160"/>
      <c r="J39" s="120"/>
      <c r="K39" s="120"/>
      <c r="L39" s="120"/>
      <c r="M39" s="120"/>
      <c r="N39" s="120"/>
      <c r="O39" s="120"/>
      <c r="P39" s="120"/>
      <c r="Q39" s="120"/>
      <c r="R39" s="120"/>
      <c r="S39" s="120"/>
      <c r="T39" s="120"/>
      <c r="U39" s="120"/>
      <c r="V39" s="120"/>
      <c r="W39" s="127"/>
      <c r="X39" s="192"/>
      <c r="Y39" s="192"/>
      <c r="Z39" s="192"/>
      <c r="AA39" s="192"/>
      <c r="AB39" s="120"/>
      <c r="AC39" s="120"/>
      <c r="AD39" s="120"/>
      <c r="AE39" s="120"/>
      <c r="AF39" s="161"/>
      <c r="AG39" s="120"/>
      <c r="AH39" s="120"/>
      <c r="AI39" s="120"/>
      <c r="AJ39" s="120"/>
      <c r="AK39" s="151"/>
      <c r="AL39" s="120"/>
      <c r="AM39" s="120"/>
      <c r="AN39" s="120"/>
      <c r="AO39" s="120"/>
      <c r="AP39" s="120"/>
      <c r="AQ39" s="120"/>
      <c r="AR39" s="161"/>
      <c r="AS39" s="120"/>
      <c r="AT39" s="120"/>
      <c r="AU39" s="120"/>
      <c r="AV39" s="120"/>
      <c r="AW39" s="120"/>
      <c r="AX39" s="120"/>
      <c r="AY39" s="120"/>
      <c r="AZ39" s="120"/>
      <c r="BA39" s="120"/>
      <c r="BB39" s="120"/>
      <c r="BC39" s="120"/>
      <c r="BD39" s="120"/>
      <c r="BE39" s="120"/>
      <c r="BF39" s="120"/>
      <c r="BG39" s="161"/>
      <c r="BH39" s="120"/>
      <c r="BI39" s="120"/>
      <c r="BJ39" s="120"/>
      <c r="BK39" s="120"/>
      <c r="BL39" s="120"/>
      <c r="BM39" s="120"/>
      <c r="BN39" s="120"/>
      <c r="BO39" s="120"/>
      <c r="BP39" s="120"/>
      <c r="BQ39" s="120"/>
      <c r="BR39" s="120"/>
      <c r="BS39" s="161"/>
      <c r="BT39" s="120"/>
      <c r="BU39" s="120"/>
      <c r="BV39" s="120"/>
      <c r="BW39" s="120"/>
      <c r="BX39" s="120"/>
      <c r="BY39" s="120"/>
      <c r="BZ39" s="120"/>
      <c r="CA39" s="120"/>
      <c r="CB39" s="120"/>
      <c r="CC39" s="120"/>
      <c r="CD39" s="120"/>
      <c r="CE39" s="139"/>
      <c r="CF39" s="127"/>
      <c r="CG39" s="127"/>
      <c r="CH39" s="127"/>
      <c r="CI39" s="127"/>
      <c r="CJ39" s="127"/>
      <c r="CK39" s="127"/>
      <c r="CL39" s="127"/>
      <c r="CM39" s="127"/>
      <c r="CN39" s="127"/>
      <c r="CO39" s="127"/>
      <c r="CP39" s="138"/>
      <c r="CQ39" s="139"/>
    </row>
    <row r="40" spans="2:96" s="130" customFormat="1" ht="11.25" customHeight="1">
      <c r="B40" s="162"/>
      <c r="C40" s="162"/>
      <c r="D40" s="158"/>
      <c r="E40" s="159"/>
      <c r="F40" s="159"/>
      <c r="G40" s="120"/>
      <c r="H40" s="120"/>
      <c r="I40" s="160"/>
      <c r="J40" s="120"/>
      <c r="K40" s="120"/>
      <c r="L40" s="120"/>
      <c r="M40" s="127"/>
      <c r="N40" s="163"/>
      <c r="O40" s="164"/>
      <c r="P40" s="164"/>
      <c r="Q40" s="164"/>
      <c r="R40" s="164"/>
      <c r="S40" s="164"/>
      <c r="T40" s="164"/>
      <c r="U40" s="120"/>
      <c r="V40" s="151" t="s">
        <v>52</v>
      </c>
      <c r="W40" s="127"/>
      <c r="X40" s="192"/>
      <c r="Y40" s="192"/>
      <c r="Z40" s="192"/>
      <c r="AA40" s="192"/>
      <c r="AB40" s="120"/>
      <c r="AC40" s="120"/>
      <c r="AD40" s="120"/>
      <c r="AE40" s="120"/>
      <c r="AF40" s="161"/>
      <c r="AG40" s="120"/>
      <c r="AH40" s="120"/>
      <c r="AI40" s="120"/>
      <c r="AJ40" s="120"/>
      <c r="AK40" s="151"/>
      <c r="AL40" s="120"/>
      <c r="AM40" s="120"/>
      <c r="AN40" s="120"/>
      <c r="AO40" s="120"/>
      <c r="AP40" s="120"/>
      <c r="AQ40" s="120"/>
      <c r="AR40" s="161"/>
      <c r="AS40" s="120"/>
      <c r="AT40" s="120"/>
      <c r="AU40" s="120"/>
      <c r="AV40" s="120"/>
      <c r="AW40" s="120"/>
      <c r="AX40" s="120"/>
      <c r="AY40" s="120"/>
      <c r="AZ40" s="120"/>
      <c r="BA40" s="120"/>
      <c r="BB40" s="120"/>
      <c r="BC40" s="120"/>
      <c r="BD40" s="120"/>
      <c r="BE40" s="120"/>
      <c r="BF40" s="120"/>
      <c r="BG40" s="161"/>
      <c r="BH40" s="120"/>
      <c r="BI40" s="120"/>
      <c r="BJ40" s="162"/>
      <c r="BK40" s="162"/>
      <c r="BL40" s="162"/>
      <c r="BM40" s="162"/>
      <c r="BN40" s="162"/>
      <c r="BO40" s="162"/>
      <c r="BP40" s="162"/>
      <c r="BQ40" s="162"/>
      <c r="BR40" s="162"/>
      <c r="BS40" s="167"/>
      <c r="BT40" s="162"/>
      <c r="BU40" s="162"/>
      <c r="BV40" s="162"/>
      <c r="BW40" s="162"/>
      <c r="BX40" s="162"/>
      <c r="BY40" s="162"/>
      <c r="BZ40" s="120"/>
      <c r="CA40" s="120"/>
      <c r="CB40" s="120"/>
      <c r="CC40" s="162"/>
      <c r="CD40" s="120"/>
      <c r="CE40" s="137"/>
      <c r="CF40" s="136"/>
      <c r="CG40" s="127"/>
      <c r="CH40" s="136"/>
      <c r="CI40" s="127"/>
      <c r="CJ40" s="127"/>
      <c r="CK40" s="127"/>
      <c r="CL40" s="127"/>
      <c r="CM40" s="127"/>
      <c r="CN40" s="127"/>
      <c r="CO40" s="127"/>
      <c r="CP40" s="138"/>
      <c r="CQ40" s="139"/>
      <c r="CR40" s="140"/>
    </row>
    <row r="41" spans="2:96" s="130" customFormat="1" ht="3.75" customHeight="1">
      <c r="B41" s="162"/>
      <c r="C41" s="162"/>
      <c r="D41" s="158"/>
      <c r="E41" s="159"/>
      <c r="F41" s="159"/>
      <c r="G41" s="120"/>
      <c r="H41" s="120"/>
      <c r="I41" s="160"/>
      <c r="J41" s="120"/>
      <c r="K41" s="120"/>
      <c r="L41" s="120"/>
      <c r="M41" s="147"/>
      <c r="N41" s="120"/>
      <c r="O41" s="120"/>
      <c r="P41" s="120"/>
      <c r="Q41" s="120"/>
      <c r="R41" s="120"/>
      <c r="S41" s="120"/>
      <c r="T41" s="120"/>
      <c r="U41" s="120"/>
      <c r="V41" s="120"/>
      <c r="W41" s="127"/>
      <c r="X41" s="192"/>
      <c r="Y41" s="192"/>
      <c r="Z41" s="192"/>
      <c r="AA41" s="192"/>
      <c r="AB41" s="120"/>
      <c r="AC41" s="120"/>
      <c r="AD41" s="120"/>
      <c r="AE41" s="120"/>
      <c r="AF41" s="161"/>
      <c r="AG41" s="120"/>
      <c r="AH41" s="120"/>
      <c r="AI41" s="120"/>
      <c r="AJ41" s="120"/>
      <c r="AK41" s="151"/>
      <c r="AL41" s="120"/>
      <c r="AM41" s="120"/>
      <c r="AN41" s="120"/>
      <c r="AO41" s="120"/>
      <c r="AP41" s="120"/>
      <c r="AQ41" s="120"/>
      <c r="AR41" s="161"/>
      <c r="AS41" s="120"/>
      <c r="AT41" s="120"/>
      <c r="AU41" s="120"/>
      <c r="AV41" s="120"/>
      <c r="AW41" s="120"/>
      <c r="AX41" s="120"/>
      <c r="AY41" s="120"/>
      <c r="AZ41" s="120"/>
      <c r="BA41" s="120"/>
      <c r="BB41" s="120"/>
      <c r="BC41" s="120"/>
      <c r="BD41" s="120"/>
      <c r="BE41" s="120"/>
      <c r="BF41" s="120"/>
      <c r="BG41" s="161"/>
      <c r="BH41" s="120"/>
      <c r="BI41" s="120"/>
      <c r="BJ41" s="162"/>
      <c r="BK41" s="162"/>
      <c r="BL41" s="162"/>
      <c r="BM41" s="162"/>
      <c r="BN41" s="162"/>
      <c r="BO41" s="162"/>
      <c r="BP41" s="162"/>
      <c r="BQ41" s="162"/>
      <c r="BR41" s="162"/>
      <c r="BS41" s="167"/>
      <c r="BT41" s="162"/>
      <c r="BU41" s="162"/>
      <c r="BV41" s="162"/>
      <c r="BW41" s="162"/>
      <c r="BX41" s="162"/>
      <c r="BY41" s="162"/>
      <c r="BZ41" s="120"/>
      <c r="CA41" s="120"/>
      <c r="CB41" s="120"/>
      <c r="CC41" s="162"/>
      <c r="CD41" s="120"/>
      <c r="CE41" s="137"/>
      <c r="CF41" s="136"/>
      <c r="CG41" s="127"/>
      <c r="CH41" s="136"/>
      <c r="CI41" s="127"/>
      <c r="CJ41" s="127"/>
      <c r="CK41" s="127"/>
      <c r="CL41" s="127"/>
      <c r="CM41" s="127"/>
      <c r="CN41" s="127"/>
      <c r="CO41" s="127"/>
      <c r="CP41" s="138"/>
      <c r="CQ41" s="139"/>
      <c r="CR41" s="140"/>
    </row>
    <row r="42" spans="2:96" s="130" customFormat="1" ht="11.25" customHeight="1">
      <c r="B42" s="162"/>
      <c r="C42" s="162"/>
      <c r="D42" s="158"/>
      <c r="E42" s="159"/>
      <c r="F42" s="159"/>
      <c r="G42" s="120"/>
      <c r="H42" s="120"/>
      <c r="I42" s="160"/>
      <c r="J42" s="120"/>
      <c r="K42" s="120"/>
      <c r="L42" s="120"/>
      <c r="M42" s="147"/>
      <c r="N42" s="120"/>
      <c r="O42" s="120"/>
      <c r="P42" s="120"/>
      <c r="Q42" s="120"/>
      <c r="R42" s="120"/>
      <c r="S42" s="120"/>
      <c r="T42" s="147" t="s">
        <v>53</v>
      </c>
      <c r="U42" s="163"/>
      <c r="V42" s="164"/>
      <c r="W42" s="165"/>
      <c r="X42" s="164"/>
      <c r="Y42" s="164"/>
      <c r="Z42" s="164"/>
      <c r="AA42" s="164"/>
      <c r="AB42" s="164"/>
      <c r="AC42" s="207"/>
      <c r="AD42" s="120"/>
      <c r="AE42" s="120"/>
      <c r="AF42" s="161"/>
      <c r="AG42" s="151" t="s">
        <v>54</v>
      </c>
      <c r="AH42" s="120"/>
      <c r="AI42" s="120"/>
      <c r="AJ42" s="120"/>
      <c r="AK42" s="151"/>
      <c r="AL42" s="120"/>
      <c r="AM42" s="120"/>
      <c r="AN42" s="120"/>
      <c r="AO42" s="120"/>
      <c r="AP42" s="120"/>
      <c r="AQ42" s="120"/>
      <c r="AR42" s="161"/>
      <c r="AS42" s="120"/>
      <c r="AT42" s="241"/>
      <c r="AU42" s="242"/>
      <c r="AV42" s="245"/>
      <c r="AW42" s="136"/>
      <c r="AX42" s="243"/>
      <c r="AY42" s="136"/>
      <c r="AZ42" s="242"/>
      <c r="BA42" s="242"/>
      <c r="BB42" s="242"/>
      <c r="BC42" s="242"/>
      <c r="BD42" s="242"/>
      <c r="BE42" s="242"/>
      <c r="BF42" s="242"/>
      <c r="BG42" s="244"/>
      <c r="BH42" s="242"/>
      <c r="BI42" s="242"/>
      <c r="BJ42" s="246"/>
      <c r="BK42" s="245"/>
      <c r="BL42" s="245"/>
      <c r="BM42" s="122"/>
      <c r="BN42" s="162"/>
      <c r="BO42" s="162"/>
      <c r="BP42" s="162"/>
      <c r="BQ42" s="162"/>
      <c r="BR42" s="162"/>
      <c r="BS42" s="167"/>
      <c r="BT42" s="162"/>
      <c r="BU42" s="162"/>
      <c r="BV42" s="162"/>
      <c r="BW42" s="162"/>
      <c r="BX42" s="162"/>
      <c r="BY42" s="162"/>
      <c r="BZ42" s="120"/>
      <c r="CA42" s="120"/>
      <c r="CB42" s="120"/>
      <c r="CC42" s="162"/>
      <c r="CD42" s="120"/>
      <c r="CE42" s="137"/>
      <c r="CF42" s="136"/>
      <c r="CG42" s="127"/>
      <c r="CH42" s="136"/>
      <c r="CI42" s="127"/>
      <c r="CJ42" s="127"/>
      <c r="CK42" s="127"/>
      <c r="CL42" s="127"/>
      <c r="CM42" s="127"/>
      <c r="CN42" s="127"/>
      <c r="CO42" s="127"/>
      <c r="CP42" s="138"/>
      <c r="CQ42" s="139"/>
      <c r="CR42" s="140"/>
    </row>
    <row r="43" spans="2:95" s="140" customFormat="1" ht="3.75" customHeight="1">
      <c r="B43" s="147"/>
      <c r="C43" s="147"/>
      <c r="D43" s="177"/>
      <c r="E43" s="178"/>
      <c r="F43" s="178"/>
      <c r="G43" s="147"/>
      <c r="H43" s="147"/>
      <c r="I43" s="160"/>
      <c r="J43" s="120"/>
      <c r="K43" s="120"/>
      <c r="L43" s="120"/>
      <c r="M43" s="120"/>
      <c r="N43" s="120"/>
      <c r="O43" s="120"/>
      <c r="P43" s="120"/>
      <c r="Q43" s="120"/>
      <c r="R43" s="120"/>
      <c r="S43" s="120"/>
      <c r="T43" s="120"/>
      <c r="U43" s="120"/>
      <c r="V43" s="120"/>
      <c r="W43" s="120"/>
      <c r="X43" s="192"/>
      <c r="Y43" s="192"/>
      <c r="Z43" s="192"/>
      <c r="AA43" s="192"/>
      <c r="AB43" s="120"/>
      <c r="AC43" s="120"/>
      <c r="AD43" s="120"/>
      <c r="AE43" s="120"/>
      <c r="AF43" s="120"/>
      <c r="AG43" s="120"/>
      <c r="AH43" s="120"/>
      <c r="AI43" s="120"/>
      <c r="AJ43" s="120"/>
      <c r="AK43" s="120"/>
      <c r="AL43" s="120"/>
      <c r="AM43" s="120"/>
      <c r="AN43" s="120"/>
      <c r="AO43" s="120"/>
      <c r="AP43" s="120"/>
      <c r="AQ43" s="120"/>
      <c r="AR43" s="161"/>
      <c r="AS43" s="120"/>
      <c r="AT43" s="241"/>
      <c r="AU43" s="242"/>
      <c r="AV43" s="242"/>
      <c r="AW43" s="242"/>
      <c r="AX43" s="242"/>
      <c r="AY43" s="242"/>
      <c r="AZ43" s="242"/>
      <c r="BA43" s="242"/>
      <c r="BB43" s="242"/>
      <c r="BC43" s="242"/>
      <c r="BD43" s="242"/>
      <c r="BE43" s="242"/>
      <c r="BF43" s="242"/>
      <c r="BG43" s="244"/>
      <c r="BH43" s="242"/>
      <c r="BI43" s="242"/>
      <c r="BJ43" s="242"/>
      <c r="BK43" s="242"/>
      <c r="BL43" s="242"/>
      <c r="BM43" s="119"/>
      <c r="BN43" s="120"/>
      <c r="BO43" s="120"/>
      <c r="BP43" s="120"/>
      <c r="BQ43" s="120"/>
      <c r="BR43" s="120"/>
      <c r="BS43" s="161"/>
      <c r="BT43" s="120"/>
      <c r="BU43" s="120"/>
      <c r="BV43" s="120"/>
      <c r="BW43" s="120"/>
      <c r="BX43" s="120"/>
      <c r="BY43" s="120"/>
      <c r="BZ43" s="120"/>
      <c r="CA43" s="120"/>
      <c r="CB43" s="120"/>
      <c r="CC43" s="120"/>
      <c r="CD43" s="120"/>
      <c r="CE43" s="139"/>
      <c r="CF43" s="127"/>
      <c r="CG43" s="127"/>
      <c r="CH43" s="127"/>
      <c r="CI43" s="127"/>
      <c r="CJ43" s="127"/>
      <c r="CK43" s="127"/>
      <c r="CL43" s="127"/>
      <c r="CM43" s="127"/>
      <c r="CN43" s="127"/>
      <c r="CO43" s="127"/>
      <c r="CP43" s="138"/>
      <c r="CQ43" s="139"/>
    </row>
    <row r="44" spans="2:96" s="130" customFormat="1" ht="11.25" customHeight="1">
      <c r="B44" s="162"/>
      <c r="C44" s="162"/>
      <c r="D44" s="158"/>
      <c r="E44" s="159"/>
      <c r="F44" s="159"/>
      <c r="G44" s="120"/>
      <c r="H44" s="120"/>
      <c r="I44" s="160"/>
      <c r="J44" s="120"/>
      <c r="K44" s="120"/>
      <c r="L44" s="120"/>
      <c r="M44" s="120"/>
      <c r="N44" s="120"/>
      <c r="O44" s="120"/>
      <c r="P44" s="120"/>
      <c r="Q44" s="120"/>
      <c r="R44" s="120"/>
      <c r="S44" s="120"/>
      <c r="T44" s="161"/>
      <c r="U44" s="127"/>
      <c r="V44" s="120"/>
      <c r="W44" s="120"/>
      <c r="X44" s="192"/>
      <c r="Y44" s="192"/>
      <c r="Z44" s="192"/>
      <c r="AA44" s="192"/>
      <c r="AB44" s="120"/>
      <c r="AC44" s="120"/>
      <c r="AD44" s="208"/>
      <c r="AE44" s="208"/>
      <c r="AF44" s="136"/>
      <c r="AG44" s="136"/>
      <c r="AH44" s="120"/>
      <c r="AI44" s="120"/>
      <c r="AJ44" s="120"/>
      <c r="AK44" s="120"/>
      <c r="AL44" s="120"/>
      <c r="AM44" s="120"/>
      <c r="AN44" s="120"/>
      <c r="AO44" s="136"/>
      <c r="AP44" s="120"/>
      <c r="AQ44" s="120"/>
      <c r="AR44" s="345" t="s">
        <v>71</v>
      </c>
      <c r="AS44" s="345"/>
      <c r="AT44" s="348"/>
      <c r="AU44" s="345"/>
      <c r="AV44" s="345" t="s">
        <v>76</v>
      </c>
      <c r="AW44" s="346"/>
      <c r="AX44" s="349" t="s">
        <v>77</v>
      </c>
      <c r="AY44" s="346" t="s">
        <v>78</v>
      </c>
      <c r="AZ44" s="243"/>
      <c r="BA44" s="242" t="s">
        <v>79</v>
      </c>
      <c r="BB44" s="242" t="s">
        <v>81</v>
      </c>
      <c r="BC44" s="243"/>
      <c r="BD44" s="242" t="s">
        <v>86</v>
      </c>
      <c r="BE44" s="242" t="s">
        <v>82</v>
      </c>
      <c r="BF44" s="242" t="s">
        <v>87</v>
      </c>
      <c r="BG44" s="244"/>
      <c r="BH44" s="242" t="s">
        <v>83</v>
      </c>
      <c r="BI44" s="242" t="s">
        <v>88</v>
      </c>
      <c r="BJ44" s="242"/>
      <c r="BK44" s="242" t="s">
        <v>75</v>
      </c>
      <c r="BL44" s="245" t="s">
        <v>74</v>
      </c>
      <c r="BM44" s="122" t="s">
        <v>73</v>
      </c>
      <c r="BN44" s="122" t="s">
        <v>72</v>
      </c>
      <c r="BO44" s="122" t="s">
        <v>84</v>
      </c>
      <c r="BP44" s="122" t="s">
        <v>85</v>
      </c>
      <c r="BQ44" s="122"/>
      <c r="BR44" s="122" t="s">
        <v>80</v>
      </c>
      <c r="BS44" s="126"/>
      <c r="BT44" s="122"/>
      <c r="BU44" s="162"/>
      <c r="BV44" s="162"/>
      <c r="BW44" s="162"/>
      <c r="BX44" s="162"/>
      <c r="BY44" s="162"/>
      <c r="BZ44" s="120"/>
      <c r="CA44" s="120"/>
      <c r="CB44" s="120"/>
      <c r="CC44" s="162"/>
      <c r="CD44" s="120"/>
      <c r="CE44" s="137"/>
      <c r="CF44" s="136"/>
      <c r="CG44" s="127"/>
      <c r="CH44" s="136"/>
      <c r="CI44" s="127"/>
      <c r="CJ44" s="127"/>
      <c r="CK44" s="127"/>
      <c r="CL44" s="127"/>
      <c r="CM44" s="127"/>
      <c r="CN44" s="127"/>
      <c r="CO44" s="127"/>
      <c r="CP44" s="138"/>
      <c r="CQ44" s="139"/>
      <c r="CR44" s="140"/>
    </row>
    <row r="45" spans="2:95" s="140" customFormat="1" ht="3.75" customHeight="1">
      <c r="B45" s="120"/>
      <c r="C45" s="120"/>
      <c r="D45" s="158"/>
      <c r="E45" s="159"/>
      <c r="F45" s="159"/>
      <c r="G45" s="120"/>
      <c r="H45" s="120"/>
      <c r="I45" s="160"/>
      <c r="J45" s="120"/>
      <c r="K45" s="120"/>
      <c r="L45" s="120"/>
      <c r="M45" s="120"/>
      <c r="N45" s="120"/>
      <c r="O45" s="120"/>
      <c r="P45" s="120"/>
      <c r="Q45" s="120"/>
      <c r="R45" s="120"/>
      <c r="S45" s="120"/>
      <c r="T45" s="161"/>
      <c r="U45" s="147"/>
      <c r="V45" s="120"/>
      <c r="W45" s="120"/>
      <c r="X45" s="192"/>
      <c r="Y45" s="192"/>
      <c r="Z45" s="192"/>
      <c r="AA45" s="192"/>
      <c r="AB45" s="120"/>
      <c r="AC45" s="120"/>
      <c r="AD45" s="120"/>
      <c r="AE45" s="120"/>
      <c r="AF45" s="120"/>
      <c r="AG45" s="120"/>
      <c r="AH45" s="120"/>
      <c r="AI45" s="120"/>
      <c r="AJ45" s="120"/>
      <c r="AK45" s="120"/>
      <c r="AL45" s="120"/>
      <c r="AM45" s="120"/>
      <c r="AN45" s="120"/>
      <c r="AO45" s="120"/>
      <c r="AP45" s="120"/>
      <c r="AQ45" s="120"/>
      <c r="AR45" s="161"/>
      <c r="AS45" s="120"/>
      <c r="AT45" s="120"/>
      <c r="AU45" s="119"/>
      <c r="AV45" s="119"/>
      <c r="AW45" s="119"/>
      <c r="AX45" s="119"/>
      <c r="AY45" s="119"/>
      <c r="AZ45" s="119"/>
      <c r="BA45" s="119"/>
      <c r="BB45" s="119"/>
      <c r="BC45" s="119"/>
      <c r="BD45" s="119"/>
      <c r="BE45" s="119"/>
      <c r="BF45" s="119"/>
      <c r="BG45" s="125"/>
      <c r="BH45" s="119"/>
      <c r="BI45" s="119"/>
      <c r="BJ45" s="119"/>
      <c r="BK45" s="119"/>
      <c r="BL45" s="119"/>
      <c r="BM45" s="119"/>
      <c r="BN45" s="120"/>
      <c r="BO45" s="120"/>
      <c r="BP45" s="120"/>
      <c r="BQ45" s="120"/>
      <c r="BR45" s="120"/>
      <c r="BS45" s="161"/>
      <c r="BT45" s="120"/>
      <c r="BU45" s="120"/>
      <c r="BV45" s="120"/>
      <c r="BW45" s="120"/>
      <c r="BX45" s="120"/>
      <c r="BY45" s="120"/>
      <c r="BZ45" s="120"/>
      <c r="CA45" s="120"/>
      <c r="CB45" s="120"/>
      <c r="CC45" s="120"/>
      <c r="CD45" s="120"/>
      <c r="CE45" s="139"/>
      <c r="CF45" s="127"/>
      <c r="CG45" s="127"/>
      <c r="CH45" s="127"/>
      <c r="CI45" s="127"/>
      <c r="CJ45" s="127"/>
      <c r="CK45" s="127"/>
      <c r="CL45" s="127"/>
      <c r="CM45" s="127"/>
      <c r="CN45" s="127"/>
      <c r="CO45" s="127"/>
      <c r="CP45" s="138"/>
      <c r="CQ45" s="139"/>
    </row>
    <row r="46" spans="2:96" s="130" customFormat="1" ht="11.25" customHeight="1">
      <c r="B46" s="162"/>
      <c r="C46" s="162"/>
      <c r="D46" s="158"/>
      <c r="E46" s="159"/>
      <c r="F46" s="159"/>
      <c r="G46" s="120"/>
      <c r="H46" s="120"/>
      <c r="I46" s="160"/>
      <c r="J46" s="120"/>
      <c r="K46" s="120"/>
      <c r="L46" s="120"/>
      <c r="M46" s="120"/>
      <c r="N46" s="120"/>
      <c r="O46" s="120"/>
      <c r="P46" s="120"/>
      <c r="Q46" s="120"/>
      <c r="R46" s="120"/>
      <c r="S46" s="120"/>
      <c r="T46" s="161"/>
      <c r="U46" s="120"/>
      <c r="V46" s="120"/>
      <c r="W46" s="120"/>
      <c r="X46" s="192"/>
      <c r="Y46" s="192"/>
      <c r="Z46" s="192"/>
      <c r="AA46" s="192"/>
      <c r="AB46" s="120"/>
      <c r="AC46" s="120"/>
      <c r="AD46" s="136"/>
      <c r="AE46" s="147" t="s">
        <v>55</v>
      </c>
      <c r="AF46" s="127"/>
      <c r="AG46" s="163"/>
      <c r="AH46" s="164"/>
      <c r="AI46" s="164"/>
      <c r="AJ46" s="164"/>
      <c r="AK46" s="163"/>
      <c r="AL46" s="164"/>
      <c r="AM46" s="164"/>
      <c r="AN46" s="164"/>
      <c r="AO46" s="164"/>
      <c r="AP46" s="164"/>
      <c r="AQ46" s="164"/>
      <c r="AR46" s="164"/>
      <c r="AS46" s="164"/>
      <c r="AT46" s="164"/>
      <c r="AU46" s="164"/>
      <c r="AV46" s="164"/>
      <c r="AW46" s="164"/>
      <c r="AX46" s="164"/>
      <c r="AY46" s="164"/>
      <c r="AZ46" s="171"/>
      <c r="BA46" s="170"/>
      <c r="BB46" s="170"/>
      <c r="BC46" s="170"/>
      <c r="BD46" s="170"/>
      <c r="BE46" s="170"/>
      <c r="BF46" s="170"/>
      <c r="BG46" s="170"/>
      <c r="BH46" s="170"/>
      <c r="BI46" s="170"/>
      <c r="BJ46" s="170"/>
      <c r="BK46" s="170"/>
      <c r="BL46" s="170"/>
      <c r="BM46" s="170"/>
      <c r="BN46" s="170"/>
      <c r="BO46" s="170"/>
      <c r="BP46" s="170"/>
      <c r="BQ46" s="170"/>
      <c r="BR46" s="172"/>
      <c r="BS46" s="167"/>
      <c r="BT46" s="162"/>
      <c r="BU46" s="162"/>
      <c r="BV46" s="162"/>
      <c r="BW46" s="162"/>
      <c r="BX46" s="162"/>
      <c r="BY46" s="162"/>
      <c r="BZ46" s="120"/>
      <c r="CA46" s="120"/>
      <c r="CB46" s="120"/>
      <c r="CC46" s="162"/>
      <c r="CD46" s="120"/>
      <c r="CE46" s="137"/>
      <c r="CF46" s="136"/>
      <c r="CG46" s="127"/>
      <c r="CH46" s="136"/>
      <c r="CI46" s="127"/>
      <c r="CJ46" s="127"/>
      <c r="CK46" s="127"/>
      <c r="CL46" s="127"/>
      <c r="CM46" s="127"/>
      <c r="CN46" s="127"/>
      <c r="CO46" s="127"/>
      <c r="CP46" s="138"/>
      <c r="CQ46" s="139"/>
      <c r="CR46" s="140"/>
    </row>
    <row r="47" spans="2:95" s="140" customFormat="1" ht="13.5" customHeight="1">
      <c r="B47" s="120"/>
      <c r="C47" s="120"/>
      <c r="D47" s="158"/>
      <c r="E47" s="159"/>
      <c r="F47" s="159"/>
      <c r="G47" s="120"/>
      <c r="H47" s="120"/>
      <c r="I47" s="160"/>
      <c r="J47" s="120"/>
      <c r="K47" s="120"/>
      <c r="L47" s="127"/>
      <c r="M47" s="120"/>
      <c r="N47" s="120"/>
      <c r="O47" s="120"/>
      <c r="P47" s="120"/>
      <c r="Q47" s="120"/>
      <c r="R47" s="120"/>
      <c r="S47" s="120"/>
      <c r="T47" s="161"/>
      <c r="U47" s="120"/>
      <c r="V47" s="147"/>
      <c r="W47" s="120"/>
      <c r="X47" s="192"/>
      <c r="Y47" s="192"/>
      <c r="Z47" s="192"/>
      <c r="AA47" s="192"/>
      <c r="AB47" s="120"/>
      <c r="AC47" s="120"/>
      <c r="AD47" s="120"/>
      <c r="AE47" s="120"/>
      <c r="AF47" s="120"/>
      <c r="AG47" s="120"/>
      <c r="AH47" s="120"/>
      <c r="AI47" s="120"/>
      <c r="AJ47" s="127"/>
      <c r="AK47" s="127"/>
      <c r="AL47" s="127"/>
      <c r="AM47" s="127"/>
      <c r="AN47" s="127"/>
      <c r="AO47" s="127"/>
      <c r="AP47" s="127"/>
      <c r="AQ47" s="127"/>
      <c r="AR47" s="127"/>
      <c r="AS47" s="127"/>
      <c r="AT47" s="127"/>
      <c r="AU47" s="127"/>
      <c r="AV47" s="120"/>
      <c r="AW47" s="120"/>
      <c r="AX47" s="120"/>
      <c r="AY47" s="120"/>
      <c r="AZ47" s="120"/>
      <c r="BA47" s="120"/>
      <c r="BB47" s="120"/>
      <c r="BC47" s="120"/>
      <c r="BD47" s="120"/>
      <c r="BE47" s="120"/>
      <c r="BF47" s="120"/>
      <c r="BG47" s="161"/>
      <c r="BH47" s="120"/>
      <c r="BI47" s="120"/>
      <c r="BJ47" s="120"/>
      <c r="BK47" s="120"/>
      <c r="BL47" s="120"/>
      <c r="BM47" s="120"/>
      <c r="BN47" s="120"/>
      <c r="BO47" s="120"/>
      <c r="BP47" s="120"/>
      <c r="BQ47" s="120"/>
      <c r="BR47" s="120"/>
      <c r="BS47" s="161"/>
      <c r="BT47" s="120"/>
      <c r="BU47" s="120"/>
      <c r="BV47" s="120"/>
      <c r="BW47" s="120"/>
      <c r="BX47" s="120"/>
      <c r="BY47" s="120"/>
      <c r="BZ47" s="120"/>
      <c r="CA47" s="120"/>
      <c r="CB47" s="120"/>
      <c r="CC47" s="120"/>
      <c r="CD47" s="120"/>
      <c r="CE47" s="139"/>
      <c r="CF47" s="127"/>
      <c r="CG47" s="127"/>
      <c r="CH47" s="127"/>
      <c r="CI47" s="127"/>
      <c r="CJ47" s="127"/>
      <c r="CK47" s="127"/>
      <c r="CL47" s="127"/>
      <c r="CM47" s="127"/>
      <c r="CN47" s="127"/>
      <c r="CO47" s="127"/>
      <c r="CP47" s="138"/>
      <c r="CQ47" s="139"/>
    </row>
    <row r="48" spans="2:96" s="130" customFormat="1" ht="12.75" customHeight="1">
      <c r="B48" s="162"/>
      <c r="C48" s="162"/>
      <c r="D48" s="158"/>
      <c r="E48" s="159"/>
      <c r="F48" s="159"/>
      <c r="G48" s="120"/>
      <c r="H48" s="120"/>
      <c r="I48" s="160"/>
      <c r="J48" s="120"/>
      <c r="K48" s="120"/>
      <c r="L48" s="151"/>
      <c r="M48" s="120"/>
      <c r="N48" s="120"/>
      <c r="O48" s="120"/>
      <c r="P48" s="120"/>
      <c r="Q48" s="120"/>
      <c r="R48" s="120"/>
      <c r="S48" s="120"/>
      <c r="T48" s="161"/>
      <c r="U48" s="120"/>
      <c r="V48" s="120"/>
      <c r="W48" s="120"/>
      <c r="X48" s="192"/>
      <c r="Y48" s="192"/>
      <c r="Z48" s="192"/>
      <c r="AA48" s="192"/>
      <c r="AB48" s="120"/>
      <c r="AC48" s="120"/>
      <c r="AD48" s="120"/>
      <c r="AE48" s="120"/>
      <c r="AF48" s="120"/>
      <c r="AG48" s="136"/>
      <c r="AH48" s="136"/>
      <c r="AI48" s="136"/>
      <c r="AJ48" s="120"/>
      <c r="AK48" s="127"/>
      <c r="AL48" s="136"/>
      <c r="AM48" s="136"/>
      <c r="AN48" s="136"/>
      <c r="AO48" s="127"/>
      <c r="AP48" s="127"/>
      <c r="AQ48" s="127"/>
      <c r="AR48" s="147" t="s">
        <v>660</v>
      </c>
      <c r="AS48" s="344"/>
      <c r="AT48" s="165"/>
      <c r="AU48" s="165"/>
      <c r="AV48" s="164"/>
      <c r="AW48" s="164"/>
      <c r="AX48" s="164"/>
      <c r="AY48" s="164"/>
      <c r="AZ48" s="206"/>
      <c r="BA48" s="206"/>
      <c r="BB48" s="206"/>
      <c r="BC48" s="206"/>
      <c r="BD48" s="206"/>
      <c r="BE48" s="206"/>
      <c r="BF48" s="206"/>
      <c r="BG48" s="206"/>
      <c r="BH48" s="206"/>
      <c r="BI48" s="206"/>
      <c r="BJ48" s="206"/>
      <c r="BK48" s="206"/>
      <c r="BL48" s="206"/>
      <c r="BM48" s="206"/>
      <c r="BN48" s="206"/>
      <c r="BO48" s="206"/>
      <c r="BP48" s="206"/>
      <c r="BQ48" s="206"/>
      <c r="BR48" s="206"/>
      <c r="BS48" s="215"/>
      <c r="BT48" s="120"/>
      <c r="BU48" s="120"/>
      <c r="BV48" s="120"/>
      <c r="BW48" s="120"/>
      <c r="BX48" s="162"/>
      <c r="BY48" s="162"/>
      <c r="BZ48" s="120"/>
      <c r="CA48" s="120"/>
      <c r="CB48" s="120"/>
      <c r="CC48" s="162"/>
      <c r="CD48" s="120"/>
      <c r="CE48" s="137"/>
      <c r="CF48" s="87"/>
      <c r="CG48" s="87"/>
      <c r="CH48" s="87"/>
      <c r="CI48" s="87"/>
      <c r="CJ48" s="87"/>
      <c r="CK48" s="87"/>
      <c r="CL48" s="87"/>
      <c r="CM48" s="87"/>
      <c r="CN48" s="127"/>
      <c r="CO48" s="127"/>
      <c r="CP48" s="138"/>
      <c r="CQ48" s="139"/>
      <c r="CR48" s="140"/>
    </row>
    <row r="49" spans="2:95" s="140" customFormat="1" ht="10.5" customHeight="1">
      <c r="B49" s="120"/>
      <c r="C49" s="120"/>
      <c r="D49" s="158"/>
      <c r="E49" s="159"/>
      <c r="F49" s="159"/>
      <c r="G49" s="120"/>
      <c r="H49" s="120"/>
      <c r="I49" s="160"/>
      <c r="J49" s="120"/>
      <c r="K49" s="120"/>
      <c r="L49" s="120"/>
      <c r="M49" s="120"/>
      <c r="N49" s="120"/>
      <c r="O49" s="120"/>
      <c r="P49" s="120"/>
      <c r="Q49" s="120"/>
      <c r="R49" s="120"/>
      <c r="S49" s="120"/>
      <c r="T49" s="161"/>
      <c r="U49" s="120"/>
      <c r="V49" s="120"/>
      <c r="W49" s="120"/>
      <c r="X49" s="192"/>
      <c r="Y49" s="192"/>
      <c r="Z49" s="192"/>
      <c r="AA49" s="192"/>
      <c r="AB49" s="120"/>
      <c r="AC49" s="120"/>
      <c r="AD49" s="120"/>
      <c r="AE49" s="120"/>
      <c r="AF49" s="120"/>
      <c r="AG49" s="120"/>
      <c r="AH49" s="120"/>
      <c r="AI49" s="120"/>
      <c r="AJ49" s="120"/>
      <c r="AK49" s="120"/>
      <c r="AL49" s="120"/>
      <c r="AM49" s="120"/>
      <c r="AN49" s="120"/>
      <c r="AO49" s="120"/>
      <c r="AP49" s="120"/>
      <c r="AQ49" s="120"/>
      <c r="AR49" s="120"/>
      <c r="AS49" s="120"/>
      <c r="AT49" s="120"/>
      <c r="AU49" s="147"/>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39"/>
      <c r="CF49" s="127"/>
      <c r="CG49" s="127"/>
      <c r="CH49" s="127"/>
      <c r="CI49" s="127"/>
      <c r="CJ49" s="127"/>
      <c r="CK49" s="127"/>
      <c r="CL49" s="127"/>
      <c r="CM49" s="127"/>
      <c r="CN49" s="127"/>
      <c r="CO49" s="127"/>
      <c r="CP49" s="138"/>
      <c r="CQ49" s="139"/>
    </row>
    <row r="50" spans="2:96" s="130" customFormat="1" ht="12" customHeight="1">
      <c r="B50" s="162"/>
      <c r="C50" s="162"/>
      <c r="D50" s="158"/>
      <c r="E50" s="159"/>
      <c r="F50" s="159"/>
      <c r="G50" s="120"/>
      <c r="H50" s="120"/>
      <c r="I50" s="160"/>
      <c r="J50" s="120"/>
      <c r="K50" s="120"/>
      <c r="L50" s="120"/>
      <c r="M50" s="120"/>
      <c r="N50" s="120"/>
      <c r="O50" s="120"/>
      <c r="P50" s="120"/>
      <c r="Q50" s="120"/>
      <c r="R50" s="120"/>
      <c r="S50" s="120"/>
      <c r="T50" s="161"/>
      <c r="U50" s="120"/>
      <c r="V50" s="120"/>
      <c r="W50" s="120"/>
      <c r="X50" s="192"/>
      <c r="Y50" s="192"/>
      <c r="Z50" s="192"/>
      <c r="AA50" s="192"/>
      <c r="AB50" s="120"/>
      <c r="AC50" s="120"/>
      <c r="AD50" s="120"/>
      <c r="AE50" s="120"/>
      <c r="AF50" s="120"/>
      <c r="AG50" s="136"/>
      <c r="AH50" s="120"/>
      <c r="AI50" s="136"/>
      <c r="AJ50" s="120"/>
      <c r="AK50" s="120"/>
      <c r="AL50" s="120"/>
      <c r="AM50" s="136"/>
      <c r="AN50" s="136"/>
      <c r="AO50" s="120"/>
      <c r="AP50" s="120"/>
      <c r="AQ50" s="136"/>
      <c r="AR50" s="136"/>
      <c r="AS50" s="120"/>
      <c r="AT50" s="120"/>
      <c r="AU50" s="120"/>
      <c r="AV50" s="147" t="s">
        <v>661</v>
      </c>
      <c r="AW50" s="163"/>
      <c r="AX50" s="164"/>
      <c r="AY50" s="164"/>
      <c r="AZ50" s="206"/>
      <c r="BA50" s="199"/>
      <c r="BB50" s="199"/>
      <c r="BC50" s="199"/>
      <c r="BD50" s="199"/>
      <c r="BE50" s="199"/>
      <c r="BF50" s="199"/>
      <c r="BG50" s="199"/>
      <c r="BH50" s="206"/>
      <c r="BI50" s="206"/>
      <c r="BJ50" s="206"/>
      <c r="BK50" s="206"/>
      <c r="BL50" s="206"/>
      <c r="BM50" s="206"/>
      <c r="BN50" s="206"/>
      <c r="BO50" s="206"/>
      <c r="BP50" s="206"/>
      <c r="BQ50" s="206"/>
      <c r="BR50" s="206"/>
      <c r="BS50" s="206"/>
      <c r="BT50" s="215"/>
      <c r="BU50" s="120"/>
      <c r="BV50" s="120"/>
      <c r="BW50" s="120"/>
      <c r="BX50" s="162"/>
      <c r="BY50" s="162"/>
      <c r="BZ50" s="120"/>
      <c r="CA50" s="120"/>
      <c r="CB50" s="120"/>
      <c r="CC50" s="120"/>
      <c r="CD50" s="120"/>
      <c r="CE50" s="137"/>
      <c r="CF50" s="136"/>
      <c r="CG50" s="127"/>
      <c r="CH50" s="136"/>
      <c r="CI50" s="127"/>
      <c r="CJ50" s="127"/>
      <c r="CK50" s="127"/>
      <c r="CL50" s="127"/>
      <c r="CM50" s="127"/>
      <c r="CN50" s="127"/>
      <c r="CO50" s="127"/>
      <c r="CP50" s="138"/>
      <c r="CQ50" s="139"/>
      <c r="CR50" s="140"/>
    </row>
    <row r="51" spans="2:95" s="140" customFormat="1" ht="10.5" customHeight="1">
      <c r="B51" s="120"/>
      <c r="C51" s="120"/>
      <c r="D51" s="158"/>
      <c r="E51" s="159"/>
      <c r="F51" s="159"/>
      <c r="G51" s="120"/>
      <c r="H51" s="120"/>
      <c r="I51" s="160"/>
      <c r="J51" s="120"/>
      <c r="K51" s="120"/>
      <c r="L51" s="120"/>
      <c r="M51" s="120"/>
      <c r="N51" s="120"/>
      <c r="O51" s="120"/>
      <c r="P51" s="120"/>
      <c r="Q51" s="120"/>
      <c r="R51" s="120"/>
      <c r="S51" s="120"/>
      <c r="T51" s="161"/>
      <c r="U51" s="120"/>
      <c r="V51" s="120"/>
      <c r="W51" s="120"/>
      <c r="X51" s="192"/>
      <c r="Y51" s="192"/>
      <c r="Z51" s="192"/>
      <c r="AA51" s="192"/>
      <c r="AB51" s="120"/>
      <c r="AC51" s="120"/>
      <c r="AD51" s="120"/>
      <c r="AE51" s="120"/>
      <c r="AF51" s="120"/>
      <c r="AG51" s="120"/>
      <c r="AH51" s="120"/>
      <c r="AI51" s="120"/>
      <c r="AJ51" s="120"/>
      <c r="AK51" s="120"/>
      <c r="AL51" s="120"/>
      <c r="AM51" s="120"/>
      <c r="AN51" s="120"/>
      <c r="AO51" s="120"/>
      <c r="AP51" s="120"/>
      <c r="AQ51" s="120"/>
      <c r="AR51" s="120"/>
      <c r="AS51" s="120"/>
      <c r="AT51" s="120"/>
      <c r="AU51" s="147"/>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39"/>
      <c r="CF51" s="127"/>
      <c r="CG51" s="127"/>
      <c r="CH51" s="127"/>
      <c r="CI51" s="127"/>
      <c r="CJ51" s="127"/>
      <c r="CK51" s="127"/>
      <c r="CL51" s="127"/>
      <c r="CM51" s="127"/>
      <c r="CN51" s="127"/>
      <c r="CO51" s="127"/>
      <c r="CP51" s="138"/>
      <c r="CQ51" s="139"/>
    </row>
    <row r="52" spans="2:96" s="130" customFormat="1" ht="12.75" customHeight="1">
      <c r="B52" s="162"/>
      <c r="C52" s="162"/>
      <c r="D52" s="211"/>
      <c r="E52" s="159"/>
      <c r="F52" s="159"/>
      <c r="G52" s="120"/>
      <c r="H52" s="120"/>
      <c r="I52" s="212"/>
      <c r="J52" s="120"/>
      <c r="K52" s="120"/>
      <c r="L52" s="120"/>
      <c r="M52" s="120"/>
      <c r="N52" s="147"/>
      <c r="O52" s="120"/>
      <c r="P52" s="120"/>
      <c r="Q52" s="120"/>
      <c r="R52" s="120"/>
      <c r="S52" s="120"/>
      <c r="T52" s="161"/>
      <c r="U52" s="120"/>
      <c r="V52" s="120"/>
      <c r="W52" s="120"/>
      <c r="X52" s="192"/>
      <c r="Y52" s="192"/>
      <c r="Z52" s="192"/>
      <c r="AA52" s="192"/>
      <c r="AB52" s="120"/>
      <c r="AC52" s="120"/>
      <c r="AD52" s="120"/>
      <c r="AE52" s="120"/>
      <c r="AF52" s="137"/>
      <c r="AG52" s="120"/>
      <c r="AH52" s="136"/>
      <c r="AI52" s="120"/>
      <c r="AJ52" s="120"/>
      <c r="AK52" s="120"/>
      <c r="AL52" s="147"/>
      <c r="AM52" s="120"/>
      <c r="AN52" s="120"/>
      <c r="AO52" s="120"/>
      <c r="AP52" s="120"/>
      <c r="AQ52" s="120"/>
      <c r="AR52" s="136"/>
      <c r="AS52" s="127"/>
      <c r="AT52" s="127"/>
      <c r="AU52" s="120"/>
      <c r="AV52" s="147"/>
      <c r="AW52" s="120"/>
      <c r="AX52" s="147" t="s">
        <v>56</v>
      </c>
      <c r="AY52" s="163"/>
      <c r="AZ52" s="170"/>
      <c r="BA52" s="214"/>
      <c r="BB52" s="170"/>
      <c r="BC52" s="170"/>
      <c r="BD52" s="170"/>
      <c r="BE52" s="170"/>
      <c r="BF52" s="170"/>
      <c r="BG52" s="170"/>
      <c r="BH52" s="170"/>
      <c r="BI52" s="170"/>
      <c r="BJ52" s="170"/>
      <c r="BK52" s="170"/>
      <c r="BL52" s="170"/>
      <c r="BM52" s="170"/>
      <c r="BN52" s="170"/>
      <c r="BO52" s="170"/>
      <c r="BP52" s="170"/>
      <c r="BQ52" s="170"/>
      <c r="BR52" s="170"/>
      <c r="BS52" s="170"/>
      <c r="BT52" s="170"/>
      <c r="BU52" s="215"/>
      <c r="BV52" s="120"/>
      <c r="BW52" s="120"/>
      <c r="BX52" s="162"/>
      <c r="BY52" s="162"/>
      <c r="BZ52" s="120"/>
      <c r="CA52" s="120"/>
      <c r="CB52" s="120"/>
      <c r="CC52" s="120"/>
      <c r="CD52" s="120"/>
      <c r="CE52" s="137"/>
      <c r="CF52" s="136"/>
      <c r="CG52" s="127"/>
      <c r="CH52" s="136"/>
      <c r="CI52" s="127"/>
      <c r="CJ52" s="127"/>
      <c r="CK52" s="127"/>
      <c r="CL52" s="127"/>
      <c r="CM52" s="127"/>
      <c r="CN52" s="127"/>
      <c r="CO52" s="127"/>
      <c r="CP52" s="138"/>
      <c r="CQ52" s="139"/>
      <c r="CR52" s="140"/>
    </row>
    <row r="53" spans="2:96" s="130" customFormat="1" ht="7.5" customHeight="1">
      <c r="B53" s="162"/>
      <c r="C53" s="162"/>
      <c r="D53" s="211"/>
      <c r="E53" s="159"/>
      <c r="F53" s="159"/>
      <c r="G53" s="120"/>
      <c r="H53" s="120"/>
      <c r="I53" s="212"/>
      <c r="J53" s="120"/>
      <c r="K53" s="120"/>
      <c r="L53" s="120"/>
      <c r="M53" s="120"/>
      <c r="N53" s="147"/>
      <c r="O53" s="120"/>
      <c r="P53" s="120"/>
      <c r="Q53" s="120"/>
      <c r="R53" s="120"/>
      <c r="S53" s="120"/>
      <c r="T53" s="161"/>
      <c r="U53" s="120"/>
      <c r="V53" s="120"/>
      <c r="W53" s="120"/>
      <c r="X53" s="120"/>
      <c r="Y53" s="120"/>
      <c r="Z53" s="120"/>
      <c r="AA53" s="120"/>
      <c r="AB53" s="120"/>
      <c r="AC53" s="120"/>
      <c r="AD53" s="120"/>
      <c r="AE53" s="120"/>
      <c r="AF53" s="137"/>
      <c r="AG53" s="120"/>
      <c r="AH53" s="136"/>
      <c r="AI53" s="120"/>
      <c r="AJ53" s="120"/>
      <c r="AK53" s="120"/>
      <c r="AL53" s="147"/>
      <c r="AM53" s="120"/>
      <c r="AN53" s="120"/>
      <c r="AO53" s="120"/>
      <c r="AP53" s="120"/>
      <c r="AQ53" s="120"/>
      <c r="AR53" s="127"/>
      <c r="AS53" s="127"/>
      <c r="AT53" s="127"/>
      <c r="AU53" s="120"/>
      <c r="AV53" s="147"/>
      <c r="AW53" s="120"/>
      <c r="AX53" s="120"/>
      <c r="AY53" s="120"/>
      <c r="AZ53" s="120"/>
      <c r="BA53" s="127"/>
      <c r="BB53" s="120"/>
      <c r="BC53" s="120"/>
      <c r="BD53" s="120"/>
      <c r="BE53" s="120"/>
      <c r="BF53" s="120"/>
      <c r="BG53" s="120"/>
      <c r="BH53" s="120"/>
      <c r="BI53" s="120"/>
      <c r="BJ53" s="120"/>
      <c r="BK53" s="162"/>
      <c r="BL53" s="162"/>
      <c r="BM53" s="162"/>
      <c r="BN53" s="162"/>
      <c r="BO53" s="162"/>
      <c r="BP53" s="162"/>
      <c r="BQ53" s="162"/>
      <c r="BR53" s="162"/>
      <c r="BS53" s="167"/>
      <c r="BT53" s="162"/>
      <c r="BU53" s="162"/>
      <c r="BV53" s="162"/>
      <c r="BW53" s="162"/>
      <c r="BX53" s="162"/>
      <c r="BY53" s="162"/>
      <c r="BZ53" s="120"/>
      <c r="CA53" s="120"/>
      <c r="CB53" s="120"/>
      <c r="CC53" s="120"/>
      <c r="CD53" s="120"/>
      <c r="CE53" s="137"/>
      <c r="CF53" s="136"/>
      <c r="CG53" s="127"/>
      <c r="CH53" s="136"/>
      <c r="CI53" s="127"/>
      <c r="CJ53" s="127"/>
      <c r="CK53" s="127"/>
      <c r="CL53" s="127"/>
      <c r="CM53" s="127"/>
      <c r="CN53" s="127"/>
      <c r="CO53" s="127"/>
      <c r="CP53" s="138"/>
      <c r="CQ53" s="139"/>
      <c r="CR53" s="140"/>
    </row>
    <row r="54" spans="2:96" s="130" customFormat="1" ht="5.25" customHeight="1">
      <c r="B54" s="162"/>
      <c r="C54" s="162"/>
      <c r="D54" s="158"/>
      <c r="E54" s="159"/>
      <c r="F54" s="159"/>
      <c r="G54" s="120"/>
      <c r="H54" s="120"/>
      <c r="I54" s="160"/>
      <c r="J54" s="120"/>
      <c r="K54" s="120"/>
      <c r="L54" s="120"/>
      <c r="M54" s="120"/>
      <c r="N54" s="147"/>
      <c r="O54" s="120"/>
      <c r="P54" s="120"/>
      <c r="Q54" s="120"/>
      <c r="R54" s="120"/>
      <c r="S54" s="120"/>
      <c r="T54" s="161"/>
      <c r="U54" s="120"/>
      <c r="V54" s="120"/>
      <c r="W54" s="120"/>
      <c r="X54" s="120"/>
      <c r="Y54" s="120"/>
      <c r="Z54" s="120"/>
      <c r="AA54" s="120"/>
      <c r="AB54" s="120"/>
      <c r="AC54" s="120"/>
      <c r="AD54" s="120"/>
      <c r="AE54" s="120"/>
      <c r="AF54" s="137"/>
      <c r="AG54" s="120"/>
      <c r="AH54" s="136"/>
      <c r="AI54" s="120"/>
      <c r="AJ54" s="120"/>
      <c r="AK54" s="120"/>
      <c r="AL54" s="120"/>
      <c r="AM54" s="120"/>
      <c r="AN54" s="120"/>
      <c r="AO54" s="120"/>
      <c r="AP54" s="120"/>
      <c r="AQ54" s="120"/>
      <c r="AR54" s="136"/>
      <c r="AS54" s="136"/>
      <c r="AT54" s="136"/>
      <c r="AU54" s="120"/>
      <c r="AV54" s="147"/>
      <c r="AW54" s="120"/>
      <c r="AX54" s="120"/>
      <c r="AY54" s="120"/>
      <c r="AZ54" s="120"/>
      <c r="BA54" s="147"/>
      <c r="BB54" s="120"/>
      <c r="BC54" s="120"/>
      <c r="BD54" s="120"/>
      <c r="BE54" s="120"/>
      <c r="BF54" s="120"/>
      <c r="BG54" s="120"/>
      <c r="BH54" s="120"/>
      <c r="BI54" s="120"/>
      <c r="BJ54" s="120"/>
      <c r="BK54" s="162"/>
      <c r="BL54" s="162"/>
      <c r="BM54" s="120"/>
      <c r="BN54" s="120"/>
      <c r="BO54" s="120"/>
      <c r="BP54" s="120"/>
      <c r="BQ54" s="162"/>
      <c r="BR54" s="162"/>
      <c r="BS54" s="167"/>
      <c r="BT54" s="162"/>
      <c r="BU54" s="162"/>
      <c r="BV54" s="162"/>
      <c r="BW54" s="162"/>
      <c r="BX54" s="162"/>
      <c r="BY54" s="162"/>
      <c r="BZ54" s="120"/>
      <c r="CA54" s="120"/>
      <c r="CB54" s="120"/>
      <c r="CC54" s="120"/>
      <c r="CD54" s="120"/>
      <c r="CE54" s="137"/>
      <c r="CF54" s="136"/>
      <c r="CG54" s="127"/>
      <c r="CH54" s="136"/>
      <c r="CI54" s="127"/>
      <c r="CJ54" s="127"/>
      <c r="CK54" s="127"/>
      <c r="CL54" s="127"/>
      <c r="CM54" s="127"/>
      <c r="CN54" s="127"/>
      <c r="CO54" s="127"/>
      <c r="CP54" s="138"/>
      <c r="CQ54" s="139"/>
      <c r="CR54" s="140"/>
    </row>
    <row r="55" spans="2:96" s="130" customFormat="1" ht="12" customHeight="1">
      <c r="B55" s="162"/>
      <c r="C55" s="162"/>
      <c r="D55" s="175"/>
      <c r="E55" s="159"/>
      <c r="F55" s="159"/>
      <c r="G55" s="120"/>
      <c r="H55" s="120"/>
      <c r="I55" s="160"/>
      <c r="J55" s="120"/>
      <c r="K55" s="120"/>
      <c r="L55" s="120"/>
      <c r="M55" s="120"/>
      <c r="N55" s="147"/>
      <c r="O55" s="120"/>
      <c r="P55" s="120"/>
      <c r="Q55" s="120"/>
      <c r="R55" s="120"/>
      <c r="S55" s="120"/>
      <c r="T55" s="357"/>
      <c r="U55" s="350" t="s">
        <v>57</v>
      </c>
      <c r="V55" s="352"/>
      <c r="W55" s="352"/>
      <c r="X55" s="352"/>
      <c r="Y55" s="352"/>
      <c r="Z55" s="352"/>
      <c r="AA55" s="352"/>
      <c r="AB55" s="352"/>
      <c r="AC55" s="352"/>
      <c r="AD55" s="352"/>
      <c r="AE55" s="352"/>
      <c r="AF55" s="360"/>
      <c r="AG55" s="192"/>
      <c r="AH55" s="359"/>
      <c r="AI55" s="192"/>
      <c r="AJ55" s="192"/>
      <c r="AK55" s="192"/>
      <c r="AL55" s="120"/>
      <c r="AM55" s="120"/>
      <c r="AN55" s="120"/>
      <c r="AO55" s="120"/>
      <c r="AP55" s="120"/>
      <c r="AQ55" s="120"/>
      <c r="AR55" s="136"/>
      <c r="AS55" s="136"/>
      <c r="AT55" s="162"/>
      <c r="AU55" s="136"/>
      <c r="AV55" s="127"/>
      <c r="AW55" s="127"/>
      <c r="AX55" s="136"/>
      <c r="AY55" s="169" t="s">
        <v>662</v>
      </c>
      <c r="AZ55" s="120"/>
      <c r="BA55" s="171"/>
      <c r="BB55" s="170"/>
      <c r="BC55" s="170"/>
      <c r="BD55" s="170"/>
      <c r="BE55" s="170"/>
      <c r="BF55" s="170"/>
      <c r="BG55" s="170"/>
      <c r="BH55" s="170"/>
      <c r="BI55" s="170"/>
      <c r="BJ55" s="170"/>
      <c r="BK55" s="170"/>
      <c r="BL55" s="170"/>
      <c r="BM55" s="170"/>
      <c r="BN55" s="172"/>
      <c r="BO55" s="120"/>
      <c r="BP55" s="120"/>
      <c r="BQ55" s="162"/>
      <c r="BR55" s="162"/>
      <c r="BS55" s="167"/>
      <c r="BT55" s="162"/>
      <c r="BU55" s="162"/>
      <c r="BV55" s="162"/>
      <c r="BW55" s="162"/>
      <c r="BX55" s="162"/>
      <c r="BY55" s="162"/>
      <c r="BZ55" s="120"/>
      <c r="CA55" s="120"/>
      <c r="CB55" s="120"/>
      <c r="CC55" s="120"/>
      <c r="CD55" s="120"/>
      <c r="CE55" s="137"/>
      <c r="CF55" s="136"/>
      <c r="CG55" s="127"/>
      <c r="CH55" s="136"/>
      <c r="CI55" s="127"/>
      <c r="CJ55" s="127"/>
      <c r="CK55" s="127"/>
      <c r="CL55" s="127"/>
      <c r="CM55" s="127"/>
      <c r="CN55" s="127"/>
      <c r="CO55" s="127"/>
      <c r="CP55" s="138"/>
      <c r="CQ55" s="139"/>
      <c r="CR55" s="140"/>
    </row>
    <row r="56" spans="2:96" s="130" customFormat="1" ht="10.5" customHeight="1">
      <c r="B56" s="162"/>
      <c r="C56" s="162"/>
      <c r="D56" s="158"/>
      <c r="E56" s="159"/>
      <c r="F56" s="159"/>
      <c r="G56" s="120"/>
      <c r="H56" s="120"/>
      <c r="I56" s="160"/>
      <c r="J56" s="120"/>
      <c r="K56" s="120"/>
      <c r="L56" s="120"/>
      <c r="M56" s="120"/>
      <c r="N56" s="147"/>
      <c r="O56" s="120"/>
      <c r="P56" s="120"/>
      <c r="Q56" s="120"/>
      <c r="R56" s="120"/>
      <c r="S56" s="120"/>
      <c r="T56" s="357"/>
      <c r="U56" s="192"/>
      <c r="V56" s="192"/>
      <c r="W56" s="192"/>
      <c r="X56" s="192"/>
      <c r="Y56" s="192"/>
      <c r="Z56" s="192"/>
      <c r="AA56" s="192"/>
      <c r="AB56" s="192"/>
      <c r="AC56" s="192"/>
      <c r="AD56" s="192"/>
      <c r="AE56" s="192"/>
      <c r="AF56" s="358"/>
      <c r="AG56" s="192"/>
      <c r="AH56" s="359"/>
      <c r="AI56" s="192"/>
      <c r="AJ56" s="192"/>
      <c r="AK56" s="192"/>
      <c r="AL56" s="120"/>
      <c r="AM56" s="120"/>
      <c r="AN56" s="120"/>
      <c r="AO56" s="120"/>
      <c r="AP56" s="120"/>
      <c r="AQ56" s="120"/>
      <c r="AR56" s="136"/>
      <c r="AS56" s="136"/>
      <c r="AT56" s="136"/>
      <c r="AU56" s="120"/>
      <c r="AV56" s="147"/>
      <c r="AW56" s="120"/>
      <c r="AX56" s="120"/>
      <c r="AY56" s="120"/>
      <c r="AZ56" s="120"/>
      <c r="BA56" s="147"/>
      <c r="BB56" s="120"/>
      <c r="BC56" s="120"/>
      <c r="BD56" s="120"/>
      <c r="BE56" s="120"/>
      <c r="BF56" s="120"/>
      <c r="BG56" s="120"/>
      <c r="BH56" s="120"/>
      <c r="BI56" s="120"/>
      <c r="BJ56" s="120"/>
      <c r="BK56" s="120"/>
      <c r="BL56" s="120"/>
      <c r="BM56" s="120"/>
      <c r="BN56" s="120"/>
      <c r="BO56" s="120"/>
      <c r="BP56" s="120"/>
      <c r="BQ56" s="120"/>
      <c r="BR56" s="162"/>
      <c r="BS56" s="167"/>
      <c r="BT56" s="162"/>
      <c r="BU56" s="162"/>
      <c r="BV56" s="162"/>
      <c r="BW56" s="162"/>
      <c r="BX56" s="162"/>
      <c r="BY56" s="162"/>
      <c r="BZ56" s="120"/>
      <c r="CA56" s="120"/>
      <c r="CB56" s="120"/>
      <c r="CC56" s="120"/>
      <c r="CD56" s="120"/>
      <c r="CE56" s="137"/>
      <c r="CF56" s="136"/>
      <c r="CG56" s="127"/>
      <c r="CH56" s="136"/>
      <c r="CI56" s="127"/>
      <c r="CJ56" s="127"/>
      <c r="CK56" s="127"/>
      <c r="CL56" s="127"/>
      <c r="CM56" s="127"/>
      <c r="CN56" s="127"/>
      <c r="CO56" s="127"/>
      <c r="CP56" s="138"/>
      <c r="CQ56" s="139"/>
      <c r="CR56" s="140"/>
    </row>
    <row r="57" spans="2:96" s="130" customFormat="1" ht="11.25" customHeight="1">
      <c r="B57" s="162"/>
      <c r="C57" s="162"/>
      <c r="D57" s="158"/>
      <c r="E57" s="159"/>
      <c r="F57" s="159"/>
      <c r="G57" s="120"/>
      <c r="H57" s="120"/>
      <c r="I57" s="160"/>
      <c r="J57" s="120"/>
      <c r="K57" s="120"/>
      <c r="L57" s="120"/>
      <c r="M57" s="120"/>
      <c r="N57" s="147"/>
      <c r="O57" s="120"/>
      <c r="P57" s="120"/>
      <c r="Q57" s="120"/>
      <c r="R57" s="120"/>
      <c r="S57" s="120"/>
      <c r="T57" s="357"/>
      <c r="U57" s="192"/>
      <c r="V57" s="192"/>
      <c r="W57" s="192"/>
      <c r="X57" s="192"/>
      <c r="Y57" s="192"/>
      <c r="Z57" s="192"/>
      <c r="AA57" s="192"/>
      <c r="AB57" s="192"/>
      <c r="AC57" s="192"/>
      <c r="AD57" s="192"/>
      <c r="AE57" s="192"/>
      <c r="AF57" s="358"/>
      <c r="AG57" s="192"/>
      <c r="AH57" s="359"/>
      <c r="AI57" s="192"/>
      <c r="AJ57" s="192"/>
      <c r="AK57" s="192"/>
      <c r="AL57" s="120"/>
      <c r="AM57" s="120"/>
      <c r="AN57" s="120"/>
      <c r="AO57" s="120"/>
      <c r="AP57" s="136"/>
      <c r="AQ57" s="120"/>
      <c r="AR57" s="136"/>
      <c r="AS57" s="136"/>
      <c r="AT57" s="136"/>
      <c r="AU57" s="120"/>
      <c r="AV57" s="136"/>
      <c r="AW57" s="120"/>
      <c r="AX57" s="136"/>
      <c r="AY57" s="120"/>
      <c r="AZ57" s="120"/>
      <c r="BA57" s="147"/>
      <c r="BB57" s="120"/>
      <c r="BC57" s="120"/>
      <c r="BD57" s="120"/>
      <c r="BE57" s="127"/>
      <c r="BF57" s="147"/>
      <c r="BG57" s="120"/>
      <c r="BH57" s="136"/>
      <c r="BI57" s="136"/>
      <c r="BJ57" s="120"/>
      <c r="BK57" s="120"/>
      <c r="BL57" s="147" t="s">
        <v>663</v>
      </c>
      <c r="BM57" s="171"/>
      <c r="BN57" s="170"/>
      <c r="BO57" s="170"/>
      <c r="BP57" s="170"/>
      <c r="BQ57" s="170"/>
      <c r="BR57" s="170"/>
      <c r="BS57" s="170"/>
      <c r="BT57" s="170"/>
      <c r="BU57" s="206"/>
      <c r="BV57" s="206"/>
      <c r="BW57" s="215"/>
      <c r="BX57" s="8"/>
      <c r="BY57" s="162"/>
      <c r="BZ57" s="120"/>
      <c r="CA57" s="120"/>
      <c r="CB57" s="120"/>
      <c r="CC57" s="120"/>
      <c r="CD57" s="120"/>
      <c r="CE57" s="137"/>
      <c r="CF57" s="136"/>
      <c r="CG57" s="127"/>
      <c r="CH57" s="136"/>
      <c r="CI57" s="127"/>
      <c r="CJ57" s="127"/>
      <c r="CK57" s="127"/>
      <c r="CL57" s="127"/>
      <c r="CM57" s="127"/>
      <c r="CN57" s="127"/>
      <c r="CO57" s="127"/>
      <c r="CP57" s="138"/>
      <c r="CQ57" s="139"/>
      <c r="CR57" s="140"/>
    </row>
    <row r="58" spans="2:95" s="140" customFormat="1" ht="11.25" customHeight="1">
      <c r="B58" s="147"/>
      <c r="C58" s="147"/>
      <c r="D58" s="177"/>
      <c r="E58" s="159"/>
      <c r="F58" s="159"/>
      <c r="G58" s="120"/>
      <c r="H58" s="120"/>
      <c r="I58" s="160"/>
      <c r="J58" s="120"/>
      <c r="K58" s="120"/>
      <c r="L58" s="120"/>
      <c r="M58" s="120"/>
      <c r="N58" s="120"/>
      <c r="O58" s="120"/>
      <c r="P58" s="120"/>
      <c r="Q58" s="120"/>
      <c r="R58" s="120"/>
      <c r="S58" s="120"/>
      <c r="T58" s="161"/>
      <c r="U58" s="120"/>
      <c r="V58" s="120"/>
      <c r="W58" s="120"/>
      <c r="X58" s="120"/>
      <c r="Y58" s="120"/>
      <c r="Z58" s="120"/>
      <c r="AA58" s="120"/>
      <c r="AB58" s="120"/>
      <c r="AC58" s="120"/>
      <c r="AD58" s="120"/>
      <c r="AE58" s="120"/>
      <c r="AF58" s="161"/>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61"/>
      <c r="BT58" s="120"/>
      <c r="BU58" s="120"/>
      <c r="BV58" s="120"/>
      <c r="BW58" s="120"/>
      <c r="BX58" s="120"/>
      <c r="BY58" s="120"/>
      <c r="BZ58" s="120"/>
      <c r="CA58" s="120"/>
      <c r="CB58" s="120"/>
      <c r="CC58" s="120"/>
      <c r="CD58" s="120"/>
      <c r="CE58" s="139"/>
      <c r="CF58" s="127"/>
      <c r="CG58" s="127"/>
      <c r="CH58" s="127"/>
      <c r="CI58" s="127"/>
      <c r="CJ58" s="127"/>
      <c r="CK58" s="127"/>
      <c r="CL58" s="127"/>
      <c r="CM58" s="127"/>
      <c r="CN58" s="127"/>
      <c r="CO58" s="127"/>
      <c r="CP58" s="138"/>
      <c r="CQ58" s="139"/>
    </row>
    <row r="59" spans="2:95" s="140" customFormat="1" ht="12.75" customHeight="1">
      <c r="B59" s="147"/>
      <c r="C59" s="147"/>
      <c r="D59" s="177"/>
      <c r="E59" s="159"/>
      <c r="F59" s="159"/>
      <c r="G59" s="120"/>
      <c r="H59" s="120"/>
      <c r="I59" s="160"/>
      <c r="J59" s="120"/>
      <c r="K59" s="120"/>
      <c r="L59" s="120"/>
      <c r="M59" s="120"/>
      <c r="N59" s="120"/>
      <c r="O59" s="120"/>
      <c r="P59" s="120"/>
      <c r="Q59" s="120"/>
      <c r="R59" s="120"/>
      <c r="S59" s="120"/>
      <c r="T59" s="161"/>
      <c r="U59" s="120"/>
      <c r="V59" s="120"/>
      <c r="W59" s="120"/>
      <c r="X59" s="120"/>
      <c r="Y59" s="120"/>
      <c r="Z59" s="120"/>
      <c r="AA59" s="120"/>
      <c r="AB59" s="120"/>
      <c r="AC59" s="120"/>
      <c r="AD59" s="120"/>
      <c r="AE59" s="120"/>
      <c r="AF59" s="161"/>
      <c r="AG59" s="120"/>
      <c r="AH59" s="120"/>
      <c r="AI59" s="120"/>
      <c r="AJ59" s="120"/>
      <c r="AK59" s="120"/>
      <c r="AL59" s="120"/>
      <c r="AM59" s="120"/>
      <c r="AN59" s="120"/>
      <c r="AO59" s="120"/>
      <c r="AP59" s="120"/>
      <c r="AQ59" s="120"/>
      <c r="AR59" s="120"/>
      <c r="AS59" s="168"/>
      <c r="AT59" s="120"/>
      <c r="AU59" s="120"/>
      <c r="AV59" s="120"/>
      <c r="AW59" s="120"/>
      <c r="AX59" s="120"/>
      <c r="AY59" s="120"/>
      <c r="AZ59" s="120"/>
      <c r="BA59" s="120"/>
      <c r="BB59" s="120"/>
      <c r="BC59" s="120"/>
      <c r="BD59" s="127"/>
      <c r="BE59" s="120"/>
      <c r="BF59" s="120"/>
      <c r="BG59" s="120"/>
      <c r="BH59" s="120"/>
      <c r="BI59" s="120"/>
      <c r="BJ59" s="147" t="s">
        <v>664</v>
      </c>
      <c r="BK59" s="120"/>
      <c r="BL59" s="120"/>
      <c r="BM59" s="120"/>
      <c r="BN59" s="171"/>
      <c r="BO59" s="170"/>
      <c r="BP59" s="170"/>
      <c r="BQ59" s="170"/>
      <c r="BR59" s="170"/>
      <c r="BS59" s="170"/>
      <c r="BT59" s="170"/>
      <c r="BU59" s="170"/>
      <c r="BV59" s="170"/>
      <c r="BW59" s="170"/>
      <c r="BX59" s="215"/>
      <c r="BY59" s="120"/>
      <c r="BZ59" s="120"/>
      <c r="CA59" s="120"/>
      <c r="CB59" s="120"/>
      <c r="CC59" s="120"/>
      <c r="CD59" s="120"/>
      <c r="CE59" s="139"/>
      <c r="CF59" s="127"/>
      <c r="CG59" s="127"/>
      <c r="CH59" s="127"/>
      <c r="CI59" s="127"/>
      <c r="CJ59" s="127"/>
      <c r="CK59" s="127"/>
      <c r="CL59" s="127"/>
      <c r="CM59" s="127"/>
      <c r="CN59" s="127"/>
      <c r="CO59" s="127"/>
      <c r="CP59" s="138"/>
      <c r="CQ59" s="139"/>
    </row>
    <row r="60" spans="2:95" s="127" customFormat="1" ht="11.25" customHeight="1">
      <c r="B60" s="120"/>
      <c r="C60" s="120"/>
      <c r="D60" s="158"/>
      <c r="E60" s="159"/>
      <c r="F60" s="159"/>
      <c r="G60" s="120"/>
      <c r="H60" s="120"/>
      <c r="I60" s="160"/>
      <c r="J60" s="120"/>
      <c r="K60" s="120"/>
      <c r="L60" s="120"/>
      <c r="M60" s="120"/>
      <c r="N60" s="120"/>
      <c r="O60" s="120"/>
      <c r="P60" s="120"/>
      <c r="Q60" s="120"/>
      <c r="R60" s="120"/>
      <c r="S60" s="120"/>
      <c r="T60" s="161"/>
      <c r="U60" s="120"/>
      <c r="V60" s="120"/>
      <c r="W60" s="120"/>
      <c r="X60" s="192"/>
      <c r="Y60" s="192"/>
      <c r="Z60" s="192"/>
      <c r="AA60" s="192"/>
      <c r="AB60" s="120"/>
      <c r="AC60" s="120"/>
      <c r="AD60" s="120"/>
      <c r="AE60" s="120"/>
      <c r="AF60" s="161"/>
      <c r="AG60" s="120"/>
      <c r="AH60" s="120"/>
      <c r="AI60" s="120"/>
      <c r="AJ60" s="120"/>
      <c r="AK60" s="120"/>
      <c r="AL60" s="147"/>
      <c r="AM60" s="120"/>
      <c r="AN60" s="120"/>
      <c r="AO60" s="120"/>
      <c r="AP60" s="120"/>
      <c r="AQ60" s="120"/>
      <c r="AR60" s="120"/>
      <c r="AS60" s="168"/>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61"/>
      <c r="BT60" s="120"/>
      <c r="BU60" s="120"/>
      <c r="BV60" s="120"/>
      <c r="BW60" s="120"/>
      <c r="BX60" s="120"/>
      <c r="BY60" s="120"/>
      <c r="BZ60" s="120"/>
      <c r="CA60" s="120"/>
      <c r="CB60" s="120"/>
      <c r="CC60" s="120"/>
      <c r="CD60" s="120"/>
      <c r="CE60" s="139"/>
      <c r="CP60" s="138"/>
      <c r="CQ60" s="139"/>
    </row>
    <row r="61" spans="2:96" s="130" customFormat="1" ht="11.25" customHeight="1">
      <c r="B61" s="162"/>
      <c r="C61" s="162"/>
      <c r="D61" s="158"/>
      <c r="E61" s="159"/>
      <c r="F61" s="159"/>
      <c r="G61" s="120"/>
      <c r="H61" s="120"/>
      <c r="I61" s="160"/>
      <c r="J61" s="120"/>
      <c r="K61" s="120"/>
      <c r="L61" s="120"/>
      <c r="M61" s="120"/>
      <c r="N61" s="120"/>
      <c r="O61" s="120"/>
      <c r="P61" s="120"/>
      <c r="Q61" s="120"/>
      <c r="R61" s="120"/>
      <c r="S61" s="120"/>
      <c r="T61" s="161"/>
      <c r="U61" s="120"/>
      <c r="V61" s="120"/>
      <c r="W61" s="120"/>
      <c r="X61" s="192"/>
      <c r="Y61" s="192"/>
      <c r="Z61" s="192"/>
      <c r="AA61" s="192"/>
      <c r="AB61" s="120"/>
      <c r="AC61" s="120"/>
      <c r="AD61" s="120"/>
      <c r="AE61" s="120"/>
      <c r="AF61" s="161"/>
      <c r="AG61" s="120"/>
      <c r="AH61" s="120"/>
      <c r="AI61" s="120"/>
      <c r="AJ61" s="120"/>
      <c r="AK61" s="120"/>
      <c r="AL61" s="127"/>
      <c r="AM61" s="120"/>
      <c r="AN61" s="120"/>
      <c r="AO61" s="120"/>
      <c r="AP61" s="136"/>
      <c r="AQ61" s="120"/>
      <c r="AR61" s="120"/>
      <c r="AS61" s="168"/>
      <c r="AT61" s="120"/>
      <c r="AU61" s="120"/>
      <c r="AV61" s="120"/>
      <c r="AW61" s="120"/>
      <c r="AX61" s="127"/>
      <c r="AY61" s="127"/>
      <c r="AZ61" s="127"/>
      <c r="BA61" s="120"/>
      <c r="BB61" s="120"/>
      <c r="BC61" s="120"/>
      <c r="BD61" s="120"/>
      <c r="BE61" s="136"/>
      <c r="BF61" s="120"/>
      <c r="BG61" s="120"/>
      <c r="BH61" s="120"/>
      <c r="BI61" s="120"/>
      <c r="BJ61" s="120"/>
      <c r="BK61" s="120"/>
      <c r="BL61" s="147" t="s">
        <v>665</v>
      </c>
      <c r="BM61" s="120"/>
      <c r="BN61" s="136"/>
      <c r="BO61" s="136"/>
      <c r="BP61" s="120"/>
      <c r="BQ61" s="171"/>
      <c r="BR61" s="170"/>
      <c r="BS61" s="170"/>
      <c r="BT61" s="170"/>
      <c r="BU61" s="172"/>
      <c r="BV61" s="120"/>
      <c r="BW61" s="120"/>
      <c r="BX61" s="120"/>
      <c r="BY61" s="120"/>
      <c r="BZ61" s="120"/>
      <c r="CA61" s="120"/>
      <c r="CB61" s="120"/>
      <c r="CC61" s="120"/>
      <c r="CD61" s="120"/>
      <c r="CE61" s="137"/>
      <c r="CF61" s="136"/>
      <c r="CG61" s="127"/>
      <c r="CH61" s="136"/>
      <c r="CI61" s="127"/>
      <c r="CJ61" s="127"/>
      <c r="CK61" s="127"/>
      <c r="CL61" s="127"/>
      <c r="CM61" s="127"/>
      <c r="CN61" s="127"/>
      <c r="CO61" s="127"/>
      <c r="CP61" s="138"/>
      <c r="CQ61" s="139"/>
      <c r="CR61" s="140"/>
    </row>
    <row r="62" spans="2:95" s="127" customFormat="1" ht="3.75" customHeight="1">
      <c r="B62" s="120"/>
      <c r="C62" s="120"/>
      <c r="D62" s="158"/>
      <c r="E62" s="159"/>
      <c r="F62" s="159"/>
      <c r="G62" s="120"/>
      <c r="H62" s="120"/>
      <c r="I62" s="160"/>
      <c r="J62" s="120"/>
      <c r="K62" s="120"/>
      <c r="L62" s="120"/>
      <c r="M62" s="120"/>
      <c r="N62" s="120"/>
      <c r="O62" s="120"/>
      <c r="P62" s="120"/>
      <c r="Q62" s="120"/>
      <c r="R62" s="120"/>
      <c r="S62" s="120"/>
      <c r="T62" s="161"/>
      <c r="U62" s="120"/>
      <c r="V62" s="120"/>
      <c r="W62" s="120"/>
      <c r="X62" s="192"/>
      <c r="Y62" s="192"/>
      <c r="Z62" s="192"/>
      <c r="AA62" s="192"/>
      <c r="AB62" s="120"/>
      <c r="AC62" s="120"/>
      <c r="AD62" s="120"/>
      <c r="AE62" s="120"/>
      <c r="AF62" s="161"/>
      <c r="AG62" s="120"/>
      <c r="AH62" s="120"/>
      <c r="AI62" s="120"/>
      <c r="AJ62" s="120"/>
      <c r="AK62" s="120"/>
      <c r="AL62" s="147"/>
      <c r="AM62" s="120"/>
      <c r="AN62" s="120"/>
      <c r="AO62" s="120"/>
      <c r="AP62" s="120"/>
      <c r="AQ62" s="120"/>
      <c r="AR62" s="120"/>
      <c r="AS62" s="168"/>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39"/>
      <c r="CP62" s="138"/>
      <c r="CQ62" s="139"/>
    </row>
    <row r="63" spans="2:96" s="130" customFormat="1" ht="11.25" customHeight="1">
      <c r="B63" s="162"/>
      <c r="C63" s="162"/>
      <c r="D63" s="158"/>
      <c r="E63" s="159"/>
      <c r="F63" s="159"/>
      <c r="G63" s="120"/>
      <c r="H63" s="120"/>
      <c r="I63" s="160"/>
      <c r="J63" s="120"/>
      <c r="K63" s="120"/>
      <c r="L63" s="120"/>
      <c r="M63" s="120"/>
      <c r="N63" s="120"/>
      <c r="O63" s="120"/>
      <c r="P63" s="120"/>
      <c r="Q63" s="120"/>
      <c r="R63" s="120"/>
      <c r="S63" s="120"/>
      <c r="T63" s="161"/>
      <c r="U63" s="120"/>
      <c r="V63" s="120"/>
      <c r="W63" s="120"/>
      <c r="X63" s="192"/>
      <c r="Y63" s="192"/>
      <c r="Z63" s="192"/>
      <c r="AA63" s="192"/>
      <c r="AB63" s="120"/>
      <c r="AC63" s="120"/>
      <c r="AD63" s="120"/>
      <c r="AE63" s="120"/>
      <c r="AF63" s="161"/>
      <c r="AG63" s="120"/>
      <c r="AH63" s="120"/>
      <c r="AI63" s="120"/>
      <c r="AJ63" s="120"/>
      <c r="AK63" s="120"/>
      <c r="AL63" s="127"/>
      <c r="AM63" s="120"/>
      <c r="AN63" s="120"/>
      <c r="AO63" s="120"/>
      <c r="AP63" s="120"/>
      <c r="AQ63" s="120"/>
      <c r="AR63" s="120"/>
      <c r="AS63" s="168"/>
      <c r="AT63" s="120"/>
      <c r="AU63" s="136"/>
      <c r="AV63" s="120"/>
      <c r="AW63" s="120"/>
      <c r="AX63" s="120"/>
      <c r="AY63" s="120"/>
      <c r="AZ63" s="127"/>
      <c r="BA63" s="127"/>
      <c r="BB63" s="127"/>
      <c r="BC63" s="120"/>
      <c r="BD63" s="120"/>
      <c r="BE63" s="120"/>
      <c r="BF63" s="120"/>
      <c r="BG63" s="120"/>
      <c r="BH63" s="136"/>
      <c r="BI63" s="127"/>
      <c r="BJ63" s="120"/>
      <c r="BK63" s="120"/>
      <c r="BL63" s="120"/>
      <c r="BM63" s="120"/>
      <c r="BN63" s="127"/>
      <c r="BO63" s="136"/>
      <c r="BP63" s="120"/>
      <c r="BQ63" s="147" t="s">
        <v>666</v>
      </c>
      <c r="BR63" s="127"/>
      <c r="BS63" s="213"/>
      <c r="BT63" s="170"/>
      <c r="BU63" s="170"/>
      <c r="BV63" s="170"/>
      <c r="BW63" s="172"/>
      <c r="BX63" s="120"/>
      <c r="BY63" s="120"/>
      <c r="BZ63" s="120"/>
      <c r="CA63" s="120"/>
      <c r="CB63" s="120"/>
      <c r="CC63" s="120"/>
      <c r="CD63" s="120"/>
      <c r="CE63" s="137"/>
      <c r="CF63" s="136"/>
      <c r="CG63" s="127"/>
      <c r="CH63" s="136"/>
      <c r="CI63" s="127"/>
      <c r="CJ63" s="127"/>
      <c r="CK63" s="127"/>
      <c r="CL63" s="127"/>
      <c r="CM63" s="127"/>
      <c r="CN63" s="127"/>
      <c r="CO63" s="127"/>
      <c r="CP63" s="138"/>
      <c r="CQ63" s="139"/>
      <c r="CR63" s="140"/>
    </row>
    <row r="64" spans="2:95" s="140" customFormat="1" ht="3.75" customHeight="1">
      <c r="B64" s="120"/>
      <c r="C64" s="120"/>
      <c r="D64" s="158"/>
      <c r="E64" s="159"/>
      <c r="F64" s="159"/>
      <c r="G64" s="120"/>
      <c r="H64" s="120"/>
      <c r="I64" s="160"/>
      <c r="J64" s="120"/>
      <c r="K64" s="120"/>
      <c r="L64" s="120"/>
      <c r="M64" s="120"/>
      <c r="N64" s="120"/>
      <c r="O64" s="120"/>
      <c r="P64" s="120"/>
      <c r="Q64" s="120"/>
      <c r="R64" s="120"/>
      <c r="S64" s="120"/>
      <c r="T64" s="161"/>
      <c r="U64" s="120"/>
      <c r="V64" s="120"/>
      <c r="W64" s="120"/>
      <c r="X64" s="192"/>
      <c r="Y64" s="192"/>
      <c r="Z64" s="192"/>
      <c r="AA64" s="192"/>
      <c r="AB64" s="120"/>
      <c r="AC64" s="120"/>
      <c r="AD64" s="120"/>
      <c r="AE64" s="120"/>
      <c r="AF64" s="161"/>
      <c r="AG64" s="120"/>
      <c r="AH64" s="120"/>
      <c r="AI64" s="120"/>
      <c r="AJ64" s="120"/>
      <c r="AK64" s="120"/>
      <c r="AL64" s="127"/>
      <c r="AM64" s="120"/>
      <c r="AN64" s="120"/>
      <c r="AO64" s="120"/>
      <c r="AP64" s="120"/>
      <c r="AQ64" s="120"/>
      <c r="AR64" s="120"/>
      <c r="AS64" s="168"/>
      <c r="AT64" s="120"/>
      <c r="AU64" s="147"/>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39"/>
      <c r="CF64" s="127"/>
      <c r="CG64" s="127"/>
      <c r="CH64" s="127"/>
      <c r="CI64" s="127"/>
      <c r="CJ64" s="127"/>
      <c r="CK64" s="127"/>
      <c r="CL64" s="127"/>
      <c r="CM64" s="127"/>
      <c r="CN64" s="127"/>
      <c r="CO64" s="127"/>
      <c r="CP64" s="138"/>
      <c r="CQ64" s="139"/>
    </row>
    <row r="65" spans="2:96" s="130" customFormat="1" ht="11.25" customHeight="1">
      <c r="B65" s="162"/>
      <c r="C65" s="162"/>
      <c r="D65" s="158"/>
      <c r="E65" s="159"/>
      <c r="F65" s="159"/>
      <c r="G65" s="120"/>
      <c r="H65" s="120"/>
      <c r="I65" s="160"/>
      <c r="J65" s="120"/>
      <c r="K65" s="120"/>
      <c r="L65" s="120"/>
      <c r="M65" s="120"/>
      <c r="N65" s="120"/>
      <c r="O65" s="120"/>
      <c r="P65" s="120"/>
      <c r="Q65" s="120"/>
      <c r="R65" s="120"/>
      <c r="S65" s="120"/>
      <c r="T65" s="161"/>
      <c r="U65" s="120"/>
      <c r="V65" s="120"/>
      <c r="W65" s="120"/>
      <c r="X65" s="192"/>
      <c r="Y65" s="136"/>
      <c r="Z65" s="192"/>
      <c r="AA65" s="192"/>
      <c r="AB65" s="120"/>
      <c r="AC65" s="120"/>
      <c r="AD65" s="147"/>
      <c r="AE65" s="120"/>
      <c r="AF65" s="161"/>
      <c r="AG65" s="136"/>
      <c r="AH65" s="120"/>
      <c r="AI65" s="136"/>
      <c r="AJ65" s="120"/>
      <c r="AK65" s="120"/>
      <c r="AL65" s="127"/>
      <c r="AM65" s="120"/>
      <c r="AN65" s="120"/>
      <c r="AO65" s="120"/>
      <c r="AP65" s="120"/>
      <c r="AQ65" s="120"/>
      <c r="AR65" s="120"/>
      <c r="AS65" s="168"/>
      <c r="AT65" s="120"/>
      <c r="AU65" s="147"/>
      <c r="AV65" s="120"/>
      <c r="AW65" s="120"/>
      <c r="AX65" s="120"/>
      <c r="AY65" s="120"/>
      <c r="AZ65" s="127"/>
      <c r="BA65" s="120"/>
      <c r="BB65" s="120"/>
      <c r="BC65" s="127"/>
      <c r="BD65" s="127"/>
      <c r="BE65" s="127"/>
      <c r="BF65" s="127"/>
      <c r="BG65" s="120"/>
      <c r="BH65" s="120"/>
      <c r="BI65" s="120"/>
      <c r="BJ65" s="136"/>
      <c r="BK65" s="120"/>
      <c r="BL65" s="120"/>
      <c r="BM65" s="120"/>
      <c r="BN65" s="120"/>
      <c r="BO65" s="120"/>
      <c r="BP65" s="120"/>
      <c r="BQ65" s="120"/>
      <c r="BR65" s="136"/>
      <c r="BS65" s="120"/>
      <c r="BT65" s="120"/>
      <c r="BU65" s="120"/>
      <c r="BV65" s="147" t="s">
        <v>667</v>
      </c>
      <c r="BW65" s="120"/>
      <c r="BX65" s="209"/>
      <c r="BY65" s="206"/>
      <c r="BZ65" s="206"/>
      <c r="CA65" s="215"/>
      <c r="CB65" s="120"/>
      <c r="CC65" s="120"/>
      <c r="CD65" s="120"/>
      <c r="CE65" s="137"/>
      <c r="CF65" s="136"/>
      <c r="CG65" s="127"/>
      <c r="CH65" s="136"/>
      <c r="CI65" s="127"/>
      <c r="CJ65" s="127"/>
      <c r="CK65" s="127"/>
      <c r="CL65" s="127"/>
      <c r="CM65" s="127"/>
      <c r="CN65" s="127"/>
      <c r="CO65" s="127"/>
      <c r="CP65" s="138"/>
      <c r="CQ65" s="139"/>
      <c r="CR65" s="140"/>
    </row>
    <row r="66" spans="2:95" s="140" customFormat="1" ht="4.5" customHeight="1">
      <c r="B66" s="120"/>
      <c r="C66" s="120"/>
      <c r="D66" s="174"/>
      <c r="E66" s="159"/>
      <c r="F66" s="159"/>
      <c r="G66" s="120"/>
      <c r="H66" s="120"/>
      <c r="I66" s="176"/>
      <c r="J66" s="120"/>
      <c r="K66" s="120"/>
      <c r="L66" s="120"/>
      <c r="M66" s="120"/>
      <c r="N66" s="120"/>
      <c r="O66" s="120"/>
      <c r="P66" s="120"/>
      <c r="Q66" s="120"/>
      <c r="R66" s="120"/>
      <c r="S66" s="120"/>
      <c r="T66" s="161"/>
      <c r="U66" s="120"/>
      <c r="V66" s="120"/>
      <c r="W66" s="120"/>
      <c r="X66" s="192"/>
      <c r="Y66" s="192"/>
      <c r="Z66" s="120"/>
      <c r="AA66" s="120"/>
      <c r="AB66" s="120"/>
      <c r="AC66" s="120"/>
      <c r="AD66" s="120"/>
      <c r="AE66" s="120"/>
      <c r="AF66" s="161"/>
      <c r="AG66" s="120"/>
      <c r="AH66" s="120"/>
      <c r="AI66" s="120"/>
      <c r="AJ66" s="120"/>
      <c r="AK66" s="120"/>
      <c r="AL66" s="120"/>
      <c r="AM66" s="120"/>
      <c r="AN66" s="120"/>
      <c r="AO66" s="120"/>
      <c r="AP66" s="120"/>
      <c r="AQ66" s="120"/>
      <c r="AR66" s="120"/>
      <c r="AS66" s="168"/>
      <c r="AT66" s="120"/>
      <c r="AU66" s="120"/>
      <c r="AV66" s="120"/>
      <c r="AW66" s="120"/>
      <c r="AX66" s="120"/>
      <c r="AY66" s="120"/>
      <c r="AZ66" s="120"/>
      <c r="BA66" s="120"/>
      <c r="BB66" s="120"/>
      <c r="BC66" s="120"/>
      <c r="BD66" s="120"/>
      <c r="BE66" s="120"/>
      <c r="BF66" s="120"/>
      <c r="BG66" s="161"/>
      <c r="BH66" s="120"/>
      <c r="BI66" s="120"/>
      <c r="BJ66" s="120"/>
      <c r="BK66" s="120"/>
      <c r="BL66" s="120"/>
      <c r="BM66" s="120"/>
      <c r="BN66" s="120"/>
      <c r="BO66" s="120"/>
      <c r="BP66" s="120"/>
      <c r="BQ66" s="120"/>
      <c r="BR66" s="120"/>
      <c r="BS66" s="161"/>
      <c r="BT66" s="120"/>
      <c r="BU66" s="120"/>
      <c r="BV66" s="120"/>
      <c r="BW66" s="120"/>
      <c r="BX66" s="120"/>
      <c r="BY66" s="120"/>
      <c r="BZ66" s="120"/>
      <c r="CA66" s="120"/>
      <c r="CB66" s="120"/>
      <c r="CC66" s="120"/>
      <c r="CD66" s="120"/>
      <c r="CE66" s="139"/>
      <c r="CF66" s="127"/>
      <c r="CG66" s="127"/>
      <c r="CH66" s="127"/>
      <c r="CI66" s="127"/>
      <c r="CJ66" s="127"/>
      <c r="CK66" s="127"/>
      <c r="CL66" s="127"/>
      <c r="CM66" s="127"/>
      <c r="CN66" s="127"/>
      <c r="CO66" s="127"/>
      <c r="CP66" s="138"/>
      <c r="CQ66" s="139"/>
    </row>
    <row r="67" spans="2:96" s="130" customFormat="1" ht="13.5" customHeight="1">
      <c r="B67" s="162"/>
      <c r="C67" s="162"/>
      <c r="D67" s="175"/>
      <c r="E67" s="159"/>
      <c r="F67" s="159"/>
      <c r="G67" s="120"/>
      <c r="H67" s="120"/>
      <c r="I67" s="212"/>
      <c r="J67" s="120"/>
      <c r="K67" s="120"/>
      <c r="L67" s="120"/>
      <c r="M67" s="120"/>
      <c r="N67" s="120"/>
      <c r="O67" s="120"/>
      <c r="P67" s="120"/>
      <c r="Q67" s="120"/>
      <c r="R67" s="120"/>
      <c r="S67" s="120"/>
      <c r="T67" s="161"/>
      <c r="U67" s="120"/>
      <c r="V67" s="120"/>
      <c r="W67" s="120"/>
      <c r="X67" s="192"/>
      <c r="Y67" s="192"/>
      <c r="Z67" s="352"/>
      <c r="AA67" s="353" t="s">
        <v>58</v>
      </c>
      <c r="AB67" s="352"/>
      <c r="AC67" s="352"/>
      <c r="AD67" s="352"/>
      <c r="AE67" s="352"/>
      <c r="AF67" s="361"/>
      <c r="AG67" s="352"/>
      <c r="AH67" s="352"/>
      <c r="AI67" s="352"/>
      <c r="AJ67" s="352"/>
      <c r="AK67" s="192"/>
      <c r="AL67" s="192"/>
      <c r="AM67" s="192"/>
      <c r="AN67" s="120"/>
      <c r="AO67" s="120"/>
      <c r="AP67" s="120"/>
      <c r="AQ67" s="120"/>
      <c r="AR67" s="120"/>
      <c r="AS67" s="120"/>
      <c r="AT67" s="120"/>
      <c r="AU67" s="120"/>
      <c r="AV67" s="136"/>
      <c r="AW67" s="136"/>
      <c r="AX67" s="120"/>
      <c r="AY67" s="120"/>
      <c r="AZ67" s="120"/>
      <c r="BA67" s="120"/>
      <c r="BB67" s="120"/>
      <c r="BC67" s="120"/>
      <c r="BD67" s="136"/>
      <c r="BE67" s="136"/>
      <c r="BF67" s="136"/>
      <c r="BG67" s="136"/>
      <c r="BH67" s="136"/>
      <c r="BI67" s="136"/>
      <c r="BJ67" s="136"/>
      <c r="BK67" s="120"/>
      <c r="BL67" s="120"/>
      <c r="BM67" s="162"/>
      <c r="BN67" s="162"/>
      <c r="BO67" s="162"/>
      <c r="BP67" s="120"/>
      <c r="BQ67" s="120"/>
      <c r="BR67" s="147" t="s">
        <v>59</v>
      </c>
      <c r="BS67" s="162"/>
      <c r="BT67" s="171"/>
      <c r="BU67" s="170"/>
      <c r="BV67" s="170"/>
      <c r="BW67" s="170"/>
      <c r="BX67" s="170"/>
      <c r="BY67" s="170"/>
      <c r="BZ67" s="172"/>
      <c r="CA67" s="120"/>
      <c r="CB67" s="120"/>
      <c r="CC67" s="120"/>
      <c r="CD67" s="120"/>
      <c r="CE67" s="127"/>
      <c r="CF67" s="127"/>
      <c r="CG67" s="136"/>
      <c r="CH67" s="136"/>
      <c r="CI67" s="136"/>
      <c r="CJ67" s="136"/>
      <c r="CK67" s="136"/>
      <c r="CL67" s="136"/>
      <c r="CM67" s="136"/>
      <c r="CN67" s="127"/>
      <c r="CO67" s="127"/>
      <c r="CP67" s="138"/>
      <c r="CQ67" s="139"/>
      <c r="CR67" s="140"/>
    </row>
    <row r="68" spans="2:95" s="127" customFormat="1" ht="3.75" customHeight="1">
      <c r="B68" s="120"/>
      <c r="C68" s="120"/>
      <c r="D68" s="168"/>
      <c r="E68" s="159"/>
      <c r="F68" s="159"/>
      <c r="G68" s="120"/>
      <c r="H68" s="120"/>
      <c r="I68" s="212"/>
      <c r="J68" s="120"/>
      <c r="K68" s="120"/>
      <c r="L68" s="120"/>
      <c r="M68" s="120"/>
      <c r="N68" s="120"/>
      <c r="O68" s="120"/>
      <c r="P68" s="120"/>
      <c r="Q68" s="120"/>
      <c r="R68" s="120"/>
      <c r="S68" s="120"/>
      <c r="T68" s="161"/>
      <c r="U68" s="120"/>
      <c r="V68" s="120"/>
      <c r="W68" s="120"/>
      <c r="X68" s="192"/>
      <c r="Y68" s="192"/>
      <c r="Z68" s="120"/>
      <c r="AA68" s="120"/>
      <c r="AB68" s="120"/>
      <c r="AC68" s="120"/>
      <c r="AD68" s="120"/>
      <c r="AE68" s="120"/>
      <c r="AF68" s="161"/>
      <c r="AG68" s="120"/>
      <c r="AH68" s="120"/>
      <c r="AI68" s="120"/>
      <c r="AJ68" s="120"/>
      <c r="AK68" s="120"/>
      <c r="AL68" s="120"/>
      <c r="AM68" s="120"/>
      <c r="AN68" s="120"/>
      <c r="AO68" s="120"/>
      <c r="AP68" s="120"/>
      <c r="AQ68" s="120"/>
      <c r="AR68" s="120"/>
      <c r="AS68" s="120"/>
      <c r="AT68" s="120"/>
      <c r="AU68" s="120"/>
      <c r="AV68" s="147"/>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P68" s="138"/>
      <c r="CQ68" s="139"/>
    </row>
    <row r="69" spans="2:96" s="130" customFormat="1" ht="11.25" customHeight="1">
      <c r="B69" s="162"/>
      <c r="C69" s="162"/>
      <c r="D69" s="168"/>
      <c r="E69" s="159"/>
      <c r="F69" s="159"/>
      <c r="G69" s="120"/>
      <c r="H69" s="120"/>
      <c r="I69" s="212"/>
      <c r="J69" s="120"/>
      <c r="K69" s="120"/>
      <c r="L69" s="120"/>
      <c r="M69" s="120"/>
      <c r="N69" s="120"/>
      <c r="O69" s="120"/>
      <c r="P69" s="120"/>
      <c r="Q69" s="120"/>
      <c r="R69" s="120"/>
      <c r="S69" s="120"/>
      <c r="T69" s="161"/>
      <c r="U69" s="120"/>
      <c r="V69" s="120"/>
      <c r="W69" s="120"/>
      <c r="X69" s="192"/>
      <c r="Y69" s="192"/>
      <c r="Z69" s="192"/>
      <c r="AA69" s="192"/>
      <c r="AB69" s="120"/>
      <c r="AC69" s="120"/>
      <c r="AD69" s="120"/>
      <c r="AE69" s="120"/>
      <c r="AF69" s="161"/>
      <c r="AG69" s="120"/>
      <c r="AH69" s="120"/>
      <c r="AI69" s="120"/>
      <c r="AJ69" s="120"/>
      <c r="AK69" s="120"/>
      <c r="AL69" s="120"/>
      <c r="AM69" s="120"/>
      <c r="AN69" s="120"/>
      <c r="AO69" s="120"/>
      <c r="AP69" s="120"/>
      <c r="AQ69" s="120"/>
      <c r="AR69" s="161"/>
      <c r="AS69" s="120"/>
      <c r="AT69" s="120"/>
      <c r="AU69" s="120"/>
      <c r="AV69" s="120"/>
      <c r="AW69" s="120"/>
      <c r="AX69" s="120"/>
      <c r="AY69" s="136"/>
      <c r="AZ69" s="120"/>
      <c r="BA69" s="120"/>
      <c r="BB69" s="120"/>
      <c r="BC69" s="120"/>
      <c r="BD69" s="136"/>
      <c r="BE69" s="136"/>
      <c r="BF69" s="136"/>
      <c r="BG69" s="120"/>
      <c r="BH69" s="136"/>
      <c r="BI69" s="120"/>
      <c r="BJ69" s="162"/>
      <c r="BK69" s="147"/>
      <c r="BL69" s="136"/>
      <c r="BM69" s="120"/>
      <c r="BN69" s="120"/>
      <c r="BO69" s="120"/>
      <c r="BP69" s="120"/>
      <c r="BQ69" s="120"/>
      <c r="BR69" s="162"/>
      <c r="BS69" s="162"/>
      <c r="BT69" s="147" t="s">
        <v>60</v>
      </c>
      <c r="BU69" s="213"/>
      <c r="BV69" s="170"/>
      <c r="BW69" s="170"/>
      <c r="BX69" s="214"/>
      <c r="BY69" s="170"/>
      <c r="BZ69" s="170"/>
      <c r="CA69" s="170"/>
      <c r="CB69" s="206"/>
      <c r="CC69" s="206"/>
      <c r="CD69" s="215"/>
      <c r="CE69" s="127"/>
      <c r="CF69" s="127"/>
      <c r="CG69" s="127"/>
      <c r="CH69" s="136"/>
      <c r="CI69" s="127"/>
      <c r="CJ69" s="127"/>
      <c r="CK69" s="127"/>
      <c r="CL69" s="127"/>
      <c r="CM69" s="127"/>
      <c r="CN69" s="127"/>
      <c r="CO69" s="127"/>
      <c r="CP69" s="138"/>
      <c r="CQ69" s="139"/>
      <c r="CR69" s="140"/>
    </row>
    <row r="70" spans="2:95" s="127" customFormat="1" ht="3.75" customHeight="1">
      <c r="B70" s="120"/>
      <c r="C70" s="120"/>
      <c r="D70" s="168"/>
      <c r="E70" s="120"/>
      <c r="F70" s="120"/>
      <c r="G70" s="120"/>
      <c r="H70" s="120"/>
      <c r="I70" s="212"/>
      <c r="J70" s="120"/>
      <c r="K70" s="120"/>
      <c r="L70" s="120"/>
      <c r="M70" s="120"/>
      <c r="N70" s="120"/>
      <c r="O70" s="120"/>
      <c r="P70" s="120"/>
      <c r="Q70" s="120"/>
      <c r="R70" s="120"/>
      <c r="S70" s="120"/>
      <c r="T70" s="161"/>
      <c r="U70" s="120"/>
      <c r="V70" s="120"/>
      <c r="W70" s="120"/>
      <c r="X70" s="192"/>
      <c r="Y70" s="192"/>
      <c r="Z70" s="192"/>
      <c r="AA70" s="192"/>
      <c r="AB70" s="120"/>
      <c r="AC70" s="120"/>
      <c r="AD70" s="120"/>
      <c r="AE70" s="120"/>
      <c r="AF70" s="161"/>
      <c r="AG70" s="120"/>
      <c r="AH70" s="120"/>
      <c r="AI70" s="120"/>
      <c r="AJ70" s="120"/>
      <c r="AK70" s="120"/>
      <c r="AL70" s="120"/>
      <c r="AM70" s="120"/>
      <c r="AN70" s="120"/>
      <c r="AO70" s="120"/>
      <c r="AP70" s="120"/>
      <c r="AQ70" s="120"/>
      <c r="AR70" s="161"/>
      <c r="AS70" s="120"/>
      <c r="AT70" s="120"/>
      <c r="AU70" s="120"/>
      <c r="AV70" s="147"/>
      <c r="AW70" s="120"/>
      <c r="AX70" s="120"/>
      <c r="AY70" s="120"/>
      <c r="AZ70" s="120"/>
      <c r="BA70" s="120"/>
      <c r="BB70" s="120"/>
      <c r="BC70" s="120"/>
      <c r="BD70" s="120"/>
      <c r="BE70" s="120"/>
      <c r="BF70" s="120"/>
      <c r="BG70" s="120"/>
      <c r="BH70" s="168"/>
      <c r="BI70" s="120"/>
      <c r="BJ70" s="120"/>
      <c r="BK70" s="120"/>
      <c r="BL70" s="120"/>
      <c r="BM70" s="120"/>
      <c r="BN70" s="120"/>
      <c r="BO70" s="120"/>
      <c r="BP70" s="120"/>
      <c r="BQ70" s="120"/>
      <c r="BR70" s="120"/>
      <c r="BS70" s="161"/>
      <c r="BT70" s="120"/>
      <c r="BU70" s="120"/>
      <c r="BV70" s="120"/>
      <c r="BW70" s="120"/>
      <c r="BX70" s="120"/>
      <c r="BY70" s="120"/>
      <c r="BZ70" s="120"/>
      <c r="CA70" s="120"/>
      <c r="CB70" s="120"/>
      <c r="CC70" s="120"/>
      <c r="CD70" s="120"/>
      <c r="CE70" s="139"/>
      <c r="CP70" s="138"/>
      <c r="CQ70" s="139"/>
    </row>
    <row r="71" spans="2:96" s="130" customFormat="1" ht="11.25" customHeight="1">
      <c r="B71" s="162"/>
      <c r="C71" s="162"/>
      <c r="D71" s="168"/>
      <c r="G71" s="136"/>
      <c r="H71" s="136"/>
      <c r="I71" s="176" t="s">
        <v>61</v>
      </c>
      <c r="J71" s="120"/>
      <c r="K71" s="120"/>
      <c r="L71" s="120"/>
      <c r="M71" s="120"/>
      <c r="N71" s="120"/>
      <c r="O71" s="120"/>
      <c r="P71" s="120"/>
      <c r="Q71" s="120"/>
      <c r="R71" s="120"/>
      <c r="S71" s="120"/>
      <c r="T71" s="120"/>
      <c r="U71" s="120"/>
      <c r="V71" s="120"/>
      <c r="W71" s="120"/>
      <c r="X71" s="192"/>
      <c r="Y71" s="192"/>
      <c r="Z71" s="192"/>
      <c r="AA71" s="192"/>
      <c r="AB71" s="120"/>
      <c r="AC71" s="120"/>
      <c r="AD71" s="120"/>
      <c r="AE71" s="120"/>
      <c r="AF71" s="161"/>
      <c r="AG71" s="120"/>
      <c r="AH71" s="120"/>
      <c r="AI71" s="120"/>
      <c r="AJ71" s="120"/>
      <c r="AK71" s="120"/>
      <c r="AL71" s="120"/>
      <c r="AM71" s="120"/>
      <c r="AN71" s="120"/>
      <c r="AO71" s="120"/>
      <c r="AP71" s="120"/>
      <c r="AQ71" s="120"/>
      <c r="AR71" s="161"/>
      <c r="AS71" s="120"/>
      <c r="AT71" s="120"/>
      <c r="AU71" s="120"/>
      <c r="AV71" s="120"/>
      <c r="AW71" s="120"/>
      <c r="AX71" s="120"/>
      <c r="AY71" s="120"/>
      <c r="AZ71" s="120"/>
      <c r="BA71" s="136"/>
      <c r="BB71" s="136"/>
      <c r="BC71" s="120"/>
      <c r="BD71" s="120"/>
      <c r="BE71" s="136"/>
      <c r="BF71" s="136"/>
      <c r="BG71" s="136"/>
      <c r="BH71" s="168"/>
      <c r="BI71" s="136"/>
      <c r="BJ71" s="120"/>
      <c r="BK71" s="162"/>
      <c r="BL71" s="162"/>
      <c r="BM71" s="147"/>
      <c r="BN71" s="120"/>
      <c r="BO71" s="120"/>
      <c r="BP71" s="162"/>
      <c r="BQ71" s="162"/>
      <c r="BR71" s="136"/>
      <c r="BS71" s="167"/>
      <c r="BT71" s="162"/>
      <c r="BU71" s="162"/>
      <c r="BV71" s="162"/>
      <c r="BW71" s="120"/>
      <c r="BX71" s="162"/>
      <c r="BY71" s="162"/>
      <c r="BZ71" s="162"/>
      <c r="CA71" s="162"/>
      <c r="CB71" s="162"/>
      <c r="CC71" s="162"/>
      <c r="CD71" s="120"/>
      <c r="CE71" s="120" t="s">
        <v>62</v>
      </c>
      <c r="CF71" s="136"/>
      <c r="CG71" s="127"/>
      <c r="CH71" s="136"/>
      <c r="CI71" s="127"/>
      <c r="CJ71" s="127"/>
      <c r="CK71" s="127"/>
      <c r="CL71" s="127"/>
      <c r="CM71" s="127"/>
      <c r="CN71" s="127"/>
      <c r="CO71" s="127"/>
      <c r="CP71" s="138"/>
      <c r="CQ71" s="139"/>
      <c r="CR71" s="140"/>
    </row>
    <row r="72" spans="2:95" s="140" customFormat="1" ht="3.75" customHeight="1">
      <c r="B72" s="120"/>
      <c r="C72" s="120"/>
      <c r="D72" s="168"/>
      <c r="G72" s="127"/>
      <c r="H72" s="127"/>
      <c r="I72" s="212"/>
      <c r="J72" s="120"/>
      <c r="K72" s="120"/>
      <c r="L72" s="120"/>
      <c r="M72" s="120"/>
      <c r="N72" s="120"/>
      <c r="O72" s="120"/>
      <c r="P72" s="120"/>
      <c r="Q72" s="120"/>
      <c r="R72" s="120"/>
      <c r="S72" s="120"/>
      <c r="T72" s="120"/>
      <c r="U72" s="120"/>
      <c r="V72" s="120"/>
      <c r="W72" s="120"/>
      <c r="X72" s="192"/>
      <c r="Y72" s="192"/>
      <c r="Z72" s="192"/>
      <c r="AA72" s="192"/>
      <c r="AB72" s="120"/>
      <c r="AC72" s="120"/>
      <c r="AD72" s="120"/>
      <c r="AE72" s="120"/>
      <c r="AF72" s="161"/>
      <c r="AG72" s="120"/>
      <c r="AH72" s="120"/>
      <c r="AI72" s="120"/>
      <c r="AJ72" s="120"/>
      <c r="AK72" s="120"/>
      <c r="AL72" s="120"/>
      <c r="AM72" s="120"/>
      <c r="AN72" s="120"/>
      <c r="AO72" s="120"/>
      <c r="AP72" s="120"/>
      <c r="AQ72" s="120"/>
      <c r="AR72" s="161"/>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61"/>
      <c r="BT72" s="120"/>
      <c r="BU72" s="120"/>
      <c r="BV72" s="120"/>
      <c r="BW72" s="120"/>
      <c r="BX72" s="120"/>
      <c r="BY72" s="120"/>
      <c r="BZ72" s="120"/>
      <c r="CA72" s="120"/>
      <c r="CB72" s="120"/>
      <c r="CC72" s="120"/>
      <c r="CD72" s="120"/>
      <c r="CE72" s="139"/>
      <c r="CF72" s="127"/>
      <c r="CG72" s="127"/>
      <c r="CH72" s="127"/>
      <c r="CI72" s="127"/>
      <c r="CJ72" s="127"/>
      <c r="CK72" s="127"/>
      <c r="CL72" s="127"/>
      <c r="CM72" s="127"/>
      <c r="CN72" s="127"/>
      <c r="CO72" s="127"/>
      <c r="CP72" s="138"/>
      <c r="CQ72" s="139"/>
    </row>
    <row r="73" spans="2:96" s="130" customFormat="1" ht="11.25" customHeight="1">
      <c r="B73" s="162"/>
      <c r="C73" s="162"/>
      <c r="D73" s="168"/>
      <c r="G73" s="136"/>
      <c r="H73" s="136"/>
      <c r="I73" s="216" t="s">
        <v>63</v>
      </c>
      <c r="J73" s="197"/>
      <c r="K73" s="197"/>
      <c r="L73" s="197"/>
      <c r="M73" s="197"/>
      <c r="N73" s="197"/>
      <c r="O73" s="197"/>
      <c r="P73" s="217"/>
      <c r="Q73" s="217"/>
      <c r="R73" s="217"/>
      <c r="S73" s="120"/>
      <c r="T73" s="120"/>
      <c r="U73" s="120"/>
      <c r="V73" s="120"/>
      <c r="W73" s="120"/>
      <c r="X73" s="192"/>
      <c r="Y73" s="192"/>
      <c r="Z73" s="192"/>
      <c r="AA73" s="192"/>
      <c r="AB73" s="120"/>
      <c r="AC73" s="120"/>
      <c r="AD73" s="120"/>
      <c r="AE73" s="120"/>
      <c r="AF73" s="161"/>
      <c r="AG73" s="120"/>
      <c r="AH73" s="120"/>
      <c r="AI73" s="120"/>
      <c r="AJ73" s="120"/>
      <c r="AK73" s="120"/>
      <c r="AL73" s="120"/>
      <c r="AM73" s="120"/>
      <c r="AN73" s="120"/>
      <c r="AO73" s="120"/>
      <c r="AP73" s="120"/>
      <c r="AQ73" s="136"/>
      <c r="AR73" s="161"/>
      <c r="AS73" s="120"/>
      <c r="AT73" s="120"/>
      <c r="AU73" s="120"/>
      <c r="AV73" s="120"/>
      <c r="AW73" s="120"/>
      <c r="AX73" s="120"/>
      <c r="AY73" s="120"/>
      <c r="AZ73" s="120"/>
      <c r="BA73" s="120"/>
      <c r="BB73" s="120"/>
      <c r="BC73" s="120"/>
      <c r="BD73" s="120"/>
      <c r="BE73" s="120"/>
      <c r="BF73" s="120"/>
      <c r="BG73" s="120"/>
      <c r="BH73" s="136"/>
      <c r="BI73" s="136"/>
      <c r="BJ73" s="136"/>
      <c r="BK73" s="120"/>
      <c r="BL73" s="120"/>
      <c r="BM73" s="136"/>
      <c r="BN73" s="147"/>
      <c r="BO73" s="162"/>
      <c r="BP73" s="136"/>
      <c r="BQ73" s="120"/>
      <c r="BR73" s="136"/>
      <c r="BS73" s="120"/>
      <c r="BT73" s="162"/>
      <c r="BU73" s="162"/>
      <c r="BV73" s="162"/>
      <c r="BW73" s="120"/>
      <c r="BX73" s="162"/>
      <c r="BY73" s="162"/>
      <c r="BZ73" s="162"/>
      <c r="CA73" s="162"/>
      <c r="CB73" s="162"/>
      <c r="CC73" s="162"/>
      <c r="CD73" s="169" t="s">
        <v>64</v>
      </c>
      <c r="CE73" s="218"/>
      <c r="CF73" s="136"/>
      <c r="CG73" s="127"/>
      <c r="CH73" s="136"/>
      <c r="CI73" s="127"/>
      <c r="CJ73" s="127"/>
      <c r="CK73" s="127"/>
      <c r="CL73" s="127"/>
      <c r="CM73" s="127"/>
      <c r="CN73" s="127"/>
      <c r="CO73" s="127"/>
      <c r="CP73" s="138"/>
      <c r="CQ73" s="139"/>
      <c r="CR73" s="140"/>
    </row>
    <row r="74" spans="2:95" s="140" customFormat="1" ht="3.75" customHeight="1">
      <c r="B74" s="120"/>
      <c r="C74" s="120"/>
      <c r="D74" s="168"/>
      <c r="G74" s="127"/>
      <c r="H74" s="127"/>
      <c r="I74" s="176"/>
      <c r="J74" s="127"/>
      <c r="K74" s="127"/>
      <c r="L74" s="127"/>
      <c r="M74" s="127"/>
      <c r="N74" s="127"/>
      <c r="O74" s="127"/>
      <c r="P74" s="120"/>
      <c r="Q74" s="120"/>
      <c r="R74" s="120"/>
      <c r="S74" s="120"/>
      <c r="T74" s="120"/>
      <c r="U74" s="120"/>
      <c r="V74" s="120"/>
      <c r="W74" s="120"/>
      <c r="X74" s="192"/>
      <c r="Y74" s="192"/>
      <c r="Z74" s="192"/>
      <c r="AA74" s="192"/>
      <c r="AB74" s="120"/>
      <c r="AC74" s="120"/>
      <c r="AD74" s="120"/>
      <c r="AE74" s="120"/>
      <c r="AF74" s="161"/>
      <c r="AG74" s="120"/>
      <c r="AH74" s="120"/>
      <c r="AI74" s="120"/>
      <c r="AJ74" s="120"/>
      <c r="AK74" s="120"/>
      <c r="AL74" s="120"/>
      <c r="AM74" s="120"/>
      <c r="AN74" s="120"/>
      <c r="AO74" s="120"/>
      <c r="AP74" s="120"/>
      <c r="AQ74" s="147"/>
      <c r="AR74" s="161"/>
      <c r="AS74" s="120"/>
      <c r="AT74" s="120"/>
      <c r="AU74" s="120"/>
      <c r="AV74" s="120"/>
      <c r="AW74" s="120"/>
      <c r="AX74" s="120"/>
      <c r="AY74" s="120"/>
      <c r="AZ74" s="120"/>
      <c r="BA74" s="120"/>
      <c r="BB74" s="120"/>
      <c r="BC74" s="120"/>
      <c r="BD74" s="120"/>
      <c r="BE74" s="120"/>
      <c r="BF74" s="120"/>
      <c r="BG74" s="161"/>
      <c r="BH74" s="120"/>
      <c r="BI74" s="120"/>
      <c r="BJ74" s="120"/>
      <c r="BK74" s="120"/>
      <c r="BL74" s="120"/>
      <c r="BM74" s="120"/>
      <c r="BN74" s="120"/>
      <c r="BO74" s="120"/>
      <c r="BP74" s="120"/>
      <c r="BQ74" s="120"/>
      <c r="BR74" s="120"/>
      <c r="BS74" s="161"/>
      <c r="BT74" s="120"/>
      <c r="BU74" s="120"/>
      <c r="BV74" s="120"/>
      <c r="BW74" s="120"/>
      <c r="BX74" s="120"/>
      <c r="BY74" s="120"/>
      <c r="BZ74" s="120"/>
      <c r="CA74" s="120"/>
      <c r="CB74" s="120"/>
      <c r="CC74" s="120"/>
      <c r="CD74" s="139"/>
      <c r="CE74" s="127"/>
      <c r="CF74" s="127"/>
      <c r="CG74" s="127"/>
      <c r="CH74" s="127"/>
      <c r="CI74" s="127"/>
      <c r="CJ74" s="127"/>
      <c r="CK74" s="127"/>
      <c r="CL74" s="127"/>
      <c r="CM74" s="127"/>
      <c r="CN74" s="127"/>
      <c r="CO74" s="127"/>
      <c r="CP74" s="138"/>
      <c r="CQ74" s="139"/>
    </row>
    <row r="75" spans="2:96" s="130" customFormat="1" ht="11.25" customHeight="1">
      <c r="B75" s="162"/>
      <c r="C75" s="162"/>
      <c r="D75" s="168"/>
      <c r="G75" s="136"/>
      <c r="H75" s="136"/>
      <c r="I75" s="219" t="s">
        <v>65</v>
      </c>
      <c r="J75" s="199"/>
      <c r="K75" s="199"/>
      <c r="L75" s="220"/>
      <c r="M75" s="220"/>
      <c r="N75" s="220"/>
      <c r="O75" s="220"/>
      <c r="P75" s="206"/>
      <c r="Q75" s="206"/>
      <c r="R75" s="215"/>
      <c r="S75" s="120"/>
      <c r="T75" s="120"/>
      <c r="U75" s="120"/>
      <c r="V75" s="120"/>
      <c r="W75" s="120"/>
      <c r="X75" s="192"/>
      <c r="Y75" s="192"/>
      <c r="Z75" s="192"/>
      <c r="AA75" s="192"/>
      <c r="AB75" s="120"/>
      <c r="AC75" s="120"/>
      <c r="AD75" s="120"/>
      <c r="AE75" s="120"/>
      <c r="AF75" s="161"/>
      <c r="AG75" s="120"/>
      <c r="AH75" s="120"/>
      <c r="AI75" s="120"/>
      <c r="AJ75" s="120"/>
      <c r="AK75" s="120"/>
      <c r="AL75" s="120"/>
      <c r="AM75" s="120"/>
      <c r="AN75" s="120"/>
      <c r="AO75" s="120"/>
      <c r="AP75" s="120"/>
      <c r="AQ75" s="120"/>
      <c r="AR75" s="161"/>
      <c r="AS75" s="120"/>
      <c r="AT75" s="120"/>
      <c r="AU75" s="120"/>
      <c r="AV75" s="120"/>
      <c r="AW75" s="120"/>
      <c r="AX75" s="120"/>
      <c r="AY75" s="120"/>
      <c r="AZ75" s="120"/>
      <c r="BA75" s="127"/>
      <c r="BB75" s="127"/>
      <c r="BC75" s="136"/>
      <c r="BD75" s="120"/>
      <c r="BE75" s="120"/>
      <c r="BF75" s="120"/>
      <c r="BG75" s="161"/>
      <c r="BH75" s="120"/>
      <c r="BI75" s="120"/>
      <c r="BJ75" s="136"/>
      <c r="BK75" s="120"/>
      <c r="BL75" s="120"/>
      <c r="BM75" s="120"/>
      <c r="BN75" s="136"/>
      <c r="BO75" s="162"/>
      <c r="BP75" s="162"/>
      <c r="BQ75" s="136"/>
      <c r="BR75" s="136"/>
      <c r="BS75" s="136"/>
      <c r="BT75" s="136"/>
      <c r="BU75" s="136"/>
      <c r="BV75" s="136"/>
      <c r="BW75" s="120"/>
      <c r="BX75" s="162"/>
      <c r="BY75" s="162"/>
      <c r="BZ75" s="162"/>
      <c r="CA75" s="162"/>
      <c r="CB75" s="162"/>
      <c r="CC75" s="162"/>
      <c r="CD75" s="147" t="s">
        <v>66</v>
      </c>
      <c r="CE75" s="136"/>
      <c r="CF75" s="218"/>
      <c r="CG75" s="215"/>
      <c r="CH75" s="136"/>
      <c r="CI75" s="162"/>
      <c r="CJ75" s="162"/>
      <c r="CK75" s="127"/>
      <c r="CL75" s="127"/>
      <c r="CM75" s="127"/>
      <c r="CN75" s="127"/>
      <c r="CO75" s="127"/>
      <c r="CP75" s="138"/>
      <c r="CQ75" s="139"/>
      <c r="CR75" s="140"/>
    </row>
    <row r="76" spans="2:95" s="140" customFormat="1" ht="4.5" customHeight="1">
      <c r="B76" s="120"/>
      <c r="C76" s="120"/>
      <c r="D76" s="168"/>
      <c r="G76" s="127"/>
      <c r="H76" s="127"/>
      <c r="I76" s="176"/>
      <c r="J76" s="127"/>
      <c r="K76" s="127"/>
      <c r="L76" s="127"/>
      <c r="M76" s="127"/>
      <c r="N76" s="127"/>
      <c r="O76" s="127"/>
      <c r="P76" s="120"/>
      <c r="Q76" s="120"/>
      <c r="R76" s="120"/>
      <c r="S76" s="120"/>
      <c r="T76" s="120"/>
      <c r="U76" s="120"/>
      <c r="V76" s="120"/>
      <c r="W76" s="120"/>
      <c r="X76" s="192"/>
      <c r="Y76" s="192"/>
      <c r="Z76" s="192"/>
      <c r="AA76" s="192"/>
      <c r="AB76" s="120"/>
      <c r="AC76" s="120"/>
      <c r="AD76" s="120"/>
      <c r="AE76" s="120"/>
      <c r="AF76" s="161"/>
      <c r="AG76" s="120"/>
      <c r="AH76" s="120"/>
      <c r="AI76" s="120"/>
      <c r="AJ76" s="120"/>
      <c r="AK76" s="120"/>
      <c r="AL76" s="120"/>
      <c r="AM76" s="120"/>
      <c r="AN76" s="120"/>
      <c r="AO76" s="120"/>
      <c r="AP76" s="120"/>
      <c r="AQ76" s="120"/>
      <c r="AR76" s="161"/>
      <c r="AS76" s="120"/>
      <c r="AT76" s="120"/>
      <c r="AU76" s="120"/>
      <c r="AV76" s="120"/>
      <c r="AW76" s="120"/>
      <c r="AX76" s="120"/>
      <c r="AY76" s="120"/>
      <c r="AZ76" s="120"/>
      <c r="BA76" s="127"/>
      <c r="BB76" s="127"/>
      <c r="BC76" s="127"/>
      <c r="BD76" s="120"/>
      <c r="BE76" s="120"/>
      <c r="BF76" s="120"/>
      <c r="BG76" s="120"/>
      <c r="BH76" s="120"/>
      <c r="BI76" s="120"/>
      <c r="BJ76" s="127"/>
      <c r="BK76" s="120"/>
      <c r="BL76" s="120"/>
      <c r="BM76" s="120"/>
      <c r="BN76" s="120"/>
      <c r="BO76" s="120"/>
      <c r="BP76" s="120"/>
      <c r="BQ76" s="127"/>
      <c r="BR76" s="120"/>
      <c r="BS76" s="127"/>
      <c r="BT76" s="127"/>
      <c r="BU76" s="127"/>
      <c r="BV76" s="127"/>
      <c r="BW76" s="120"/>
      <c r="BX76" s="120"/>
      <c r="BY76" s="120"/>
      <c r="BZ76" s="120"/>
      <c r="CA76" s="120"/>
      <c r="CB76" s="120"/>
      <c r="CC76" s="120"/>
      <c r="CD76" s="120"/>
      <c r="CE76" s="139"/>
      <c r="CF76" s="127"/>
      <c r="CG76" s="127"/>
      <c r="CH76" s="127"/>
      <c r="CI76" s="127"/>
      <c r="CJ76" s="127"/>
      <c r="CK76" s="127"/>
      <c r="CL76" s="127"/>
      <c r="CM76" s="127"/>
      <c r="CN76" s="127"/>
      <c r="CO76" s="127"/>
      <c r="CP76" s="138"/>
      <c r="CQ76" s="139"/>
    </row>
    <row r="77" spans="2:96" s="130" customFormat="1" ht="11.25" customHeight="1">
      <c r="B77" s="162"/>
      <c r="C77" s="162"/>
      <c r="D77" s="168"/>
      <c r="G77" s="136"/>
      <c r="H77" s="136"/>
      <c r="I77" s="221" t="s">
        <v>67</v>
      </c>
      <c r="J77" s="214"/>
      <c r="K77" s="214"/>
      <c r="L77" s="222"/>
      <c r="M77" s="222"/>
      <c r="N77" s="222"/>
      <c r="O77" s="222"/>
      <c r="P77" s="170"/>
      <c r="Q77" s="170"/>
      <c r="R77" s="172"/>
      <c r="S77" s="120"/>
      <c r="T77" s="120"/>
      <c r="U77" s="120"/>
      <c r="V77" s="120"/>
      <c r="W77" s="120"/>
      <c r="X77" s="192"/>
      <c r="Y77" s="192"/>
      <c r="Z77" s="192"/>
      <c r="AA77" s="192"/>
      <c r="AB77" s="120"/>
      <c r="AC77" s="120"/>
      <c r="AD77" s="120"/>
      <c r="AE77" s="120"/>
      <c r="AF77" s="161"/>
      <c r="AG77" s="120"/>
      <c r="AH77" s="120"/>
      <c r="AI77" s="120"/>
      <c r="AJ77" s="120"/>
      <c r="AK77" s="120"/>
      <c r="AL77" s="120"/>
      <c r="AM77" s="120"/>
      <c r="AN77" s="120"/>
      <c r="AO77" s="120"/>
      <c r="AP77" s="120"/>
      <c r="AQ77" s="120"/>
      <c r="AR77" s="161"/>
      <c r="AS77" s="120"/>
      <c r="AT77" s="120"/>
      <c r="AU77" s="120"/>
      <c r="AV77" s="120"/>
      <c r="AW77" s="120"/>
      <c r="AX77" s="120"/>
      <c r="AY77" s="120"/>
      <c r="AZ77" s="120"/>
      <c r="BA77" s="127"/>
      <c r="BB77" s="127"/>
      <c r="BC77" s="136"/>
      <c r="BD77" s="120"/>
      <c r="BE77" s="120"/>
      <c r="BF77" s="120"/>
      <c r="BG77" s="120"/>
      <c r="BH77" s="120"/>
      <c r="BI77" s="120"/>
      <c r="BJ77" s="136"/>
      <c r="BK77" s="136"/>
      <c r="BL77" s="120"/>
      <c r="BM77" s="120"/>
      <c r="BN77" s="136"/>
      <c r="BO77" s="162"/>
      <c r="BP77" s="136"/>
      <c r="BQ77" s="136"/>
      <c r="BR77" s="136"/>
      <c r="BS77" s="136"/>
      <c r="BT77" s="136"/>
      <c r="BU77" s="136"/>
      <c r="BV77" s="136"/>
      <c r="BW77" s="162"/>
      <c r="BX77" s="162"/>
      <c r="BY77" s="162"/>
      <c r="BZ77" s="162"/>
      <c r="CA77" s="162"/>
      <c r="CB77" s="162"/>
      <c r="CC77" s="162"/>
      <c r="CD77" s="120"/>
      <c r="CE77" s="137"/>
      <c r="CF77" s="136"/>
      <c r="CG77" s="169" t="s">
        <v>68</v>
      </c>
      <c r="CH77" s="210"/>
      <c r="CI77" s="215"/>
      <c r="CJ77" s="136"/>
      <c r="CK77" s="127"/>
      <c r="CL77" s="127"/>
      <c r="CM77" s="127"/>
      <c r="CN77" s="127"/>
      <c r="CO77" s="127"/>
      <c r="CP77" s="138"/>
      <c r="CQ77" s="139"/>
      <c r="CR77" s="140"/>
    </row>
    <row r="78" spans="2:95" s="140" customFormat="1" ht="3.75" customHeight="1">
      <c r="B78" s="120"/>
      <c r="C78" s="120"/>
      <c r="D78" s="168"/>
      <c r="E78" s="127"/>
      <c r="F78" s="127"/>
      <c r="G78" s="127"/>
      <c r="H78" s="127"/>
      <c r="I78" s="176"/>
      <c r="J78" s="127"/>
      <c r="K78" s="127"/>
      <c r="L78" s="120"/>
      <c r="M78" s="120"/>
      <c r="N78" s="120"/>
      <c r="O78" s="120"/>
      <c r="P78" s="120"/>
      <c r="Q78" s="120"/>
      <c r="R78" s="120"/>
      <c r="S78" s="120"/>
      <c r="T78" s="161"/>
      <c r="U78" s="120"/>
      <c r="V78" s="120"/>
      <c r="W78" s="120"/>
      <c r="X78" s="192"/>
      <c r="Y78" s="192"/>
      <c r="Z78" s="192"/>
      <c r="AA78" s="192"/>
      <c r="AB78" s="120"/>
      <c r="AC78" s="120"/>
      <c r="AD78" s="120"/>
      <c r="AE78" s="120"/>
      <c r="AF78" s="161"/>
      <c r="AG78" s="120"/>
      <c r="AH78" s="120"/>
      <c r="AI78" s="120"/>
      <c r="AJ78" s="120"/>
      <c r="AK78" s="120"/>
      <c r="AL78" s="120"/>
      <c r="AM78" s="120"/>
      <c r="AN78" s="120"/>
      <c r="AO78" s="120"/>
      <c r="AP78" s="120"/>
      <c r="AQ78" s="120"/>
      <c r="AR78" s="161"/>
      <c r="AS78" s="120"/>
      <c r="AT78" s="120"/>
      <c r="AU78" s="120"/>
      <c r="AV78" s="120"/>
      <c r="AW78" s="120"/>
      <c r="AX78" s="120"/>
      <c r="AY78" s="120"/>
      <c r="AZ78" s="120"/>
      <c r="BA78" s="120"/>
      <c r="BB78" s="120"/>
      <c r="BC78" s="147"/>
      <c r="BD78" s="120"/>
      <c r="BE78" s="120"/>
      <c r="BF78" s="120"/>
      <c r="BG78" s="120"/>
      <c r="BH78" s="120"/>
      <c r="BI78" s="120"/>
      <c r="BJ78" s="120"/>
      <c r="BK78" s="120"/>
      <c r="BL78" s="120"/>
      <c r="BM78" s="120"/>
      <c r="BN78" s="127"/>
      <c r="BO78" s="127"/>
      <c r="BP78" s="120"/>
      <c r="BQ78" s="120"/>
      <c r="BR78" s="120"/>
      <c r="BS78" s="161"/>
      <c r="BT78" s="120"/>
      <c r="BU78" s="120"/>
      <c r="BV78" s="120"/>
      <c r="BW78" s="120"/>
      <c r="BX78" s="120"/>
      <c r="BY78" s="120"/>
      <c r="BZ78" s="120"/>
      <c r="CA78" s="120"/>
      <c r="CB78" s="120"/>
      <c r="CC78" s="120"/>
      <c r="CD78" s="120"/>
      <c r="CE78" s="139"/>
      <c r="CF78" s="127"/>
      <c r="CG78" s="127"/>
      <c r="CH78" s="127"/>
      <c r="CI78" s="127"/>
      <c r="CJ78" s="127"/>
      <c r="CK78" s="127"/>
      <c r="CL78" s="127"/>
      <c r="CM78" s="127"/>
      <c r="CN78" s="127"/>
      <c r="CO78" s="127"/>
      <c r="CP78" s="138"/>
      <c r="CQ78" s="139"/>
    </row>
    <row r="79" spans="2:96" s="130" customFormat="1" ht="11.25" customHeight="1">
      <c r="B79" s="162"/>
      <c r="C79" s="162"/>
      <c r="D79" s="168"/>
      <c r="E79" s="127"/>
      <c r="F79" s="127"/>
      <c r="G79" s="127"/>
      <c r="H79" s="127"/>
      <c r="I79" s="176"/>
      <c r="J79" s="127"/>
      <c r="K79" s="127"/>
      <c r="L79" s="120"/>
      <c r="M79" s="120"/>
      <c r="N79" s="120" t="s">
        <v>668</v>
      </c>
      <c r="O79" s="120"/>
      <c r="P79" s="120"/>
      <c r="Q79" s="120"/>
      <c r="R79" s="120"/>
      <c r="S79" s="120"/>
      <c r="T79" s="161"/>
      <c r="U79" s="120"/>
      <c r="V79" s="120"/>
      <c r="W79" s="120"/>
      <c r="X79" s="192"/>
      <c r="Y79" s="192"/>
      <c r="Z79" s="192"/>
      <c r="AA79" s="192"/>
      <c r="AB79" s="162"/>
      <c r="AC79" s="162"/>
      <c r="AD79" s="162"/>
      <c r="AE79" s="162"/>
      <c r="AF79" s="167"/>
      <c r="AG79" s="162"/>
      <c r="AH79" s="162"/>
      <c r="AI79" s="162"/>
      <c r="AJ79" s="162"/>
      <c r="AK79" s="162"/>
      <c r="AL79" s="162"/>
      <c r="AM79" s="162"/>
      <c r="AN79" s="162"/>
      <c r="AO79" s="162"/>
      <c r="AP79" s="162"/>
      <c r="AQ79" s="162"/>
      <c r="AR79" s="137"/>
      <c r="AS79" s="136"/>
      <c r="AT79" s="136"/>
      <c r="AU79" s="136"/>
      <c r="AV79" s="136"/>
      <c r="AW79" s="136"/>
      <c r="AX79" s="136"/>
      <c r="AY79" s="136"/>
      <c r="AZ79" s="136"/>
      <c r="BA79" s="136"/>
      <c r="BB79" s="136"/>
      <c r="BC79" s="136"/>
      <c r="BD79" s="136"/>
      <c r="BE79" s="169" t="s">
        <v>69</v>
      </c>
      <c r="BF79" s="136"/>
      <c r="BG79" s="136"/>
      <c r="BH79" s="213"/>
      <c r="BI79" s="214"/>
      <c r="BJ79" s="214"/>
      <c r="BK79" s="170"/>
      <c r="BL79" s="170"/>
      <c r="BM79" s="170"/>
      <c r="BN79" s="170"/>
      <c r="BO79" s="170"/>
      <c r="BP79" s="170"/>
      <c r="BQ79" s="170"/>
      <c r="BR79" s="170"/>
      <c r="BS79" s="170"/>
      <c r="BT79" s="170"/>
      <c r="BU79" s="170"/>
      <c r="BV79" s="170"/>
      <c r="BW79" s="214"/>
      <c r="BX79" s="214"/>
      <c r="BY79" s="170"/>
      <c r="BZ79" s="170"/>
      <c r="CA79" s="170"/>
      <c r="CB79" s="170"/>
      <c r="CC79" s="170"/>
      <c r="CD79" s="170"/>
      <c r="CE79" s="170"/>
      <c r="CF79" s="172"/>
      <c r="CG79" s="127"/>
      <c r="CH79" s="136"/>
      <c r="CI79" s="127"/>
      <c r="CJ79" s="127"/>
      <c r="CK79" s="127"/>
      <c r="CL79" s="127"/>
      <c r="CM79" s="127"/>
      <c r="CN79" s="169" t="s">
        <v>70</v>
      </c>
      <c r="CO79" s="127"/>
      <c r="CP79" s="138"/>
      <c r="CQ79" s="139"/>
      <c r="CR79" s="140"/>
    </row>
    <row r="80" spans="2:95" s="140" customFormat="1" ht="3.75" customHeight="1">
      <c r="B80" s="120"/>
      <c r="C80" s="120"/>
      <c r="D80" s="168"/>
      <c r="E80" s="127"/>
      <c r="F80" s="127"/>
      <c r="G80" s="127"/>
      <c r="H80" s="127"/>
      <c r="I80" s="176"/>
      <c r="J80" s="127"/>
      <c r="K80" s="127"/>
      <c r="L80" s="120"/>
      <c r="M80" s="120"/>
      <c r="N80" s="120"/>
      <c r="O80" s="120"/>
      <c r="P80" s="120"/>
      <c r="Q80" s="120"/>
      <c r="R80" s="120"/>
      <c r="S80" s="120"/>
      <c r="T80" s="161"/>
      <c r="U80" s="120"/>
      <c r="V80" s="120"/>
      <c r="W80" s="120"/>
      <c r="X80" s="192"/>
      <c r="Y80" s="192"/>
      <c r="Z80" s="192"/>
      <c r="AA80" s="192"/>
      <c r="AB80" s="120"/>
      <c r="AC80" s="120"/>
      <c r="AD80" s="120"/>
      <c r="AE80" s="120"/>
      <c r="AF80" s="161"/>
      <c r="AG80" s="120"/>
      <c r="AH80" s="120"/>
      <c r="AI80" s="120"/>
      <c r="AJ80" s="120"/>
      <c r="AK80" s="120"/>
      <c r="AL80" s="120"/>
      <c r="AM80" s="120"/>
      <c r="AN80" s="120"/>
      <c r="AO80" s="120"/>
      <c r="AP80" s="120"/>
      <c r="AQ80" s="120"/>
      <c r="AR80" s="161"/>
      <c r="AS80" s="120"/>
      <c r="AT80" s="120"/>
      <c r="AU80" s="120"/>
      <c r="AV80" s="120"/>
      <c r="AW80" s="120"/>
      <c r="AX80" s="120"/>
      <c r="AY80" s="120"/>
      <c r="AZ80" s="120"/>
      <c r="BA80" s="120"/>
      <c r="BB80" s="120"/>
      <c r="BC80" s="120"/>
      <c r="BD80" s="120"/>
      <c r="BE80" s="147"/>
      <c r="BF80" s="147"/>
      <c r="BG80" s="120"/>
      <c r="BH80" s="120"/>
      <c r="BI80" s="120"/>
      <c r="BJ80" s="120"/>
      <c r="BK80" s="120"/>
      <c r="BL80" s="120"/>
      <c r="BM80" s="120"/>
      <c r="BN80" s="120"/>
      <c r="BO80" s="120"/>
      <c r="BP80" s="120"/>
      <c r="BQ80" s="120"/>
      <c r="BR80" s="120"/>
      <c r="BS80" s="161"/>
      <c r="BT80" s="120"/>
      <c r="BU80" s="120"/>
      <c r="BV80" s="120"/>
      <c r="BW80" s="120"/>
      <c r="BX80" s="120"/>
      <c r="BY80" s="120"/>
      <c r="BZ80" s="120"/>
      <c r="CA80" s="120"/>
      <c r="CB80" s="120"/>
      <c r="CC80" s="120"/>
      <c r="CD80" s="120"/>
      <c r="CE80" s="139"/>
      <c r="CF80" s="127"/>
      <c r="CG80" s="127"/>
      <c r="CH80" s="127"/>
      <c r="CI80" s="127"/>
      <c r="CJ80" s="127"/>
      <c r="CK80" s="127"/>
      <c r="CL80" s="127"/>
      <c r="CM80" s="127"/>
      <c r="CN80" s="127"/>
      <c r="CO80" s="127"/>
      <c r="CP80" s="138"/>
      <c r="CQ80" s="139"/>
    </row>
    <row r="81" spans="2:96" s="130" customFormat="1" ht="3.75" customHeight="1" thickBot="1">
      <c r="B81" s="162"/>
      <c r="C81" s="162"/>
      <c r="D81" s="223"/>
      <c r="E81" s="224"/>
      <c r="F81" s="224"/>
      <c r="G81" s="224"/>
      <c r="H81" s="224"/>
      <c r="I81" s="225"/>
      <c r="J81" s="226"/>
      <c r="K81" s="226"/>
      <c r="L81" s="226"/>
      <c r="M81" s="226"/>
      <c r="N81" s="226"/>
      <c r="O81" s="226"/>
      <c r="P81" s="226"/>
      <c r="Q81" s="226"/>
      <c r="R81" s="226"/>
      <c r="S81" s="226"/>
      <c r="T81" s="227"/>
      <c r="U81" s="226"/>
      <c r="V81" s="226"/>
      <c r="W81" s="226"/>
      <c r="X81" s="226"/>
      <c r="Y81" s="226"/>
      <c r="Z81" s="226"/>
      <c r="AA81" s="226"/>
      <c r="AB81" s="228"/>
      <c r="AC81" s="228"/>
      <c r="AD81" s="228"/>
      <c r="AE81" s="228"/>
      <c r="AF81" s="229"/>
      <c r="AG81" s="228"/>
      <c r="AH81" s="228"/>
      <c r="AI81" s="228"/>
      <c r="AJ81" s="228"/>
      <c r="AK81" s="228"/>
      <c r="AL81" s="228"/>
      <c r="AM81" s="228"/>
      <c r="AN81" s="228"/>
      <c r="AO81" s="228"/>
      <c r="AP81" s="228"/>
      <c r="AQ81" s="228"/>
      <c r="AR81" s="229"/>
      <c r="AS81" s="228"/>
      <c r="AT81" s="228"/>
      <c r="AU81" s="228"/>
      <c r="AV81" s="228"/>
      <c r="AW81" s="228"/>
      <c r="AX81" s="228"/>
      <c r="AY81" s="228"/>
      <c r="AZ81" s="228"/>
      <c r="BA81" s="228"/>
      <c r="BB81" s="228"/>
      <c r="BC81" s="228"/>
      <c r="BD81" s="228"/>
      <c r="BE81" s="228"/>
      <c r="BF81" s="228"/>
      <c r="BG81" s="229"/>
      <c r="BH81" s="228"/>
      <c r="BI81" s="228"/>
      <c r="BJ81" s="228"/>
      <c r="BK81" s="228"/>
      <c r="BL81" s="228"/>
      <c r="BM81" s="228"/>
      <c r="BN81" s="228"/>
      <c r="BO81" s="230"/>
      <c r="BP81" s="231"/>
      <c r="BQ81" s="231"/>
      <c r="BR81" s="231"/>
      <c r="BS81" s="232"/>
      <c r="BT81" s="231"/>
      <c r="BU81" s="231"/>
      <c r="BV81" s="231"/>
      <c r="BW81" s="231"/>
      <c r="BX81" s="231"/>
      <c r="BY81" s="231"/>
      <c r="BZ81" s="231"/>
      <c r="CA81" s="231"/>
      <c r="CB81" s="231"/>
      <c r="CC81" s="230"/>
      <c r="CD81" s="233"/>
      <c r="CE81" s="230"/>
      <c r="CF81" s="230"/>
      <c r="CG81" s="233"/>
      <c r="CH81" s="233"/>
      <c r="CI81" s="233"/>
      <c r="CJ81" s="233"/>
      <c r="CK81" s="233"/>
      <c r="CL81" s="233"/>
      <c r="CM81" s="233"/>
      <c r="CN81" s="233"/>
      <c r="CO81" s="233"/>
      <c r="CP81" s="234"/>
      <c r="CQ81" s="139"/>
      <c r="CR81" s="140"/>
    </row>
    <row r="82" spans="2:96" s="130" customFormat="1" ht="14.25">
      <c r="B82" s="136"/>
      <c r="C82" s="136"/>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c r="BZ82" s="136"/>
      <c r="CA82" s="136"/>
      <c r="CB82" s="136"/>
      <c r="CC82" s="136"/>
      <c r="CD82" s="127"/>
      <c r="CG82" s="127"/>
      <c r="CH82" s="140"/>
      <c r="CI82" s="140"/>
      <c r="CJ82" s="140"/>
      <c r="CK82" s="140"/>
      <c r="CL82" s="140"/>
      <c r="CM82" s="140"/>
      <c r="CN82" s="140"/>
      <c r="CO82" s="140"/>
      <c r="CP82" s="140"/>
      <c r="CQ82" s="140"/>
      <c r="CR82" s="140"/>
    </row>
    <row r="83" spans="2:96" ht="14.25">
      <c r="B83" s="65"/>
      <c r="C83" s="65"/>
      <c r="D83" s="235" t="s">
        <v>11</v>
      </c>
      <c r="E83" s="236"/>
      <c r="F83" s="236"/>
      <c r="G83" s="236"/>
      <c r="H83" s="237"/>
      <c r="I83" s="82" t="s">
        <v>106</v>
      </c>
      <c r="J83" s="82"/>
      <c r="K83" s="82"/>
      <c r="L83" s="82"/>
      <c r="M83" s="82"/>
      <c r="N83" s="82"/>
      <c r="O83" s="82"/>
      <c r="P83" s="82"/>
      <c r="Q83" s="82"/>
      <c r="R83" s="82"/>
      <c r="S83" s="82"/>
      <c r="T83" s="83"/>
      <c r="U83" s="84" t="s">
        <v>107</v>
      </c>
      <c r="V83" s="82"/>
      <c r="W83" s="82"/>
      <c r="X83" s="82"/>
      <c r="Y83" s="82"/>
      <c r="Z83" s="82"/>
      <c r="AA83" s="82"/>
      <c r="AB83" s="82"/>
      <c r="AC83" s="82"/>
      <c r="AD83" s="82"/>
      <c r="AE83" s="82"/>
      <c r="AF83" s="83"/>
      <c r="AG83" s="84" t="s">
        <v>108</v>
      </c>
      <c r="AH83" s="82"/>
      <c r="AI83" s="82"/>
      <c r="AJ83" s="82"/>
      <c r="AK83" s="82"/>
      <c r="AL83" s="82"/>
      <c r="AM83" s="82"/>
      <c r="AN83" s="82"/>
      <c r="AO83" s="82"/>
      <c r="AP83" s="82"/>
      <c r="AQ83" s="82"/>
      <c r="AR83" s="83"/>
      <c r="AS83" s="84" t="s">
        <v>109</v>
      </c>
      <c r="AT83" s="82"/>
      <c r="AU83" s="82"/>
      <c r="AV83" s="82"/>
      <c r="AW83" s="82"/>
      <c r="AX83" s="82"/>
      <c r="AY83" s="82"/>
      <c r="AZ83" s="82"/>
      <c r="BA83" s="82"/>
      <c r="BB83" s="82"/>
      <c r="BC83" s="82"/>
      <c r="BD83" s="82"/>
      <c r="BE83" s="82"/>
      <c r="BF83" s="82"/>
      <c r="BG83" s="83"/>
      <c r="BH83" s="84" t="s">
        <v>110</v>
      </c>
      <c r="BI83" s="82"/>
      <c r="BJ83" s="82"/>
      <c r="BK83" s="82"/>
      <c r="BL83" s="82"/>
      <c r="BM83" s="82"/>
      <c r="BN83" s="82"/>
      <c r="BO83" s="82"/>
      <c r="BP83" s="82"/>
      <c r="BQ83" s="82"/>
      <c r="BR83" s="82"/>
      <c r="BS83" s="83"/>
      <c r="BT83" s="82" t="s">
        <v>111</v>
      </c>
      <c r="BU83" s="82"/>
      <c r="BV83" s="82"/>
      <c r="BW83" s="82"/>
      <c r="BX83" s="82"/>
      <c r="BY83" s="82"/>
      <c r="BZ83" s="82"/>
      <c r="CA83" s="82"/>
      <c r="CB83" s="238"/>
      <c r="CC83" s="65"/>
      <c r="CD83" s="239"/>
      <c r="CE83" s="239"/>
      <c r="CF83" s="239"/>
      <c r="CG83" s="240"/>
      <c r="CH83" s="240"/>
      <c r="CI83" s="240"/>
      <c r="CJ83" s="240"/>
      <c r="CK83" s="240"/>
      <c r="CL83" s="240"/>
      <c r="CM83" s="240"/>
      <c r="CN83" s="240"/>
      <c r="CO83" s="240"/>
      <c r="CP83" s="240"/>
      <c r="CQ83" s="240"/>
      <c r="CR83" s="240"/>
    </row>
    <row r="84" spans="2:84" s="86" customFormat="1" ht="11.25">
      <c r="B84" s="87"/>
      <c r="C84" s="87"/>
      <c r="D84" s="93" t="s">
        <v>12</v>
      </c>
      <c r="E84" s="93" t="s">
        <v>13</v>
      </c>
      <c r="F84" s="93" t="s">
        <v>13</v>
      </c>
      <c r="G84" s="93" t="s">
        <v>14</v>
      </c>
      <c r="H84" s="93" t="s">
        <v>15</v>
      </c>
      <c r="I84" s="92" t="s">
        <v>16</v>
      </c>
      <c r="J84" s="93" t="s">
        <v>17</v>
      </c>
      <c r="K84" s="93" t="s">
        <v>18</v>
      </c>
      <c r="L84" s="93" t="s">
        <v>13</v>
      </c>
      <c r="M84" s="93" t="s">
        <v>19</v>
      </c>
      <c r="N84" s="93" t="s">
        <v>12</v>
      </c>
      <c r="O84" s="93" t="s">
        <v>14</v>
      </c>
      <c r="P84" s="93" t="s">
        <v>12</v>
      </c>
      <c r="Q84" s="93" t="s">
        <v>13</v>
      </c>
      <c r="R84" s="93" t="s">
        <v>13</v>
      </c>
      <c r="S84" s="93" t="s">
        <v>14</v>
      </c>
      <c r="T84" s="93" t="s">
        <v>15</v>
      </c>
      <c r="U84" s="93" t="s">
        <v>16</v>
      </c>
      <c r="V84" s="93" t="s">
        <v>17</v>
      </c>
      <c r="W84" s="93" t="s">
        <v>18</v>
      </c>
      <c r="X84" s="93" t="s">
        <v>13</v>
      </c>
      <c r="Y84" s="93" t="s">
        <v>19</v>
      </c>
      <c r="Z84" s="93" t="s">
        <v>12</v>
      </c>
      <c r="AA84" s="93" t="s">
        <v>14</v>
      </c>
      <c r="AB84" s="93" t="s">
        <v>12</v>
      </c>
      <c r="AC84" s="93" t="s">
        <v>13</v>
      </c>
      <c r="AD84" s="93" t="s">
        <v>13</v>
      </c>
      <c r="AE84" s="93" t="s">
        <v>14</v>
      </c>
      <c r="AF84" s="93" t="s">
        <v>15</v>
      </c>
      <c r="AG84" s="93" t="s">
        <v>16</v>
      </c>
      <c r="AH84" s="93" t="s">
        <v>17</v>
      </c>
      <c r="AI84" s="93" t="s">
        <v>18</v>
      </c>
      <c r="AJ84" s="93" t="s">
        <v>13</v>
      </c>
      <c r="AK84" s="93" t="s">
        <v>19</v>
      </c>
      <c r="AL84" s="93" t="s">
        <v>12</v>
      </c>
      <c r="AM84" s="93" t="s">
        <v>14</v>
      </c>
      <c r="AN84" s="93" t="s">
        <v>12</v>
      </c>
      <c r="AO84" s="93" t="s">
        <v>13</v>
      </c>
      <c r="AP84" s="93" t="s">
        <v>13</v>
      </c>
      <c r="AQ84" s="93" t="s">
        <v>14</v>
      </c>
      <c r="AR84" s="93" t="s">
        <v>15</v>
      </c>
      <c r="AS84" s="93" t="s">
        <v>16</v>
      </c>
      <c r="AT84" s="95" t="s">
        <v>17</v>
      </c>
      <c r="AU84" s="96"/>
      <c r="AV84" s="93" t="s">
        <v>18</v>
      </c>
      <c r="AW84" s="93" t="s">
        <v>13</v>
      </c>
      <c r="AX84" s="93" t="s">
        <v>19</v>
      </c>
      <c r="AY84" s="93" t="s">
        <v>12</v>
      </c>
      <c r="AZ84" s="93" t="s">
        <v>14</v>
      </c>
      <c r="BA84" s="93" t="s">
        <v>12</v>
      </c>
      <c r="BB84" s="97" t="s">
        <v>13</v>
      </c>
      <c r="BC84" s="97"/>
      <c r="BD84" s="93" t="s">
        <v>13</v>
      </c>
      <c r="BE84" s="93" t="s">
        <v>14</v>
      </c>
      <c r="BF84" s="93"/>
      <c r="BG84" s="93" t="s">
        <v>15</v>
      </c>
      <c r="BH84" s="93" t="s">
        <v>16</v>
      </c>
      <c r="BI84" s="93" t="s">
        <v>17</v>
      </c>
      <c r="BJ84" s="93" t="s">
        <v>18</v>
      </c>
      <c r="BK84" s="93" t="s">
        <v>13</v>
      </c>
      <c r="BL84" s="93" t="s">
        <v>19</v>
      </c>
      <c r="BM84" s="93" t="s">
        <v>12</v>
      </c>
      <c r="BN84" s="93" t="s">
        <v>14</v>
      </c>
      <c r="BO84" s="93" t="s">
        <v>12</v>
      </c>
      <c r="BP84" s="93" t="s">
        <v>13</v>
      </c>
      <c r="BQ84" s="93" t="s">
        <v>13</v>
      </c>
      <c r="BR84" s="93" t="s">
        <v>14</v>
      </c>
      <c r="BS84" s="93" t="s">
        <v>15</v>
      </c>
      <c r="BT84" s="92" t="s">
        <v>16</v>
      </c>
      <c r="BU84" s="93" t="s">
        <v>17</v>
      </c>
      <c r="BV84" s="93" t="s">
        <v>18</v>
      </c>
      <c r="BW84" s="93" t="s">
        <v>13</v>
      </c>
      <c r="BX84" s="93" t="s">
        <v>19</v>
      </c>
      <c r="BY84" s="93" t="s">
        <v>12</v>
      </c>
      <c r="BZ84" s="93" t="s">
        <v>14</v>
      </c>
      <c r="CA84" s="94" t="s">
        <v>12</v>
      </c>
      <c r="CB84" s="87" t="s">
        <v>13</v>
      </c>
      <c r="CC84" s="87"/>
      <c r="CD84" s="87"/>
      <c r="CE84" s="87"/>
      <c r="CF84" s="87"/>
    </row>
    <row r="85" spans="2:85" ht="14.2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row>
    <row r="86" spans="2:85" ht="14.2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row>
    <row r="87" spans="2:85" ht="14.2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row>
    <row r="88" spans="80:82" ht="14.25">
      <c r="CB88" s="65"/>
      <c r="CC88" s="65"/>
      <c r="CD88" s="65"/>
    </row>
    <row r="89" spans="80:82" ht="14.25">
      <c r="CB89" s="65"/>
      <c r="CC89" s="65"/>
      <c r="CD89" s="65"/>
    </row>
    <row r="90" spans="80:82" ht="14.25">
      <c r="CB90" s="65"/>
      <c r="CC90" s="65"/>
      <c r="CD90" s="65"/>
    </row>
    <row r="91" spans="80:82" ht="14.25">
      <c r="CB91" s="65"/>
      <c r="CC91" s="65"/>
      <c r="CD91" s="65"/>
    </row>
    <row r="92" spans="80:82" ht="14.25">
      <c r="CB92" s="65"/>
      <c r="CC92" s="65"/>
      <c r="CD92" s="65"/>
    </row>
    <row r="93" spans="80:82" ht="14.25">
      <c r="CB93" s="65"/>
      <c r="CC93" s="65"/>
      <c r="CD93" s="65"/>
    </row>
    <row r="94" spans="80:82" ht="14.25">
      <c r="CB94" s="65"/>
      <c r="CC94" s="65"/>
      <c r="CD94" s="65"/>
    </row>
    <row r="95" spans="80:82" ht="14.25">
      <c r="CB95" s="65"/>
      <c r="CC95" s="65"/>
      <c r="CD95" s="65"/>
    </row>
    <row r="96" spans="80:82" ht="14.25">
      <c r="CB96" s="65"/>
      <c r="CC96" s="65"/>
      <c r="CD96" s="65"/>
    </row>
    <row r="97" spans="80:82" ht="14.25">
      <c r="CB97" s="65"/>
      <c r="CC97" s="65"/>
      <c r="CD97" s="65"/>
    </row>
    <row r="98" spans="80:82" ht="14.25">
      <c r="CB98" s="65"/>
      <c r="CC98" s="65"/>
      <c r="CD98" s="65"/>
    </row>
    <row r="99" spans="80:82" ht="14.25">
      <c r="CB99" s="65"/>
      <c r="CC99" s="65"/>
      <c r="CD99" s="65"/>
    </row>
    <row r="100" spans="80:82" ht="14.25">
      <c r="CB100" s="65"/>
      <c r="CC100" s="65"/>
      <c r="CD100" s="65"/>
    </row>
    <row r="101" spans="80:82" ht="14.25">
      <c r="CB101" s="65"/>
      <c r="CC101" s="65"/>
      <c r="CD101" s="65"/>
    </row>
    <row r="102" spans="80:82" ht="14.25">
      <c r="CB102" s="65"/>
      <c r="CC102" s="65"/>
      <c r="CD102" s="65"/>
    </row>
    <row r="103" spans="80:82" ht="14.25">
      <c r="CB103" s="65"/>
      <c r="CC103" s="65"/>
      <c r="CD103" s="65"/>
    </row>
    <row r="104" spans="80:82" ht="14.25">
      <c r="CB104" s="65"/>
      <c r="CC104" s="65"/>
      <c r="CD104" s="65"/>
    </row>
    <row r="105" spans="80:82" ht="14.25">
      <c r="CB105" s="65"/>
      <c r="CC105" s="65"/>
      <c r="CD105" s="65"/>
    </row>
    <row r="106" spans="80:82" ht="14.25">
      <c r="CB106" s="65"/>
      <c r="CC106" s="65"/>
      <c r="CD106" s="65"/>
    </row>
    <row r="107" spans="80:82" ht="14.25">
      <c r="CB107" s="65"/>
      <c r="CC107" s="65"/>
      <c r="CD107" s="65"/>
    </row>
    <row r="108" spans="80:82" ht="14.25">
      <c r="CB108" s="65"/>
      <c r="CC108" s="65"/>
      <c r="CD108" s="65"/>
    </row>
    <row r="109" spans="80:82" ht="14.25">
      <c r="CB109" s="65"/>
      <c r="CC109" s="65"/>
      <c r="CD109" s="65"/>
    </row>
    <row r="110" spans="80:82" ht="14.25">
      <c r="CB110" s="65"/>
      <c r="CC110" s="65"/>
      <c r="CD110" s="65"/>
    </row>
    <row r="111" spans="80:82" ht="14.25">
      <c r="CB111" s="65"/>
      <c r="CC111" s="65"/>
      <c r="CD111" s="65"/>
    </row>
    <row r="112" spans="80:82" ht="14.25">
      <c r="CB112" s="65"/>
      <c r="CC112" s="65"/>
      <c r="CD112" s="65"/>
    </row>
    <row r="113" spans="80:82" ht="14.25">
      <c r="CB113" s="65"/>
      <c r="CC113" s="65"/>
      <c r="CD113" s="65"/>
    </row>
    <row r="114" spans="80:82" ht="14.25">
      <c r="CB114" s="65"/>
      <c r="CC114" s="65"/>
      <c r="CD114" s="65"/>
    </row>
    <row r="115" spans="80:82" ht="14.25">
      <c r="CB115" s="65"/>
      <c r="CC115" s="65"/>
      <c r="CD115" s="65"/>
    </row>
    <row r="116" spans="80:82" ht="14.25">
      <c r="CB116" s="65"/>
      <c r="CC116" s="65"/>
      <c r="CD116" s="65"/>
    </row>
    <row r="117" spans="80:82" ht="14.25">
      <c r="CB117" s="65"/>
      <c r="CC117" s="65"/>
      <c r="CD117" s="65"/>
    </row>
    <row r="118" spans="80:82" ht="14.25">
      <c r="CB118" s="65"/>
      <c r="CC118" s="65"/>
      <c r="CD118" s="65"/>
    </row>
    <row r="119" spans="80:82" ht="14.25">
      <c r="CB119" s="65"/>
      <c r="CC119" s="65"/>
      <c r="CD119" s="65"/>
    </row>
    <row r="120" spans="80:82" ht="14.25">
      <c r="CB120" s="65"/>
      <c r="CC120" s="65"/>
      <c r="CD120" s="65"/>
    </row>
    <row r="121" spans="80:82" ht="14.25">
      <c r="CB121" s="65"/>
      <c r="CC121" s="65"/>
      <c r="CD121" s="65"/>
    </row>
    <row r="122" spans="80:82" ht="14.25">
      <c r="CB122" s="65"/>
      <c r="CC122" s="65"/>
      <c r="CD122" s="65"/>
    </row>
    <row r="123" spans="80:82" ht="14.25">
      <c r="CB123" s="65"/>
      <c r="CC123" s="65"/>
      <c r="CD123" s="65"/>
    </row>
    <row r="124" spans="80:82" ht="14.25">
      <c r="CB124" s="65"/>
      <c r="CC124" s="65"/>
      <c r="CD124" s="65"/>
    </row>
    <row r="125" spans="80:82" ht="14.25">
      <c r="CB125" s="65"/>
      <c r="CC125" s="65"/>
      <c r="CD125" s="65"/>
    </row>
    <row r="126" spans="80:82" ht="14.25">
      <c r="CB126" s="65"/>
      <c r="CC126" s="65"/>
      <c r="CD126" s="65"/>
    </row>
    <row r="127" spans="80:82" ht="14.25">
      <c r="CB127" s="65"/>
      <c r="CC127" s="65"/>
      <c r="CD127" s="65"/>
    </row>
    <row r="128" spans="80:82" ht="14.25">
      <c r="CB128" s="65"/>
      <c r="CC128" s="65"/>
      <c r="CD128" s="65"/>
    </row>
    <row r="129" spans="80:82" ht="14.25">
      <c r="CB129" s="65"/>
      <c r="CC129" s="65"/>
      <c r="CD129" s="65"/>
    </row>
    <row r="130" spans="80:82" ht="14.25">
      <c r="CB130" s="65"/>
      <c r="CC130" s="65"/>
      <c r="CD130" s="65"/>
    </row>
    <row r="131" spans="80:82" ht="14.25">
      <c r="CB131" s="65"/>
      <c r="CC131" s="65"/>
      <c r="CD131" s="65"/>
    </row>
    <row r="132" spans="80:82" ht="14.25">
      <c r="CB132" s="65"/>
      <c r="CC132" s="65"/>
      <c r="CD132" s="65"/>
    </row>
    <row r="133" spans="80:82" ht="14.25">
      <c r="CB133" s="65"/>
      <c r="CC133" s="65"/>
      <c r="CD133" s="65"/>
    </row>
    <row r="134" spans="80:82" ht="14.25">
      <c r="CB134" s="65"/>
      <c r="CC134" s="65"/>
      <c r="CD134" s="65"/>
    </row>
    <row r="135" spans="80:82" ht="14.25">
      <c r="CB135" s="65"/>
      <c r="CC135" s="65"/>
      <c r="CD135" s="65"/>
    </row>
    <row r="136" spans="80:82" ht="14.25">
      <c r="CB136" s="65"/>
      <c r="CC136" s="65"/>
      <c r="CD136" s="65"/>
    </row>
    <row r="137" spans="80:82" ht="14.25">
      <c r="CB137" s="65"/>
      <c r="CC137" s="65"/>
      <c r="CD137" s="65"/>
    </row>
    <row r="138" spans="80:82" ht="14.25">
      <c r="CB138" s="65"/>
      <c r="CC138" s="65"/>
      <c r="CD138" s="65"/>
    </row>
    <row r="139" spans="80:82" ht="14.25">
      <c r="CB139" s="65"/>
      <c r="CC139" s="65"/>
      <c r="CD139" s="65"/>
    </row>
    <row r="140" spans="80:82" ht="14.25">
      <c r="CB140" s="65"/>
      <c r="CC140" s="65"/>
      <c r="CD140" s="65"/>
    </row>
    <row r="141" spans="80:82" ht="14.25">
      <c r="CB141" s="65"/>
      <c r="CC141" s="65"/>
      <c r="CD141" s="65"/>
    </row>
    <row r="142" spans="80:82" ht="14.25">
      <c r="CB142" s="65"/>
      <c r="CC142" s="65"/>
      <c r="CD142" s="65"/>
    </row>
    <row r="143" spans="80:82" ht="14.25">
      <c r="CB143" s="65"/>
      <c r="CC143" s="65"/>
      <c r="CD143" s="65"/>
    </row>
    <row r="144" spans="80:82" ht="14.25">
      <c r="CB144" s="65"/>
      <c r="CC144" s="65"/>
      <c r="CD144" s="65"/>
    </row>
    <row r="145" spans="80:82" ht="14.25">
      <c r="CB145" s="65"/>
      <c r="CC145" s="65"/>
      <c r="CD145" s="65"/>
    </row>
    <row r="146" spans="80:82" ht="14.25">
      <c r="CB146" s="65"/>
      <c r="CC146" s="65"/>
      <c r="CD146" s="65"/>
    </row>
    <row r="147" spans="80:82" ht="14.25">
      <c r="CB147" s="65"/>
      <c r="CC147" s="65"/>
      <c r="CD147" s="65"/>
    </row>
    <row r="148" spans="80:82" ht="14.25">
      <c r="CB148" s="65"/>
      <c r="CC148" s="65"/>
      <c r="CD148" s="65"/>
    </row>
    <row r="149" spans="80:82" ht="14.25">
      <c r="CB149" s="65"/>
      <c r="CC149" s="65"/>
      <c r="CD149" s="65"/>
    </row>
    <row r="150" spans="80:82" ht="14.25">
      <c r="CB150" s="65"/>
      <c r="CC150" s="65"/>
      <c r="CD150" s="65"/>
    </row>
    <row r="151" spans="80:82" ht="14.25">
      <c r="CB151" s="65"/>
      <c r="CC151" s="65"/>
      <c r="CD151" s="65"/>
    </row>
    <row r="152" spans="80:82" ht="14.25">
      <c r="CB152" s="65"/>
      <c r="CC152" s="65"/>
      <c r="CD152" s="65"/>
    </row>
    <row r="153" spans="80:82" ht="14.25">
      <c r="CB153" s="65"/>
      <c r="CC153" s="65"/>
      <c r="CD153" s="65"/>
    </row>
    <row r="154" spans="80:82" ht="14.25">
      <c r="CB154" s="65"/>
      <c r="CC154" s="65"/>
      <c r="CD154" s="65"/>
    </row>
    <row r="155" spans="80:82" ht="14.25">
      <c r="CB155" s="65"/>
      <c r="CC155" s="65"/>
      <c r="CD155" s="65"/>
    </row>
    <row r="156" spans="80:82" ht="14.25">
      <c r="CB156" s="65"/>
      <c r="CC156" s="65"/>
      <c r="CD156" s="65"/>
    </row>
    <row r="157" spans="80:82" ht="14.25">
      <c r="CB157" s="65"/>
      <c r="CC157" s="65"/>
      <c r="CD157" s="65"/>
    </row>
    <row r="158" spans="80:82" ht="14.25">
      <c r="CB158" s="65"/>
      <c r="CC158" s="65"/>
      <c r="CD158" s="65"/>
    </row>
    <row r="159" spans="80:82" ht="14.25">
      <c r="CB159" s="65"/>
      <c r="CC159" s="65"/>
      <c r="CD159" s="65"/>
    </row>
    <row r="160" spans="80:82" ht="14.25">
      <c r="CB160" s="65"/>
      <c r="CC160" s="65"/>
      <c r="CD160" s="65"/>
    </row>
    <row r="161" spans="80:82" ht="14.25">
      <c r="CB161" s="65"/>
      <c r="CC161" s="65"/>
      <c r="CD161" s="65"/>
    </row>
    <row r="162" spans="80:82" ht="14.25">
      <c r="CB162" s="65"/>
      <c r="CC162" s="65"/>
      <c r="CD162" s="65"/>
    </row>
    <row r="163" spans="80:82" ht="14.25">
      <c r="CB163" s="65"/>
      <c r="CC163" s="65"/>
      <c r="CD163" s="65"/>
    </row>
    <row r="164" spans="80:82" ht="14.25">
      <c r="CB164" s="65"/>
      <c r="CC164" s="65"/>
      <c r="CD164" s="65"/>
    </row>
    <row r="165" spans="80:82" ht="14.25">
      <c r="CB165" s="65"/>
      <c r="CC165" s="65"/>
      <c r="CD165" s="65"/>
    </row>
    <row r="166" spans="80:82" ht="14.25">
      <c r="CB166" s="65"/>
      <c r="CC166" s="65"/>
      <c r="CD166" s="65"/>
    </row>
    <row r="167" spans="80:82" ht="14.25">
      <c r="CB167" s="65"/>
      <c r="CC167" s="65"/>
      <c r="CD167" s="65"/>
    </row>
    <row r="168" spans="80:82" ht="14.25">
      <c r="CB168" s="65"/>
      <c r="CC168" s="65"/>
      <c r="CD168" s="65"/>
    </row>
    <row r="169" spans="80:82" ht="14.25">
      <c r="CB169" s="65"/>
      <c r="CC169" s="65"/>
      <c r="CD169" s="65"/>
    </row>
    <row r="170" spans="80:82" ht="14.25">
      <c r="CB170" s="65"/>
      <c r="CC170" s="65"/>
      <c r="CD170" s="65"/>
    </row>
    <row r="171" spans="80:82" ht="14.25">
      <c r="CB171" s="65"/>
      <c r="CC171" s="65"/>
      <c r="CD171" s="65"/>
    </row>
    <row r="172" spans="80:82" ht="14.25">
      <c r="CB172" s="65"/>
      <c r="CC172" s="65"/>
      <c r="CD172" s="65"/>
    </row>
    <row r="173" spans="80:82" ht="14.25">
      <c r="CB173" s="65"/>
      <c r="CC173" s="65"/>
      <c r="CD173" s="65"/>
    </row>
    <row r="174" spans="80:82" ht="14.25">
      <c r="CB174" s="65"/>
      <c r="CC174" s="65"/>
      <c r="CD174" s="65"/>
    </row>
    <row r="175" spans="80:82" ht="14.25">
      <c r="CB175" s="65"/>
      <c r="CC175" s="65"/>
      <c r="CD175" s="65"/>
    </row>
    <row r="176" spans="80:82" ht="14.25">
      <c r="CB176" s="65"/>
      <c r="CC176" s="65"/>
      <c r="CD176" s="65"/>
    </row>
    <row r="177" spans="80:82" ht="14.25">
      <c r="CB177" s="65"/>
      <c r="CC177" s="65"/>
      <c r="CD177" s="65"/>
    </row>
    <row r="178" spans="80:82" ht="14.25">
      <c r="CB178" s="65"/>
      <c r="CC178" s="65"/>
      <c r="CD178" s="65"/>
    </row>
    <row r="179" spans="80:82" ht="14.25">
      <c r="CB179" s="65"/>
      <c r="CC179" s="65"/>
      <c r="CD179" s="65"/>
    </row>
    <row r="180" spans="80:82" ht="14.25">
      <c r="CB180" s="65"/>
      <c r="CC180" s="65"/>
      <c r="CD180" s="65"/>
    </row>
    <row r="181" spans="80:82" ht="14.25">
      <c r="CB181" s="65"/>
      <c r="CC181" s="65"/>
      <c r="CD181" s="65"/>
    </row>
    <row r="182" spans="80:82" ht="14.25">
      <c r="CB182" s="65"/>
      <c r="CC182" s="65"/>
      <c r="CD182" s="65"/>
    </row>
    <row r="183" spans="80:82" ht="14.25">
      <c r="CB183" s="65"/>
      <c r="CC183" s="65"/>
      <c r="CD183" s="65"/>
    </row>
    <row r="184" spans="80:82" ht="14.25">
      <c r="CB184" s="65"/>
      <c r="CC184" s="65"/>
      <c r="CD184" s="65"/>
    </row>
    <row r="185" spans="80:82" ht="14.25">
      <c r="CB185" s="65"/>
      <c r="CC185" s="65"/>
      <c r="CD185" s="65"/>
    </row>
    <row r="186" spans="80:82" ht="14.25">
      <c r="CB186" s="65"/>
      <c r="CC186" s="65"/>
      <c r="CD186" s="65"/>
    </row>
    <row r="187" spans="80:82" ht="14.25">
      <c r="CB187" s="65"/>
      <c r="CC187" s="65"/>
      <c r="CD187" s="65"/>
    </row>
    <row r="188" spans="80:82" ht="14.25">
      <c r="CB188" s="65"/>
      <c r="CC188" s="65"/>
      <c r="CD188" s="65"/>
    </row>
    <row r="189" spans="80:82" ht="14.25">
      <c r="CB189" s="65"/>
      <c r="CC189" s="65"/>
      <c r="CD189" s="65"/>
    </row>
    <row r="190" spans="80:82" ht="14.25">
      <c r="CB190" s="65"/>
      <c r="CC190" s="65"/>
      <c r="CD190" s="65"/>
    </row>
    <row r="191" spans="80:82" ht="14.25">
      <c r="CB191" s="65"/>
      <c r="CC191" s="65"/>
      <c r="CD191" s="65"/>
    </row>
    <row r="192" spans="80:82" ht="14.25">
      <c r="CB192" s="65"/>
      <c r="CC192" s="65"/>
      <c r="CD192" s="65"/>
    </row>
    <row r="193" spans="80:82" ht="14.25">
      <c r="CB193" s="65"/>
      <c r="CC193" s="65"/>
      <c r="CD193" s="65"/>
    </row>
    <row r="194" spans="80:82" ht="14.25">
      <c r="CB194" s="65"/>
      <c r="CC194" s="65"/>
      <c r="CD194" s="65"/>
    </row>
    <row r="195" spans="80:82" ht="14.25">
      <c r="CB195" s="65"/>
      <c r="CC195" s="65"/>
      <c r="CD195" s="65"/>
    </row>
    <row r="196" spans="80:82" ht="14.25">
      <c r="CB196" s="65"/>
      <c r="CC196" s="65"/>
      <c r="CD196" s="65"/>
    </row>
    <row r="197" spans="80:82" ht="14.25">
      <c r="CB197" s="65"/>
      <c r="CC197" s="65"/>
      <c r="CD197" s="65"/>
    </row>
    <row r="198" spans="80:82" ht="14.25">
      <c r="CB198" s="65"/>
      <c r="CC198" s="65"/>
      <c r="CD198" s="65"/>
    </row>
    <row r="199" spans="80:82" ht="14.25">
      <c r="CB199" s="65"/>
      <c r="CC199" s="65"/>
      <c r="CD199" s="65"/>
    </row>
    <row r="200" spans="80:82" ht="14.25">
      <c r="CB200" s="65"/>
      <c r="CC200" s="65"/>
      <c r="CD200" s="65"/>
    </row>
    <row r="201" spans="80:82" ht="14.25">
      <c r="CB201" s="65"/>
      <c r="CC201" s="65"/>
      <c r="CD201" s="65"/>
    </row>
    <row r="202" spans="80:82" ht="14.25">
      <c r="CB202" s="65"/>
      <c r="CC202" s="65"/>
      <c r="CD202" s="65"/>
    </row>
    <row r="203" spans="80:82" ht="14.25">
      <c r="CB203" s="65"/>
      <c r="CC203" s="65"/>
      <c r="CD203" s="65"/>
    </row>
    <row r="204" spans="80:82" ht="14.25">
      <c r="CB204" s="65"/>
      <c r="CC204" s="65"/>
      <c r="CD204" s="65"/>
    </row>
    <row r="205" spans="80:82" ht="14.25">
      <c r="CB205" s="65"/>
      <c r="CC205" s="65"/>
      <c r="CD205" s="65"/>
    </row>
    <row r="206" spans="80:82" ht="14.25">
      <c r="CB206" s="65"/>
      <c r="CC206" s="65"/>
      <c r="CD206" s="65"/>
    </row>
    <row r="207" spans="80:82" ht="14.25">
      <c r="CB207" s="65"/>
      <c r="CC207" s="65"/>
      <c r="CD207" s="65"/>
    </row>
    <row r="208" spans="80:82" ht="14.25">
      <c r="CB208" s="65"/>
      <c r="CC208" s="65"/>
      <c r="CD208" s="65"/>
    </row>
    <row r="209" spans="80:82" ht="14.25">
      <c r="CB209" s="65"/>
      <c r="CC209" s="65"/>
      <c r="CD209" s="65"/>
    </row>
    <row r="210" spans="80:82" ht="14.25">
      <c r="CB210" s="65"/>
      <c r="CC210" s="65"/>
      <c r="CD210" s="65"/>
    </row>
    <row r="211" spans="80:82" ht="14.25">
      <c r="CB211" s="65"/>
      <c r="CC211" s="65"/>
      <c r="CD211" s="65"/>
    </row>
    <row r="212" spans="80:82" ht="14.25">
      <c r="CB212" s="65"/>
      <c r="CC212" s="65"/>
      <c r="CD212" s="65"/>
    </row>
    <row r="213" spans="80:82" ht="14.25">
      <c r="CB213" s="65"/>
      <c r="CC213" s="65"/>
      <c r="CD213" s="65"/>
    </row>
    <row r="214" spans="80:82" ht="14.25">
      <c r="CB214" s="65"/>
      <c r="CC214" s="65"/>
      <c r="CD214" s="65"/>
    </row>
    <row r="215" spans="80:82" ht="14.25">
      <c r="CB215" s="65"/>
      <c r="CC215" s="65"/>
      <c r="CD215" s="65"/>
    </row>
    <row r="216" spans="80:82" ht="14.25">
      <c r="CB216" s="65"/>
      <c r="CC216" s="65"/>
      <c r="CD216" s="65"/>
    </row>
    <row r="217" spans="80:82" ht="14.25">
      <c r="CB217" s="65"/>
      <c r="CC217" s="65"/>
      <c r="CD217" s="65"/>
    </row>
    <row r="218" spans="80:82" ht="14.25">
      <c r="CB218" s="65"/>
      <c r="CC218" s="65"/>
      <c r="CD218" s="65"/>
    </row>
    <row r="219" spans="80:82" ht="14.25">
      <c r="CB219" s="65"/>
      <c r="CC219" s="65"/>
      <c r="CD219" s="65"/>
    </row>
    <row r="220" spans="80:82" ht="14.25">
      <c r="CB220" s="65"/>
      <c r="CC220" s="65"/>
      <c r="CD220" s="65"/>
    </row>
    <row r="221" spans="80:82" ht="14.25">
      <c r="CB221" s="65"/>
      <c r="CC221" s="65"/>
      <c r="CD221" s="65"/>
    </row>
    <row r="222" spans="80:82" ht="14.25">
      <c r="CB222" s="65"/>
      <c r="CC222" s="65"/>
      <c r="CD222" s="65"/>
    </row>
    <row r="223" spans="80:82" ht="14.25">
      <c r="CB223" s="65"/>
      <c r="CC223" s="65"/>
      <c r="CD223" s="65"/>
    </row>
    <row r="224" spans="80:82" ht="14.25">
      <c r="CB224" s="65"/>
      <c r="CC224" s="65"/>
      <c r="CD224" s="65"/>
    </row>
    <row r="225" spans="80:82" ht="14.25">
      <c r="CB225" s="65"/>
      <c r="CC225" s="65"/>
      <c r="CD225" s="65"/>
    </row>
    <row r="226" spans="80:82" ht="14.25">
      <c r="CB226" s="65"/>
      <c r="CC226" s="65"/>
      <c r="CD226" s="65"/>
    </row>
    <row r="227" spans="80:82" ht="14.25">
      <c r="CB227" s="65"/>
      <c r="CC227" s="65"/>
      <c r="CD227" s="65"/>
    </row>
    <row r="228" spans="80:82" ht="14.25">
      <c r="CB228" s="65"/>
      <c r="CC228" s="65"/>
      <c r="CD228" s="65"/>
    </row>
    <row r="229" spans="80:82" ht="14.25">
      <c r="CB229" s="65"/>
      <c r="CC229" s="65"/>
      <c r="CD229" s="65"/>
    </row>
    <row r="230" spans="80:82" ht="14.25">
      <c r="CB230" s="65"/>
      <c r="CC230" s="65"/>
      <c r="CD230" s="65"/>
    </row>
    <row r="231" spans="80:82" ht="14.25">
      <c r="CB231" s="65"/>
      <c r="CC231" s="65"/>
      <c r="CD231" s="65"/>
    </row>
    <row r="232" spans="80:82" ht="14.25">
      <c r="CB232" s="65"/>
      <c r="CC232" s="65"/>
      <c r="CD232" s="65"/>
    </row>
    <row r="233" spans="80:82" ht="14.25">
      <c r="CB233" s="65"/>
      <c r="CC233" s="65"/>
      <c r="CD233" s="65"/>
    </row>
    <row r="234" spans="80:82" ht="14.25">
      <c r="CB234" s="65"/>
      <c r="CC234" s="65"/>
      <c r="CD234" s="65"/>
    </row>
    <row r="235" spans="80:82" ht="14.25">
      <c r="CB235" s="65"/>
      <c r="CC235" s="65"/>
      <c r="CD235" s="65"/>
    </row>
    <row r="236" spans="80:82" ht="14.25">
      <c r="CB236" s="65"/>
      <c r="CC236" s="65"/>
      <c r="CD236" s="65"/>
    </row>
    <row r="237" spans="80:82" ht="14.25">
      <c r="CB237" s="65"/>
      <c r="CC237" s="65"/>
      <c r="CD237" s="65"/>
    </row>
    <row r="238" spans="80:82" ht="14.25">
      <c r="CB238" s="65"/>
      <c r="CC238" s="65"/>
      <c r="CD238" s="65"/>
    </row>
    <row r="239" spans="80:82" ht="14.25">
      <c r="CB239" s="65"/>
      <c r="CC239" s="65"/>
      <c r="CD239" s="65"/>
    </row>
    <row r="240" spans="80:82" ht="14.25">
      <c r="CB240" s="65"/>
      <c r="CC240" s="65"/>
      <c r="CD240" s="65"/>
    </row>
    <row r="241" spans="80:82" ht="14.25">
      <c r="CB241" s="65"/>
      <c r="CC241" s="65"/>
      <c r="CD241" s="65"/>
    </row>
    <row r="242" spans="80:82" ht="14.25">
      <c r="CB242" s="65"/>
      <c r="CC242" s="65"/>
      <c r="CD242" s="65"/>
    </row>
    <row r="243" spans="80:82" ht="14.25">
      <c r="CB243" s="65"/>
      <c r="CC243" s="65"/>
      <c r="CD243" s="65"/>
    </row>
    <row r="244" spans="80:82" ht="14.25">
      <c r="CB244" s="65"/>
      <c r="CC244" s="65"/>
      <c r="CD244" s="65"/>
    </row>
    <row r="245" spans="80:82" ht="14.25">
      <c r="CB245" s="65"/>
      <c r="CC245" s="65"/>
      <c r="CD245" s="65"/>
    </row>
    <row r="246" spans="80:82" ht="14.25">
      <c r="CB246" s="65"/>
      <c r="CC246" s="65"/>
      <c r="CD246" s="65"/>
    </row>
    <row r="247" spans="80:82" ht="14.25">
      <c r="CB247" s="65"/>
      <c r="CC247" s="65"/>
      <c r="CD247" s="65"/>
    </row>
    <row r="248" spans="80:82" ht="14.25">
      <c r="CB248" s="65"/>
      <c r="CC248" s="65"/>
      <c r="CD248" s="65"/>
    </row>
    <row r="249" spans="80:82" ht="14.25">
      <c r="CB249" s="65"/>
      <c r="CC249" s="65"/>
      <c r="CD249" s="65"/>
    </row>
    <row r="250" spans="80:82" ht="14.25">
      <c r="CB250" s="65"/>
      <c r="CC250" s="65"/>
      <c r="CD250" s="65"/>
    </row>
    <row r="251" spans="80:82" ht="14.25">
      <c r="CB251" s="65"/>
      <c r="CC251" s="65"/>
      <c r="CD251" s="65"/>
    </row>
    <row r="252" spans="80:82" ht="14.25">
      <c r="CB252" s="65"/>
      <c r="CC252" s="65"/>
      <c r="CD252" s="65"/>
    </row>
    <row r="253" spans="80:82" ht="14.25">
      <c r="CB253" s="65"/>
      <c r="CC253" s="65"/>
      <c r="CD253" s="65"/>
    </row>
    <row r="254" spans="80:82" ht="14.25">
      <c r="CB254" s="65"/>
      <c r="CC254" s="65"/>
      <c r="CD254" s="65"/>
    </row>
    <row r="255" spans="80:82" ht="14.25">
      <c r="CB255" s="65"/>
      <c r="CC255" s="65"/>
      <c r="CD255" s="65"/>
    </row>
    <row r="256" spans="80:82" ht="14.25">
      <c r="CB256" s="65"/>
      <c r="CC256" s="65"/>
      <c r="CD256" s="65"/>
    </row>
    <row r="257" spans="80:82" ht="14.25">
      <c r="CB257" s="65"/>
      <c r="CC257" s="65"/>
      <c r="CD257" s="65"/>
    </row>
    <row r="258" spans="80:82" ht="14.25">
      <c r="CB258" s="65"/>
      <c r="CC258" s="65"/>
      <c r="CD258" s="65"/>
    </row>
    <row r="259" spans="80:82" ht="14.25">
      <c r="CB259" s="65"/>
      <c r="CC259" s="65"/>
      <c r="CD259" s="65"/>
    </row>
    <row r="260" spans="80:82" ht="14.25">
      <c r="CB260" s="65"/>
      <c r="CC260" s="65"/>
      <c r="CD260" s="65"/>
    </row>
    <row r="261" spans="80:82" ht="14.25">
      <c r="CB261" s="65"/>
      <c r="CC261" s="65"/>
      <c r="CD261" s="65"/>
    </row>
    <row r="262" spans="80:82" ht="14.25">
      <c r="CB262" s="65"/>
      <c r="CC262" s="65"/>
      <c r="CD262" s="65"/>
    </row>
    <row r="263" spans="80:82" ht="14.25">
      <c r="CB263" s="65"/>
      <c r="CC263" s="65"/>
      <c r="CD263" s="65"/>
    </row>
    <row r="264" spans="80:82" ht="14.25">
      <c r="CB264" s="65"/>
      <c r="CC264" s="65"/>
      <c r="CD264" s="65"/>
    </row>
    <row r="265" spans="80:82" ht="14.25">
      <c r="CB265" s="65"/>
      <c r="CC265" s="65"/>
      <c r="CD265" s="65"/>
    </row>
    <row r="266" spans="80:82" ht="14.25">
      <c r="CB266" s="65"/>
      <c r="CC266" s="65"/>
      <c r="CD266" s="65"/>
    </row>
    <row r="267" spans="80:82" ht="14.25">
      <c r="CB267" s="65"/>
      <c r="CC267" s="65"/>
      <c r="CD267" s="65"/>
    </row>
    <row r="268" spans="80:82" ht="14.25">
      <c r="CB268" s="65"/>
      <c r="CC268" s="65"/>
      <c r="CD268" s="65"/>
    </row>
    <row r="269" spans="80:82" ht="14.25">
      <c r="CB269" s="65"/>
      <c r="CC269" s="65"/>
      <c r="CD269" s="65"/>
    </row>
    <row r="270" spans="80:82" ht="14.25">
      <c r="CB270" s="65"/>
      <c r="CC270" s="65"/>
      <c r="CD270" s="65"/>
    </row>
    <row r="271" spans="80:82" ht="14.25">
      <c r="CB271" s="65"/>
      <c r="CC271" s="65"/>
      <c r="CD271" s="65"/>
    </row>
    <row r="272" spans="80:82" ht="14.25">
      <c r="CB272" s="65"/>
      <c r="CC272" s="65"/>
      <c r="CD272" s="65"/>
    </row>
    <row r="273" spans="80:82" ht="14.25">
      <c r="CB273" s="65"/>
      <c r="CC273" s="65"/>
      <c r="CD273" s="65"/>
    </row>
    <row r="274" spans="80:82" ht="14.25">
      <c r="CB274" s="65"/>
      <c r="CC274" s="65"/>
      <c r="CD274" s="65"/>
    </row>
    <row r="275" spans="80:82" ht="14.25">
      <c r="CB275" s="65"/>
      <c r="CC275" s="65"/>
      <c r="CD275" s="65"/>
    </row>
    <row r="276" spans="80:82" ht="14.25">
      <c r="CB276" s="65"/>
      <c r="CC276" s="65"/>
      <c r="CD276" s="65"/>
    </row>
    <row r="277" spans="80:82" ht="14.25">
      <c r="CB277" s="65"/>
      <c r="CC277" s="65"/>
      <c r="CD277" s="65"/>
    </row>
    <row r="278" spans="80:82" ht="14.25">
      <c r="CB278" s="65"/>
      <c r="CC278" s="65"/>
      <c r="CD278" s="65"/>
    </row>
    <row r="279" spans="80:82" ht="14.25">
      <c r="CB279" s="65"/>
      <c r="CC279" s="65"/>
      <c r="CD279" s="65"/>
    </row>
    <row r="280" spans="80:82" ht="14.25">
      <c r="CB280" s="65"/>
      <c r="CC280" s="65"/>
      <c r="CD280" s="65"/>
    </row>
    <row r="281" spans="80:82" ht="14.25">
      <c r="CB281" s="65"/>
      <c r="CC281" s="65"/>
      <c r="CD281" s="65"/>
    </row>
    <row r="282" spans="80:82" ht="14.25">
      <c r="CB282" s="65"/>
      <c r="CC282" s="65"/>
      <c r="CD282" s="65"/>
    </row>
    <row r="283" spans="80:82" ht="14.25">
      <c r="CB283" s="65"/>
      <c r="CC283" s="65"/>
      <c r="CD283" s="65"/>
    </row>
    <row r="284" spans="80:82" ht="14.25">
      <c r="CB284" s="65"/>
      <c r="CC284" s="65"/>
      <c r="CD284" s="65"/>
    </row>
    <row r="285" spans="80:82" ht="14.25">
      <c r="CB285" s="65"/>
      <c r="CC285" s="65"/>
      <c r="CD285" s="65"/>
    </row>
    <row r="286" spans="80:82" ht="14.25">
      <c r="CB286" s="65"/>
      <c r="CC286" s="65"/>
      <c r="CD286" s="65"/>
    </row>
    <row r="287" spans="80:82" ht="14.25">
      <c r="CB287" s="65"/>
      <c r="CC287" s="65"/>
      <c r="CD287" s="65"/>
    </row>
    <row r="288" spans="80:82" ht="14.25">
      <c r="CB288" s="65"/>
      <c r="CC288" s="65"/>
      <c r="CD288" s="65"/>
    </row>
    <row r="289" spans="80:82" ht="14.25">
      <c r="CB289" s="65"/>
      <c r="CC289" s="65"/>
      <c r="CD289" s="65"/>
    </row>
    <row r="290" spans="80:82" ht="14.25">
      <c r="CB290" s="65"/>
      <c r="CC290" s="65"/>
      <c r="CD290" s="65"/>
    </row>
    <row r="291" spans="80:82" ht="14.25">
      <c r="CB291" s="65"/>
      <c r="CC291" s="65"/>
      <c r="CD291" s="65"/>
    </row>
    <row r="292" spans="80:82" ht="14.25">
      <c r="CB292" s="65"/>
      <c r="CC292" s="65"/>
      <c r="CD292" s="65"/>
    </row>
    <row r="293" spans="80:82" ht="14.25">
      <c r="CB293" s="65"/>
      <c r="CC293" s="65"/>
      <c r="CD293" s="65"/>
    </row>
    <row r="294" spans="80:82" ht="14.25">
      <c r="CB294" s="65"/>
      <c r="CC294" s="65"/>
      <c r="CD294" s="65"/>
    </row>
    <row r="295" spans="80:82" ht="14.25">
      <c r="CB295" s="65"/>
      <c r="CC295" s="65"/>
      <c r="CD295" s="65"/>
    </row>
    <row r="296" spans="80:82" ht="14.25">
      <c r="CB296" s="65"/>
      <c r="CC296" s="65"/>
      <c r="CD296" s="65"/>
    </row>
    <row r="297" spans="80:82" ht="14.25">
      <c r="CB297" s="65"/>
      <c r="CC297" s="65"/>
      <c r="CD297" s="65"/>
    </row>
    <row r="298" spans="80:82" ht="14.25">
      <c r="CB298" s="65"/>
      <c r="CC298" s="65"/>
      <c r="CD298" s="65"/>
    </row>
    <row r="299" spans="80:82" ht="14.25">
      <c r="CB299" s="65"/>
      <c r="CC299" s="65"/>
      <c r="CD299" s="65"/>
    </row>
    <row r="300" spans="80:82" ht="14.25">
      <c r="CB300" s="65"/>
      <c r="CC300" s="65"/>
      <c r="CD300" s="65"/>
    </row>
    <row r="301" spans="80:82" ht="14.25">
      <c r="CB301" s="65"/>
      <c r="CC301" s="65"/>
      <c r="CD301" s="65"/>
    </row>
    <row r="302" spans="80:82" ht="14.25">
      <c r="CB302" s="65"/>
      <c r="CC302" s="65"/>
      <c r="CD302" s="65"/>
    </row>
    <row r="303" spans="80:82" ht="14.25">
      <c r="CB303" s="65"/>
      <c r="CC303" s="65"/>
      <c r="CD303" s="65"/>
    </row>
    <row r="304" spans="80:82" ht="14.25">
      <c r="CB304" s="65"/>
      <c r="CC304" s="65"/>
      <c r="CD304" s="65"/>
    </row>
    <row r="305" spans="80:82" ht="14.25">
      <c r="CB305" s="65"/>
      <c r="CC305" s="65"/>
      <c r="CD305" s="65"/>
    </row>
    <row r="306" spans="80:82" ht="14.25">
      <c r="CB306" s="65"/>
      <c r="CC306" s="65"/>
      <c r="CD306" s="65"/>
    </row>
    <row r="307" spans="80:82" ht="14.25">
      <c r="CB307" s="65"/>
      <c r="CC307" s="65"/>
      <c r="CD307" s="65"/>
    </row>
    <row r="308" spans="80:82" ht="14.25">
      <c r="CB308" s="65"/>
      <c r="CC308" s="65"/>
      <c r="CD308" s="65"/>
    </row>
    <row r="309" spans="80:82" ht="14.25">
      <c r="CB309" s="65"/>
      <c r="CC309" s="65"/>
      <c r="CD309" s="65"/>
    </row>
    <row r="310" spans="80:82" ht="14.25">
      <c r="CB310" s="65"/>
      <c r="CC310" s="65"/>
      <c r="CD310" s="65"/>
    </row>
    <row r="311" spans="80:82" ht="14.25">
      <c r="CB311" s="65"/>
      <c r="CC311" s="65"/>
      <c r="CD311" s="65"/>
    </row>
    <row r="312" spans="80:82" ht="14.25">
      <c r="CB312" s="65"/>
      <c r="CC312" s="65"/>
      <c r="CD312" s="65"/>
    </row>
    <row r="313" spans="80:82" ht="14.25">
      <c r="CB313" s="65"/>
      <c r="CC313" s="65"/>
      <c r="CD313" s="65"/>
    </row>
    <row r="314" spans="80:82" ht="14.25">
      <c r="CB314" s="65"/>
      <c r="CC314" s="65"/>
      <c r="CD314" s="65"/>
    </row>
    <row r="315" spans="80:82" ht="14.25">
      <c r="CB315" s="65"/>
      <c r="CC315" s="65"/>
      <c r="CD315" s="65"/>
    </row>
    <row r="316" spans="80:82" ht="14.25">
      <c r="CB316" s="65"/>
      <c r="CC316" s="65"/>
      <c r="CD316" s="65"/>
    </row>
    <row r="317" spans="80:82" ht="14.25">
      <c r="CB317" s="65"/>
      <c r="CC317" s="65"/>
      <c r="CD317" s="65"/>
    </row>
    <row r="318" spans="80:82" ht="14.25">
      <c r="CB318" s="65"/>
      <c r="CC318" s="65"/>
      <c r="CD318" s="65"/>
    </row>
    <row r="319" spans="80:82" ht="14.25">
      <c r="CB319" s="65"/>
      <c r="CC319" s="65"/>
      <c r="CD319" s="65"/>
    </row>
    <row r="320" spans="80:82" ht="14.25">
      <c r="CB320" s="65"/>
      <c r="CC320" s="65"/>
      <c r="CD320" s="65"/>
    </row>
    <row r="321" spans="80:82" ht="14.25">
      <c r="CB321" s="65"/>
      <c r="CC321" s="65"/>
      <c r="CD321" s="65"/>
    </row>
    <row r="322" spans="80:82" ht="14.25">
      <c r="CB322" s="65"/>
      <c r="CC322" s="65"/>
      <c r="CD322" s="65"/>
    </row>
    <row r="323" spans="80:82" ht="14.25">
      <c r="CB323" s="65"/>
      <c r="CC323" s="65"/>
      <c r="CD323" s="65"/>
    </row>
    <row r="324" spans="80:82" ht="14.25">
      <c r="CB324" s="65"/>
      <c r="CC324" s="65"/>
      <c r="CD324" s="65"/>
    </row>
    <row r="325" spans="80:82" ht="14.25">
      <c r="CB325" s="65"/>
      <c r="CC325" s="65"/>
      <c r="CD325" s="65"/>
    </row>
    <row r="326" spans="80:82" ht="14.25">
      <c r="CB326" s="65"/>
      <c r="CC326" s="65"/>
      <c r="CD326" s="65"/>
    </row>
    <row r="327" spans="80:82" ht="14.25">
      <c r="CB327" s="65"/>
      <c r="CC327" s="65"/>
      <c r="CD327" s="65"/>
    </row>
    <row r="328" spans="80:82" ht="14.25">
      <c r="CB328" s="65"/>
      <c r="CC328" s="65"/>
      <c r="CD328" s="65"/>
    </row>
    <row r="329" spans="80:82" ht="14.25">
      <c r="CB329" s="65"/>
      <c r="CC329" s="65"/>
      <c r="CD329" s="65"/>
    </row>
    <row r="330" spans="80:82" ht="14.25">
      <c r="CB330" s="65"/>
      <c r="CC330" s="65"/>
      <c r="CD330" s="65"/>
    </row>
    <row r="331" spans="80:82" ht="14.25">
      <c r="CB331" s="65"/>
      <c r="CC331" s="65"/>
      <c r="CD331" s="65"/>
    </row>
    <row r="332" spans="80:82" ht="14.25">
      <c r="CB332" s="65"/>
      <c r="CC332" s="65"/>
      <c r="CD332" s="65"/>
    </row>
    <row r="333" spans="80:82" ht="14.25">
      <c r="CB333" s="65"/>
      <c r="CC333" s="65"/>
      <c r="CD333" s="65"/>
    </row>
    <row r="334" spans="80:82" ht="14.25">
      <c r="CB334" s="65"/>
      <c r="CC334" s="65"/>
      <c r="CD334" s="65"/>
    </row>
    <row r="335" spans="80:82" ht="14.25">
      <c r="CB335" s="65"/>
      <c r="CC335" s="65"/>
      <c r="CD335" s="65"/>
    </row>
    <row r="336" spans="80:82" ht="14.25">
      <c r="CB336" s="65"/>
      <c r="CC336" s="65"/>
      <c r="CD336" s="65"/>
    </row>
    <row r="337" spans="80:82" ht="14.25">
      <c r="CB337" s="65"/>
      <c r="CC337" s="65"/>
      <c r="CD337" s="65"/>
    </row>
    <row r="338" spans="80:82" ht="14.25">
      <c r="CB338" s="65"/>
      <c r="CC338" s="65"/>
      <c r="CD338" s="65"/>
    </row>
    <row r="339" spans="80:82" ht="14.25">
      <c r="CB339" s="65"/>
      <c r="CC339" s="65"/>
      <c r="CD339" s="65"/>
    </row>
    <row r="340" spans="80:82" ht="14.25">
      <c r="CB340" s="65"/>
      <c r="CC340" s="65"/>
      <c r="CD340" s="65"/>
    </row>
    <row r="341" spans="80:82" ht="14.25">
      <c r="CB341" s="65"/>
      <c r="CC341" s="65"/>
      <c r="CD341" s="65"/>
    </row>
    <row r="342" spans="80:82" ht="14.25">
      <c r="CB342" s="65"/>
      <c r="CC342" s="65"/>
      <c r="CD342" s="65"/>
    </row>
    <row r="343" spans="80:82" ht="14.25">
      <c r="CB343" s="65"/>
      <c r="CC343" s="65"/>
      <c r="CD343" s="65"/>
    </row>
    <row r="344" spans="80:82" ht="14.25">
      <c r="CB344" s="65"/>
      <c r="CC344" s="65"/>
      <c r="CD344" s="65"/>
    </row>
    <row r="345" spans="80:82" ht="14.25">
      <c r="CB345" s="65"/>
      <c r="CC345" s="65"/>
      <c r="CD345" s="65"/>
    </row>
    <row r="346" spans="80:82" ht="14.25">
      <c r="CB346" s="65"/>
      <c r="CC346" s="65"/>
      <c r="CD346" s="65"/>
    </row>
    <row r="347" spans="80:82" ht="14.25">
      <c r="CB347" s="65"/>
      <c r="CC347" s="65"/>
      <c r="CD347" s="65"/>
    </row>
    <row r="348" spans="80:82" ht="14.25">
      <c r="CB348" s="65"/>
      <c r="CC348" s="65"/>
      <c r="CD348" s="65"/>
    </row>
    <row r="349" spans="80:82" ht="14.25">
      <c r="CB349" s="65"/>
      <c r="CC349" s="65"/>
      <c r="CD349" s="65"/>
    </row>
    <row r="350" spans="80:82" ht="14.25">
      <c r="CB350" s="65"/>
      <c r="CC350" s="65"/>
      <c r="CD350" s="65"/>
    </row>
    <row r="351" spans="80:82" ht="14.25">
      <c r="CB351" s="65"/>
      <c r="CC351" s="65"/>
      <c r="CD351" s="65"/>
    </row>
    <row r="352" spans="80:82" ht="14.25">
      <c r="CB352" s="65"/>
      <c r="CC352" s="65"/>
      <c r="CD352" s="65"/>
    </row>
    <row r="353" spans="80:82" ht="14.25">
      <c r="CB353" s="65"/>
      <c r="CC353" s="65"/>
      <c r="CD353" s="65"/>
    </row>
    <row r="354" spans="80:82" ht="14.25">
      <c r="CB354" s="65"/>
      <c r="CC354" s="65"/>
      <c r="CD354" s="65"/>
    </row>
    <row r="355" spans="80:82" ht="14.25">
      <c r="CB355" s="65"/>
      <c r="CC355" s="65"/>
      <c r="CD355" s="65"/>
    </row>
    <row r="356" spans="80:82" ht="14.25">
      <c r="CB356" s="65"/>
      <c r="CC356" s="65"/>
      <c r="CD356" s="65"/>
    </row>
    <row r="357" spans="80:82" ht="14.25">
      <c r="CB357" s="65"/>
      <c r="CC357" s="65"/>
      <c r="CD357" s="65"/>
    </row>
    <row r="358" spans="80:82" ht="14.25">
      <c r="CB358" s="65"/>
      <c r="CC358" s="65"/>
      <c r="CD358" s="65"/>
    </row>
    <row r="359" spans="80:82" ht="14.25">
      <c r="CB359" s="65"/>
      <c r="CC359" s="65"/>
      <c r="CD359" s="65"/>
    </row>
    <row r="360" spans="80:82" ht="14.25">
      <c r="CB360" s="65"/>
      <c r="CC360" s="65"/>
      <c r="CD360" s="65"/>
    </row>
    <row r="361" spans="80:82" ht="14.25">
      <c r="CB361" s="65"/>
      <c r="CC361" s="65"/>
      <c r="CD361" s="65"/>
    </row>
    <row r="362" spans="80:82" ht="14.25">
      <c r="CB362" s="65"/>
      <c r="CC362" s="65"/>
      <c r="CD362" s="65"/>
    </row>
    <row r="363" spans="80:82" ht="14.25">
      <c r="CB363" s="65"/>
      <c r="CC363" s="65"/>
      <c r="CD363" s="65"/>
    </row>
    <row r="364" spans="80:82" ht="14.25">
      <c r="CB364" s="65"/>
      <c r="CC364" s="65"/>
      <c r="CD364" s="65"/>
    </row>
    <row r="365" spans="80:82" ht="14.25">
      <c r="CB365" s="65"/>
      <c r="CC365" s="65"/>
      <c r="CD365" s="65"/>
    </row>
    <row r="366" spans="80:82" ht="14.25">
      <c r="CB366" s="65"/>
      <c r="CC366" s="65"/>
      <c r="CD366" s="65"/>
    </row>
    <row r="367" spans="80:82" ht="14.25">
      <c r="CB367" s="65"/>
      <c r="CC367" s="65"/>
      <c r="CD367" s="65"/>
    </row>
    <row r="368" spans="80:82" ht="14.25">
      <c r="CB368" s="65"/>
      <c r="CC368" s="65"/>
      <c r="CD368" s="65"/>
    </row>
    <row r="369" spans="80:82" ht="14.25">
      <c r="CB369" s="65"/>
      <c r="CC369" s="65"/>
      <c r="CD369" s="65"/>
    </row>
    <row r="370" spans="80:82" ht="14.25">
      <c r="CB370" s="65"/>
      <c r="CC370" s="65"/>
      <c r="CD370" s="65"/>
    </row>
    <row r="371" spans="80:82" ht="14.25">
      <c r="CB371" s="65"/>
      <c r="CC371" s="65"/>
      <c r="CD371" s="65"/>
    </row>
    <row r="372" spans="80:82" ht="14.25">
      <c r="CB372" s="65"/>
      <c r="CC372" s="65"/>
      <c r="CD372" s="65"/>
    </row>
    <row r="373" spans="80:82" ht="14.25">
      <c r="CB373" s="65"/>
      <c r="CC373" s="65"/>
      <c r="CD373" s="65"/>
    </row>
    <row r="374" spans="80:82" ht="14.25">
      <c r="CB374" s="65"/>
      <c r="CC374" s="65"/>
      <c r="CD374" s="65"/>
    </row>
    <row r="375" spans="80:82" ht="14.25">
      <c r="CB375" s="65"/>
      <c r="CC375" s="65"/>
      <c r="CD375" s="65"/>
    </row>
    <row r="376" spans="80:82" ht="14.25">
      <c r="CB376" s="65"/>
      <c r="CC376" s="65"/>
      <c r="CD376" s="65"/>
    </row>
    <row r="377" spans="80:82" ht="14.25">
      <c r="CB377" s="65"/>
      <c r="CC377" s="65"/>
      <c r="CD377" s="65"/>
    </row>
    <row r="378" spans="80:82" ht="14.25">
      <c r="CB378" s="65"/>
      <c r="CC378" s="65"/>
      <c r="CD378" s="65"/>
    </row>
    <row r="379" spans="80:82" ht="14.25">
      <c r="CB379" s="65"/>
      <c r="CC379" s="65"/>
      <c r="CD379" s="65"/>
    </row>
    <row r="380" spans="80:82" ht="14.25">
      <c r="CB380" s="65"/>
      <c r="CC380" s="65"/>
      <c r="CD380" s="65"/>
    </row>
    <row r="381" spans="80:82" ht="14.25">
      <c r="CB381" s="65"/>
      <c r="CC381" s="65"/>
      <c r="CD381" s="65"/>
    </row>
    <row r="382" spans="80:82" ht="14.25">
      <c r="CB382" s="65"/>
      <c r="CC382" s="65"/>
      <c r="CD382" s="65"/>
    </row>
    <row r="383" spans="80:82" ht="14.25">
      <c r="CB383" s="65"/>
      <c r="CC383" s="65"/>
      <c r="CD383" s="65"/>
    </row>
    <row r="384" spans="80:82" ht="14.25">
      <c r="CB384" s="65"/>
      <c r="CC384" s="65"/>
      <c r="CD384" s="65"/>
    </row>
    <row r="385" spans="80:82" ht="14.25">
      <c r="CB385" s="65"/>
      <c r="CC385" s="65"/>
      <c r="CD385" s="65"/>
    </row>
  </sheetData>
  <printOptions/>
  <pageMargins left="0.75" right="0.75" top="1" bottom="1" header="0.5" footer="0.5"/>
  <pageSetup fitToHeight="1" fitToWidth="1" horizontalDpi="600" verticalDpi="600" orientation="landscape" scale="61" r:id="rId2"/>
  <drawing r:id="rId1"/>
</worksheet>
</file>

<file path=xl/worksheets/sheet13.xml><?xml version="1.0" encoding="utf-8"?>
<worksheet xmlns="http://schemas.openxmlformats.org/spreadsheetml/2006/main" xmlns:r="http://schemas.openxmlformats.org/officeDocument/2006/relationships">
  <dimension ref="A1:Q72"/>
  <sheetViews>
    <sheetView workbookViewId="0" topLeftCell="D14">
      <selection activeCell="E36" sqref="E16:L36"/>
    </sheetView>
  </sheetViews>
  <sheetFormatPr defaultColWidth="9.140625" defaultRowHeight="12.75"/>
  <cols>
    <col min="3" max="3" width="18.28125" style="0" customWidth="1"/>
    <col min="4" max="4" width="25.8515625" style="0" customWidth="1"/>
    <col min="5" max="11" width="18.28125" style="0" customWidth="1"/>
    <col min="12" max="12" width="17.421875" style="0" customWidth="1"/>
    <col min="13" max="15" width="18.28125" style="0" customWidth="1"/>
  </cols>
  <sheetData>
    <row r="1" spans="1:17" ht="12.75">
      <c r="A1" s="2"/>
      <c r="B1" s="2"/>
      <c r="C1" s="2"/>
      <c r="D1" s="2"/>
      <c r="E1" s="2"/>
      <c r="F1" s="2"/>
      <c r="G1" s="2"/>
      <c r="H1" s="2"/>
      <c r="I1" s="2"/>
      <c r="J1" s="2"/>
      <c r="K1" s="2"/>
      <c r="L1" s="2"/>
      <c r="M1" s="2"/>
      <c r="N1" s="2"/>
      <c r="O1" s="2"/>
      <c r="P1" s="2"/>
      <c r="Q1" s="2"/>
    </row>
    <row r="2" spans="1:17" ht="12.75">
      <c r="A2" s="2"/>
      <c r="B2" s="2"/>
      <c r="C2" s="2"/>
      <c r="D2" s="2"/>
      <c r="E2" s="2"/>
      <c r="F2" s="2"/>
      <c r="G2" s="2"/>
      <c r="H2" s="2"/>
      <c r="I2" s="2"/>
      <c r="J2" s="2"/>
      <c r="K2" s="2"/>
      <c r="L2" s="2"/>
      <c r="M2" s="2"/>
      <c r="N2" s="2"/>
      <c r="O2" s="2"/>
      <c r="P2" s="2"/>
      <c r="Q2" s="2"/>
    </row>
    <row r="3" spans="1:17" ht="12.75">
      <c r="A3" s="2"/>
      <c r="B3" s="2"/>
      <c r="C3" s="2"/>
      <c r="D3" s="2"/>
      <c r="E3" s="2"/>
      <c r="F3" s="2"/>
      <c r="G3" s="2"/>
      <c r="H3" s="2"/>
      <c r="I3" s="2"/>
      <c r="J3" s="2"/>
      <c r="K3" s="2"/>
      <c r="L3" s="2"/>
      <c r="M3" s="2"/>
      <c r="N3" s="2"/>
      <c r="O3" s="2"/>
      <c r="P3" s="2"/>
      <c r="Q3" s="2"/>
    </row>
    <row r="4" spans="1:17" ht="12.75">
      <c r="A4" s="2"/>
      <c r="B4" s="2"/>
      <c r="C4" s="2"/>
      <c r="D4" s="2"/>
      <c r="E4" s="2"/>
      <c r="F4" s="2"/>
      <c r="G4" s="2"/>
      <c r="H4" s="2"/>
      <c r="I4" s="2"/>
      <c r="J4" s="2" t="s">
        <v>247</v>
      </c>
      <c r="K4" s="2"/>
      <c r="L4" s="2"/>
      <c r="M4" s="2"/>
      <c r="N4" s="2"/>
      <c r="O4" s="2"/>
      <c r="P4" s="2"/>
      <c r="Q4" s="2"/>
    </row>
    <row r="5" spans="1:17" ht="12.75">
      <c r="A5" s="2"/>
      <c r="B5" s="2" t="s">
        <v>249</v>
      </c>
      <c r="C5" s="39">
        <v>7.9</v>
      </c>
      <c r="D5" s="39">
        <v>15.83</v>
      </c>
      <c r="E5" s="39">
        <v>15.84</v>
      </c>
      <c r="F5" s="39">
        <v>22.14</v>
      </c>
      <c r="G5" s="39">
        <v>19.42</v>
      </c>
      <c r="H5" s="39">
        <v>5.2</v>
      </c>
      <c r="I5" s="39"/>
      <c r="J5" s="39">
        <f>SUM(C5:I5)</f>
        <v>86.33</v>
      </c>
      <c r="K5" s="2"/>
      <c r="L5" s="2"/>
      <c r="M5" s="2"/>
      <c r="N5" s="2"/>
      <c r="O5" s="2"/>
      <c r="P5" s="2"/>
      <c r="Q5" s="2"/>
    </row>
    <row r="6" spans="1:17" ht="12.75">
      <c r="A6" s="2"/>
      <c r="B6" s="2" t="s">
        <v>250</v>
      </c>
      <c r="C6" s="39">
        <v>7.9</v>
      </c>
      <c r="D6" s="39">
        <v>15.83</v>
      </c>
      <c r="E6" s="39">
        <f>15.8+1.7</f>
        <v>17.5</v>
      </c>
      <c r="F6" s="39">
        <v>15.9</v>
      </c>
      <c r="G6" s="39">
        <v>15.9</v>
      </c>
      <c r="H6" s="39">
        <v>15.9</v>
      </c>
      <c r="I6" s="39">
        <v>5.199</v>
      </c>
      <c r="J6" s="39">
        <f>SUM(C6:I6)</f>
        <v>94.129</v>
      </c>
      <c r="K6" s="2"/>
      <c r="L6" s="2"/>
      <c r="M6" s="2"/>
      <c r="N6" s="2"/>
      <c r="O6" s="2"/>
      <c r="P6" s="2"/>
      <c r="Q6" s="2"/>
    </row>
    <row r="7" spans="1:17" ht="12.75">
      <c r="A7" s="2"/>
      <c r="B7" s="2" t="s">
        <v>246</v>
      </c>
      <c r="C7" s="39">
        <v>6.062</v>
      </c>
      <c r="D7" s="39">
        <v>13.658</v>
      </c>
      <c r="E7" s="39">
        <v>18.238</v>
      </c>
      <c r="F7" s="39">
        <v>15.425</v>
      </c>
      <c r="G7" s="39">
        <v>13.289</v>
      </c>
      <c r="H7" s="39">
        <v>12.748</v>
      </c>
      <c r="I7" s="39">
        <v>2.466</v>
      </c>
      <c r="J7" s="39">
        <f>SUM(C7:I7)</f>
        <v>81.886</v>
      </c>
      <c r="K7" s="2"/>
      <c r="L7" s="2"/>
      <c r="M7" s="2"/>
      <c r="N7" s="2"/>
      <c r="O7" s="2"/>
      <c r="P7" s="2"/>
      <c r="Q7" s="2"/>
    </row>
    <row r="8" spans="1:17" ht="12.75">
      <c r="A8" s="2"/>
      <c r="B8" s="2" t="s">
        <v>131</v>
      </c>
      <c r="C8" s="39"/>
      <c r="D8" s="39"/>
      <c r="E8" s="39">
        <v>0.8</v>
      </c>
      <c r="F8" s="39">
        <v>3</v>
      </c>
      <c r="G8" s="39">
        <v>2.6</v>
      </c>
      <c r="H8" s="39">
        <v>3.1</v>
      </c>
      <c r="I8" s="39">
        <v>2.742</v>
      </c>
      <c r="J8" s="39">
        <f>SUM(C8:I8)</f>
        <v>12.242</v>
      </c>
      <c r="K8" s="2"/>
      <c r="L8" s="2"/>
      <c r="M8" s="2"/>
      <c r="N8" s="2"/>
      <c r="O8" s="2"/>
      <c r="P8" s="2"/>
      <c r="Q8" s="2"/>
    </row>
    <row r="9" spans="1:17" ht="12.75">
      <c r="A9" s="2"/>
      <c r="B9" s="2" t="s">
        <v>251</v>
      </c>
      <c r="C9" s="39">
        <f>+C5</f>
        <v>7.9</v>
      </c>
      <c r="D9" s="39">
        <f>+C9+D5</f>
        <v>23.73</v>
      </c>
      <c r="E9" s="39">
        <f>+D9+E5</f>
        <v>39.57</v>
      </c>
      <c r="F9" s="39">
        <f>+E9+F5</f>
        <v>61.71</v>
      </c>
      <c r="G9" s="39">
        <f>+F9+G5</f>
        <v>81.13</v>
      </c>
      <c r="H9" s="39">
        <f>+G9+H5</f>
        <v>86.33</v>
      </c>
      <c r="I9" s="40">
        <f>+H9</f>
        <v>86.33</v>
      </c>
      <c r="J9" s="39"/>
      <c r="K9" s="2"/>
      <c r="L9" s="2"/>
      <c r="M9" s="2"/>
      <c r="N9" s="2"/>
      <c r="O9" s="2"/>
      <c r="P9" s="2"/>
      <c r="Q9" s="2"/>
    </row>
    <row r="10" spans="1:17" ht="12.75">
      <c r="A10" s="2"/>
      <c r="B10" s="2" t="s">
        <v>252</v>
      </c>
      <c r="C10" s="41">
        <f>+C6</f>
        <v>7.9</v>
      </c>
      <c r="D10" s="41">
        <f aca="true" t="shared" si="0" ref="D10:I11">+C10+D6</f>
        <v>23.73</v>
      </c>
      <c r="E10" s="41">
        <f t="shared" si="0"/>
        <v>41.230000000000004</v>
      </c>
      <c r="F10" s="41">
        <f t="shared" si="0"/>
        <v>57.13</v>
      </c>
      <c r="G10" s="41">
        <f t="shared" si="0"/>
        <v>73.03</v>
      </c>
      <c r="H10" s="41">
        <f t="shared" si="0"/>
        <v>88.93</v>
      </c>
      <c r="I10" s="41">
        <f t="shared" si="0"/>
        <v>94.129</v>
      </c>
      <c r="J10" s="39"/>
      <c r="K10" s="2"/>
      <c r="L10" s="2"/>
      <c r="M10" s="2"/>
      <c r="N10" s="2"/>
      <c r="O10" s="2"/>
      <c r="P10" s="2"/>
      <c r="Q10" s="2"/>
    </row>
    <row r="11" spans="1:17" ht="12.75">
      <c r="A11" s="2"/>
      <c r="B11" s="2" t="s">
        <v>253</v>
      </c>
      <c r="C11" s="41">
        <f>+C7</f>
        <v>6.062</v>
      </c>
      <c r="D11" s="41">
        <f t="shared" si="0"/>
        <v>19.72</v>
      </c>
      <c r="E11" s="41">
        <f t="shared" si="0"/>
        <v>37.958</v>
      </c>
      <c r="F11" s="41">
        <f t="shared" si="0"/>
        <v>53.382999999999996</v>
      </c>
      <c r="G11" s="41">
        <f t="shared" si="0"/>
        <v>66.672</v>
      </c>
      <c r="H11" s="41">
        <f t="shared" si="0"/>
        <v>79.42</v>
      </c>
      <c r="I11" s="41">
        <f t="shared" si="0"/>
        <v>81.886</v>
      </c>
      <c r="J11" s="39"/>
      <c r="K11" s="2"/>
      <c r="L11" s="2"/>
      <c r="M11" s="2"/>
      <c r="N11" s="2"/>
      <c r="O11" s="2"/>
      <c r="P11" s="2"/>
      <c r="Q11" s="2"/>
    </row>
    <row r="12" spans="1:17" ht="12.75">
      <c r="A12" s="2"/>
      <c r="B12" s="2"/>
      <c r="C12" s="2"/>
      <c r="D12" s="2"/>
      <c r="E12" s="2"/>
      <c r="F12" s="2"/>
      <c r="G12" s="2"/>
      <c r="H12" s="2"/>
      <c r="I12" s="2"/>
      <c r="J12" s="2"/>
      <c r="K12" s="2"/>
      <c r="L12" s="2"/>
      <c r="M12" s="2"/>
      <c r="N12" s="2"/>
      <c r="O12" s="2"/>
      <c r="P12" s="2"/>
      <c r="Q12" s="2"/>
    </row>
    <row r="13" spans="1:17" ht="12.75">
      <c r="A13" s="2"/>
      <c r="B13" s="2"/>
      <c r="C13" s="2"/>
      <c r="D13" s="2"/>
      <c r="E13" s="2"/>
      <c r="F13" s="2"/>
      <c r="G13" s="2"/>
      <c r="H13" s="2"/>
      <c r="I13" s="2"/>
      <c r="J13" s="2"/>
      <c r="K13" s="2"/>
      <c r="L13" s="2"/>
      <c r="M13" s="2"/>
      <c r="N13" s="2"/>
      <c r="O13" s="2"/>
      <c r="P13" s="2"/>
      <c r="Q13" s="2"/>
    </row>
    <row r="14" spans="1:17" ht="12.75">
      <c r="A14" s="2"/>
      <c r="B14" s="2"/>
      <c r="C14" s="2"/>
      <c r="D14" s="2"/>
      <c r="E14" s="2"/>
      <c r="F14" s="2"/>
      <c r="G14" s="2"/>
      <c r="H14" s="2"/>
      <c r="I14" s="2"/>
      <c r="J14" s="2"/>
      <c r="K14" s="2"/>
      <c r="L14" s="2"/>
      <c r="M14" s="2"/>
      <c r="N14" s="2"/>
      <c r="O14" s="2"/>
      <c r="P14" s="2"/>
      <c r="Q14" s="2"/>
    </row>
    <row r="15" spans="1:17" ht="12.75">
      <c r="A15" s="2"/>
      <c r="B15" s="2"/>
      <c r="C15" s="2"/>
      <c r="D15" s="2"/>
      <c r="E15" s="2"/>
      <c r="F15" s="2"/>
      <c r="G15" s="2"/>
      <c r="H15" s="2"/>
      <c r="I15" s="2"/>
      <c r="J15" s="2"/>
      <c r="K15" s="2"/>
      <c r="L15" s="2"/>
      <c r="M15" s="2"/>
      <c r="N15" s="2"/>
      <c r="O15" s="2"/>
      <c r="P15" s="2"/>
      <c r="Q15" s="2"/>
    </row>
    <row r="16" spans="1:17" ht="12.75">
      <c r="A16" s="2"/>
      <c r="B16" s="2"/>
      <c r="C16" s="2"/>
      <c r="D16" s="2"/>
      <c r="E16" s="2"/>
      <c r="F16" s="2"/>
      <c r="G16" s="2"/>
      <c r="H16" s="2"/>
      <c r="I16" s="2"/>
      <c r="J16" s="2"/>
      <c r="K16" s="2"/>
      <c r="L16" s="2"/>
      <c r="M16" s="2"/>
      <c r="N16" s="2"/>
      <c r="O16" s="2"/>
      <c r="P16" s="2"/>
      <c r="Q16" s="2"/>
    </row>
    <row r="17" spans="1:17" ht="19.5" customHeight="1">
      <c r="A17" s="2"/>
      <c r="B17" s="2"/>
      <c r="C17" s="2"/>
      <c r="D17" s="2"/>
      <c r="E17" s="2"/>
      <c r="F17" s="2"/>
      <c r="G17" s="2"/>
      <c r="H17" s="2"/>
      <c r="I17" s="2"/>
      <c r="J17" s="2"/>
      <c r="K17" s="2"/>
      <c r="L17" s="2"/>
      <c r="M17" s="2"/>
      <c r="N17" s="2"/>
      <c r="O17" s="2"/>
      <c r="P17" s="2"/>
      <c r="Q17" s="2"/>
    </row>
    <row r="18" spans="1:17" ht="19.5" customHeight="1">
      <c r="A18" s="2"/>
      <c r="B18" s="2"/>
      <c r="C18" s="2"/>
      <c r="D18" s="2"/>
      <c r="E18" s="2"/>
      <c r="F18" s="2"/>
      <c r="G18" s="2"/>
      <c r="H18" s="2"/>
      <c r="I18" s="2"/>
      <c r="J18" s="2"/>
      <c r="K18" s="2"/>
      <c r="L18" s="2"/>
      <c r="M18" s="2"/>
      <c r="N18" s="2"/>
      <c r="O18" s="2"/>
      <c r="P18" s="2"/>
      <c r="Q18" s="2"/>
    </row>
    <row r="19" spans="1:17" ht="19.5" customHeight="1">
      <c r="A19" s="2"/>
      <c r="B19" s="2"/>
      <c r="C19" s="2"/>
      <c r="D19" s="2"/>
      <c r="E19" s="2"/>
      <c r="F19" s="2"/>
      <c r="G19" s="2"/>
      <c r="H19" s="2"/>
      <c r="I19" s="2"/>
      <c r="J19" s="2"/>
      <c r="K19" s="2"/>
      <c r="L19" s="2"/>
      <c r="M19" s="2"/>
      <c r="N19" s="2"/>
      <c r="O19" s="2"/>
      <c r="P19" s="2"/>
      <c r="Q19" s="2"/>
    </row>
    <row r="20" spans="1:17" ht="19.5" customHeight="1">
      <c r="A20" s="2"/>
      <c r="B20" s="2"/>
      <c r="C20" s="2"/>
      <c r="D20" s="2"/>
      <c r="E20" s="2"/>
      <c r="F20" s="2"/>
      <c r="G20" s="2"/>
      <c r="H20" s="2"/>
      <c r="I20" s="2"/>
      <c r="J20" s="2"/>
      <c r="K20" s="2"/>
      <c r="L20" s="2"/>
      <c r="M20" s="2"/>
      <c r="N20" s="2"/>
      <c r="O20" s="2"/>
      <c r="P20" s="2"/>
      <c r="Q20" s="2"/>
    </row>
    <row r="21" spans="1:17" ht="19.5" customHeight="1">
      <c r="A21" s="2"/>
      <c r="B21" s="2"/>
      <c r="C21" s="2"/>
      <c r="D21" s="2"/>
      <c r="E21" s="2"/>
      <c r="F21" s="2"/>
      <c r="G21" s="2"/>
      <c r="H21" s="2"/>
      <c r="I21" s="2"/>
      <c r="J21" s="2"/>
      <c r="K21" s="2"/>
      <c r="L21" s="2"/>
      <c r="M21" s="2"/>
      <c r="N21" s="2"/>
      <c r="O21" s="2"/>
      <c r="P21" s="2"/>
      <c r="Q21" s="2"/>
    </row>
    <row r="22" spans="1:17" ht="19.5" customHeight="1">
      <c r="A22" s="2"/>
      <c r="B22" s="42"/>
      <c r="C22" s="2"/>
      <c r="D22" s="2"/>
      <c r="E22" s="2"/>
      <c r="F22" s="2"/>
      <c r="G22" s="2"/>
      <c r="H22" s="2"/>
      <c r="I22" s="2"/>
      <c r="J22" s="2"/>
      <c r="K22" s="2"/>
      <c r="L22" s="2"/>
      <c r="M22" s="2"/>
      <c r="N22" s="2"/>
      <c r="O22" s="2"/>
      <c r="P22" s="2"/>
      <c r="Q22" s="2"/>
    </row>
    <row r="23" spans="1:17" ht="19.5" customHeight="1">
      <c r="A23" s="2"/>
      <c r="B23" s="42"/>
      <c r="C23" s="2"/>
      <c r="D23" s="2"/>
      <c r="E23" s="2"/>
      <c r="F23" s="2"/>
      <c r="G23" s="2"/>
      <c r="H23" s="2"/>
      <c r="I23" s="2"/>
      <c r="J23" s="2"/>
      <c r="K23" s="2"/>
      <c r="L23" s="2"/>
      <c r="M23" s="2"/>
      <c r="N23" s="2"/>
      <c r="O23" s="2"/>
      <c r="P23" s="2"/>
      <c r="Q23" s="2"/>
    </row>
    <row r="24" spans="1:17" ht="19.5" customHeight="1">
      <c r="A24" s="42" t="s">
        <v>248</v>
      </c>
      <c r="B24" s="2"/>
      <c r="C24" s="2"/>
      <c r="D24" s="2"/>
      <c r="E24" s="2"/>
      <c r="F24" s="2"/>
      <c r="G24" s="2"/>
      <c r="H24" s="2"/>
      <c r="I24" s="2"/>
      <c r="J24" s="2"/>
      <c r="K24" s="2"/>
      <c r="L24" s="2"/>
      <c r="M24" s="2"/>
      <c r="N24" s="2"/>
      <c r="O24" s="2"/>
      <c r="P24" s="2"/>
      <c r="Q24" s="2"/>
    </row>
    <row r="25" spans="1:17" ht="19.5" customHeight="1">
      <c r="A25" s="2"/>
      <c r="B25" s="2"/>
      <c r="C25" s="43"/>
      <c r="D25" s="2"/>
      <c r="E25" s="2"/>
      <c r="F25" s="2"/>
      <c r="G25" s="2"/>
      <c r="H25" s="2"/>
      <c r="I25" s="2"/>
      <c r="J25" s="2"/>
      <c r="K25" s="2"/>
      <c r="L25" s="2"/>
      <c r="M25" s="2"/>
      <c r="N25" s="2"/>
      <c r="O25" s="2"/>
      <c r="P25" s="2"/>
      <c r="Q25" s="2"/>
    </row>
    <row r="26" spans="1:17" ht="19.5" customHeight="1">
      <c r="A26" s="2"/>
      <c r="B26" s="2"/>
      <c r="C26" s="43"/>
      <c r="D26" s="2"/>
      <c r="E26" s="2"/>
      <c r="F26" s="2"/>
      <c r="G26" s="2"/>
      <c r="H26" s="2"/>
      <c r="I26" s="2"/>
      <c r="J26" s="2"/>
      <c r="K26" s="2"/>
      <c r="L26" s="2"/>
      <c r="M26" s="2"/>
      <c r="N26" s="2"/>
      <c r="O26" s="2"/>
      <c r="P26" s="2"/>
      <c r="Q26" s="2"/>
    </row>
    <row r="27" spans="1:17" ht="19.5" customHeight="1">
      <c r="A27" s="2"/>
      <c r="B27" s="2"/>
      <c r="C27" s="43"/>
      <c r="D27" s="2"/>
      <c r="E27" s="2"/>
      <c r="F27" s="2"/>
      <c r="G27" s="2"/>
      <c r="H27" s="2"/>
      <c r="I27" s="2"/>
      <c r="J27" s="2"/>
      <c r="K27" s="2"/>
      <c r="L27" s="2"/>
      <c r="M27" s="2"/>
      <c r="N27" s="2"/>
      <c r="O27" s="2"/>
      <c r="P27" s="2"/>
      <c r="Q27" s="2"/>
    </row>
    <row r="28" spans="1:17" ht="19.5" customHeight="1">
      <c r="A28" s="2"/>
      <c r="B28" s="2"/>
      <c r="C28" s="43"/>
      <c r="D28" s="2"/>
      <c r="E28" s="2"/>
      <c r="F28" s="2"/>
      <c r="G28" s="2"/>
      <c r="H28" s="2"/>
      <c r="I28" s="2"/>
      <c r="J28" s="2"/>
      <c r="K28" s="2"/>
      <c r="L28" s="2"/>
      <c r="M28" s="2"/>
      <c r="N28" s="2"/>
      <c r="O28" s="2"/>
      <c r="P28" s="2"/>
      <c r="Q28" s="2"/>
    </row>
    <row r="29" spans="1:17" ht="19.5" customHeight="1">
      <c r="A29" s="2"/>
      <c r="B29" s="2"/>
      <c r="C29" s="43"/>
      <c r="D29" s="2"/>
      <c r="E29" s="2"/>
      <c r="F29" s="2"/>
      <c r="G29" s="2"/>
      <c r="H29" s="2"/>
      <c r="I29" s="2"/>
      <c r="J29" s="2"/>
      <c r="K29" s="2"/>
      <c r="L29" s="2"/>
      <c r="M29" s="2"/>
      <c r="N29" s="2"/>
      <c r="O29" s="2"/>
      <c r="P29" s="2"/>
      <c r="Q29" s="2"/>
    </row>
    <row r="30" spans="1:17" ht="12.75">
      <c r="A30" s="2"/>
      <c r="B30" s="2"/>
      <c r="C30" s="43"/>
      <c r="D30" s="2"/>
      <c r="E30" s="2"/>
      <c r="F30" s="2"/>
      <c r="G30" s="2"/>
      <c r="H30" s="2"/>
      <c r="I30" s="2"/>
      <c r="J30" s="2"/>
      <c r="K30" s="2"/>
      <c r="L30" s="2"/>
      <c r="M30" s="2"/>
      <c r="N30" s="2"/>
      <c r="O30" s="2"/>
      <c r="P30" s="2"/>
      <c r="Q30" s="2"/>
    </row>
    <row r="31" spans="1:17" ht="12.75">
      <c r="A31" s="2"/>
      <c r="B31" s="2"/>
      <c r="C31" s="1"/>
      <c r="E31" s="2"/>
      <c r="F31" s="2"/>
      <c r="G31" s="2"/>
      <c r="H31" s="2"/>
      <c r="I31" s="2"/>
      <c r="J31" s="2"/>
      <c r="K31" s="2"/>
      <c r="L31" s="2"/>
      <c r="M31" s="2"/>
      <c r="N31" s="2"/>
      <c r="O31" s="2"/>
      <c r="P31" s="2"/>
      <c r="Q31" s="2"/>
    </row>
    <row r="32" spans="1:17" ht="12.75">
      <c r="A32" s="2"/>
      <c r="B32" s="2"/>
      <c r="C32" s="43"/>
      <c r="D32" s="2"/>
      <c r="E32" s="2"/>
      <c r="F32" s="2"/>
      <c r="G32" s="2"/>
      <c r="H32" s="2"/>
      <c r="I32" s="2"/>
      <c r="J32" s="2"/>
      <c r="K32" s="2"/>
      <c r="L32" s="2"/>
      <c r="M32" s="2"/>
      <c r="N32" s="2"/>
      <c r="O32" s="2"/>
      <c r="P32" s="2"/>
      <c r="Q32" s="2"/>
    </row>
    <row r="33" spans="1:17" ht="12.75">
      <c r="A33" s="2"/>
      <c r="B33" s="2"/>
      <c r="C33" s="43"/>
      <c r="D33" s="2"/>
      <c r="E33" s="2"/>
      <c r="F33" s="2"/>
      <c r="G33" s="2"/>
      <c r="H33" s="2"/>
      <c r="I33" s="2"/>
      <c r="J33" s="2"/>
      <c r="K33" s="2"/>
      <c r="L33" s="2"/>
      <c r="M33" s="2"/>
      <c r="N33" s="2"/>
      <c r="O33" s="2"/>
      <c r="P33" s="2"/>
      <c r="Q33" s="2"/>
    </row>
    <row r="34" spans="1:17" ht="12.75">
      <c r="A34" s="2"/>
      <c r="B34" s="2"/>
      <c r="C34" s="43"/>
      <c r="D34" s="2"/>
      <c r="E34" s="2"/>
      <c r="F34" s="2"/>
      <c r="G34" s="2"/>
      <c r="H34" s="2"/>
      <c r="I34" s="2"/>
      <c r="J34" s="2"/>
      <c r="K34" s="2"/>
      <c r="L34" s="2"/>
      <c r="M34" s="2"/>
      <c r="N34" s="2"/>
      <c r="O34" s="2"/>
      <c r="P34" s="2"/>
      <c r="Q34" s="2"/>
    </row>
    <row r="35" spans="1:17" ht="12.75">
      <c r="A35" s="42">
        <v>0.24801079386681524</v>
      </c>
      <c r="B35" s="2"/>
      <c r="C35" s="43"/>
      <c r="D35" s="43"/>
      <c r="E35" s="43"/>
      <c r="F35" s="2"/>
      <c r="G35" s="2"/>
      <c r="H35" s="2"/>
      <c r="I35" s="2"/>
      <c r="J35" s="2"/>
      <c r="K35" s="2"/>
      <c r="L35" s="2"/>
      <c r="M35" s="2"/>
      <c r="N35" s="2"/>
      <c r="O35" s="2"/>
      <c r="P35" s="2"/>
      <c r="Q35" s="2"/>
    </row>
    <row r="36" spans="1:17" ht="12.75">
      <c r="A36" s="43"/>
      <c r="B36" s="2"/>
      <c r="C36" s="43"/>
      <c r="D36" s="43"/>
      <c r="E36" s="43"/>
      <c r="F36" s="2"/>
      <c r="G36" s="2"/>
      <c r="H36" s="2"/>
      <c r="I36" s="2"/>
      <c r="J36" s="2"/>
      <c r="K36" s="2"/>
      <c r="L36" s="2"/>
      <c r="M36" s="2"/>
      <c r="N36" s="2"/>
      <c r="O36" s="2"/>
      <c r="P36" s="2"/>
      <c r="Q36" s="2"/>
    </row>
    <row r="37" spans="1:17" ht="12.75">
      <c r="A37" s="43"/>
      <c r="B37" s="2"/>
      <c r="C37" s="43"/>
      <c r="D37" s="43"/>
      <c r="E37" s="43"/>
      <c r="F37" s="2"/>
      <c r="G37" s="2"/>
      <c r="H37" s="2"/>
      <c r="I37" s="2"/>
      <c r="J37" s="2"/>
      <c r="K37" s="2"/>
      <c r="L37" s="2"/>
      <c r="M37" s="2"/>
      <c r="N37" s="2"/>
      <c r="O37" s="2"/>
      <c r="P37" s="2"/>
      <c r="Q37" s="2"/>
    </row>
    <row r="38" spans="1:17" ht="12.75">
      <c r="A38" s="43"/>
      <c r="B38" s="2"/>
      <c r="C38" s="43"/>
      <c r="D38" s="43"/>
      <c r="E38" s="43"/>
      <c r="F38" s="2"/>
      <c r="G38" s="2"/>
      <c r="H38" s="2"/>
      <c r="I38" s="2"/>
      <c r="J38" s="2"/>
      <c r="K38" s="2"/>
      <c r="L38" s="2"/>
      <c r="M38" s="2"/>
      <c r="N38" s="2"/>
      <c r="O38" s="2"/>
      <c r="P38" s="2"/>
      <c r="Q38" s="2"/>
    </row>
    <row r="39" spans="1:17" ht="12.75">
      <c r="A39" s="43"/>
      <c r="B39" s="2"/>
      <c r="C39" s="43"/>
      <c r="D39" s="43"/>
      <c r="E39" s="43"/>
      <c r="F39" s="2"/>
      <c r="G39" s="2"/>
      <c r="H39" s="2"/>
      <c r="I39" s="2"/>
      <c r="J39" s="2"/>
      <c r="K39" s="2"/>
      <c r="L39" s="2"/>
      <c r="M39" s="2"/>
      <c r="N39" s="2"/>
      <c r="O39" s="2"/>
      <c r="P39" s="2"/>
      <c r="Q39" s="2"/>
    </row>
    <row r="40" spans="1:17" ht="20.25">
      <c r="A40" s="43"/>
      <c r="B40" s="2"/>
      <c r="C40" s="43"/>
      <c r="D40" s="44"/>
      <c r="E40" s="45" t="s">
        <v>106</v>
      </c>
      <c r="F40" s="45" t="s">
        <v>107</v>
      </c>
      <c r="G40" s="45" t="s">
        <v>108</v>
      </c>
      <c r="H40" s="45" t="s">
        <v>109</v>
      </c>
      <c r="I40" s="45" t="s">
        <v>110</v>
      </c>
      <c r="J40" s="45" t="s">
        <v>111</v>
      </c>
      <c r="K40" s="45" t="s">
        <v>112</v>
      </c>
      <c r="L40" s="45" t="s">
        <v>247</v>
      </c>
      <c r="M40" s="46"/>
      <c r="N40" s="2"/>
      <c r="O40" s="2"/>
      <c r="P40" s="2"/>
      <c r="Q40" s="2"/>
    </row>
    <row r="41" spans="1:17" ht="20.25">
      <c r="A41" s="43"/>
      <c r="B41" s="42">
        <v>0.22014308865035648</v>
      </c>
      <c r="C41" s="2"/>
      <c r="D41" s="44" t="s">
        <v>254</v>
      </c>
      <c r="E41" s="47">
        <v>7.897</v>
      </c>
      <c r="F41" s="47">
        <v>15.921</v>
      </c>
      <c r="G41" s="47">
        <f>15.8+1.7</f>
        <v>17.5</v>
      </c>
      <c r="H41" s="47">
        <v>17</v>
      </c>
      <c r="I41" s="47">
        <v>15.9</v>
      </c>
      <c r="J41" s="47">
        <v>15.9</v>
      </c>
      <c r="K41" s="47">
        <v>2.3</v>
      </c>
      <c r="L41" s="47">
        <f>SUM(E41:K41)</f>
        <v>92.418</v>
      </c>
      <c r="M41" s="46"/>
      <c r="N41" s="2"/>
      <c r="O41" s="2"/>
      <c r="P41" s="2"/>
      <c r="Q41" s="2"/>
    </row>
    <row r="42" spans="1:17" ht="20.25">
      <c r="A42" s="2"/>
      <c r="B42" s="42"/>
      <c r="C42" s="2"/>
      <c r="D42" s="48" t="s">
        <v>670</v>
      </c>
      <c r="E42" s="49">
        <v>5.9419</v>
      </c>
      <c r="F42" s="49">
        <v>14.239349</v>
      </c>
      <c r="G42" s="49">
        <f>18.162</f>
        <v>18.162</v>
      </c>
      <c r="H42" s="49">
        <f>19.949-0.2</f>
        <v>19.749000000000002</v>
      </c>
      <c r="I42" s="49">
        <f>15.1</f>
        <v>15.1</v>
      </c>
      <c r="J42" s="49">
        <v>9.8</v>
      </c>
      <c r="K42" s="49">
        <v>1.6</v>
      </c>
      <c r="L42" s="49">
        <f>SUM(E42:K42)</f>
        <v>84.592249</v>
      </c>
      <c r="M42" s="50"/>
      <c r="N42" s="2"/>
      <c r="O42" s="2"/>
      <c r="P42" s="2"/>
      <c r="Q42" s="2"/>
    </row>
    <row r="43" spans="1:17" ht="20.25">
      <c r="A43" s="2"/>
      <c r="B43" s="42">
        <v>0.05</v>
      </c>
      <c r="C43" s="2"/>
      <c r="D43" s="51" t="s">
        <v>131</v>
      </c>
      <c r="E43" s="52"/>
      <c r="F43" s="52"/>
      <c r="G43" s="52"/>
      <c r="H43" s="52"/>
      <c r="I43" s="52">
        <v>1</v>
      </c>
      <c r="J43" s="52">
        <v>6.1</v>
      </c>
      <c r="K43" s="52">
        <v>0.7</v>
      </c>
      <c r="L43" s="52">
        <f>SUM(E43:K43)</f>
        <v>7.8</v>
      </c>
      <c r="M43" s="50"/>
      <c r="N43" s="2"/>
      <c r="O43" s="2"/>
      <c r="P43" s="2"/>
      <c r="Q43" s="2"/>
    </row>
    <row r="44" spans="1:17" ht="20.25">
      <c r="A44" s="2"/>
      <c r="B44" s="42">
        <v>0.1</v>
      </c>
      <c r="C44" s="2"/>
      <c r="D44" s="339" t="s">
        <v>671</v>
      </c>
      <c r="E44" s="53">
        <f>SUM(E42:E43)</f>
        <v>5.9419</v>
      </c>
      <c r="F44" s="53">
        <f aca="true" t="shared" si="1" ref="F44:K44">SUM(F42:F43)</f>
        <v>14.239349</v>
      </c>
      <c r="G44" s="53">
        <f t="shared" si="1"/>
        <v>18.162</v>
      </c>
      <c r="H44" s="53">
        <f t="shared" si="1"/>
        <v>19.749000000000002</v>
      </c>
      <c r="I44" s="53">
        <f t="shared" si="1"/>
        <v>16.1</v>
      </c>
      <c r="J44" s="53">
        <f t="shared" si="1"/>
        <v>15.9</v>
      </c>
      <c r="K44" s="53">
        <f t="shared" si="1"/>
        <v>2.3</v>
      </c>
      <c r="L44" s="53">
        <f>SUM(L42:L43)</f>
        <v>92.39224899999999</v>
      </c>
      <c r="M44" s="54"/>
      <c r="N44" s="2"/>
      <c r="O44" s="2"/>
      <c r="P44" s="2"/>
      <c r="Q44" s="2"/>
    </row>
    <row r="45" spans="1:17" ht="18.75">
      <c r="A45" s="2"/>
      <c r="B45" s="42">
        <v>0.334858046224092</v>
      </c>
      <c r="C45" s="2"/>
      <c r="D45" s="2"/>
      <c r="E45" s="2"/>
      <c r="F45" s="2"/>
      <c r="G45" s="2"/>
      <c r="H45" s="2"/>
      <c r="I45" s="2"/>
      <c r="J45" s="2"/>
      <c r="K45" s="2"/>
      <c r="L45" s="63"/>
      <c r="M45" s="55"/>
      <c r="N45" s="2"/>
      <c r="O45" s="2"/>
      <c r="P45" s="2"/>
      <c r="Q45" s="2"/>
    </row>
    <row r="46" spans="1:17" ht="20.25">
      <c r="A46" s="2"/>
      <c r="B46" s="42">
        <v>0.19578569925803052</v>
      </c>
      <c r="C46" s="2"/>
      <c r="D46" s="56" t="s">
        <v>255</v>
      </c>
      <c r="E46" s="57">
        <f>+E41</f>
        <v>7.897</v>
      </c>
      <c r="F46" s="57">
        <f aca="true" t="shared" si="2" ref="F46:K47">+E46+F41</f>
        <v>23.817999999999998</v>
      </c>
      <c r="G46" s="57">
        <f t="shared" si="2"/>
        <v>41.318</v>
      </c>
      <c r="H46" s="57">
        <f t="shared" si="2"/>
        <v>58.318</v>
      </c>
      <c r="I46" s="57">
        <f t="shared" si="2"/>
        <v>74.218</v>
      </c>
      <c r="J46" s="57">
        <f t="shared" si="2"/>
        <v>90.11800000000001</v>
      </c>
      <c r="K46" s="57">
        <f t="shared" si="2"/>
        <v>92.418</v>
      </c>
      <c r="L46" s="2"/>
      <c r="M46" s="46"/>
      <c r="N46" s="2"/>
      <c r="O46" s="2"/>
      <c r="P46" s="2"/>
      <c r="Q46" s="2"/>
    </row>
    <row r="47" spans="1:17" ht="20.25">
      <c r="A47" s="2"/>
      <c r="B47" s="42">
        <v>0.11239991731944626</v>
      </c>
      <c r="C47" s="2"/>
      <c r="D47" s="58" t="s">
        <v>9</v>
      </c>
      <c r="E47" s="59">
        <f>+E42</f>
        <v>5.9419</v>
      </c>
      <c r="F47" s="60">
        <f t="shared" si="2"/>
        <v>20.181249</v>
      </c>
      <c r="G47" s="60">
        <f t="shared" si="2"/>
        <v>38.343249</v>
      </c>
      <c r="H47" s="60">
        <f t="shared" si="2"/>
        <v>58.092249</v>
      </c>
      <c r="I47" s="60">
        <f t="shared" si="2"/>
        <v>73.192249</v>
      </c>
      <c r="J47" s="60">
        <f t="shared" si="2"/>
        <v>82.992249</v>
      </c>
      <c r="K47" s="60">
        <f t="shared" si="2"/>
        <v>84.592249</v>
      </c>
      <c r="L47" s="2"/>
      <c r="M47" s="2"/>
      <c r="N47" s="368"/>
      <c r="O47" s="2"/>
      <c r="P47" s="2"/>
      <c r="Q47" s="2"/>
    </row>
    <row r="48" spans="1:17" ht="12.75">
      <c r="A48" s="2"/>
      <c r="B48" s="42">
        <v>0.2201430886503562</v>
      </c>
      <c r="C48" s="2"/>
      <c r="D48" s="2"/>
      <c r="E48" s="2"/>
      <c r="F48" s="2"/>
      <c r="G48" s="2"/>
      <c r="H48" s="2"/>
      <c r="I48" s="2"/>
      <c r="J48" s="2"/>
      <c r="K48" s="2"/>
      <c r="L48" s="2"/>
      <c r="M48" s="2"/>
      <c r="N48" s="2"/>
      <c r="O48" s="2"/>
      <c r="P48" s="2"/>
      <c r="Q48" s="2"/>
    </row>
    <row r="49" spans="1:17" ht="20.25">
      <c r="A49" s="2"/>
      <c r="B49" s="2"/>
      <c r="C49" s="2"/>
      <c r="D49" s="61" t="s">
        <v>256</v>
      </c>
      <c r="E49" s="62">
        <f>+E44</f>
        <v>5.9419</v>
      </c>
      <c r="F49" s="62">
        <f aca="true" t="shared" si="3" ref="F49:K49">+E49+F44</f>
        <v>20.181249</v>
      </c>
      <c r="G49" s="62">
        <f t="shared" si="3"/>
        <v>38.343249</v>
      </c>
      <c r="H49" s="62">
        <f t="shared" si="3"/>
        <v>58.092249</v>
      </c>
      <c r="I49" s="62">
        <f t="shared" si="3"/>
        <v>74.192249</v>
      </c>
      <c r="J49" s="62">
        <f t="shared" si="3"/>
        <v>90.09224900000001</v>
      </c>
      <c r="K49" s="62">
        <f t="shared" si="3"/>
        <v>92.392249</v>
      </c>
      <c r="L49" s="2"/>
      <c r="M49" s="2"/>
      <c r="N49" s="2"/>
      <c r="O49" s="2"/>
      <c r="P49" s="2"/>
      <c r="Q49" s="2"/>
    </row>
    <row r="50" spans="1:17" ht="12.75">
      <c r="A50" s="2"/>
      <c r="B50" s="2"/>
      <c r="C50" s="2"/>
      <c r="D50" s="2"/>
      <c r="F50" s="2">
        <v>23.8</v>
      </c>
      <c r="G50" s="2">
        <v>41.3</v>
      </c>
      <c r="H50" s="2">
        <v>58.3</v>
      </c>
      <c r="I50" s="2">
        <v>74.2</v>
      </c>
      <c r="J50" s="2">
        <v>90.1</v>
      </c>
      <c r="K50" s="2">
        <v>92.4</v>
      </c>
      <c r="L50" s="2"/>
      <c r="M50" s="2"/>
      <c r="N50" s="2"/>
      <c r="O50" s="2"/>
      <c r="P50" s="2"/>
      <c r="Q50" s="2"/>
    </row>
    <row r="51" spans="1:17" ht="12.75">
      <c r="A51" s="2"/>
      <c r="B51" s="2"/>
      <c r="C51" s="2"/>
      <c r="D51" s="2" t="s">
        <v>0</v>
      </c>
      <c r="E51" s="2"/>
      <c r="F51" s="2"/>
      <c r="G51" s="2">
        <v>-0.415</v>
      </c>
      <c r="H51" s="2">
        <v>-1.047</v>
      </c>
      <c r="I51" s="2">
        <v>-0.7120000000000001</v>
      </c>
      <c r="J51" s="2">
        <v>0.151</v>
      </c>
      <c r="K51" s="2">
        <v>0.121</v>
      </c>
      <c r="L51" s="2"/>
      <c r="M51" s="2"/>
      <c r="N51" s="2"/>
      <c r="O51" s="2"/>
      <c r="P51" s="2"/>
      <c r="Q51" s="2"/>
    </row>
    <row r="52" spans="1:17" ht="12.75">
      <c r="A52" s="2"/>
      <c r="B52" s="2"/>
      <c r="C52" s="2"/>
      <c r="D52" s="2" t="s">
        <v>1</v>
      </c>
      <c r="E52" s="2"/>
      <c r="F52" s="2">
        <f aca="true" t="shared" si="4" ref="F52:K52">-F51</f>
        <v>0</v>
      </c>
      <c r="G52" s="2">
        <f t="shared" si="4"/>
        <v>0.415</v>
      </c>
      <c r="H52" s="2">
        <f t="shared" si="4"/>
        <v>1.047</v>
      </c>
      <c r="I52" s="2">
        <f t="shared" si="4"/>
        <v>0.7120000000000001</v>
      </c>
      <c r="J52" s="2">
        <f t="shared" si="4"/>
        <v>-0.151</v>
      </c>
      <c r="K52" s="2">
        <f t="shared" si="4"/>
        <v>-0.121</v>
      </c>
      <c r="L52" s="2"/>
      <c r="M52" s="2"/>
      <c r="N52" s="2"/>
      <c r="O52" s="2"/>
      <c r="P52" s="2"/>
      <c r="Q52" s="2"/>
    </row>
    <row r="53" spans="1:17" ht="12.75">
      <c r="A53" s="2"/>
      <c r="B53" s="2"/>
      <c r="C53" s="2"/>
      <c r="D53" s="2"/>
      <c r="E53" s="2"/>
      <c r="F53" s="2"/>
      <c r="G53" s="2"/>
      <c r="H53" s="2"/>
      <c r="I53" s="2"/>
      <c r="J53" s="2"/>
      <c r="K53" s="2"/>
      <c r="L53" s="2"/>
      <c r="M53" s="2"/>
      <c r="N53" s="2"/>
      <c r="O53" s="2"/>
      <c r="P53" s="2"/>
      <c r="Q53" s="2"/>
    </row>
    <row r="54" spans="1:17" ht="12.75">
      <c r="A54" s="2"/>
      <c r="B54" s="2"/>
      <c r="C54" s="2"/>
      <c r="D54" s="2"/>
      <c r="E54" s="2"/>
      <c r="F54" s="2"/>
      <c r="G54" s="2"/>
      <c r="H54" s="2"/>
      <c r="I54" s="2"/>
      <c r="J54" s="2"/>
      <c r="K54" s="2"/>
      <c r="L54" s="2"/>
      <c r="M54" s="2"/>
      <c r="N54" s="2"/>
      <c r="O54" s="2"/>
      <c r="P54" s="2"/>
      <c r="Q54" s="2"/>
    </row>
    <row r="55" spans="1:17" ht="12.75">
      <c r="A55" s="2"/>
      <c r="B55" s="2"/>
      <c r="C55" s="2"/>
      <c r="D55" s="2"/>
      <c r="E55" s="2"/>
      <c r="F55" s="2"/>
      <c r="G55" s="2"/>
      <c r="H55" s="2"/>
      <c r="I55" s="2"/>
      <c r="J55" s="2"/>
      <c r="K55" s="2"/>
      <c r="L55" s="2"/>
      <c r="M55" s="2"/>
      <c r="N55" s="2"/>
      <c r="O55" s="2"/>
      <c r="P55" s="2"/>
      <c r="Q55" s="2"/>
    </row>
    <row r="56" spans="1:17" ht="12.75">
      <c r="A56" s="2"/>
      <c r="B56" s="2"/>
      <c r="C56" s="2"/>
      <c r="D56" s="2"/>
      <c r="E56" s="2" t="s">
        <v>2</v>
      </c>
      <c r="F56" s="2">
        <f>SUM(G56:L56)</f>
        <v>-0.24</v>
      </c>
      <c r="G56" s="2">
        <v>-0.12</v>
      </c>
      <c r="H56" s="2">
        <v>-0.12</v>
      </c>
      <c r="I56" s="2"/>
      <c r="J56" s="2"/>
      <c r="K56" s="2"/>
      <c r="L56" s="2"/>
      <c r="M56" s="2"/>
      <c r="N56" s="2"/>
      <c r="O56" s="2"/>
      <c r="P56" s="2"/>
      <c r="Q56" s="2"/>
    </row>
    <row r="57" spans="1:17" ht="12.75">
      <c r="A57" s="2"/>
      <c r="B57" s="2"/>
      <c r="C57" s="2"/>
      <c r="D57" s="2"/>
      <c r="E57" s="2" t="s">
        <v>3</v>
      </c>
      <c r="F57" s="2">
        <f aca="true" t="shared" si="5" ref="F57:F62">SUM(G57:L57)</f>
        <v>-0.6000000000000001</v>
      </c>
      <c r="G57" s="2">
        <v>-0.2</v>
      </c>
      <c r="H57" s="2">
        <v>-0.2</v>
      </c>
      <c r="I57" s="2">
        <v>-0.2</v>
      </c>
      <c r="J57" s="2"/>
      <c r="K57" s="2"/>
      <c r="L57" s="2"/>
      <c r="M57" s="2"/>
      <c r="N57" s="2"/>
      <c r="O57" s="2"/>
      <c r="P57" s="2"/>
      <c r="Q57" s="2"/>
    </row>
    <row r="58" spans="1:17" ht="12.75">
      <c r="A58" s="2"/>
      <c r="B58" s="2"/>
      <c r="C58" s="2"/>
      <c r="D58" s="2"/>
      <c r="E58" s="2" t="s">
        <v>4</v>
      </c>
      <c r="F58" s="2">
        <f t="shared" si="5"/>
        <v>-0.64</v>
      </c>
      <c r="G58" s="2"/>
      <c r="H58" s="2">
        <v>-0.32</v>
      </c>
      <c r="I58" s="2">
        <v>-0.32</v>
      </c>
      <c r="J58" s="2"/>
      <c r="K58" s="2"/>
      <c r="L58" s="2"/>
      <c r="M58" s="2"/>
      <c r="N58" s="2"/>
      <c r="O58" s="2"/>
      <c r="P58" s="2"/>
      <c r="Q58" s="2"/>
    </row>
    <row r="59" spans="1:17" ht="12.75">
      <c r="A59" s="2"/>
      <c r="B59" s="2"/>
      <c r="C59" s="2"/>
      <c r="D59" s="2"/>
      <c r="E59" s="2" t="s">
        <v>5</v>
      </c>
      <c r="F59" s="2">
        <f t="shared" si="5"/>
        <v>-0.095</v>
      </c>
      <c r="G59" s="2">
        <v>-0.095</v>
      </c>
      <c r="H59" s="2"/>
      <c r="I59" s="2"/>
      <c r="J59" s="2"/>
      <c r="K59" s="2"/>
      <c r="L59" s="2"/>
      <c r="M59" s="2"/>
      <c r="N59" s="2"/>
      <c r="O59" s="2"/>
      <c r="P59" s="2"/>
      <c r="Q59" s="2"/>
    </row>
    <row r="60" spans="1:17" ht="12.75">
      <c r="A60" s="2"/>
      <c r="B60" s="2"/>
      <c r="C60" s="2"/>
      <c r="D60" s="2"/>
      <c r="E60" s="2" t="s">
        <v>5</v>
      </c>
      <c r="F60" s="2">
        <f t="shared" si="5"/>
        <v>-0.097</v>
      </c>
      <c r="G60" s="2"/>
      <c r="H60" s="2">
        <v>-0.097</v>
      </c>
      <c r="I60" s="2"/>
      <c r="J60" s="2"/>
      <c r="K60" s="2"/>
      <c r="L60" s="2"/>
      <c r="M60" s="2"/>
      <c r="N60" s="2"/>
      <c r="O60" s="2"/>
      <c r="P60" s="2"/>
      <c r="Q60" s="2"/>
    </row>
    <row r="61" spans="1:17" ht="12.75">
      <c r="A61" s="2"/>
      <c r="B61" s="2"/>
      <c r="C61" s="2"/>
      <c r="D61" s="2"/>
      <c r="E61" s="2" t="s">
        <v>6</v>
      </c>
      <c r="F61" s="2">
        <f t="shared" si="5"/>
        <v>-0.3</v>
      </c>
      <c r="G61" s="2"/>
      <c r="H61" s="2">
        <v>-0.15</v>
      </c>
      <c r="I61" s="2">
        <v>-0.15</v>
      </c>
      <c r="J61" s="2"/>
      <c r="K61" s="2"/>
      <c r="L61" s="2"/>
      <c r="M61" s="2"/>
      <c r="N61" s="2"/>
      <c r="O61" s="2"/>
      <c r="P61" s="2"/>
      <c r="Q61" s="2"/>
    </row>
    <row r="62" spans="1:17" ht="12.75">
      <c r="A62" s="2"/>
      <c r="B62" s="2"/>
      <c r="C62" s="2"/>
      <c r="D62" s="2"/>
      <c r="E62" s="2" t="s">
        <v>7</v>
      </c>
      <c r="F62" s="2">
        <f t="shared" si="5"/>
        <v>-0.32</v>
      </c>
      <c r="G62" s="2"/>
      <c r="H62" s="2">
        <v>-0.16</v>
      </c>
      <c r="I62" s="2">
        <v>-0.16</v>
      </c>
      <c r="J62" s="2"/>
      <c r="K62" s="2"/>
      <c r="L62" s="2"/>
      <c r="M62" s="2"/>
      <c r="N62" s="2"/>
      <c r="O62" s="2"/>
      <c r="P62" s="2"/>
      <c r="Q62" s="2"/>
    </row>
    <row r="63" spans="1:17" ht="12.75">
      <c r="A63" s="2"/>
      <c r="B63" s="2"/>
      <c r="C63" s="2"/>
      <c r="D63" s="2"/>
      <c r="E63" s="2" t="s">
        <v>8</v>
      </c>
      <c r="F63" s="2">
        <f>SUM(G63:L64)</f>
        <v>0.48</v>
      </c>
      <c r="G63" s="2"/>
      <c r="H63" s="2"/>
      <c r="I63" s="2">
        <v>0.118</v>
      </c>
      <c r="J63" s="2">
        <v>0.151</v>
      </c>
      <c r="K63" s="2">
        <v>0.121</v>
      </c>
      <c r="L63" s="2"/>
      <c r="M63" s="2"/>
      <c r="N63" s="2"/>
      <c r="O63" s="2"/>
      <c r="P63" s="2"/>
      <c r="Q63" s="2"/>
    </row>
    <row r="64" spans="1:17" ht="12.75">
      <c r="A64" s="2"/>
      <c r="B64" s="2"/>
      <c r="C64" s="2"/>
      <c r="D64" s="2"/>
      <c r="E64" s="2"/>
      <c r="F64" s="2"/>
      <c r="G64" s="2"/>
      <c r="H64" s="2"/>
      <c r="I64" s="2"/>
      <c r="J64" s="2">
        <v>0.09</v>
      </c>
      <c r="K64" s="2"/>
      <c r="L64" s="2"/>
      <c r="M64" s="2"/>
      <c r="N64" s="2"/>
      <c r="O64" s="2"/>
      <c r="P64" s="2"/>
      <c r="Q64" s="2"/>
    </row>
    <row r="65" spans="1:17" ht="12.75">
      <c r="A65" s="2"/>
      <c r="B65" s="2"/>
      <c r="C65" s="2"/>
      <c r="D65" s="2"/>
      <c r="E65" s="2"/>
      <c r="F65" s="2"/>
      <c r="G65" s="2"/>
      <c r="H65" s="2"/>
      <c r="I65" s="2"/>
      <c r="J65" s="2"/>
      <c r="K65" s="2"/>
      <c r="L65" s="2"/>
      <c r="M65" s="2"/>
      <c r="N65" s="2"/>
      <c r="O65" s="2"/>
      <c r="P65" s="2"/>
      <c r="Q65" s="2"/>
    </row>
    <row r="66" spans="1:17" ht="12.75">
      <c r="A66" s="2"/>
      <c r="B66" s="2"/>
      <c r="C66" s="2"/>
      <c r="D66" s="2"/>
      <c r="E66" s="2"/>
      <c r="F66" s="2"/>
      <c r="G66" s="2"/>
      <c r="H66" s="2"/>
      <c r="I66" s="2"/>
      <c r="J66" s="2"/>
      <c r="K66" s="2"/>
      <c r="L66" s="2"/>
      <c r="M66" s="2"/>
      <c r="N66" s="2"/>
      <c r="O66" s="2"/>
      <c r="P66" s="2"/>
      <c r="Q66" s="2"/>
    </row>
    <row r="67" spans="1:17" ht="12.75">
      <c r="A67" s="2"/>
      <c r="B67" s="2"/>
      <c r="C67" s="2"/>
      <c r="D67" s="2"/>
      <c r="E67" s="2"/>
      <c r="F67" s="2"/>
      <c r="G67" s="2"/>
      <c r="H67" s="2"/>
      <c r="I67" s="2"/>
      <c r="J67" s="2"/>
      <c r="K67" s="2"/>
      <c r="L67" s="2"/>
      <c r="M67" s="2"/>
      <c r="N67" s="2"/>
      <c r="O67" s="2"/>
      <c r="P67" s="2"/>
      <c r="Q67" s="2"/>
    </row>
    <row r="68" spans="1:17" ht="12.75">
      <c r="A68" s="2"/>
      <c r="B68" s="2"/>
      <c r="C68" s="2"/>
      <c r="D68" s="2"/>
      <c r="E68" s="2"/>
      <c r="F68" s="2"/>
      <c r="G68" s="2"/>
      <c r="H68" s="2"/>
      <c r="I68" s="2"/>
      <c r="J68" s="2"/>
      <c r="K68" s="2"/>
      <c r="L68" s="2"/>
      <c r="M68" s="2"/>
      <c r="N68" s="2"/>
      <c r="O68" s="2"/>
      <c r="P68" s="2"/>
      <c r="Q68" s="2"/>
    </row>
    <row r="69" spans="1:17" ht="12.75">
      <c r="A69" s="2"/>
      <c r="B69" s="2"/>
      <c r="C69" s="2"/>
      <c r="D69" s="2"/>
      <c r="E69" s="2"/>
      <c r="F69" s="2"/>
      <c r="G69" s="2"/>
      <c r="H69" s="2"/>
      <c r="I69" s="2"/>
      <c r="J69" s="2"/>
      <c r="K69" s="2"/>
      <c r="L69" s="2"/>
      <c r="M69" s="2"/>
      <c r="N69" s="2"/>
      <c r="O69" s="2"/>
      <c r="P69" s="2"/>
      <c r="Q69" s="2"/>
    </row>
    <row r="70" spans="1:17" ht="12.75">
      <c r="A70" s="2"/>
      <c r="B70" s="2"/>
      <c r="C70" s="2"/>
      <c r="D70" s="2"/>
      <c r="E70" s="2"/>
      <c r="F70" s="2"/>
      <c r="G70" s="2"/>
      <c r="H70" s="2"/>
      <c r="I70" s="2"/>
      <c r="J70" s="2"/>
      <c r="K70" s="2"/>
      <c r="L70" s="2"/>
      <c r="M70" s="2"/>
      <c r="N70" s="2"/>
      <c r="O70" s="2"/>
      <c r="P70" s="2"/>
      <c r="Q70" s="2"/>
    </row>
    <row r="71" spans="1:17" ht="12.75">
      <c r="A71" s="2"/>
      <c r="B71" s="2"/>
      <c r="C71" s="2"/>
      <c r="D71" s="2"/>
      <c r="E71" s="2"/>
      <c r="F71" s="2"/>
      <c r="G71" s="2"/>
      <c r="H71" s="2"/>
      <c r="I71" s="2"/>
      <c r="J71" s="2"/>
      <c r="K71" s="2"/>
      <c r="L71" s="2"/>
      <c r="M71" s="2"/>
      <c r="N71" s="2"/>
      <c r="O71" s="2"/>
      <c r="P71" s="2"/>
      <c r="Q71" s="2"/>
    </row>
    <row r="72" spans="1:17" ht="12.75">
      <c r="A72" s="2"/>
      <c r="B72" s="2"/>
      <c r="C72" s="2"/>
      <c r="D72" s="2"/>
      <c r="E72" s="2"/>
      <c r="F72" s="2"/>
      <c r="G72" s="2"/>
      <c r="H72" s="2"/>
      <c r="I72" s="2"/>
      <c r="J72" s="2"/>
      <c r="K72" s="2"/>
      <c r="L72" s="2"/>
      <c r="M72" s="2"/>
      <c r="N72" s="2"/>
      <c r="O72" s="2"/>
      <c r="P72" s="2"/>
      <c r="Q72" s="2"/>
    </row>
  </sheetData>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Q52"/>
  <sheetViews>
    <sheetView workbookViewId="0" topLeftCell="A1">
      <selection activeCell="E6" sqref="E6:J14"/>
    </sheetView>
  </sheetViews>
  <sheetFormatPr defaultColWidth="9.140625" defaultRowHeight="12.75"/>
  <cols>
    <col min="1" max="6" width="12.7109375" style="2" customWidth="1"/>
    <col min="7" max="9" width="12.7109375" style="43" customWidth="1"/>
    <col min="10" max="10" width="18.28125" style="43" customWidth="1"/>
    <col min="11" max="14" width="12.7109375" style="43" customWidth="1"/>
    <col min="15" max="16384" width="12.7109375" style="2" customWidth="1"/>
  </cols>
  <sheetData>
    <row r="1" ht="12.75">
      <c r="I1" s="644"/>
    </row>
    <row r="2" spans="2:17" ht="12.75">
      <c r="B2" s="4"/>
      <c r="C2" s="4"/>
      <c r="D2" s="4"/>
      <c r="Q2" s="4"/>
    </row>
    <row r="3" spans="2:8" ht="12.75">
      <c r="B3" s="4"/>
      <c r="C3" s="4"/>
      <c r="D3" s="4"/>
      <c r="E3" s="431"/>
      <c r="F3" s="431"/>
      <c r="G3" s="429"/>
      <c r="H3" s="429"/>
    </row>
    <row r="4" spans="2:8" ht="12.75">
      <c r="B4" s="4"/>
      <c r="C4" s="4"/>
      <c r="D4" s="4"/>
      <c r="E4" s="431"/>
      <c r="F4" s="431"/>
      <c r="G4" s="429"/>
      <c r="H4" s="429"/>
    </row>
    <row r="5" spans="2:8" ht="12.75">
      <c r="B5" s="4"/>
      <c r="C5" s="4"/>
      <c r="D5" s="4"/>
      <c r="E5" s="431"/>
      <c r="F5" s="431"/>
      <c r="G5" s="429"/>
      <c r="H5" s="429"/>
    </row>
    <row r="6" spans="2:16" ht="15">
      <c r="B6" s="4"/>
      <c r="C6" s="4"/>
      <c r="D6" s="4"/>
      <c r="E6" s="428" t="s">
        <v>796</v>
      </c>
      <c r="F6" s="428" t="s">
        <v>153</v>
      </c>
      <c r="G6" s="648" t="s">
        <v>154</v>
      </c>
      <c r="H6" s="649" t="s">
        <v>802</v>
      </c>
      <c r="I6" s="7"/>
      <c r="J6" s="7"/>
      <c r="P6" s="4"/>
    </row>
    <row r="7" spans="2:10" ht="12.75">
      <c r="B7" s="4"/>
      <c r="C7" s="4"/>
      <c r="D7" s="4"/>
      <c r="E7" s="650">
        <v>48.2</v>
      </c>
      <c r="F7" s="650">
        <v>46.35</v>
      </c>
      <c r="G7" s="651">
        <v>48</v>
      </c>
      <c r="H7" s="651">
        <v>83.65</v>
      </c>
      <c r="I7" s="648"/>
      <c r="J7" s="7"/>
    </row>
    <row r="8" spans="2:10" ht="12.75">
      <c r="B8" s="4"/>
      <c r="C8" s="4"/>
      <c r="D8" s="4"/>
      <c r="E8" s="652"/>
      <c r="F8" s="6"/>
      <c r="G8" s="653"/>
      <c r="H8" s="654">
        <v>8.74</v>
      </c>
      <c r="I8" s="7" t="s">
        <v>797</v>
      </c>
      <c r="J8" s="655">
        <v>0.234</v>
      </c>
    </row>
    <row r="9" spans="2:10" ht="12.75">
      <c r="B9" s="4"/>
      <c r="C9" s="4"/>
      <c r="D9" s="4"/>
      <c r="E9" s="652"/>
      <c r="F9" s="656">
        <f>+F7/H7</f>
        <v>0.5540944411237299</v>
      </c>
      <c r="G9" s="657">
        <f>+G7/(H7+H8)</f>
        <v>0.5195367464011257</v>
      </c>
      <c r="H9" s="651">
        <f>SUM(H7:H8)</f>
        <v>92.39</v>
      </c>
      <c r="I9" s="7" t="s">
        <v>801</v>
      </c>
      <c r="J9" s="7" t="s">
        <v>798</v>
      </c>
    </row>
    <row r="10" spans="1:16" ht="12.75">
      <c r="A10" s="4"/>
      <c r="B10" s="4"/>
      <c r="C10" s="4"/>
      <c r="D10" s="4"/>
      <c r="E10" s="652"/>
      <c r="F10" s="652" t="s">
        <v>799</v>
      </c>
      <c r="G10" s="653" t="s">
        <v>800</v>
      </c>
      <c r="H10" s="7"/>
      <c r="I10" s="7"/>
      <c r="J10" s="7"/>
      <c r="P10" s="4"/>
    </row>
    <row r="11" spans="2:16" ht="5.25" customHeight="1">
      <c r="B11" s="4"/>
      <c r="C11" s="4"/>
      <c r="D11" s="4"/>
      <c r="E11" s="652"/>
      <c r="F11" s="6"/>
      <c r="G11" s="7"/>
      <c r="H11" s="653"/>
      <c r="I11" s="7"/>
      <c r="J11" s="7"/>
      <c r="P11" s="4"/>
    </row>
    <row r="12" spans="2:10" ht="12.75">
      <c r="B12" s="4"/>
      <c r="C12" s="4"/>
      <c r="D12" s="4"/>
      <c r="E12" s="428" t="s">
        <v>109</v>
      </c>
      <c r="F12" s="652"/>
      <c r="G12" s="653"/>
      <c r="H12" s="653"/>
      <c r="I12" s="7"/>
      <c r="J12" s="7"/>
    </row>
    <row r="13" spans="2:10" ht="12.75">
      <c r="B13" s="4"/>
      <c r="C13" s="4"/>
      <c r="D13" s="4"/>
      <c r="E13" s="6"/>
      <c r="F13" s="658" t="s">
        <v>803</v>
      </c>
      <c r="G13" s="659">
        <v>19.949</v>
      </c>
      <c r="H13" s="7"/>
      <c r="I13" s="7"/>
      <c r="J13" s="7"/>
    </row>
    <row r="14" spans="2:16" ht="12.75">
      <c r="B14" s="4"/>
      <c r="C14" s="4"/>
      <c r="D14" s="4"/>
      <c r="E14" s="6"/>
      <c r="F14" s="658" t="s">
        <v>804</v>
      </c>
      <c r="G14" s="659">
        <v>19.8</v>
      </c>
      <c r="H14" s="660" t="s">
        <v>805</v>
      </c>
      <c r="I14" s="7"/>
      <c r="J14" s="7"/>
      <c r="P14" s="4"/>
    </row>
    <row r="15" spans="2:4" ht="12.75">
      <c r="B15" s="4"/>
      <c r="C15" s="4"/>
      <c r="D15" s="4"/>
    </row>
    <row r="16" spans="2:4" ht="12.75">
      <c r="B16" s="4"/>
      <c r="C16" s="4"/>
      <c r="D16" s="4"/>
    </row>
    <row r="17" spans="2:4" ht="12.75">
      <c r="B17" s="4"/>
      <c r="C17" s="4"/>
      <c r="D17" s="4"/>
    </row>
    <row r="18" spans="2:16" ht="12.75">
      <c r="B18" s="4"/>
      <c r="C18" s="4"/>
      <c r="D18" s="4"/>
      <c r="P18" s="4"/>
    </row>
    <row r="19" spans="2:4" ht="12.75">
      <c r="B19" s="4"/>
      <c r="C19" s="4"/>
      <c r="D19" s="4"/>
    </row>
    <row r="20" spans="2:4" ht="12.75">
      <c r="B20" s="4"/>
      <c r="C20" s="4"/>
      <c r="D20" s="4"/>
    </row>
    <row r="21" spans="2:4" ht="12.75">
      <c r="B21" s="4"/>
      <c r="C21" s="4"/>
      <c r="D21" s="4"/>
    </row>
    <row r="22" spans="2:4" ht="12.75">
      <c r="B22" s="4"/>
      <c r="C22" s="4"/>
      <c r="D22" s="4"/>
    </row>
    <row r="23" spans="2:16" ht="12.75">
      <c r="B23" s="4"/>
      <c r="C23" s="4"/>
      <c r="D23" s="4"/>
      <c r="P23" s="4"/>
    </row>
    <row r="24" spans="2:4" ht="12.75">
      <c r="B24" s="4"/>
      <c r="C24" s="4"/>
      <c r="D24" s="4"/>
    </row>
    <row r="25" spans="2:4" ht="12.75">
      <c r="B25" s="4"/>
      <c r="C25" s="4"/>
      <c r="D25" s="4"/>
    </row>
    <row r="26" spans="2:4" ht="12.75">
      <c r="B26" s="4"/>
      <c r="C26" s="4"/>
      <c r="D26" s="4"/>
    </row>
    <row r="27" spans="2:4" ht="12.75">
      <c r="B27" s="4"/>
      <c r="C27" s="4"/>
      <c r="D27" s="4"/>
    </row>
    <row r="28" spans="2:4" ht="12.75">
      <c r="B28" s="4"/>
      <c r="C28" s="4"/>
      <c r="D28" s="4"/>
    </row>
    <row r="29" spans="2:4" ht="12.75">
      <c r="B29" s="4"/>
      <c r="C29" s="4"/>
      <c r="D29" s="4"/>
    </row>
    <row r="30" spans="2:16" ht="12.75">
      <c r="B30" s="4"/>
      <c r="C30" s="4"/>
      <c r="D30" s="4"/>
      <c r="P30" s="4"/>
    </row>
    <row r="31" spans="2:4" ht="12.75">
      <c r="B31" s="4"/>
      <c r="C31" s="4"/>
      <c r="D31" s="4"/>
    </row>
    <row r="32" spans="2:4" ht="12.75">
      <c r="B32" s="4"/>
      <c r="C32" s="4"/>
      <c r="D32" s="4"/>
    </row>
    <row r="33" spans="2:4" ht="12.75">
      <c r="B33" s="4"/>
      <c r="C33" s="4"/>
      <c r="D33" s="4"/>
    </row>
    <row r="34" spans="1:16" ht="12.75">
      <c r="A34" s="4"/>
      <c r="B34" s="4"/>
      <c r="C34" s="4"/>
      <c r="D34" s="4"/>
      <c r="P34" s="4"/>
    </row>
    <row r="35" spans="2:16" ht="12.75">
      <c r="B35" s="4"/>
      <c r="C35" s="4"/>
      <c r="D35" s="4"/>
      <c r="P35" s="4"/>
    </row>
    <row r="36" spans="2:4" ht="12.75">
      <c r="B36" s="4"/>
      <c r="C36" s="4"/>
      <c r="D36" s="4"/>
    </row>
    <row r="37" spans="2:4" ht="12.75">
      <c r="B37" s="4"/>
      <c r="C37" s="4"/>
      <c r="D37" s="4"/>
    </row>
    <row r="38" spans="2:4" ht="12.75">
      <c r="B38" s="4"/>
      <c r="C38" s="4"/>
      <c r="D38" s="4"/>
    </row>
    <row r="39" spans="2:4" ht="12.75">
      <c r="B39" s="4"/>
      <c r="C39" s="4"/>
      <c r="D39" s="4"/>
    </row>
    <row r="40" spans="2:16" ht="12.75">
      <c r="B40" s="4"/>
      <c r="C40" s="4"/>
      <c r="D40" s="4"/>
      <c r="P40" s="4"/>
    </row>
    <row r="41" spans="2:4" ht="12.75">
      <c r="B41" s="4"/>
      <c r="C41" s="4"/>
      <c r="D41" s="4"/>
    </row>
    <row r="42" spans="2:4" ht="12.75">
      <c r="B42" s="4"/>
      <c r="C42" s="4"/>
      <c r="D42" s="4"/>
    </row>
    <row r="43" ht="12.75">
      <c r="D43" s="4"/>
    </row>
    <row r="44" spans="7:13" ht="15">
      <c r="G44" s="645"/>
      <c r="H44" s="645"/>
      <c r="I44" s="645"/>
      <c r="J44" s="645"/>
      <c r="K44" s="645"/>
      <c r="L44" s="645"/>
      <c r="M44" s="645"/>
    </row>
    <row r="45" spans="7:16" ht="12.75">
      <c r="G45" s="7"/>
      <c r="H45" s="7"/>
      <c r="I45" s="7"/>
      <c r="J45" s="7"/>
      <c r="K45" s="7"/>
      <c r="L45" s="7"/>
      <c r="M45" s="7"/>
      <c r="N45" s="7"/>
      <c r="O45" s="4"/>
      <c r="P45" s="43"/>
    </row>
    <row r="46" spans="8:10" ht="12.75">
      <c r="H46" s="646"/>
      <c r="J46" s="646"/>
    </row>
    <row r="48" spans="7:15" ht="15.75">
      <c r="G48" s="647"/>
      <c r="H48" s="647"/>
      <c r="I48" s="647"/>
      <c r="J48" s="647"/>
      <c r="K48" s="647"/>
      <c r="L48" s="647"/>
      <c r="M48" s="647"/>
      <c r="N48" s="647"/>
      <c r="O48" s="4"/>
    </row>
    <row r="49" spans="8:9" ht="12.75">
      <c r="H49" s="646"/>
      <c r="I49" s="646"/>
    </row>
    <row r="50" ht="12.75">
      <c r="O50" s="43"/>
    </row>
    <row r="51" ht="12.75">
      <c r="O51" s="43"/>
    </row>
    <row r="52" spans="7:15" ht="15.75">
      <c r="G52" s="647"/>
      <c r="H52" s="647"/>
      <c r="I52" s="647"/>
      <c r="J52" s="647"/>
      <c r="K52" s="647"/>
      <c r="L52" s="647"/>
      <c r="M52" s="647"/>
      <c r="N52" s="647"/>
      <c r="O52" s="647"/>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N71"/>
  <sheetViews>
    <sheetView workbookViewId="0" topLeftCell="A21">
      <selection activeCell="B22" sqref="B22:B31"/>
    </sheetView>
  </sheetViews>
  <sheetFormatPr defaultColWidth="9.140625" defaultRowHeight="12.75"/>
  <cols>
    <col min="1" max="1" width="9.140625" style="468" customWidth="1"/>
    <col min="2" max="2" width="11.28125" style="468" customWidth="1"/>
    <col min="3" max="3" width="11.57421875" style="468" customWidth="1"/>
    <col min="4" max="4" width="37.421875" style="468" customWidth="1"/>
    <col min="5" max="5" width="9.57421875" style="468" customWidth="1"/>
    <col min="6" max="6" width="54.8515625" style="481" customWidth="1"/>
    <col min="7" max="7" width="15.57421875" style="472" customWidth="1"/>
    <col min="8" max="8" width="8.8515625" style="468" customWidth="1"/>
    <col min="9" max="9" width="30.7109375" style="468" customWidth="1"/>
    <col min="10" max="10" width="8.57421875" style="468" customWidth="1"/>
    <col min="11" max="11" width="27.57421875" style="468" customWidth="1"/>
    <col min="12" max="12" width="1.421875" style="468" customWidth="1"/>
    <col min="13" max="13" width="9.140625" style="468" customWidth="1"/>
    <col min="14" max="14" width="28.57421875" style="468" customWidth="1"/>
    <col min="15" max="16384" width="9.140625" style="468" customWidth="1"/>
  </cols>
  <sheetData>
    <row r="1" spans="3:8" ht="18">
      <c r="C1" s="664" t="s">
        <v>158</v>
      </c>
      <c r="D1" s="442"/>
      <c r="E1" s="443"/>
      <c r="F1" s="444"/>
      <c r="G1" s="444"/>
      <c r="H1" s="470"/>
    </row>
    <row r="2" spans="3:8" ht="15">
      <c r="C2" s="483" t="s">
        <v>766</v>
      </c>
      <c r="D2" s="484" t="s">
        <v>678</v>
      </c>
      <c r="E2" s="485">
        <v>154</v>
      </c>
      <c r="F2" s="486" t="s">
        <v>705</v>
      </c>
      <c r="G2" s="445"/>
      <c r="H2" s="471"/>
    </row>
    <row r="3" spans="3:8" ht="25.5">
      <c r="C3" s="483" t="s">
        <v>766</v>
      </c>
      <c r="D3" s="484" t="s">
        <v>679</v>
      </c>
      <c r="E3" s="485">
        <v>57</v>
      </c>
      <c r="F3" s="486" t="s">
        <v>806</v>
      </c>
      <c r="G3" s="444"/>
      <c r="H3" s="471"/>
    </row>
    <row r="4" spans="1:8" ht="15">
      <c r="A4" s="468" t="s">
        <v>767</v>
      </c>
      <c r="B4" s="468" t="str">
        <f>+A4&amp;C4</f>
        <v>WBS WBS 13</v>
      </c>
      <c r="C4" s="483" t="s">
        <v>768</v>
      </c>
      <c r="D4" s="484" t="s">
        <v>680</v>
      </c>
      <c r="E4" s="485">
        <v>64</v>
      </c>
      <c r="F4" s="486" t="s">
        <v>706</v>
      </c>
      <c r="G4" s="444"/>
      <c r="H4" s="471"/>
    </row>
    <row r="5" spans="1:10" ht="15">
      <c r="A5" s="468" t="s">
        <v>767</v>
      </c>
      <c r="B5" s="468" t="str">
        <f aca="true" t="shared" si="0" ref="B5:B15">+A5&amp;C5</f>
        <v>WBS WBS 13</v>
      </c>
      <c r="C5" s="483" t="s">
        <v>768</v>
      </c>
      <c r="D5" s="484" t="s">
        <v>682</v>
      </c>
      <c r="E5" s="485">
        <v>101</v>
      </c>
      <c r="F5" s="486" t="s">
        <v>707</v>
      </c>
      <c r="G5" s="444"/>
      <c r="H5" s="471"/>
      <c r="J5" s="472"/>
    </row>
    <row r="6" spans="1:8" ht="25.5">
      <c r="A6" s="468" t="s">
        <v>767</v>
      </c>
      <c r="B6" s="468" t="str">
        <f t="shared" si="0"/>
        <v>WBS WBS 14</v>
      </c>
      <c r="C6" s="483" t="s">
        <v>769</v>
      </c>
      <c r="D6" s="484" t="s">
        <v>685</v>
      </c>
      <c r="E6" s="485">
        <v>130</v>
      </c>
      <c r="F6" s="486" t="s">
        <v>807</v>
      </c>
      <c r="G6" s="444"/>
      <c r="H6" s="471"/>
    </row>
    <row r="7" spans="1:8" ht="25.5">
      <c r="A7" s="468" t="s">
        <v>767</v>
      </c>
      <c r="B7" s="468" t="str">
        <f t="shared" si="0"/>
        <v>WBS WBS 14</v>
      </c>
      <c r="C7" s="483" t="s">
        <v>769</v>
      </c>
      <c r="D7" s="484" t="s">
        <v>686</v>
      </c>
      <c r="E7" s="485">
        <f>390+102</f>
        <v>492</v>
      </c>
      <c r="F7" s="486" t="s">
        <v>820</v>
      </c>
      <c r="G7" s="444"/>
      <c r="H7" s="471"/>
    </row>
    <row r="8" spans="1:8" ht="15">
      <c r="A8" s="468" t="s">
        <v>767</v>
      </c>
      <c r="B8" s="468" t="str">
        <f t="shared" si="0"/>
        <v>WBS WBS 14</v>
      </c>
      <c r="C8" s="483" t="s">
        <v>769</v>
      </c>
      <c r="D8" s="484" t="s">
        <v>708</v>
      </c>
      <c r="E8" s="485">
        <v>33</v>
      </c>
      <c r="F8" s="486"/>
      <c r="G8" s="446"/>
      <c r="H8" s="471"/>
    </row>
    <row r="9" spans="1:8" ht="15">
      <c r="A9" s="468" t="s">
        <v>767</v>
      </c>
      <c r="B9" s="468" t="str">
        <f t="shared" si="0"/>
        <v>WBS WBS 17</v>
      </c>
      <c r="C9" s="483" t="s">
        <v>770</v>
      </c>
      <c r="D9" s="484" t="s">
        <v>689</v>
      </c>
      <c r="E9" s="485">
        <v>47</v>
      </c>
      <c r="F9" s="486" t="s">
        <v>808</v>
      </c>
      <c r="G9" s="444"/>
      <c r="H9" s="471"/>
    </row>
    <row r="10" spans="1:8" ht="15">
      <c r="A10" s="468" t="s">
        <v>767</v>
      </c>
      <c r="B10" s="468" t="str">
        <f t="shared" si="0"/>
        <v>WBS WBS 18</v>
      </c>
      <c r="C10" s="483" t="s">
        <v>771</v>
      </c>
      <c r="D10" s="484" t="s">
        <v>691</v>
      </c>
      <c r="E10" s="485">
        <v>79</v>
      </c>
      <c r="F10" s="486" t="s">
        <v>709</v>
      </c>
      <c r="G10" s="444"/>
      <c r="H10" s="471"/>
    </row>
    <row r="11" spans="1:14" ht="15">
      <c r="A11" s="468" t="s">
        <v>767</v>
      </c>
      <c r="B11" s="468" t="str">
        <f t="shared" si="0"/>
        <v>WBS WBS 3</v>
      </c>
      <c r="C11" s="483" t="s">
        <v>772</v>
      </c>
      <c r="D11" s="484" t="s">
        <v>693</v>
      </c>
      <c r="E11" s="487">
        <v>70</v>
      </c>
      <c r="F11" s="481" t="s">
        <v>710</v>
      </c>
      <c r="G11" s="444"/>
      <c r="H11" s="470"/>
      <c r="I11" s="473"/>
      <c r="J11" s="474"/>
      <c r="K11" s="474"/>
      <c r="L11" s="475"/>
      <c r="M11" s="474"/>
      <c r="N11" s="474"/>
    </row>
    <row r="12" spans="1:14" ht="14.25">
      <c r="A12" s="468" t="s">
        <v>767</v>
      </c>
      <c r="B12" s="468" t="str">
        <f t="shared" si="0"/>
        <v>WBS WBS 4</v>
      </c>
      <c r="C12" s="483" t="s">
        <v>773</v>
      </c>
      <c r="D12" s="484" t="s">
        <v>696</v>
      </c>
      <c r="E12" s="485">
        <v>141</v>
      </c>
      <c r="F12" s="486" t="s">
        <v>711</v>
      </c>
      <c r="G12" s="444"/>
      <c r="I12" s="473"/>
      <c r="J12" s="476"/>
      <c r="K12" s="477"/>
      <c r="L12" s="477"/>
      <c r="M12" s="477"/>
      <c r="N12" s="473"/>
    </row>
    <row r="13" spans="1:14" ht="12.75">
      <c r="A13" s="468" t="s">
        <v>767</v>
      </c>
      <c r="B13" s="468" t="str">
        <f t="shared" si="0"/>
        <v>WBS WBS 7</v>
      </c>
      <c r="C13" s="483" t="s">
        <v>774</v>
      </c>
      <c r="D13" s="484" t="s">
        <v>713</v>
      </c>
      <c r="E13" s="485">
        <v>37</v>
      </c>
      <c r="F13" s="486" t="s">
        <v>712</v>
      </c>
      <c r="G13" s="444"/>
      <c r="I13" s="478"/>
      <c r="J13" s="472"/>
      <c r="K13" s="479"/>
      <c r="L13" s="479"/>
      <c r="M13" s="479"/>
      <c r="N13" s="478"/>
    </row>
    <row r="14" spans="1:14" ht="25.5">
      <c r="A14" s="468" t="s">
        <v>767</v>
      </c>
      <c r="B14" s="468" t="str">
        <f t="shared" si="0"/>
        <v>WBS WBS 81</v>
      </c>
      <c r="C14" s="483" t="s">
        <v>775</v>
      </c>
      <c r="D14" s="484" t="s">
        <v>698</v>
      </c>
      <c r="E14" s="485">
        <v>83</v>
      </c>
      <c r="F14" s="486" t="s">
        <v>714</v>
      </c>
      <c r="G14" s="444"/>
      <c r="I14" s="478"/>
      <c r="J14" s="472"/>
      <c r="K14" s="479"/>
      <c r="L14" s="479"/>
      <c r="M14" s="479"/>
      <c r="N14" s="478"/>
    </row>
    <row r="15" spans="1:14" ht="12.75">
      <c r="A15" s="468" t="s">
        <v>767</v>
      </c>
      <c r="B15" s="468" t="str">
        <f t="shared" si="0"/>
        <v>WBS WBS 82</v>
      </c>
      <c r="C15" s="483" t="s">
        <v>776</v>
      </c>
      <c r="D15" s="484" t="s">
        <v>699</v>
      </c>
      <c r="E15" s="485">
        <v>44</v>
      </c>
      <c r="F15" s="486" t="s">
        <v>715</v>
      </c>
      <c r="G15" s="446"/>
      <c r="J15" s="472"/>
      <c r="K15" s="479"/>
      <c r="L15" s="479"/>
      <c r="M15" s="479"/>
      <c r="N15" s="478"/>
    </row>
    <row r="16" spans="3:14" ht="25.5">
      <c r="C16" s="483" t="s">
        <v>776</v>
      </c>
      <c r="D16" s="484" t="s">
        <v>701</v>
      </c>
      <c r="E16" s="485">
        <v>142</v>
      </c>
      <c r="F16" s="486" t="s">
        <v>716</v>
      </c>
      <c r="G16" s="446"/>
      <c r="J16" s="472"/>
      <c r="K16" s="479"/>
      <c r="L16" s="479"/>
      <c r="M16" s="479"/>
      <c r="N16" s="478"/>
    </row>
    <row r="17" spans="3:7" ht="12.75">
      <c r="C17" s="483"/>
      <c r="D17" s="484" t="s">
        <v>704</v>
      </c>
      <c r="E17" s="485">
        <v>8</v>
      </c>
      <c r="F17" s="486"/>
      <c r="G17" s="444"/>
    </row>
    <row r="18" spans="3:7" ht="12.75">
      <c r="C18" s="483"/>
      <c r="D18" s="484" t="s">
        <v>722</v>
      </c>
      <c r="E18" s="488">
        <v>-107</v>
      </c>
      <c r="F18" s="486"/>
      <c r="G18" s="444"/>
    </row>
    <row r="19" spans="3:7" ht="12.75">
      <c r="C19" s="483"/>
      <c r="D19" s="484"/>
      <c r="E19" s="485">
        <f>SUM(E2:E18)</f>
        <v>1575</v>
      </c>
      <c r="F19" s="486"/>
      <c r="G19" s="444"/>
    </row>
    <row r="21" spans="3:7" ht="18">
      <c r="C21" s="665" t="s">
        <v>777</v>
      </c>
      <c r="E21" s="480"/>
      <c r="F21" s="482"/>
      <c r="G21" s="468"/>
    </row>
    <row r="22" spans="3:7" ht="25.5">
      <c r="C22" s="483" t="s">
        <v>766</v>
      </c>
      <c r="D22" s="484" t="s">
        <v>813</v>
      </c>
      <c r="E22" s="492">
        <v>106</v>
      </c>
      <c r="F22" s="489" t="s">
        <v>814</v>
      </c>
      <c r="G22" s="478"/>
    </row>
    <row r="23" spans="2:7" ht="12.75">
      <c r="B23" s="469"/>
      <c r="C23" s="483" t="s">
        <v>768</v>
      </c>
      <c r="D23" s="484" t="s">
        <v>681</v>
      </c>
      <c r="E23" s="492">
        <v>348</v>
      </c>
      <c r="F23" s="489" t="s">
        <v>717</v>
      </c>
      <c r="G23" s="478"/>
    </row>
    <row r="24" spans="3:8" ht="25.5">
      <c r="C24" s="483" t="s">
        <v>768</v>
      </c>
      <c r="D24" s="484" t="s">
        <v>682</v>
      </c>
      <c r="E24" s="492">
        <v>165</v>
      </c>
      <c r="F24" s="489" t="s">
        <v>720</v>
      </c>
      <c r="G24" s="707">
        <f>SUM(E23:E27)</f>
        <v>210.73399999999998</v>
      </c>
      <c r="H24" s="468">
        <v>210.4</v>
      </c>
    </row>
    <row r="25" spans="3:7" ht="12.75">
      <c r="C25" s="483" t="s">
        <v>768</v>
      </c>
      <c r="D25" s="484" t="s">
        <v>765</v>
      </c>
      <c r="E25" s="494">
        <f>-90-5.266</f>
        <v>-95.266</v>
      </c>
      <c r="F25" s="489" t="s">
        <v>718</v>
      </c>
      <c r="G25" s="478"/>
    </row>
    <row r="26" spans="2:7" ht="12.75">
      <c r="B26" s="469"/>
      <c r="C26" s="483" t="s">
        <v>792</v>
      </c>
      <c r="D26" s="484" t="s">
        <v>809</v>
      </c>
      <c r="E26" s="494">
        <v>-63</v>
      </c>
      <c r="F26" s="489" t="s">
        <v>683</v>
      </c>
      <c r="G26" s="478"/>
    </row>
    <row r="27" spans="3:7" ht="25.5">
      <c r="C27" s="483" t="s">
        <v>768</v>
      </c>
      <c r="D27" s="484" t="s">
        <v>719</v>
      </c>
      <c r="E27" s="494">
        <v>-144</v>
      </c>
      <c r="F27" s="489" t="s">
        <v>684</v>
      </c>
      <c r="G27" s="478"/>
    </row>
    <row r="28" spans="3:7" ht="12.75">
      <c r="C28" s="483" t="s">
        <v>769</v>
      </c>
      <c r="D28" s="484" t="s">
        <v>685</v>
      </c>
      <c r="E28" s="492">
        <v>66</v>
      </c>
      <c r="F28" s="489" t="s">
        <v>721</v>
      </c>
      <c r="G28" s="478"/>
    </row>
    <row r="29" spans="3:7" ht="25.5">
      <c r="C29" s="483" t="s">
        <v>769</v>
      </c>
      <c r="D29" s="484" t="s">
        <v>686</v>
      </c>
      <c r="E29" s="492">
        <f>600-151.17</f>
        <v>448.83000000000004</v>
      </c>
      <c r="F29" s="489" t="s">
        <v>724</v>
      </c>
      <c r="G29" s="478"/>
    </row>
    <row r="30" spans="3:7" ht="25.5">
      <c r="C30" s="483" t="s">
        <v>769</v>
      </c>
      <c r="D30" s="484" t="s">
        <v>725</v>
      </c>
      <c r="E30" s="494">
        <v>-97</v>
      </c>
      <c r="F30" s="489" t="s">
        <v>726</v>
      </c>
      <c r="G30" s="490"/>
    </row>
    <row r="31" spans="3:7" ht="12.75">
      <c r="C31" s="483" t="s">
        <v>769</v>
      </c>
      <c r="D31" s="484" t="s">
        <v>687</v>
      </c>
      <c r="E31" s="492">
        <v>125</v>
      </c>
      <c r="F31" s="489" t="s">
        <v>727</v>
      </c>
      <c r="G31" s="478"/>
    </row>
    <row r="32" spans="3:7" ht="12.75">
      <c r="C32" s="483" t="s">
        <v>769</v>
      </c>
      <c r="D32" s="484" t="s">
        <v>688</v>
      </c>
      <c r="E32" s="492">
        <v>70</v>
      </c>
      <c r="F32" s="489" t="s">
        <v>728</v>
      </c>
      <c r="G32" s="478"/>
    </row>
    <row r="33" spans="3:7" ht="25.5">
      <c r="C33" s="483" t="s">
        <v>771</v>
      </c>
      <c r="D33" s="484" t="s">
        <v>732</v>
      </c>
      <c r="E33" s="492">
        <f>163</f>
        <v>163</v>
      </c>
      <c r="F33" s="489" t="s">
        <v>729</v>
      </c>
      <c r="G33" s="478"/>
    </row>
    <row r="34" spans="3:7" ht="12.75">
      <c r="C34" s="483" t="s">
        <v>771</v>
      </c>
      <c r="D34" s="484" t="s">
        <v>778</v>
      </c>
      <c r="E34" s="492">
        <v>112</v>
      </c>
      <c r="F34" s="489" t="s">
        <v>779</v>
      </c>
      <c r="G34" s="490">
        <f>SUM(E33:E37)</f>
        <v>657</v>
      </c>
    </row>
    <row r="35" spans="3:7" ht="25.5">
      <c r="C35" s="483" t="s">
        <v>771</v>
      </c>
      <c r="D35" s="484" t="s">
        <v>731</v>
      </c>
      <c r="E35" s="492">
        <v>140</v>
      </c>
      <c r="F35" s="486" t="s">
        <v>811</v>
      </c>
      <c r="G35" s="478"/>
    </row>
    <row r="36" spans="3:8" ht="25.5">
      <c r="C36" s="483" t="s">
        <v>771</v>
      </c>
      <c r="D36" s="484" t="s">
        <v>690</v>
      </c>
      <c r="E36" s="492">
        <v>74</v>
      </c>
      <c r="F36" s="489" t="s">
        <v>812</v>
      </c>
      <c r="G36" s="478"/>
      <c r="H36" s="469">
        <f>SUM(E34:E37)</f>
        <v>494</v>
      </c>
    </row>
    <row r="37" spans="3:7" ht="25.5">
      <c r="C37" s="483" t="s">
        <v>771</v>
      </c>
      <c r="D37" s="484" t="s">
        <v>730</v>
      </c>
      <c r="E37" s="492">
        <v>168</v>
      </c>
      <c r="F37" s="489" t="s">
        <v>810</v>
      </c>
      <c r="G37" s="478"/>
    </row>
    <row r="38" spans="3:7" ht="12.75">
      <c r="C38" s="483" t="s">
        <v>776</v>
      </c>
      <c r="D38" s="484" t="s">
        <v>699</v>
      </c>
      <c r="E38" s="492">
        <f>109-31.089</f>
        <v>77.911</v>
      </c>
      <c r="F38" s="486" t="s">
        <v>757</v>
      </c>
      <c r="G38" s="478"/>
    </row>
    <row r="39" spans="3:7" ht="12.75">
      <c r="C39" s="483" t="s">
        <v>776</v>
      </c>
      <c r="D39" s="484" t="s">
        <v>700</v>
      </c>
      <c r="E39" s="492">
        <f>66-7.328</f>
        <v>58.672</v>
      </c>
      <c r="F39" s="486" t="s">
        <v>758</v>
      </c>
      <c r="G39" s="478"/>
    </row>
    <row r="40" spans="3:7" ht="12.75">
      <c r="C40" s="483" t="s">
        <v>776</v>
      </c>
      <c r="D40" s="484" t="s">
        <v>701</v>
      </c>
      <c r="E40" s="492">
        <f>77-4.13</f>
        <v>72.87</v>
      </c>
      <c r="F40" s="486" t="s">
        <v>759</v>
      </c>
      <c r="G40" s="478"/>
    </row>
    <row r="41" spans="3:7" ht="25.5">
      <c r="C41" s="483" t="s">
        <v>776</v>
      </c>
      <c r="D41" s="484" t="s">
        <v>702</v>
      </c>
      <c r="E41" s="708">
        <f>75-8.834</f>
        <v>66.166</v>
      </c>
      <c r="F41" s="486" t="s">
        <v>760</v>
      </c>
      <c r="G41" s="478"/>
    </row>
    <row r="42" spans="3:7" ht="12.75">
      <c r="C42" s="483"/>
      <c r="D42" s="484"/>
      <c r="E42" s="709">
        <f>SUM(E22:E41)</f>
        <v>1862.1830000000002</v>
      </c>
      <c r="G42" s="478"/>
    </row>
    <row r="43" spans="3:7" ht="12.75">
      <c r="C43" s="483"/>
      <c r="D43" s="484"/>
      <c r="E43" s="492"/>
      <c r="F43" s="489"/>
      <c r="G43" s="478"/>
    </row>
    <row r="44" spans="3:7" ht="27" customHeight="1">
      <c r="C44" s="483"/>
      <c r="D44" s="484"/>
      <c r="E44" s="486"/>
      <c r="F44" s="491"/>
      <c r="G44" s="478"/>
    </row>
    <row r="45" spans="3:7" ht="27" customHeight="1">
      <c r="C45" s="665" t="s">
        <v>780</v>
      </c>
      <c r="D45" s="484"/>
      <c r="E45" s="486"/>
      <c r="F45" s="491"/>
      <c r="G45" s="478"/>
    </row>
    <row r="46" spans="3:7" ht="25.5">
      <c r="C46" s="483" t="s">
        <v>781</v>
      </c>
      <c r="D46" s="484" t="s">
        <v>692</v>
      </c>
      <c r="E46" s="493">
        <v>-306</v>
      </c>
      <c r="F46" s="489" t="s">
        <v>733</v>
      </c>
      <c r="G46" s="478"/>
    </row>
    <row r="47" spans="3:7" ht="12.75">
      <c r="C47" s="483" t="s">
        <v>772</v>
      </c>
      <c r="D47" s="484" t="s">
        <v>763</v>
      </c>
      <c r="E47" s="493">
        <v>-7.379</v>
      </c>
      <c r="F47" s="489" t="s">
        <v>764</v>
      </c>
      <c r="G47" s="478"/>
    </row>
    <row r="48" spans="3:7" ht="12.75">
      <c r="C48" s="483" t="s">
        <v>772</v>
      </c>
      <c r="D48" s="484" t="s">
        <v>694</v>
      </c>
      <c r="E48" s="494">
        <f>-206+30</f>
        <v>-176</v>
      </c>
      <c r="F48" s="489" t="s">
        <v>821</v>
      </c>
      <c r="G48" s="478"/>
    </row>
    <row r="49" spans="3:7" ht="12.75">
      <c r="C49" s="483" t="s">
        <v>772</v>
      </c>
      <c r="D49" s="484" t="s">
        <v>695</v>
      </c>
      <c r="E49" s="494">
        <v>-36</v>
      </c>
      <c r="F49" s="489" t="s">
        <v>822</v>
      </c>
      <c r="G49" s="478"/>
    </row>
    <row r="50" spans="3:7" ht="12.75">
      <c r="C50" s="483" t="s">
        <v>773</v>
      </c>
      <c r="D50" s="484" t="s">
        <v>734</v>
      </c>
      <c r="E50" s="494">
        <v>-339.734</v>
      </c>
      <c r="F50" s="489" t="s">
        <v>735</v>
      </c>
      <c r="G50" s="490">
        <f>SUM(E53:E59)</f>
        <v>-1031.3619999999999</v>
      </c>
    </row>
    <row r="51" spans="3:7" ht="12.75">
      <c r="C51" s="483" t="s">
        <v>773</v>
      </c>
      <c r="D51" s="484" t="s">
        <v>736</v>
      </c>
      <c r="E51" s="494">
        <v>-67.977</v>
      </c>
      <c r="F51" s="489" t="s">
        <v>737</v>
      </c>
      <c r="G51" s="478"/>
    </row>
    <row r="52" spans="3:7" ht="12.75">
      <c r="C52" s="483" t="s">
        <v>773</v>
      </c>
      <c r="D52" s="484" t="s">
        <v>738</v>
      </c>
      <c r="E52" s="492">
        <v>70</v>
      </c>
      <c r="F52" s="489" t="s">
        <v>739</v>
      </c>
      <c r="G52" s="478"/>
    </row>
    <row r="53" spans="3:7" ht="12.75">
      <c r="C53" s="483" t="s">
        <v>782</v>
      </c>
      <c r="D53" s="484" t="s">
        <v>741</v>
      </c>
      <c r="E53" s="494">
        <v>-106.486</v>
      </c>
      <c r="F53" s="489" t="s">
        <v>740</v>
      </c>
      <c r="G53" s="490"/>
    </row>
    <row r="54" spans="3:7" ht="12.75">
      <c r="C54" s="483" t="s">
        <v>783</v>
      </c>
      <c r="D54" s="484" t="s">
        <v>742</v>
      </c>
      <c r="E54" s="494">
        <v>-383.452</v>
      </c>
      <c r="F54" s="489" t="s">
        <v>823</v>
      </c>
      <c r="G54" s="478"/>
    </row>
    <row r="55" spans="3:7" ht="12.75">
      <c r="C55" s="483" t="s">
        <v>784</v>
      </c>
      <c r="D55" s="484" t="s">
        <v>743</v>
      </c>
      <c r="E55" s="494">
        <v>-176.857</v>
      </c>
      <c r="F55" s="489" t="s">
        <v>744</v>
      </c>
      <c r="G55" s="478"/>
    </row>
    <row r="56" spans="3:7" ht="12.75">
      <c r="C56" s="483" t="s">
        <v>785</v>
      </c>
      <c r="D56" s="484" t="s">
        <v>745</v>
      </c>
      <c r="E56" s="494">
        <v>-102.971</v>
      </c>
      <c r="F56" s="489" t="s">
        <v>746</v>
      </c>
      <c r="G56" s="478"/>
    </row>
    <row r="57" spans="3:7" ht="25.5">
      <c r="C57" s="483" t="s">
        <v>786</v>
      </c>
      <c r="D57" s="484" t="s">
        <v>747</v>
      </c>
      <c r="E57" s="494">
        <v>-85.716</v>
      </c>
      <c r="F57" s="489" t="s">
        <v>748</v>
      </c>
      <c r="G57" s="478"/>
    </row>
    <row r="58" spans="3:7" ht="12.75">
      <c r="C58" s="483" t="s">
        <v>787</v>
      </c>
      <c r="D58" s="484" t="s">
        <v>749</v>
      </c>
      <c r="E58" s="494">
        <v>-200.08</v>
      </c>
      <c r="F58" s="489" t="s">
        <v>824</v>
      </c>
      <c r="G58" s="478"/>
    </row>
    <row r="59" spans="3:7" ht="12.75">
      <c r="C59" s="483" t="s">
        <v>788</v>
      </c>
      <c r="D59" s="484" t="s">
        <v>751</v>
      </c>
      <c r="E59" s="492">
        <v>24.2</v>
      </c>
      <c r="F59" s="489" t="s">
        <v>750</v>
      </c>
      <c r="G59" s="478"/>
    </row>
    <row r="60" spans="3:7" ht="12.75">
      <c r="C60" s="483" t="s">
        <v>789</v>
      </c>
      <c r="D60" s="484" t="s">
        <v>697</v>
      </c>
      <c r="E60" s="494">
        <v>-78.4</v>
      </c>
      <c r="F60" s="489" t="s">
        <v>752</v>
      </c>
      <c r="G60" s="478"/>
    </row>
    <row r="61" spans="3:7" ht="12.75">
      <c r="C61" s="483" t="s">
        <v>790</v>
      </c>
      <c r="D61" s="484" t="s">
        <v>756</v>
      </c>
      <c r="E61" s="493">
        <v>-19.578</v>
      </c>
      <c r="F61" s="489" t="s">
        <v>753</v>
      </c>
      <c r="G61" s="478"/>
    </row>
    <row r="62" spans="3:7" ht="12.75">
      <c r="C62" s="483" t="s">
        <v>790</v>
      </c>
      <c r="D62" s="484" t="s">
        <v>755</v>
      </c>
      <c r="E62" s="494">
        <v>-135</v>
      </c>
      <c r="F62" s="489" t="s">
        <v>754</v>
      </c>
      <c r="G62" s="490">
        <f>SUM(E63:E64)</f>
        <v>-485.40000000000003</v>
      </c>
    </row>
    <row r="63" spans="3:7" ht="12.75">
      <c r="C63" s="483" t="s">
        <v>775</v>
      </c>
      <c r="D63" s="484" t="s">
        <v>698</v>
      </c>
      <c r="E63" s="494">
        <f>-5-59.9-23.9</f>
        <v>-88.80000000000001</v>
      </c>
      <c r="F63" s="489" t="s">
        <v>762</v>
      </c>
      <c r="G63" s="478"/>
    </row>
    <row r="64" spans="3:7" ht="25.5">
      <c r="C64" s="483" t="s">
        <v>791</v>
      </c>
      <c r="D64" s="484" t="s">
        <v>703</v>
      </c>
      <c r="E64" s="495">
        <v>-396.6</v>
      </c>
      <c r="F64" s="489" t="s">
        <v>761</v>
      </c>
      <c r="G64" s="478"/>
    </row>
    <row r="65" spans="3:7" ht="13.5" thickBot="1">
      <c r="C65" s="483"/>
      <c r="D65" s="484"/>
      <c r="E65" s="713">
        <f>SUM(E46:E64)</f>
        <v>-2612.83</v>
      </c>
      <c r="F65" s="489"/>
      <c r="G65" s="478"/>
    </row>
    <row r="66" spans="3:7" ht="20.25">
      <c r="C66" s="712" t="s">
        <v>723</v>
      </c>
      <c r="D66" s="711"/>
      <c r="E66" s="710">
        <f>SUM(E42,E65)</f>
        <v>-750.6469999999997</v>
      </c>
      <c r="F66" s="482"/>
      <c r="G66" s="478"/>
    </row>
    <row r="67" spans="3:4" ht="12.75">
      <c r="C67" s="478"/>
      <c r="D67" s="478"/>
    </row>
    <row r="68" spans="3:4" ht="12.75">
      <c r="C68" s="478"/>
      <c r="D68" s="478"/>
    </row>
    <row r="69" spans="5:7" ht="12.75">
      <c r="E69" s="469">
        <f>SUM(E66,E19)</f>
        <v>824.3530000000003</v>
      </c>
      <c r="F69" s="482"/>
      <c r="G69" s="468"/>
    </row>
    <row r="70" spans="5:7" ht="12.75">
      <c r="E70" s="490">
        <f>SUM(E42,F70)</f>
        <v>-750.6469999999997</v>
      </c>
      <c r="F70" s="469">
        <f>SUM(E45:E64)</f>
        <v>-2612.83</v>
      </c>
      <c r="G70" s="478"/>
    </row>
    <row r="71" spans="5:7" ht="12.75">
      <c r="E71" s="478"/>
      <c r="F71" s="482"/>
      <c r="G71" s="478"/>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120"/>
  <sheetViews>
    <sheetView zoomScale="75" zoomScaleNormal="75" workbookViewId="0" topLeftCell="A29">
      <selection activeCell="M36" sqref="M36"/>
    </sheetView>
  </sheetViews>
  <sheetFormatPr defaultColWidth="9.140625" defaultRowHeight="12.75"/>
  <cols>
    <col min="1" max="9" width="9.140625" style="376" customWidth="1"/>
    <col min="10" max="10" width="13.7109375" style="376" customWidth="1"/>
    <col min="11" max="16384" width="9.140625" style="376" customWidth="1"/>
  </cols>
  <sheetData>
    <row r="1" spans="1:15" ht="12.75">
      <c r="A1" s="376" t="s">
        <v>161</v>
      </c>
      <c r="B1" s="376" t="s">
        <v>161</v>
      </c>
      <c r="C1" s="376" t="s">
        <v>161</v>
      </c>
      <c r="D1" s="376" t="s">
        <v>161</v>
      </c>
      <c r="E1" s="376" t="s">
        <v>161</v>
      </c>
      <c r="F1" s="376" t="s">
        <v>161</v>
      </c>
      <c r="G1" s="376" t="s">
        <v>161</v>
      </c>
      <c r="H1" s="376" t="s">
        <v>161</v>
      </c>
      <c r="I1" s="376" t="s">
        <v>161</v>
      </c>
      <c r="J1" s="376" t="s">
        <v>161</v>
      </c>
      <c r="L1" s="376" t="s">
        <v>162</v>
      </c>
      <c r="M1" s="376" t="s">
        <v>162</v>
      </c>
      <c r="O1" s="376" t="s">
        <v>163</v>
      </c>
    </row>
    <row r="2" spans="1:10" ht="12.75">
      <c r="A2" s="376" t="s">
        <v>164</v>
      </c>
      <c r="B2" s="376" t="s">
        <v>113</v>
      </c>
      <c r="C2" s="447" t="s">
        <v>133</v>
      </c>
      <c r="D2" s="447" t="s">
        <v>134</v>
      </c>
      <c r="E2" s="447" t="s">
        <v>135</v>
      </c>
      <c r="F2" s="447" t="s">
        <v>136</v>
      </c>
      <c r="G2" s="447" t="s">
        <v>137</v>
      </c>
      <c r="H2" s="447" t="s">
        <v>138</v>
      </c>
      <c r="I2" s="447" t="s">
        <v>139</v>
      </c>
      <c r="J2" s="447" t="s">
        <v>140</v>
      </c>
    </row>
    <row r="3" spans="2:15" ht="13.5" thickBot="1">
      <c r="B3" s="376">
        <v>1101</v>
      </c>
      <c r="C3" s="447">
        <v>0.1</v>
      </c>
      <c r="D3" s="447"/>
      <c r="E3" s="447"/>
      <c r="F3" s="447"/>
      <c r="G3" s="447"/>
      <c r="H3" s="447"/>
      <c r="I3" s="447"/>
      <c r="J3" s="447">
        <f aca="true" t="shared" si="0" ref="J3:J66">SUM(C3:I3)</f>
        <v>0.1</v>
      </c>
      <c r="K3" s="376">
        <v>1101</v>
      </c>
      <c r="L3" s="376">
        <v>1101</v>
      </c>
      <c r="M3" s="376">
        <v>0.06</v>
      </c>
      <c r="O3" s="448">
        <f>+J3-M3</f>
        <v>0.04000000000000001</v>
      </c>
    </row>
    <row r="4" spans="2:18" ht="13.5" thickBot="1">
      <c r="B4" s="376">
        <v>1201</v>
      </c>
      <c r="C4" s="447">
        <v>424.4</v>
      </c>
      <c r="D4" s="447"/>
      <c r="E4" s="447"/>
      <c r="F4" s="447"/>
      <c r="G4" s="447"/>
      <c r="H4" s="447"/>
      <c r="I4" s="447"/>
      <c r="J4" s="447">
        <f t="shared" si="0"/>
        <v>424.4</v>
      </c>
      <c r="K4" s="376">
        <v>1201</v>
      </c>
      <c r="L4" s="376">
        <v>1201</v>
      </c>
      <c r="M4" s="376">
        <v>424.42</v>
      </c>
      <c r="O4" s="448">
        <f aca="true" t="shared" si="1" ref="O4:O68">+J4-M4</f>
        <v>-0.020000000000038654</v>
      </c>
      <c r="P4" s="449">
        <f>SUM(O4:O6,O8:O9)</f>
        <v>204.34000000000006</v>
      </c>
      <c r="Q4" s="376" t="s">
        <v>165</v>
      </c>
      <c r="R4" s="376">
        <v>6</v>
      </c>
    </row>
    <row r="5" spans="2:15" ht="12.75">
      <c r="B5" s="376">
        <v>1202</v>
      </c>
      <c r="C5" s="447">
        <v>793</v>
      </c>
      <c r="D5" s="447">
        <v>998.2</v>
      </c>
      <c r="E5" s="447"/>
      <c r="F5" s="447"/>
      <c r="G5" s="447"/>
      <c r="H5" s="447"/>
      <c r="I5" s="447"/>
      <c r="J5" s="447">
        <f t="shared" si="0"/>
        <v>1791.2</v>
      </c>
      <c r="K5" s="376">
        <v>1202</v>
      </c>
      <c r="L5" s="376">
        <v>1202</v>
      </c>
      <c r="M5" s="376">
        <v>1791.18</v>
      </c>
      <c r="O5" s="448">
        <f t="shared" si="1"/>
        <v>0.01999999999998181</v>
      </c>
    </row>
    <row r="6" spans="2:15" ht="13.5" thickBot="1">
      <c r="B6" s="376">
        <v>1203</v>
      </c>
      <c r="C6" s="447"/>
      <c r="D6" s="447">
        <v>624.8</v>
      </c>
      <c r="E6" s="447">
        <v>315.1</v>
      </c>
      <c r="F6" s="447">
        <v>155.3</v>
      </c>
      <c r="G6" s="447"/>
      <c r="H6" s="447"/>
      <c r="I6" s="447"/>
      <c r="J6" s="447">
        <f t="shared" si="0"/>
        <v>1095.2</v>
      </c>
      <c r="K6" s="376">
        <v>1203</v>
      </c>
      <c r="L6" s="376">
        <v>1203</v>
      </c>
      <c r="M6" s="376">
        <v>943.53</v>
      </c>
      <c r="O6" s="448">
        <f t="shared" si="1"/>
        <v>151.67000000000007</v>
      </c>
    </row>
    <row r="7" spans="2:18" ht="13.5" thickBot="1">
      <c r="B7" s="376">
        <v>1204</v>
      </c>
      <c r="C7" s="447"/>
      <c r="D7" s="447"/>
      <c r="E7" s="447"/>
      <c r="F7" s="447">
        <v>187.4</v>
      </c>
      <c r="G7" s="447">
        <v>182.6</v>
      </c>
      <c r="H7" s="447">
        <v>89.4</v>
      </c>
      <c r="I7" s="447"/>
      <c r="J7" s="447">
        <f t="shared" si="0"/>
        <v>459.4</v>
      </c>
      <c r="K7" s="376">
        <v>1204</v>
      </c>
      <c r="L7" s="376">
        <v>1204</v>
      </c>
      <c r="M7" s="376">
        <v>557.24</v>
      </c>
      <c r="O7" s="449">
        <f t="shared" si="1"/>
        <v>-97.84000000000003</v>
      </c>
      <c r="P7" s="376" t="s">
        <v>166</v>
      </c>
      <c r="R7" s="376">
        <v>8</v>
      </c>
    </row>
    <row r="8" spans="2:15" ht="12.75">
      <c r="B8" s="376">
        <v>1206</v>
      </c>
      <c r="C8" s="447"/>
      <c r="D8" s="447">
        <v>3.4</v>
      </c>
      <c r="E8" s="447">
        <v>14.2</v>
      </c>
      <c r="F8" s="447"/>
      <c r="G8" s="447"/>
      <c r="H8" s="447"/>
      <c r="I8" s="447"/>
      <c r="J8" s="447">
        <f t="shared" si="0"/>
        <v>17.599999999999998</v>
      </c>
      <c r="K8" s="376">
        <v>1206</v>
      </c>
      <c r="L8" s="376">
        <v>1206</v>
      </c>
      <c r="M8" s="376">
        <v>17.64</v>
      </c>
      <c r="O8" s="448">
        <f t="shared" si="1"/>
        <v>-0.0400000000000027</v>
      </c>
    </row>
    <row r="9" spans="2:15" ht="12.75">
      <c r="B9" s="376">
        <v>1250</v>
      </c>
      <c r="C9" s="447"/>
      <c r="D9" s="447">
        <v>36.9</v>
      </c>
      <c r="E9" s="447">
        <v>3041.9</v>
      </c>
      <c r="F9" s="447">
        <v>2627.7</v>
      </c>
      <c r="G9" s="447">
        <v>12.2</v>
      </c>
      <c r="H9" s="447"/>
      <c r="I9" s="447"/>
      <c r="J9" s="447">
        <f t="shared" si="0"/>
        <v>5718.7</v>
      </c>
      <c r="K9" s="376">
        <v>1250</v>
      </c>
      <c r="L9" s="376">
        <v>1250</v>
      </c>
      <c r="M9" s="376">
        <v>5665.99</v>
      </c>
      <c r="O9" s="448">
        <f t="shared" si="1"/>
        <v>52.710000000000036</v>
      </c>
    </row>
    <row r="10" spans="2:15" ht="12.75">
      <c r="B10" s="376">
        <v>1301</v>
      </c>
      <c r="C10" s="447">
        <v>91.7</v>
      </c>
      <c r="D10" s="447">
        <v>333.9</v>
      </c>
      <c r="E10" s="447">
        <v>397.9</v>
      </c>
      <c r="F10" s="447"/>
      <c r="G10" s="447"/>
      <c r="H10" s="447"/>
      <c r="I10" s="447"/>
      <c r="J10" s="447">
        <f t="shared" si="0"/>
        <v>823.5</v>
      </c>
      <c r="K10" s="376">
        <v>1301</v>
      </c>
      <c r="L10" s="376">
        <v>1301</v>
      </c>
      <c r="M10" s="376">
        <v>837.4</v>
      </c>
      <c r="O10" s="448">
        <f t="shared" si="1"/>
        <v>-13.899999999999977</v>
      </c>
    </row>
    <row r="11" spans="2:15" ht="12.75">
      <c r="B11" s="376">
        <v>1302</v>
      </c>
      <c r="C11" s="447"/>
      <c r="D11" s="447"/>
      <c r="E11" s="447">
        <v>20.5</v>
      </c>
      <c r="F11" s="447">
        <v>12.5</v>
      </c>
      <c r="G11" s="447">
        <v>219.1</v>
      </c>
      <c r="H11" s="447"/>
      <c r="I11" s="447"/>
      <c r="J11" s="447">
        <f t="shared" si="0"/>
        <v>252.1</v>
      </c>
      <c r="K11" s="376">
        <v>1302</v>
      </c>
      <c r="L11" s="376">
        <v>1302</v>
      </c>
      <c r="M11" s="376">
        <v>253.18</v>
      </c>
      <c r="O11" s="448">
        <f t="shared" si="1"/>
        <v>-1.0800000000000125</v>
      </c>
    </row>
    <row r="12" spans="2:15" ht="12.75">
      <c r="B12" s="376">
        <v>1350</v>
      </c>
      <c r="C12" s="447"/>
      <c r="D12" s="447"/>
      <c r="E12" s="447">
        <v>256</v>
      </c>
      <c r="F12" s="447">
        <v>377.9</v>
      </c>
      <c r="G12" s="447"/>
      <c r="H12" s="447"/>
      <c r="I12" s="447"/>
      <c r="J12" s="447">
        <f t="shared" si="0"/>
        <v>633.9</v>
      </c>
      <c r="K12" s="376">
        <v>1350</v>
      </c>
      <c r="L12" s="376">
        <v>1350</v>
      </c>
      <c r="M12" s="376">
        <v>399.59</v>
      </c>
      <c r="O12" s="448">
        <f t="shared" si="1"/>
        <v>234.31</v>
      </c>
    </row>
    <row r="13" spans="2:15" ht="13.5" thickBot="1">
      <c r="B13" s="376">
        <v>1351</v>
      </c>
      <c r="C13" s="447"/>
      <c r="D13" s="447"/>
      <c r="E13" s="447">
        <v>165.9</v>
      </c>
      <c r="F13" s="447">
        <v>631.3</v>
      </c>
      <c r="G13" s="447">
        <v>53.3</v>
      </c>
      <c r="H13" s="447">
        <v>5.9</v>
      </c>
      <c r="I13" s="447"/>
      <c r="J13" s="447">
        <f t="shared" si="0"/>
        <v>856.3999999999999</v>
      </c>
      <c r="K13" s="376">
        <v>1351</v>
      </c>
      <c r="L13" s="376">
        <v>1351</v>
      </c>
      <c r="M13" s="376">
        <v>1318.24</v>
      </c>
      <c r="O13" s="448">
        <f t="shared" si="1"/>
        <v>-461.84000000000015</v>
      </c>
    </row>
    <row r="14" spans="2:18" ht="13.5" thickBot="1">
      <c r="B14" s="376">
        <v>1352</v>
      </c>
      <c r="C14" s="447"/>
      <c r="D14" s="447"/>
      <c r="E14" s="447"/>
      <c r="F14" s="447">
        <v>1.3</v>
      </c>
      <c r="G14" s="447">
        <v>10.1</v>
      </c>
      <c r="H14" s="447">
        <v>884.5</v>
      </c>
      <c r="I14" s="447"/>
      <c r="J14" s="447">
        <f t="shared" si="0"/>
        <v>895.9</v>
      </c>
      <c r="K14" s="376">
        <v>1352</v>
      </c>
      <c r="L14" s="376">
        <v>1352</v>
      </c>
      <c r="M14" s="376">
        <v>1361.87</v>
      </c>
      <c r="O14" s="450">
        <f t="shared" si="1"/>
        <v>-465.9699999999999</v>
      </c>
      <c r="P14" s="394" t="s">
        <v>167</v>
      </c>
      <c r="Q14" s="419"/>
      <c r="R14" s="376">
        <v>23</v>
      </c>
    </row>
    <row r="15" spans="2:15" ht="13.5" thickBot="1">
      <c r="B15" s="376">
        <v>1353</v>
      </c>
      <c r="C15" s="447"/>
      <c r="D15" s="447"/>
      <c r="E15" s="447"/>
      <c r="F15" s="447"/>
      <c r="G15" s="447">
        <v>82.4</v>
      </c>
      <c r="H15" s="447">
        <v>183.4</v>
      </c>
      <c r="I15" s="447"/>
      <c r="J15" s="447">
        <f t="shared" si="0"/>
        <v>265.8</v>
      </c>
      <c r="K15" s="376">
        <v>1353</v>
      </c>
      <c r="L15" s="376">
        <v>1353</v>
      </c>
      <c r="M15" s="376">
        <v>270.3</v>
      </c>
      <c r="O15" s="448">
        <f t="shared" si="1"/>
        <v>-4.5</v>
      </c>
    </row>
    <row r="16" spans="2:18" ht="13.5" thickBot="1">
      <c r="B16" s="376">
        <v>1354</v>
      </c>
      <c r="C16" s="447"/>
      <c r="D16" s="447"/>
      <c r="E16" s="447"/>
      <c r="F16" s="447"/>
      <c r="G16" s="447">
        <v>103.4</v>
      </c>
      <c r="H16" s="447"/>
      <c r="I16" s="447"/>
      <c r="J16" s="447">
        <f t="shared" si="0"/>
        <v>103.4</v>
      </c>
      <c r="K16" s="376">
        <v>1354</v>
      </c>
      <c r="L16" s="376">
        <v>1354</v>
      </c>
      <c r="M16" s="376">
        <v>257.67</v>
      </c>
      <c r="O16" s="450">
        <f t="shared" si="1"/>
        <v>-154.27</v>
      </c>
      <c r="P16" s="394" t="s">
        <v>168</v>
      </c>
      <c r="Q16" s="419"/>
      <c r="R16" s="376">
        <v>24</v>
      </c>
    </row>
    <row r="17" spans="2:15" ht="13.5" thickBot="1">
      <c r="B17" s="376">
        <v>1355</v>
      </c>
      <c r="C17" s="447"/>
      <c r="D17" s="447"/>
      <c r="E17" s="447"/>
      <c r="F17" s="447"/>
      <c r="G17" s="447">
        <v>70.7</v>
      </c>
      <c r="H17" s="447">
        <v>20.5</v>
      </c>
      <c r="I17" s="447"/>
      <c r="J17" s="447">
        <f t="shared" si="0"/>
        <v>91.2</v>
      </c>
      <c r="K17" s="376">
        <v>1355</v>
      </c>
      <c r="L17" s="376">
        <v>1355</v>
      </c>
      <c r="M17" s="376">
        <v>91.87</v>
      </c>
      <c r="O17" s="448">
        <f t="shared" si="1"/>
        <v>-0.6700000000000017</v>
      </c>
    </row>
    <row r="18" spans="2:18" ht="13.5" thickBot="1">
      <c r="B18" s="376">
        <v>1361</v>
      </c>
      <c r="C18" s="447"/>
      <c r="D18" s="447"/>
      <c r="E18" s="447"/>
      <c r="F18" s="447">
        <v>254.9</v>
      </c>
      <c r="G18" s="447">
        <v>378</v>
      </c>
      <c r="H18" s="447">
        <v>26.9</v>
      </c>
      <c r="I18" s="447"/>
      <c r="J18" s="447">
        <f t="shared" si="0"/>
        <v>659.8</v>
      </c>
      <c r="K18" s="376">
        <v>1361</v>
      </c>
      <c r="O18" s="448">
        <f t="shared" si="1"/>
        <v>659.8</v>
      </c>
      <c r="P18" s="449">
        <f>SUM(O18,O13,O12)</f>
        <v>432.2699999999998</v>
      </c>
      <c r="Q18" s="376" t="s">
        <v>169</v>
      </c>
      <c r="R18" s="376">
        <v>10</v>
      </c>
    </row>
    <row r="19" spans="2:15" ht="12.75">
      <c r="B19" s="376">
        <v>1401</v>
      </c>
      <c r="C19" s="447">
        <v>303</v>
      </c>
      <c r="D19" s="447"/>
      <c r="E19" s="447"/>
      <c r="F19" s="447"/>
      <c r="G19" s="447"/>
      <c r="H19" s="447"/>
      <c r="I19" s="447"/>
      <c r="J19" s="447">
        <f t="shared" si="0"/>
        <v>303</v>
      </c>
      <c r="K19" s="376">
        <v>1401</v>
      </c>
      <c r="L19" s="376">
        <v>1401</v>
      </c>
      <c r="M19" s="376">
        <v>303.04</v>
      </c>
      <c r="O19" s="448">
        <f t="shared" si="1"/>
        <v>-0.040000000000020464</v>
      </c>
    </row>
    <row r="20" spans="2:15" ht="13.5" thickBot="1">
      <c r="B20" s="376">
        <v>1402</v>
      </c>
      <c r="C20" s="447">
        <v>239.1</v>
      </c>
      <c r="D20" s="447"/>
      <c r="E20" s="447"/>
      <c r="F20" s="447"/>
      <c r="G20" s="447"/>
      <c r="H20" s="447"/>
      <c r="I20" s="447"/>
      <c r="J20" s="447">
        <f t="shared" si="0"/>
        <v>239.1</v>
      </c>
      <c r="K20" s="376">
        <v>1402</v>
      </c>
      <c r="L20" s="376">
        <v>1402</v>
      </c>
      <c r="M20" s="376">
        <v>239.14</v>
      </c>
      <c r="O20" s="448">
        <f t="shared" si="1"/>
        <v>-0.03999999999999204</v>
      </c>
    </row>
    <row r="21" spans="2:18" ht="13.5" thickBot="1">
      <c r="B21" s="376">
        <v>1403</v>
      </c>
      <c r="C21" s="447"/>
      <c r="D21" s="447">
        <v>1798.7</v>
      </c>
      <c r="E21" s="447">
        <v>863.1</v>
      </c>
      <c r="F21" s="447">
        <v>84.4</v>
      </c>
      <c r="G21" s="447"/>
      <c r="H21" s="447"/>
      <c r="I21" s="447"/>
      <c r="J21" s="447">
        <f t="shared" si="0"/>
        <v>2746.2000000000003</v>
      </c>
      <c r="K21" s="376">
        <v>1403</v>
      </c>
      <c r="L21" s="376">
        <v>1403</v>
      </c>
      <c r="M21" s="376">
        <v>3148.64</v>
      </c>
      <c r="O21" s="448">
        <f t="shared" si="1"/>
        <v>-402.4399999999996</v>
      </c>
      <c r="P21" s="449">
        <f>SUM(O21,O34,O35)</f>
        <v>520.3600000000004</v>
      </c>
      <c r="Q21" s="376" t="s">
        <v>170</v>
      </c>
      <c r="R21" s="376">
        <v>5</v>
      </c>
    </row>
    <row r="22" spans="2:15" ht="12.75">
      <c r="B22" s="376">
        <v>1404</v>
      </c>
      <c r="C22" s="447">
        <v>586</v>
      </c>
      <c r="D22" s="447">
        <v>1625.8</v>
      </c>
      <c r="E22" s="447">
        <v>321.6</v>
      </c>
      <c r="F22" s="447"/>
      <c r="G22" s="447"/>
      <c r="H22" s="447"/>
      <c r="I22" s="447"/>
      <c r="J22" s="447">
        <f t="shared" si="0"/>
        <v>2533.4</v>
      </c>
      <c r="K22" s="376">
        <v>1404</v>
      </c>
      <c r="L22" s="376">
        <v>1404</v>
      </c>
      <c r="M22" s="376">
        <v>2533.52</v>
      </c>
      <c r="O22" s="448">
        <f t="shared" si="1"/>
        <v>-0.11999999999989086</v>
      </c>
    </row>
    <row r="23" spans="2:15" ht="12.75">
      <c r="B23" s="376">
        <v>1405</v>
      </c>
      <c r="C23" s="447">
        <v>168.1</v>
      </c>
      <c r="D23" s="447"/>
      <c r="E23" s="447"/>
      <c r="F23" s="447"/>
      <c r="G23" s="447"/>
      <c r="H23" s="447"/>
      <c r="I23" s="447"/>
      <c r="J23" s="447">
        <f t="shared" si="0"/>
        <v>168.1</v>
      </c>
      <c r="K23" s="376">
        <v>1405</v>
      </c>
      <c r="L23" s="376">
        <v>1405</v>
      </c>
      <c r="M23" s="376">
        <v>168.07</v>
      </c>
      <c r="O23" s="448">
        <f t="shared" si="1"/>
        <v>0.030000000000001137</v>
      </c>
    </row>
    <row r="24" spans="2:15" ht="12.75">
      <c r="B24" s="376">
        <v>1406</v>
      </c>
      <c r="C24" s="447">
        <v>831.1</v>
      </c>
      <c r="D24" s="447">
        <v>1266.5</v>
      </c>
      <c r="E24" s="447">
        <v>116</v>
      </c>
      <c r="F24" s="447"/>
      <c r="G24" s="447"/>
      <c r="H24" s="447"/>
      <c r="I24" s="447"/>
      <c r="J24" s="447">
        <f t="shared" si="0"/>
        <v>2213.6</v>
      </c>
      <c r="K24" s="376">
        <v>1406</v>
      </c>
      <c r="L24" s="376">
        <v>1406</v>
      </c>
      <c r="M24" s="376">
        <v>2213.59</v>
      </c>
      <c r="O24" s="448">
        <f t="shared" si="1"/>
        <v>0.009999999999763531</v>
      </c>
    </row>
    <row r="25" spans="2:15" ht="12.75">
      <c r="B25" s="376">
        <v>1407</v>
      </c>
      <c r="C25" s="447">
        <v>267.6</v>
      </c>
      <c r="D25" s="447">
        <v>2236.3</v>
      </c>
      <c r="E25" s="447">
        <v>19.2</v>
      </c>
      <c r="F25" s="447"/>
      <c r="G25" s="447"/>
      <c r="H25" s="447"/>
      <c r="I25" s="447"/>
      <c r="J25" s="447">
        <f t="shared" si="0"/>
        <v>2523.1</v>
      </c>
      <c r="K25" s="376">
        <v>1407</v>
      </c>
      <c r="L25" s="376">
        <v>1407</v>
      </c>
      <c r="M25" s="376">
        <v>2522.99</v>
      </c>
      <c r="O25" s="448">
        <f t="shared" si="1"/>
        <v>0.11000000000012733</v>
      </c>
    </row>
    <row r="26" spans="2:15" ht="12.75">
      <c r="B26" s="376">
        <v>1408</v>
      </c>
      <c r="C26" s="447">
        <v>29.8</v>
      </c>
      <c r="D26" s="447">
        <v>2.5</v>
      </c>
      <c r="E26" s="447">
        <v>506.9</v>
      </c>
      <c r="F26" s="447">
        <v>1065.6</v>
      </c>
      <c r="G26" s="447">
        <v>166.8</v>
      </c>
      <c r="H26" s="447">
        <v>6.8</v>
      </c>
      <c r="I26" s="447"/>
      <c r="J26" s="447">
        <f t="shared" si="0"/>
        <v>1778.3999999999996</v>
      </c>
      <c r="K26" s="376">
        <v>1408</v>
      </c>
      <c r="L26" s="376">
        <v>1408</v>
      </c>
      <c r="M26" s="376">
        <v>1852.61</v>
      </c>
      <c r="O26" s="448">
        <f t="shared" si="1"/>
        <v>-74.21000000000026</v>
      </c>
    </row>
    <row r="27" spans="2:15" ht="12.75">
      <c r="B27" s="376">
        <v>1409</v>
      </c>
      <c r="C27" s="447"/>
      <c r="D27" s="447">
        <v>363.8</v>
      </c>
      <c r="E27" s="447">
        <v>490.1</v>
      </c>
      <c r="F27" s="447"/>
      <c r="G27" s="447"/>
      <c r="H27" s="447"/>
      <c r="I27" s="447"/>
      <c r="J27" s="447">
        <f t="shared" si="0"/>
        <v>853.9000000000001</v>
      </c>
      <c r="K27" s="376">
        <v>1409</v>
      </c>
      <c r="L27" s="376">
        <v>1409</v>
      </c>
      <c r="M27" s="376">
        <v>853.95</v>
      </c>
      <c r="O27" s="448">
        <f t="shared" si="1"/>
        <v>-0.049999999999954525</v>
      </c>
    </row>
    <row r="28" spans="2:15" ht="13.5" thickBot="1">
      <c r="B28" s="376">
        <v>1410</v>
      </c>
      <c r="C28" s="447"/>
      <c r="D28" s="447"/>
      <c r="E28" s="447">
        <v>1080.2</v>
      </c>
      <c r="F28" s="447"/>
      <c r="G28" s="447"/>
      <c r="H28" s="447"/>
      <c r="I28" s="447"/>
      <c r="J28" s="447">
        <f t="shared" si="0"/>
        <v>1080.2</v>
      </c>
      <c r="K28" s="376">
        <v>1410</v>
      </c>
      <c r="L28" s="376">
        <v>1410</v>
      </c>
      <c r="M28" s="376">
        <v>1080.21</v>
      </c>
      <c r="O28" s="448">
        <f t="shared" si="1"/>
        <v>-0.009999999999990905</v>
      </c>
    </row>
    <row r="29" spans="2:18" ht="13.5" thickBot="1">
      <c r="B29" s="376">
        <v>1411</v>
      </c>
      <c r="C29" s="447"/>
      <c r="D29" s="447">
        <v>20.4</v>
      </c>
      <c r="E29" s="447">
        <v>3748.7</v>
      </c>
      <c r="F29" s="447">
        <v>4102.5</v>
      </c>
      <c r="G29" s="447">
        <v>564</v>
      </c>
      <c r="H29" s="447"/>
      <c r="I29" s="447"/>
      <c r="J29" s="447">
        <f t="shared" si="0"/>
        <v>8435.6</v>
      </c>
      <c r="K29" s="376">
        <v>1411</v>
      </c>
      <c r="L29" s="376">
        <v>1411</v>
      </c>
      <c r="M29" s="376">
        <v>8367.06</v>
      </c>
      <c r="O29" s="450">
        <f t="shared" si="1"/>
        <v>68.54000000000087</v>
      </c>
      <c r="P29" s="394" t="s">
        <v>171</v>
      </c>
      <c r="Q29" s="394"/>
      <c r="R29" s="419">
        <v>18</v>
      </c>
    </row>
    <row r="30" spans="2:15" ht="12.75">
      <c r="B30" s="376">
        <v>1412</v>
      </c>
      <c r="C30" s="447"/>
      <c r="D30" s="447"/>
      <c r="E30" s="447">
        <v>540.4</v>
      </c>
      <c r="F30" s="447"/>
      <c r="G30" s="447"/>
      <c r="H30" s="447"/>
      <c r="I30" s="447"/>
      <c r="J30" s="447">
        <f t="shared" si="0"/>
        <v>540.4</v>
      </c>
      <c r="K30" s="376">
        <v>1412</v>
      </c>
      <c r="L30" s="376">
        <v>1412</v>
      </c>
      <c r="M30" s="376">
        <v>540.44</v>
      </c>
      <c r="O30" s="448">
        <f t="shared" si="1"/>
        <v>-0.04000000000007731</v>
      </c>
    </row>
    <row r="31" spans="2:15" ht="12.75">
      <c r="B31" s="376">
        <v>1413</v>
      </c>
      <c r="C31" s="447"/>
      <c r="D31" s="447"/>
      <c r="E31" s="447">
        <v>23.2</v>
      </c>
      <c r="F31" s="447"/>
      <c r="G31" s="447"/>
      <c r="H31" s="447"/>
      <c r="I31" s="447"/>
      <c r="J31" s="447">
        <f t="shared" si="0"/>
        <v>23.2</v>
      </c>
      <c r="K31" s="376">
        <v>1413</v>
      </c>
      <c r="L31" s="376">
        <v>1413</v>
      </c>
      <c r="M31" s="376">
        <v>23.17</v>
      </c>
      <c r="O31" s="448">
        <f t="shared" si="1"/>
        <v>0.029999999999997584</v>
      </c>
    </row>
    <row r="32" spans="2:15" ht="12.75">
      <c r="B32" s="376">
        <v>1414</v>
      </c>
      <c r="C32" s="447"/>
      <c r="D32" s="447"/>
      <c r="E32" s="447">
        <v>46</v>
      </c>
      <c r="F32" s="447">
        <v>129.8</v>
      </c>
      <c r="G32" s="447">
        <v>31</v>
      </c>
      <c r="H32" s="447"/>
      <c r="I32" s="447"/>
      <c r="J32" s="447">
        <f t="shared" si="0"/>
        <v>206.8</v>
      </c>
      <c r="K32" s="376">
        <v>1414</v>
      </c>
      <c r="L32" s="376">
        <v>1414</v>
      </c>
      <c r="M32" s="376">
        <v>169.94</v>
      </c>
      <c r="O32" s="448">
        <f t="shared" si="1"/>
        <v>36.860000000000014</v>
      </c>
    </row>
    <row r="33" spans="2:15" ht="12.75">
      <c r="B33" s="376">
        <v>1415</v>
      </c>
      <c r="C33" s="447"/>
      <c r="D33" s="447"/>
      <c r="E33" s="447">
        <v>14.8</v>
      </c>
      <c r="F33" s="447"/>
      <c r="G33" s="447"/>
      <c r="H33" s="447"/>
      <c r="I33" s="447"/>
      <c r="J33" s="447">
        <f t="shared" si="0"/>
        <v>14.8</v>
      </c>
      <c r="K33" s="376">
        <v>1415</v>
      </c>
      <c r="L33" s="376">
        <v>1415</v>
      </c>
      <c r="M33" s="376">
        <v>14.85</v>
      </c>
      <c r="O33" s="448">
        <f t="shared" si="1"/>
        <v>-0.049999999999998934</v>
      </c>
    </row>
    <row r="34" spans="2:15" ht="12.75">
      <c r="B34" s="376">
        <v>1416</v>
      </c>
      <c r="C34" s="447"/>
      <c r="D34" s="447"/>
      <c r="E34" s="447">
        <v>65.1</v>
      </c>
      <c r="F34" s="447">
        <v>684.4</v>
      </c>
      <c r="G34" s="447"/>
      <c r="H34" s="447"/>
      <c r="I34" s="447"/>
      <c r="J34" s="447">
        <f t="shared" si="0"/>
        <v>749.5</v>
      </c>
      <c r="K34" s="376">
        <v>1416</v>
      </c>
      <c r="O34" s="448">
        <f t="shared" si="1"/>
        <v>749.5</v>
      </c>
    </row>
    <row r="35" spans="2:15" ht="13.5" thickBot="1">
      <c r="B35" s="376" t="s">
        <v>172</v>
      </c>
      <c r="C35" s="447"/>
      <c r="D35" s="447"/>
      <c r="E35" s="447">
        <v>65.8</v>
      </c>
      <c r="F35" s="447">
        <v>107.5</v>
      </c>
      <c r="G35" s="447"/>
      <c r="H35" s="447"/>
      <c r="I35" s="447"/>
      <c r="J35" s="447">
        <f t="shared" si="0"/>
        <v>173.3</v>
      </c>
      <c r="O35" s="448">
        <f t="shared" si="1"/>
        <v>173.3</v>
      </c>
    </row>
    <row r="36" spans="2:18" ht="13.5" thickBot="1">
      <c r="B36" s="376" t="s">
        <v>173</v>
      </c>
      <c r="C36" s="447"/>
      <c r="D36" s="447"/>
      <c r="E36" s="447"/>
      <c r="F36" s="447"/>
      <c r="G36" s="447">
        <v>655.097</v>
      </c>
      <c r="H36" s="447"/>
      <c r="I36" s="447"/>
      <c r="J36" s="447">
        <f t="shared" si="0"/>
        <v>655.097</v>
      </c>
      <c r="K36" s="376">
        <v>1421</v>
      </c>
      <c r="O36" s="449">
        <f t="shared" si="1"/>
        <v>655.097</v>
      </c>
      <c r="P36" s="448"/>
      <c r="Q36" s="376" t="s">
        <v>174</v>
      </c>
      <c r="R36" s="376">
        <v>15</v>
      </c>
    </row>
    <row r="37" spans="2:18" ht="13.5" thickBot="1">
      <c r="B37" s="376">
        <v>1451</v>
      </c>
      <c r="C37" s="447"/>
      <c r="D37" s="447"/>
      <c r="E37" s="447">
        <v>56.9</v>
      </c>
      <c r="F37" s="447">
        <v>2393.7</v>
      </c>
      <c r="G37" s="447">
        <v>2536.8</v>
      </c>
      <c r="H37" s="447">
        <v>80.3</v>
      </c>
      <c r="I37" s="447"/>
      <c r="J37" s="447">
        <f t="shared" si="0"/>
        <v>5067.7</v>
      </c>
      <c r="K37" s="376">
        <v>1451</v>
      </c>
      <c r="L37" s="376">
        <v>1451</v>
      </c>
      <c r="M37" s="376">
        <v>5082.4</v>
      </c>
      <c r="O37" s="449">
        <f t="shared" si="1"/>
        <v>-14.699999999999818</v>
      </c>
      <c r="Q37" s="376" t="s">
        <v>175</v>
      </c>
      <c r="R37" s="376">
        <v>7</v>
      </c>
    </row>
    <row r="38" spans="2:15" ht="12.75">
      <c r="B38" s="376">
        <v>1501</v>
      </c>
      <c r="C38" s="447"/>
      <c r="D38" s="447">
        <v>34.6</v>
      </c>
      <c r="E38" s="447">
        <v>44.3</v>
      </c>
      <c r="F38" s="447">
        <v>130.6</v>
      </c>
      <c r="G38" s="447"/>
      <c r="H38" s="447"/>
      <c r="I38" s="447"/>
      <c r="J38" s="447">
        <f t="shared" si="0"/>
        <v>209.5</v>
      </c>
      <c r="K38" s="376">
        <v>1501</v>
      </c>
      <c r="L38" s="376">
        <v>1501</v>
      </c>
      <c r="M38" s="376">
        <v>221.48</v>
      </c>
      <c r="O38" s="448">
        <f t="shared" si="1"/>
        <v>-11.97999999999999</v>
      </c>
    </row>
    <row r="39" spans="2:15" ht="12.75">
      <c r="B39" s="376">
        <v>1550</v>
      </c>
      <c r="C39" s="447"/>
      <c r="D39" s="447"/>
      <c r="E39" s="447"/>
      <c r="F39" s="447"/>
      <c r="G39" s="447">
        <v>1173</v>
      </c>
      <c r="H39" s="447">
        <v>4.7</v>
      </c>
      <c r="I39" s="447"/>
      <c r="J39" s="447">
        <f t="shared" si="0"/>
        <v>1177.7</v>
      </c>
      <c r="K39" s="376">
        <v>1550</v>
      </c>
      <c r="L39" s="376">
        <v>1550</v>
      </c>
      <c r="M39" s="376">
        <v>1191.47</v>
      </c>
      <c r="O39" s="448">
        <f t="shared" si="1"/>
        <v>-13.769999999999982</v>
      </c>
    </row>
    <row r="40" spans="2:15" ht="12.75">
      <c r="B40" s="376">
        <v>1601</v>
      </c>
      <c r="C40" s="447"/>
      <c r="D40" s="447"/>
      <c r="E40" s="447"/>
      <c r="F40" s="447"/>
      <c r="G40" s="447">
        <v>660</v>
      </c>
      <c r="H40" s="447">
        <v>475</v>
      </c>
      <c r="I40" s="447"/>
      <c r="J40" s="447">
        <f t="shared" si="0"/>
        <v>1135</v>
      </c>
      <c r="K40" s="376">
        <v>1601</v>
      </c>
      <c r="L40" s="376">
        <v>1601</v>
      </c>
      <c r="M40" s="376">
        <v>1139.98</v>
      </c>
      <c r="O40" s="448">
        <f t="shared" si="1"/>
        <v>-4.980000000000018</v>
      </c>
    </row>
    <row r="41" spans="2:15" ht="12.75">
      <c r="B41" s="376">
        <v>1701</v>
      </c>
      <c r="C41" s="447">
        <v>12.2</v>
      </c>
      <c r="D41" s="447">
        <v>80.9</v>
      </c>
      <c r="E41" s="447">
        <v>100.1</v>
      </c>
      <c r="F41" s="447">
        <v>5.5</v>
      </c>
      <c r="G41" s="447">
        <v>304.4</v>
      </c>
      <c r="H41" s="447"/>
      <c r="I41" s="447"/>
      <c r="J41" s="447">
        <f t="shared" si="0"/>
        <v>503.09999999999997</v>
      </c>
      <c r="K41" s="376">
        <v>1701</v>
      </c>
      <c r="L41" s="376">
        <v>1701</v>
      </c>
      <c r="M41" s="376">
        <v>504.49</v>
      </c>
      <c r="O41" s="448">
        <f t="shared" si="1"/>
        <v>-1.3900000000000432</v>
      </c>
    </row>
    <row r="42" spans="2:15" ht="12.75">
      <c r="B42" s="376">
        <v>1751</v>
      </c>
      <c r="C42" s="447"/>
      <c r="D42" s="447"/>
      <c r="E42" s="447"/>
      <c r="F42" s="447"/>
      <c r="G42" s="447">
        <v>5.6</v>
      </c>
      <c r="H42" s="447">
        <v>527.8</v>
      </c>
      <c r="I42" s="447">
        <v>7.1</v>
      </c>
      <c r="J42" s="447">
        <f t="shared" si="0"/>
        <v>540.5</v>
      </c>
      <c r="K42" s="376">
        <v>1751</v>
      </c>
      <c r="L42" s="376">
        <v>1751</v>
      </c>
      <c r="M42" s="376">
        <v>541.48</v>
      </c>
      <c r="O42" s="448">
        <f t="shared" si="1"/>
        <v>-0.9800000000000182</v>
      </c>
    </row>
    <row r="43" spans="2:15" ht="12.75">
      <c r="B43" s="376">
        <v>1752</v>
      </c>
      <c r="C43" s="447"/>
      <c r="D43" s="447"/>
      <c r="E43" s="447"/>
      <c r="F43" s="447"/>
      <c r="G43" s="447">
        <v>308.1</v>
      </c>
      <c r="H43" s="447">
        <v>3.3</v>
      </c>
      <c r="I43" s="447"/>
      <c r="J43" s="447">
        <f t="shared" si="0"/>
        <v>311.40000000000003</v>
      </c>
      <c r="K43" s="376">
        <v>1752</v>
      </c>
      <c r="L43" s="376">
        <v>1752</v>
      </c>
      <c r="M43" s="376">
        <v>314.97</v>
      </c>
      <c r="O43" s="448">
        <f t="shared" si="1"/>
        <v>-3.569999999999993</v>
      </c>
    </row>
    <row r="44" spans="2:15" ht="12.75">
      <c r="B44" s="376">
        <v>1801</v>
      </c>
      <c r="C44" s="447">
        <v>60.8</v>
      </c>
      <c r="D44" s="447"/>
      <c r="E44" s="447"/>
      <c r="F44" s="447"/>
      <c r="G44" s="447"/>
      <c r="H44" s="447"/>
      <c r="I44" s="447"/>
      <c r="J44" s="447">
        <f t="shared" si="0"/>
        <v>60.8</v>
      </c>
      <c r="K44" s="376">
        <v>1801</v>
      </c>
      <c r="L44" s="376">
        <v>1801</v>
      </c>
      <c r="M44" s="376">
        <v>60.8</v>
      </c>
      <c r="O44" s="448">
        <f t="shared" si="1"/>
        <v>0</v>
      </c>
    </row>
    <row r="45" spans="2:15" ht="13.5" thickBot="1">
      <c r="B45" s="376">
        <v>1802</v>
      </c>
      <c r="C45" s="447"/>
      <c r="D45" s="447">
        <v>164.6</v>
      </c>
      <c r="E45" s="447">
        <v>146.2</v>
      </c>
      <c r="F45" s="447">
        <v>350.2</v>
      </c>
      <c r="G45" s="447">
        <v>411.6</v>
      </c>
      <c r="H45" s="447">
        <v>355.5</v>
      </c>
      <c r="I45" s="447"/>
      <c r="J45" s="447">
        <f t="shared" si="0"/>
        <v>1428.1</v>
      </c>
      <c r="K45" s="376">
        <v>1802</v>
      </c>
      <c r="L45" s="376">
        <v>1802</v>
      </c>
      <c r="M45" s="376">
        <v>1444.46</v>
      </c>
      <c r="O45" s="448">
        <f t="shared" si="1"/>
        <v>-16.360000000000127</v>
      </c>
    </row>
    <row r="46" spans="2:18" ht="13.5" thickBot="1">
      <c r="B46" s="376">
        <v>1803</v>
      </c>
      <c r="C46" s="447"/>
      <c r="D46" s="447"/>
      <c r="E46" s="447">
        <v>615.9</v>
      </c>
      <c r="F46" s="447">
        <v>464.2</v>
      </c>
      <c r="G46" s="447">
        <v>107.6</v>
      </c>
      <c r="H46" s="447">
        <v>10.4</v>
      </c>
      <c r="I46" s="447"/>
      <c r="J46" s="447">
        <f t="shared" si="0"/>
        <v>1198.1</v>
      </c>
      <c r="K46" s="376">
        <v>1803</v>
      </c>
      <c r="L46" s="376">
        <v>1803</v>
      </c>
      <c r="M46" s="376">
        <v>1219.66</v>
      </c>
      <c r="O46" s="451">
        <f t="shared" si="1"/>
        <v>-21.560000000000173</v>
      </c>
      <c r="P46" s="450">
        <v>-50</v>
      </c>
      <c r="Q46" s="419" t="s">
        <v>176</v>
      </c>
      <c r="R46" s="376">
        <v>16</v>
      </c>
    </row>
    <row r="47" spans="2:18" ht="13.5" thickBot="1">
      <c r="B47" s="376">
        <v>1804</v>
      </c>
      <c r="C47" s="447"/>
      <c r="D47" s="447">
        <v>198</v>
      </c>
      <c r="E47" s="447">
        <v>171.6</v>
      </c>
      <c r="F47" s="447">
        <v>79.1</v>
      </c>
      <c r="G47" s="447">
        <v>11</v>
      </c>
      <c r="H47" s="447">
        <v>11.1</v>
      </c>
      <c r="I47" s="447">
        <v>11.6</v>
      </c>
      <c r="J47" s="447">
        <f t="shared" si="0"/>
        <v>482.4000000000001</v>
      </c>
      <c r="K47" s="376">
        <v>1804</v>
      </c>
      <c r="L47" s="376">
        <v>1804</v>
      </c>
      <c r="M47" s="376">
        <v>501.77</v>
      </c>
      <c r="O47" s="451">
        <f t="shared" si="1"/>
        <v>-19.36999999999989</v>
      </c>
      <c r="P47" s="452">
        <v>-40</v>
      </c>
      <c r="Q47" s="419" t="s">
        <v>177</v>
      </c>
      <c r="R47" s="376">
        <v>9</v>
      </c>
    </row>
    <row r="48" spans="2:16" ht="12.75">
      <c r="B48" s="376">
        <v>1810</v>
      </c>
      <c r="C48" s="447"/>
      <c r="D48" s="447"/>
      <c r="E48" s="447"/>
      <c r="F48" s="447">
        <v>282.4</v>
      </c>
      <c r="G48" s="447">
        <v>1174.1</v>
      </c>
      <c r="H48" s="447">
        <v>676.5</v>
      </c>
      <c r="I48" s="447"/>
      <c r="J48" s="447">
        <f t="shared" si="0"/>
        <v>2133</v>
      </c>
      <c r="K48" s="376">
        <v>1810</v>
      </c>
      <c r="L48" s="376">
        <v>1810</v>
      </c>
      <c r="M48" s="376">
        <v>2203.28</v>
      </c>
      <c r="O48" s="448">
        <f t="shared" si="1"/>
        <v>-70.2800000000002</v>
      </c>
      <c r="P48" s="448"/>
    </row>
    <row r="49" spans="2:15" ht="12.75">
      <c r="B49" s="376">
        <v>1901</v>
      </c>
      <c r="C49" s="447">
        <v>254.2</v>
      </c>
      <c r="D49" s="447">
        <v>640.7</v>
      </c>
      <c r="E49" s="447">
        <v>580.8</v>
      </c>
      <c r="F49" s="447">
        <v>515.7</v>
      </c>
      <c r="G49" s="447">
        <v>361.6</v>
      </c>
      <c r="H49" s="447">
        <v>251.5</v>
      </c>
      <c r="I49" s="447">
        <v>153.7</v>
      </c>
      <c r="J49" s="447">
        <f t="shared" si="0"/>
        <v>2758.2</v>
      </c>
      <c r="K49" s="376">
        <v>1901</v>
      </c>
      <c r="L49" s="376">
        <v>1901</v>
      </c>
      <c r="M49" s="376">
        <v>2738.1</v>
      </c>
      <c r="O49" s="448">
        <f t="shared" si="1"/>
        <v>20.09999999999991</v>
      </c>
    </row>
    <row r="50" spans="2:15" ht="12.75">
      <c r="B50" s="376">
        <v>2001</v>
      </c>
      <c r="C50" s="447">
        <v>63.7</v>
      </c>
      <c r="D50" s="447"/>
      <c r="E50" s="447"/>
      <c r="F50" s="447"/>
      <c r="G50" s="447"/>
      <c r="H50" s="447"/>
      <c r="I50" s="447"/>
      <c r="J50" s="447">
        <f t="shared" si="0"/>
        <v>63.7</v>
      </c>
      <c r="K50" s="376">
        <v>2001</v>
      </c>
      <c r="L50" s="376">
        <v>2001</v>
      </c>
      <c r="M50" s="376">
        <v>63.67</v>
      </c>
      <c r="O50" s="448">
        <f t="shared" si="1"/>
        <v>0.030000000000001137</v>
      </c>
    </row>
    <row r="51" spans="2:15" ht="12.75">
      <c r="B51" s="376">
        <v>2101</v>
      </c>
      <c r="C51" s="447"/>
      <c r="D51" s="447"/>
      <c r="E51" s="447"/>
      <c r="F51" s="447"/>
      <c r="G51" s="447">
        <v>52.7</v>
      </c>
      <c r="H51" s="447">
        <v>35.4</v>
      </c>
      <c r="I51" s="447"/>
      <c r="J51" s="447">
        <f t="shared" si="0"/>
        <v>88.1</v>
      </c>
      <c r="K51" s="376">
        <v>2101</v>
      </c>
      <c r="L51" s="376">
        <v>2101</v>
      </c>
      <c r="M51" s="376">
        <v>86.54</v>
      </c>
      <c r="O51" s="448">
        <f t="shared" si="1"/>
        <v>1.559999999999988</v>
      </c>
    </row>
    <row r="52" spans="2:15" ht="12.75">
      <c r="B52" s="376">
        <v>2201</v>
      </c>
      <c r="C52" s="447"/>
      <c r="D52" s="447"/>
      <c r="E52" s="447"/>
      <c r="F52" s="447"/>
      <c r="G52" s="447">
        <v>125.5</v>
      </c>
      <c r="H52" s="447">
        <v>229.7</v>
      </c>
      <c r="I52" s="447"/>
      <c r="J52" s="447">
        <f t="shared" si="0"/>
        <v>355.2</v>
      </c>
      <c r="K52" s="376">
        <v>2201</v>
      </c>
      <c r="L52" s="376">
        <v>2201</v>
      </c>
      <c r="M52" s="376">
        <v>348.88</v>
      </c>
      <c r="O52" s="448">
        <f t="shared" si="1"/>
        <v>6.319999999999993</v>
      </c>
    </row>
    <row r="53" spans="2:15" ht="13.5" thickBot="1">
      <c r="B53" s="376">
        <v>2501</v>
      </c>
      <c r="C53" s="447">
        <v>123</v>
      </c>
      <c r="D53" s="447">
        <v>161.4</v>
      </c>
      <c r="E53" s="447"/>
      <c r="F53" s="447"/>
      <c r="G53" s="447"/>
      <c r="H53" s="447"/>
      <c r="I53" s="447"/>
      <c r="J53" s="447">
        <f t="shared" si="0"/>
        <v>284.4</v>
      </c>
      <c r="K53" s="376">
        <v>2501</v>
      </c>
      <c r="L53" s="376">
        <v>2501</v>
      </c>
      <c r="M53" s="376">
        <v>284.37</v>
      </c>
      <c r="O53" s="448">
        <f t="shared" si="1"/>
        <v>0.029999999999972715</v>
      </c>
    </row>
    <row r="54" spans="2:18" ht="13.5" thickBot="1">
      <c r="B54" s="376">
        <v>3101</v>
      </c>
      <c r="C54" s="447"/>
      <c r="D54" s="447"/>
      <c r="E54" s="447">
        <v>100.2</v>
      </c>
      <c r="F54" s="447">
        <v>307</v>
      </c>
      <c r="G54" s="447">
        <v>65.7</v>
      </c>
      <c r="H54" s="447">
        <v>15.2</v>
      </c>
      <c r="I54" s="447"/>
      <c r="J54" s="447">
        <f t="shared" si="0"/>
        <v>488.09999999999997</v>
      </c>
      <c r="K54" s="376">
        <v>3101</v>
      </c>
      <c r="L54" s="376">
        <v>3101</v>
      </c>
      <c r="M54" s="376">
        <v>426.36</v>
      </c>
      <c r="O54" s="450">
        <f t="shared" si="1"/>
        <v>61.73999999999995</v>
      </c>
      <c r="P54" s="394" t="s">
        <v>178</v>
      </c>
      <c r="Q54" s="394"/>
      <c r="R54" s="419">
        <v>17</v>
      </c>
    </row>
    <row r="55" spans="2:15" ht="13.5" thickBot="1">
      <c r="B55" s="376">
        <v>3601</v>
      </c>
      <c r="C55" s="447"/>
      <c r="D55" s="447"/>
      <c r="E55" s="447"/>
      <c r="F55" s="447"/>
      <c r="G55" s="447">
        <v>5.7</v>
      </c>
      <c r="H55" s="447">
        <v>39.9</v>
      </c>
      <c r="I55" s="447"/>
      <c r="J55" s="447">
        <f t="shared" si="0"/>
        <v>45.6</v>
      </c>
      <c r="K55" s="376">
        <v>3601</v>
      </c>
      <c r="L55" s="376">
        <v>3601</v>
      </c>
      <c r="M55" s="376">
        <v>45.96</v>
      </c>
      <c r="O55" s="448">
        <f t="shared" si="1"/>
        <v>-0.35999999999999943</v>
      </c>
    </row>
    <row r="56" spans="2:18" ht="13.5" thickBot="1">
      <c r="B56" s="376">
        <v>3801</v>
      </c>
      <c r="C56" s="447"/>
      <c r="D56" s="447"/>
      <c r="E56" s="447"/>
      <c r="F56" s="447"/>
      <c r="G56" s="447"/>
      <c r="H56" s="447">
        <v>206.2</v>
      </c>
      <c r="I56" s="447"/>
      <c r="J56" s="447">
        <f t="shared" si="0"/>
        <v>206.2</v>
      </c>
      <c r="K56" s="376">
        <v>3801</v>
      </c>
      <c r="L56" s="376">
        <v>3801</v>
      </c>
      <c r="M56" s="376">
        <v>310.09</v>
      </c>
      <c r="O56" s="450">
        <f t="shared" si="1"/>
        <v>-103.88999999999999</v>
      </c>
      <c r="P56" s="394" t="s">
        <v>179</v>
      </c>
      <c r="Q56" s="419"/>
      <c r="R56" s="376">
        <v>22</v>
      </c>
    </row>
    <row r="57" spans="2:15" ht="12.75">
      <c r="B57" s="376">
        <v>3901</v>
      </c>
      <c r="C57" s="447">
        <v>155.5</v>
      </c>
      <c r="D57" s="447">
        <v>65</v>
      </c>
      <c r="E57" s="447">
        <v>66.4</v>
      </c>
      <c r="F57" s="447">
        <v>70.5</v>
      </c>
      <c r="G57" s="447"/>
      <c r="H57" s="447"/>
      <c r="I57" s="447"/>
      <c r="J57" s="447">
        <f t="shared" si="0"/>
        <v>357.4</v>
      </c>
      <c r="K57" s="376">
        <v>3901</v>
      </c>
      <c r="L57" s="376">
        <v>3901</v>
      </c>
      <c r="M57" s="376">
        <v>360.52</v>
      </c>
      <c r="O57" s="448">
        <f t="shared" si="1"/>
        <v>-3.1200000000000045</v>
      </c>
    </row>
    <row r="58" spans="2:15" ht="12.75">
      <c r="B58" s="376">
        <v>4101</v>
      </c>
      <c r="C58" s="447"/>
      <c r="D58" s="447">
        <v>85.8</v>
      </c>
      <c r="E58" s="447">
        <v>18.7</v>
      </c>
      <c r="F58" s="447">
        <v>0.1</v>
      </c>
      <c r="G58" s="447">
        <v>288</v>
      </c>
      <c r="H58" s="447">
        <v>29.3</v>
      </c>
      <c r="I58" s="447"/>
      <c r="J58" s="447">
        <f t="shared" si="0"/>
        <v>421.90000000000003</v>
      </c>
      <c r="K58" s="376">
        <v>4101</v>
      </c>
      <c r="L58" s="376">
        <v>4101</v>
      </c>
      <c r="M58" s="376">
        <v>430.17</v>
      </c>
      <c r="O58" s="448">
        <f t="shared" si="1"/>
        <v>-8.269999999999982</v>
      </c>
    </row>
    <row r="59" spans="2:15" ht="12.75">
      <c r="B59" s="376">
        <v>4301</v>
      </c>
      <c r="C59" s="447"/>
      <c r="D59" s="447"/>
      <c r="E59" s="447">
        <v>156.9</v>
      </c>
      <c r="F59" s="447">
        <v>38.4</v>
      </c>
      <c r="G59" s="447">
        <v>214.5</v>
      </c>
      <c r="H59" s="447"/>
      <c r="I59" s="447"/>
      <c r="J59" s="447">
        <f t="shared" si="0"/>
        <v>409.8</v>
      </c>
      <c r="K59" s="376">
        <v>4301</v>
      </c>
      <c r="L59" s="376">
        <v>4301</v>
      </c>
      <c r="M59" s="376">
        <v>453.94</v>
      </c>
      <c r="O59" s="448">
        <f t="shared" si="1"/>
        <v>-44.139999999999986</v>
      </c>
    </row>
    <row r="60" spans="2:15" ht="12.75">
      <c r="B60" s="376">
        <v>4401</v>
      </c>
      <c r="C60" s="447"/>
      <c r="D60" s="447">
        <v>1.1</v>
      </c>
      <c r="E60" s="447">
        <v>4.4</v>
      </c>
      <c r="F60" s="447"/>
      <c r="G60" s="447">
        <v>842.5</v>
      </c>
      <c r="H60" s="447">
        <v>431.3</v>
      </c>
      <c r="I60" s="447">
        <v>17.8</v>
      </c>
      <c r="J60" s="447">
        <f t="shared" si="0"/>
        <v>1297.1</v>
      </c>
      <c r="K60" s="376">
        <v>4401</v>
      </c>
      <c r="L60" s="376">
        <v>4401</v>
      </c>
      <c r="M60" s="376">
        <v>1308.88</v>
      </c>
      <c r="O60" s="448">
        <f t="shared" si="1"/>
        <v>-11.7800000000002</v>
      </c>
    </row>
    <row r="61" spans="2:15" ht="12.75">
      <c r="B61" s="376">
        <v>4501</v>
      </c>
      <c r="C61" s="447">
        <v>112.3</v>
      </c>
      <c r="D61" s="447">
        <v>29.9</v>
      </c>
      <c r="E61" s="447">
        <v>47.5</v>
      </c>
      <c r="F61" s="447">
        <v>129.2</v>
      </c>
      <c r="G61" s="447">
        <v>350.4</v>
      </c>
      <c r="H61" s="447">
        <v>437.7</v>
      </c>
      <c r="I61" s="447"/>
      <c r="J61" s="447">
        <f t="shared" si="0"/>
        <v>1107</v>
      </c>
      <c r="K61" s="376">
        <v>4501</v>
      </c>
      <c r="L61" s="376">
        <v>4501</v>
      </c>
      <c r="M61" s="376">
        <v>1106.78</v>
      </c>
      <c r="O61" s="448">
        <f t="shared" si="1"/>
        <v>0.22000000000002728</v>
      </c>
    </row>
    <row r="62" spans="2:15" ht="12.75">
      <c r="B62" s="376">
        <v>4601</v>
      </c>
      <c r="C62" s="447">
        <v>1.3</v>
      </c>
      <c r="D62" s="447"/>
      <c r="E62" s="447"/>
      <c r="F62" s="447"/>
      <c r="G62" s="447"/>
      <c r="H62" s="447"/>
      <c r="I62" s="447"/>
      <c r="J62" s="447">
        <f t="shared" si="0"/>
        <v>1.3</v>
      </c>
      <c r="K62" s="376">
        <v>4601</v>
      </c>
      <c r="L62" s="376">
        <v>4601</v>
      </c>
      <c r="M62" s="376">
        <v>1.3</v>
      </c>
      <c r="O62" s="448">
        <f t="shared" si="1"/>
        <v>0</v>
      </c>
    </row>
    <row r="63" spans="2:16" ht="12.75">
      <c r="B63" s="376">
        <v>5101</v>
      </c>
      <c r="C63" s="447"/>
      <c r="D63" s="447"/>
      <c r="E63" s="447"/>
      <c r="F63" s="447"/>
      <c r="G63" s="447"/>
      <c r="H63" s="447">
        <v>280.4</v>
      </c>
      <c r="I63" s="447"/>
      <c r="J63" s="447">
        <f t="shared" si="0"/>
        <v>280.4</v>
      </c>
      <c r="K63" s="376">
        <v>5101</v>
      </c>
      <c r="L63" s="376">
        <v>5101</v>
      </c>
      <c r="M63" s="376">
        <v>282.69</v>
      </c>
      <c r="O63" s="448">
        <f t="shared" si="1"/>
        <v>-2.2900000000000205</v>
      </c>
      <c r="P63" s="448"/>
    </row>
    <row r="64" spans="2:18" ht="12.75">
      <c r="B64" s="376">
        <v>5201</v>
      </c>
      <c r="C64" s="447"/>
      <c r="D64" s="447"/>
      <c r="E64" s="447"/>
      <c r="F64" s="447"/>
      <c r="G64" s="447">
        <v>9.4</v>
      </c>
      <c r="H64" s="447">
        <v>429.1</v>
      </c>
      <c r="I64" s="447">
        <v>91.6</v>
      </c>
      <c r="J64" s="447">
        <f t="shared" si="0"/>
        <v>530.1</v>
      </c>
      <c r="K64" s="376">
        <v>5201</v>
      </c>
      <c r="L64" s="376">
        <v>5201</v>
      </c>
      <c r="M64" s="376">
        <v>610.92</v>
      </c>
      <c r="O64" s="448">
        <f t="shared" si="1"/>
        <v>-80.81999999999994</v>
      </c>
      <c r="P64" s="453">
        <v>-100</v>
      </c>
      <c r="Q64" s="376" t="s">
        <v>180</v>
      </c>
      <c r="R64" s="376">
        <v>20</v>
      </c>
    </row>
    <row r="65" spans="2:15" ht="12.75">
      <c r="B65" s="376">
        <v>5301</v>
      </c>
      <c r="C65" s="447"/>
      <c r="D65" s="447"/>
      <c r="E65" s="447"/>
      <c r="F65" s="447"/>
      <c r="G65" s="447">
        <v>11.1</v>
      </c>
      <c r="H65" s="447">
        <v>299.1</v>
      </c>
      <c r="I65" s="447">
        <v>18.9</v>
      </c>
      <c r="J65" s="447">
        <f t="shared" si="0"/>
        <v>329.1</v>
      </c>
      <c r="K65" s="376">
        <v>5301</v>
      </c>
      <c r="L65" s="376">
        <v>5301</v>
      </c>
      <c r="M65" s="376">
        <v>351.01</v>
      </c>
      <c r="O65" s="448">
        <f t="shared" si="1"/>
        <v>-21.909999999999968</v>
      </c>
    </row>
    <row r="66" spans="2:15" ht="12.75">
      <c r="B66" s="376">
        <v>5401</v>
      </c>
      <c r="C66" s="447"/>
      <c r="D66" s="447"/>
      <c r="E66" s="447"/>
      <c r="F66" s="447"/>
      <c r="G66" s="447"/>
      <c r="H66" s="447">
        <v>195.8</v>
      </c>
      <c r="I66" s="447"/>
      <c r="J66" s="447">
        <f t="shared" si="0"/>
        <v>195.8</v>
      </c>
      <c r="K66" s="376">
        <v>5401</v>
      </c>
      <c r="L66" s="376">
        <v>5401</v>
      </c>
      <c r="M66" s="376">
        <v>220.96</v>
      </c>
      <c r="O66" s="448">
        <f t="shared" si="1"/>
        <v>-25.159999999999997</v>
      </c>
    </row>
    <row r="67" spans="2:15" ht="12.75">
      <c r="B67" s="376">
        <v>5501</v>
      </c>
      <c r="C67" s="447"/>
      <c r="D67" s="447"/>
      <c r="E67" s="447"/>
      <c r="F67" s="447"/>
      <c r="G67" s="447"/>
      <c r="H67" s="447">
        <v>179.3</v>
      </c>
      <c r="I67" s="447"/>
      <c r="J67" s="447">
        <f aca="true" t="shared" si="2" ref="J67:J92">SUM(C67:I67)</f>
        <v>179.3</v>
      </c>
      <c r="K67" s="376">
        <v>5501</v>
      </c>
      <c r="L67" s="376">
        <v>5501</v>
      </c>
      <c r="M67" s="376">
        <v>161.65</v>
      </c>
      <c r="O67" s="448">
        <f t="shared" si="1"/>
        <v>17.650000000000006</v>
      </c>
    </row>
    <row r="68" spans="2:15" ht="12.75">
      <c r="B68" s="376">
        <v>5601</v>
      </c>
      <c r="C68" s="447"/>
      <c r="D68" s="447"/>
      <c r="E68" s="447"/>
      <c r="F68" s="447"/>
      <c r="G68" s="447"/>
      <c r="H68" s="447">
        <v>325.5</v>
      </c>
      <c r="I68" s="447"/>
      <c r="J68" s="447">
        <f t="shared" si="2"/>
        <v>325.5</v>
      </c>
      <c r="K68" s="376">
        <v>5601</v>
      </c>
      <c r="L68" s="376">
        <v>5601</v>
      </c>
      <c r="M68" s="376">
        <v>381.94</v>
      </c>
      <c r="O68" s="448">
        <f t="shared" si="1"/>
        <v>-56.44</v>
      </c>
    </row>
    <row r="69" spans="2:15" ht="12.75">
      <c r="B69" s="376">
        <v>5801</v>
      </c>
      <c r="C69" s="447">
        <v>11.9</v>
      </c>
      <c r="D69" s="447">
        <v>16</v>
      </c>
      <c r="E69" s="447">
        <v>12.5</v>
      </c>
      <c r="F69" s="447"/>
      <c r="G69" s="447"/>
      <c r="H69" s="447"/>
      <c r="I69" s="447"/>
      <c r="J69" s="447">
        <f t="shared" si="2"/>
        <v>40.4</v>
      </c>
      <c r="K69" s="376">
        <v>5801</v>
      </c>
      <c r="L69" s="376">
        <v>5801</v>
      </c>
      <c r="M69" s="376">
        <v>40.36</v>
      </c>
      <c r="O69" s="448">
        <f aca="true" t="shared" si="3" ref="O69:O92">+J69-M69</f>
        <v>0.03999999999999915</v>
      </c>
    </row>
    <row r="70" spans="2:15" ht="12.75">
      <c r="B70" s="376">
        <v>6101</v>
      </c>
      <c r="C70" s="447"/>
      <c r="D70" s="447"/>
      <c r="E70" s="447"/>
      <c r="F70" s="447"/>
      <c r="G70" s="447"/>
      <c r="H70" s="447">
        <v>92.3</v>
      </c>
      <c r="I70" s="447"/>
      <c r="J70" s="447">
        <f t="shared" si="2"/>
        <v>92.3</v>
      </c>
      <c r="K70" s="376">
        <v>6101</v>
      </c>
      <c r="L70" s="376">
        <v>6101</v>
      </c>
      <c r="M70" s="376">
        <v>94.51</v>
      </c>
      <c r="O70" s="448">
        <f t="shared" si="3"/>
        <v>-2.210000000000008</v>
      </c>
    </row>
    <row r="71" spans="2:15" ht="12.75">
      <c r="B71" s="376">
        <v>6163</v>
      </c>
      <c r="C71" s="447"/>
      <c r="D71" s="447">
        <v>15</v>
      </c>
      <c r="E71" s="447"/>
      <c r="F71" s="447"/>
      <c r="G71" s="447"/>
      <c r="H71" s="447"/>
      <c r="I71" s="447"/>
      <c r="J71" s="447">
        <f t="shared" si="2"/>
        <v>15</v>
      </c>
      <c r="K71" s="376">
        <v>6163</v>
      </c>
      <c r="L71" s="376">
        <v>6163</v>
      </c>
      <c r="M71" s="376">
        <v>15</v>
      </c>
      <c r="O71" s="448">
        <f t="shared" si="3"/>
        <v>0</v>
      </c>
    </row>
    <row r="72" spans="2:15" ht="12.75">
      <c r="B72" s="376">
        <v>6201</v>
      </c>
      <c r="C72" s="447"/>
      <c r="D72" s="447"/>
      <c r="E72" s="447"/>
      <c r="F72" s="447"/>
      <c r="G72" s="447">
        <v>41.8</v>
      </c>
      <c r="H72" s="447">
        <v>413.2</v>
      </c>
      <c r="I72" s="447"/>
      <c r="J72" s="447">
        <f t="shared" si="2"/>
        <v>455</v>
      </c>
      <c r="K72" s="376">
        <v>6201</v>
      </c>
      <c r="L72" s="376">
        <v>6201</v>
      </c>
      <c r="M72" s="376">
        <v>463.26</v>
      </c>
      <c r="O72" s="448">
        <f t="shared" si="3"/>
        <v>-8.259999999999991</v>
      </c>
    </row>
    <row r="73" spans="2:15" ht="12.75">
      <c r="B73" s="376">
        <v>6301</v>
      </c>
      <c r="C73" s="447"/>
      <c r="D73" s="447"/>
      <c r="E73" s="447"/>
      <c r="F73" s="447"/>
      <c r="G73" s="447"/>
      <c r="H73" s="447">
        <v>106.9</v>
      </c>
      <c r="I73" s="447"/>
      <c r="J73" s="447">
        <f t="shared" si="2"/>
        <v>106.9</v>
      </c>
      <c r="K73" s="376">
        <v>6301</v>
      </c>
      <c r="L73" s="376">
        <v>6301</v>
      </c>
      <c r="M73" s="376">
        <v>109.3</v>
      </c>
      <c r="O73" s="448">
        <f t="shared" si="3"/>
        <v>-2.3999999999999915</v>
      </c>
    </row>
    <row r="74" spans="2:15" ht="12.75">
      <c r="B74" s="376">
        <v>6501</v>
      </c>
      <c r="C74" s="447">
        <v>9.4</v>
      </c>
      <c r="D74" s="447"/>
      <c r="E74" s="447"/>
      <c r="F74" s="447"/>
      <c r="G74" s="447"/>
      <c r="H74" s="447"/>
      <c r="I74" s="447"/>
      <c r="J74" s="447">
        <f t="shared" si="2"/>
        <v>9.4</v>
      </c>
      <c r="K74" s="376">
        <v>6501</v>
      </c>
      <c r="L74" s="376">
        <v>6501</v>
      </c>
      <c r="M74" s="376">
        <v>9.38</v>
      </c>
      <c r="O74" s="448">
        <f t="shared" si="3"/>
        <v>0.019999999999999574</v>
      </c>
    </row>
    <row r="75" spans="2:15" ht="12.75">
      <c r="B75" s="376">
        <v>7101</v>
      </c>
      <c r="C75" s="447">
        <v>32.2</v>
      </c>
      <c r="D75" s="447"/>
      <c r="E75" s="447"/>
      <c r="F75" s="447"/>
      <c r="G75" s="447"/>
      <c r="H75" s="447"/>
      <c r="I75" s="447"/>
      <c r="J75" s="447">
        <f t="shared" si="2"/>
        <v>32.2</v>
      </c>
      <c r="K75" s="376">
        <v>7101</v>
      </c>
      <c r="L75" s="376">
        <v>7101</v>
      </c>
      <c r="M75" s="376">
        <v>32.15</v>
      </c>
      <c r="O75" s="448">
        <f t="shared" si="3"/>
        <v>0.05000000000000426</v>
      </c>
    </row>
    <row r="76" spans="2:15" ht="12.75">
      <c r="B76" s="376">
        <v>7201</v>
      </c>
      <c r="C76" s="447"/>
      <c r="D76" s="447"/>
      <c r="E76" s="447"/>
      <c r="F76" s="447"/>
      <c r="G76" s="447">
        <v>9.1</v>
      </c>
      <c r="H76" s="447"/>
      <c r="I76" s="447"/>
      <c r="J76" s="447">
        <f t="shared" si="2"/>
        <v>9.1</v>
      </c>
      <c r="K76" s="376">
        <v>7201</v>
      </c>
      <c r="L76" s="376">
        <v>7201</v>
      </c>
      <c r="M76" s="376">
        <v>8.02</v>
      </c>
      <c r="O76" s="448">
        <f t="shared" si="3"/>
        <v>1.08</v>
      </c>
    </row>
    <row r="77" spans="2:15" ht="12.75">
      <c r="B77" s="376">
        <v>7301</v>
      </c>
      <c r="C77" s="447"/>
      <c r="D77" s="447"/>
      <c r="E77" s="447">
        <v>120.7</v>
      </c>
      <c r="F77" s="447"/>
      <c r="G77" s="447">
        <v>38.3</v>
      </c>
      <c r="H77" s="447"/>
      <c r="I77" s="447"/>
      <c r="J77" s="447">
        <f t="shared" si="2"/>
        <v>159</v>
      </c>
      <c r="K77" s="376">
        <v>7301</v>
      </c>
      <c r="L77" s="376">
        <v>7301</v>
      </c>
      <c r="M77" s="376">
        <v>164.42</v>
      </c>
      <c r="O77" s="448">
        <f t="shared" si="3"/>
        <v>-5.4199999999999875</v>
      </c>
    </row>
    <row r="78" spans="2:15" ht="12.75">
      <c r="B78" s="376">
        <v>7401</v>
      </c>
      <c r="C78" s="447">
        <v>164</v>
      </c>
      <c r="D78" s="447">
        <v>238.2</v>
      </c>
      <c r="E78" s="447">
        <v>213.6</v>
      </c>
      <c r="F78" s="447">
        <v>17.6</v>
      </c>
      <c r="G78" s="447">
        <v>188.5</v>
      </c>
      <c r="H78" s="447">
        <v>496.1</v>
      </c>
      <c r="I78" s="447">
        <v>257</v>
      </c>
      <c r="J78" s="447">
        <f t="shared" si="2"/>
        <v>1575</v>
      </c>
      <c r="K78" s="376">
        <v>7401</v>
      </c>
      <c r="L78" s="376">
        <v>7401</v>
      </c>
      <c r="M78" s="376">
        <v>1564.76</v>
      </c>
      <c r="O78" s="448">
        <f t="shared" si="3"/>
        <v>10.240000000000009</v>
      </c>
    </row>
    <row r="79" spans="2:15" ht="12.75">
      <c r="B79" s="376">
        <v>7501</v>
      </c>
      <c r="C79" s="447"/>
      <c r="D79" s="447"/>
      <c r="E79" s="447"/>
      <c r="F79" s="447"/>
      <c r="G79" s="447"/>
      <c r="H79" s="447">
        <v>831.3</v>
      </c>
      <c r="I79" s="447">
        <v>232.1</v>
      </c>
      <c r="J79" s="447">
        <f t="shared" si="2"/>
        <v>1063.3999999999999</v>
      </c>
      <c r="K79" s="376">
        <v>7501</v>
      </c>
      <c r="L79" s="376">
        <v>7501</v>
      </c>
      <c r="M79" s="376">
        <v>1054.34</v>
      </c>
      <c r="O79" s="448">
        <f t="shared" si="3"/>
        <v>9.059999999999945</v>
      </c>
    </row>
    <row r="80" spans="2:15" ht="12.75">
      <c r="B80" s="376">
        <v>7502</v>
      </c>
      <c r="C80" s="447"/>
      <c r="D80" s="447"/>
      <c r="E80" s="447"/>
      <c r="F80" s="447"/>
      <c r="G80" s="447">
        <v>74.6</v>
      </c>
      <c r="H80" s="447"/>
      <c r="I80" s="447"/>
      <c r="J80" s="447">
        <f t="shared" si="2"/>
        <v>74.6</v>
      </c>
      <c r="K80" s="376">
        <v>7502</v>
      </c>
      <c r="L80" s="376">
        <v>7502</v>
      </c>
      <c r="M80" s="376">
        <v>57.17</v>
      </c>
      <c r="O80" s="448">
        <f t="shared" si="3"/>
        <v>17.429999999999993</v>
      </c>
    </row>
    <row r="81" spans="2:15" ht="12.75">
      <c r="B81" s="376">
        <v>7503</v>
      </c>
      <c r="C81" s="447"/>
      <c r="D81" s="447"/>
      <c r="E81" s="447"/>
      <c r="F81" s="447"/>
      <c r="G81" s="447"/>
      <c r="H81" s="447">
        <v>833.1</v>
      </c>
      <c r="I81" s="447">
        <v>451.4</v>
      </c>
      <c r="J81" s="447">
        <f t="shared" si="2"/>
        <v>1284.5</v>
      </c>
      <c r="K81" s="376">
        <v>7503</v>
      </c>
      <c r="L81" s="376">
        <v>7503</v>
      </c>
      <c r="M81" s="376">
        <v>1254.04</v>
      </c>
      <c r="O81" s="448">
        <f t="shared" si="3"/>
        <v>30.460000000000036</v>
      </c>
    </row>
    <row r="82" spans="2:15" ht="13.5" thickBot="1">
      <c r="B82" s="376">
        <v>7601</v>
      </c>
      <c r="C82" s="447"/>
      <c r="D82" s="447"/>
      <c r="E82" s="447"/>
      <c r="F82" s="447"/>
      <c r="G82" s="447"/>
      <c r="H82" s="447">
        <v>176.4</v>
      </c>
      <c r="I82" s="447">
        <v>61.4</v>
      </c>
      <c r="J82" s="447">
        <f t="shared" si="2"/>
        <v>237.8</v>
      </c>
      <c r="K82" s="376">
        <v>7601</v>
      </c>
      <c r="L82" s="376">
        <v>7601</v>
      </c>
      <c r="M82" s="376">
        <v>238.25</v>
      </c>
      <c r="O82" s="448">
        <f t="shared" si="3"/>
        <v>-0.44999999999998863</v>
      </c>
    </row>
    <row r="83" spans="2:17" ht="12.75">
      <c r="B83" s="376">
        <v>8101</v>
      </c>
      <c r="C83" s="447">
        <v>387.3</v>
      </c>
      <c r="D83" s="447">
        <v>873.1</v>
      </c>
      <c r="E83" s="447">
        <v>696.1</v>
      </c>
      <c r="F83" s="447">
        <v>634.6</v>
      </c>
      <c r="G83" s="447">
        <v>662.1</v>
      </c>
      <c r="H83" s="447">
        <v>554.5</v>
      </c>
      <c r="I83" s="447">
        <v>132.3</v>
      </c>
      <c r="J83" s="447">
        <f t="shared" si="2"/>
        <v>3940</v>
      </c>
      <c r="K83" s="376">
        <v>8101</v>
      </c>
      <c r="L83" s="376">
        <v>8101</v>
      </c>
      <c r="M83" s="376">
        <v>4110.21</v>
      </c>
      <c r="O83" s="454">
        <f t="shared" si="3"/>
        <v>-170.21000000000004</v>
      </c>
      <c r="P83" s="455">
        <f>SUM(O83:O84)</f>
        <v>-53.910000000000025</v>
      </c>
      <c r="Q83" s="376" t="s">
        <v>181</v>
      </c>
    </row>
    <row r="84" spans="2:16" ht="13.5" thickBot="1">
      <c r="B84" s="376">
        <v>8102</v>
      </c>
      <c r="C84" s="447">
        <v>58.6</v>
      </c>
      <c r="D84" s="447">
        <v>88</v>
      </c>
      <c r="E84" s="447">
        <v>95.4</v>
      </c>
      <c r="F84" s="447">
        <v>173.6</v>
      </c>
      <c r="G84" s="447">
        <v>50.5</v>
      </c>
      <c r="H84" s="447">
        <v>36.7</v>
      </c>
      <c r="I84" s="447"/>
      <c r="J84" s="447">
        <f t="shared" si="2"/>
        <v>502.8</v>
      </c>
      <c r="K84" s="376">
        <v>8102</v>
      </c>
      <c r="L84" s="376">
        <v>8102</v>
      </c>
      <c r="M84" s="376">
        <v>386.5</v>
      </c>
      <c r="O84" s="456">
        <f t="shared" si="3"/>
        <v>116.30000000000001</v>
      </c>
      <c r="P84" s="457"/>
    </row>
    <row r="85" spans="2:18" ht="12.75">
      <c r="B85" s="376">
        <v>8202</v>
      </c>
      <c r="C85" s="447">
        <v>295.5</v>
      </c>
      <c r="D85" s="447">
        <v>669.6</v>
      </c>
      <c r="E85" s="447">
        <v>669.3</v>
      </c>
      <c r="F85" s="447">
        <v>625.6</v>
      </c>
      <c r="G85" s="447">
        <v>239.6</v>
      </c>
      <c r="H85" s="447">
        <v>246</v>
      </c>
      <c r="I85" s="447">
        <v>62.8</v>
      </c>
      <c r="J85" s="447">
        <f t="shared" si="2"/>
        <v>2808.4</v>
      </c>
      <c r="K85" s="376">
        <v>8202</v>
      </c>
      <c r="L85" s="376">
        <v>8202</v>
      </c>
      <c r="M85" s="376">
        <v>2834.97</v>
      </c>
      <c r="O85" s="454">
        <f t="shared" si="3"/>
        <v>-26.56999999999971</v>
      </c>
      <c r="P85" s="458">
        <f>SUM(O85:O88)</f>
        <v>84.01000000000056</v>
      </c>
      <c r="Q85" s="459"/>
      <c r="R85" s="376">
        <v>19</v>
      </c>
    </row>
    <row r="86" spans="2:17" ht="12.75">
      <c r="B86" s="376">
        <v>8203</v>
      </c>
      <c r="C86" s="447">
        <v>178.8</v>
      </c>
      <c r="D86" s="447">
        <v>372.6</v>
      </c>
      <c r="E86" s="447">
        <v>171</v>
      </c>
      <c r="F86" s="447">
        <v>140.2</v>
      </c>
      <c r="G86" s="447">
        <v>132.5</v>
      </c>
      <c r="H86" s="447">
        <v>0.5</v>
      </c>
      <c r="I86" s="447"/>
      <c r="J86" s="447">
        <f t="shared" si="2"/>
        <v>995.6000000000001</v>
      </c>
      <c r="K86" s="376">
        <v>8203</v>
      </c>
      <c r="L86" s="376">
        <v>8203</v>
      </c>
      <c r="M86" s="376">
        <v>1116.34</v>
      </c>
      <c r="O86" s="460">
        <f t="shared" si="3"/>
        <v>-120.73999999999978</v>
      </c>
      <c r="P86" s="385" t="s">
        <v>182</v>
      </c>
      <c r="Q86" s="461"/>
    </row>
    <row r="87" spans="2:17" ht="12.75">
      <c r="B87" s="376">
        <v>8204</v>
      </c>
      <c r="C87" s="447">
        <v>44.6</v>
      </c>
      <c r="D87" s="447">
        <v>188.8</v>
      </c>
      <c r="E87" s="447">
        <v>256.6</v>
      </c>
      <c r="F87" s="447">
        <v>225.4</v>
      </c>
      <c r="G87" s="447"/>
      <c r="H87" s="447"/>
      <c r="I87" s="447"/>
      <c r="J87" s="447">
        <f t="shared" si="2"/>
        <v>715.4</v>
      </c>
      <c r="K87" s="376">
        <v>8204</v>
      </c>
      <c r="L87" s="376">
        <v>8204</v>
      </c>
      <c r="M87" s="376">
        <v>600.93</v>
      </c>
      <c r="O87" s="460">
        <f t="shared" si="3"/>
        <v>114.47000000000003</v>
      </c>
      <c r="P87" s="385"/>
      <c r="Q87" s="461"/>
    </row>
    <row r="88" spans="2:17" ht="13.5" thickBot="1">
      <c r="B88" s="376">
        <v>8205</v>
      </c>
      <c r="C88" s="447"/>
      <c r="D88" s="447"/>
      <c r="E88" s="447">
        <v>109.5</v>
      </c>
      <c r="F88" s="447">
        <v>189.3</v>
      </c>
      <c r="G88" s="447">
        <v>73.8</v>
      </c>
      <c r="H88" s="447">
        <v>76.1</v>
      </c>
      <c r="I88" s="447"/>
      <c r="J88" s="447">
        <f t="shared" si="2"/>
        <v>448.70000000000005</v>
      </c>
      <c r="K88" s="376">
        <v>8205</v>
      </c>
      <c r="L88" s="376">
        <v>8205</v>
      </c>
      <c r="M88" s="376">
        <v>331.85</v>
      </c>
      <c r="O88" s="456">
        <f t="shared" si="3"/>
        <v>116.85000000000002</v>
      </c>
      <c r="P88" s="462"/>
      <c r="Q88" s="457"/>
    </row>
    <row r="89" spans="2:15" ht="12.75">
      <c r="B89" s="376">
        <v>8401</v>
      </c>
      <c r="C89" s="447">
        <v>210.3</v>
      </c>
      <c r="D89" s="447">
        <v>113.8</v>
      </c>
      <c r="E89" s="447"/>
      <c r="F89" s="447"/>
      <c r="G89" s="447"/>
      <c r="H89" s="447"/>
      <c r="I89" s="447"/>
      <c r="J89" s="447">
        <f t="shared" si="2"/>
        <v>324.1</v>
      </c>
      <c r="K89" s="376">
        <v>8401</v>
      </c>
      <c r="L89" s="376">
        <v>8401</v>
      </c>
      <c r="M89" s="376">
        <v>324.5</v>
      </c>
      <c r="O89" s="448">
        <f t="shared" si="3"/>
        <v>-0.39999999999997726</v>
      </c>
    </row>
    <row r="90" spans="2:15" ht="12.75">
      <c r="B90" s="376">
        <v>8402</v>
      </c>
      <c r="C90" s="447">
        <v>41</v>
      </c>
      <c r="D90" s="447">
        <v>104.9</v>
      </c>
      <c r="E90" s="447"/>
      <c r="F90" s="447"/>
      <c r="G90" s="447"/>
      <c r="H90" s="447"/>
      <c r="I90" s="447"/>
      <c r="J90" s="447">
        <f t="shared" si="2"/>
        <v>145.9</v>
      </c>
      <c r="K90" s="376">
        <v>8402</v>
      </c>
      <c r="L90" s="376">
        <v>8402</v>
      </c>
      <c r="M90" s="376">
        <v>145.86</v>
      </c>
      <c r="O90" s="448">
        <f t="shared" si="3"/>
        <v>0.03999999999999204</v>
      </c>
    </row>
    <row r="91" spans="2:15" ht="12.75">
      <c r="B91" s="376">
        <v>8501</v>
      </c>
      <c r="C91" s="447"/>
      <c r="D91" s="447"/>
      <c r="E91" s="447"/>
      <c r="F91" s="447"/>
      <c r="G91" s="447"/>
      <c r="H91" s="447">
        <v>365.1</v>
      </c>
      <c r="I91" s="447">
        <v>834.2</v>
      </c>
      <c r="J91" s="447">
        <f t="shared" si="2"/>
        <v>1199.3000000000002</v>
      </c>
      <c r="K91" s="376">
        <v>8501</v>
      </c>
      <c r="L91" s="376">
        <v>8501</v>
      </c>
      <c r="M91" s="376">
        <v>1189.18</v>
      </c>
      <c r="O91" s="448">
        <f t="shared" si="3"/>
        <v>10.120000000000118</v>
      </c>
    </row>
    <row r="92" spans="2:15" ht="12.75">
      <c r="B92" s="376">
        <v>8998</v>
      </c>
      <c r="C92" s="447">
        <v>112</v>
      </c>
      <c r="D92" s="447">
        <v>260.7</v>
      </c>
      <c r="E92" s="447">
        <v>350.8</v>
      </c>
      <c r="F92" s="447">
        <v>329.8</v>
      </c>
      <c r="G92" s="447">
        <v>331.5</v>
      </c>
      <c r="H92" s="447">
        <v>167.7</v>
      </c>
      <c r="I92" s="447"/>
      <c r="J92" s="447">
        <f t="shared" si="2"/>
        <v>1552.5</v>
      </c>
      <c r="K92" s="376">
        <v>8998</v>
      </c>
      <c r="L92" s="376">
        <v>8998</v>
      </c>
      <c r="M92" s="376">
        <v>1576.89</v>
      </c>
      <c r="O92" s="448">
        <f t="shared" si="3"/>
        <v>-24.3900000000001</v>
      </c>
    </row>
    <row r="93" spans="3:16" ht="12.75">
      <c r="C93" s="463">
        <f>SUM(C3:C92)</f>
        <v>6062.500000000001</v>
      </c>
      <c r="D93" s="463">
        <f aca="true" t="shared" si="4" ref="D93:J93">SUM(D3:D92)</f>
        <v>13713.9</v>
      </c>
      <c r="E93" s="463">
        <f t="shared" si="4"/>
        <v>16917.999999999996</v>
      </c>
      <c r="F93" s="463">
        <f t="shared" si="4"/>
        <v>17525.2</v>
      </c>
      <c r="G93" s="463">
        <f t="shared" si="4"/>
        <v>13390.297000000002</v>
      </c>
      <c r="H93" s="463">
        <f t="shared" si="4"/>
        <v>11143.300000000003</v>
      </c>
      <c r="I93" s="463">
        <f t="shared" si="4"/>
        <v>2331.8999999999996</v>
      </c>
      <c r="J93" s="463">
        <f t="shared" si="4"/>
        <v>81085.09700000001</v>
      </c>
      <c r="L93" s="376" t="s">
        <v>183</v>
      </c>
      <c r="M93" s="376">
        <v>11984</v>
      </c>
      <c r="P93" s="448">
        <f>SUM(P85,P64,O56,O54,P47,P46,O37,O36,O29,P21,P18,O16,O14,O7,P4,P83)</f>
        <v>945.7770000000019</v>
      </c>
    </row>
    <row r="94" spans="3:17" ht="12.75">
      <c r="C94" s="447"/>
      <c r="D94" s="447"/>
      <c r="E94" s="447"/>
      <c r="F94" s="447"/>
      <c r="G94" s="447"/>
      <c r="H94" s="447"/>
      <c r="I94" s="447"/>
      <c r="J94" s="447"/>
      <c r="L94" s="376" t="s">
        <v>132</v>
      </c>
      <c r="M94" s="376">
        <v>75</v>
      </c>
      <c r="P94" s="448">
        <f>+O95-P93</f>
        <v>-205.24000000000115</v>
      </c>
      <c r="Q94" s="376" t="s">
        <v>184</v>
      </c>
    </row>
    <row r="95" spans="2:17" ht="12.75">
      <c r="B95" s="376" t="s">
        <v>185</v>
      </c>
      <c r="C95" s="447"/>
      <c r="D95" s="447"/>
      <c r="E95" s="447"/>
      <c r="F95" s="447">
        <f>SUM(F109:F110)</f>
        <v>1295.7</v>
      </c>
      <c r="G95" s="447">
        <f>SUM(G109:G110)</f>
        <v>2518.3</v>
      </c>
      <c r="H95" s="447">
        <f>SUM(H109:H110)</f>
        <v>4756.7</v>
      </c>
      <c r="I95" s="447">
        <f>SUM(I109:I110)</f>
        <v>1051</v>
      </c>
      <c r="J95" s="447">
        <f>SUM(C95:I95)</f>
        <v>9621.7</v>
      </c>
      <c r="O95" s="448">
        <f>SUM(O3:O94)</f>
        <v>740.5370000000007</v>
      </c>
      <c r="Q95" s="376" t="s">
        <v>186</v>
      </c>
    </row>
    <row r="96" spans="3:10" ht="12.75">
      <c r="C96" s="447"/>
      <c r="D96" s="447"/>
      <c r="E96" s="447"/>
      <c r="F96" s="447"/>
      <c r="G96" s="447"/>
      <c r="H96" s="447"/>
      <c r="I96" s="447"/>
      <c r="J96" s="447"/>
    </row>
    <row r="97" spans="2:10" ht="12.75">
      <c r="B97" s="376" t="s">
        <v>187</v>
      </c>
      <c r="C97" s="447"/>
      <c r="D97" s="447"/>
      <c r="E97" s="447">
        <v>1593</v>
      </c>
      <c r="F97" s="447"/>
      <c r="G97" s="447"/>
      <c r="H97" s="447"/>
      <c r="I97" s="447"/>
      <c r="J97" s="447"/>
    </row>
    <row r="98" spans="3:10" ht="12.75">
      <c r="C98" s="447">
        <f>SUM(C93:C97)</f>
        <v>6062.500000000001</v>
      </c>
      <c r="D98" s="447">
        <f aca="true" t="shared" si="5" ref="D98:I98">SUM(D93:D97)</f>
        <v>13713.9</v>
      </c>
      <c r="E98" s="447">
        <f t="shared" si="5"/>
        <v>18510.999999999996</v>
      </c>
      <c r="F98" s="447">
        <f t="shared" si="5"/>
        <v>18820.9</v>
      </c>
      <c r="G98" s="447">
        <f t="shared" si="5"/>
        <v>15908.597000000002</v>
      </c>
      <c r="H98" s="447">
        <f t="shared" si="5"/>
        <v>15900.000000000004</v>
      </c>
      <c r="I98" s="447">
        <f t="shared" si="5"/>
        <v>3382.8999999999996</v>
      </c>
      <c r="J98" s="447">
        <f>SUM(C98:I98)</f>
        <v>92299.79699999999</v>
      </c>
    </row>
    <row r="99" spans="2:10" ht="12.75">
      <c r="B99" s="376" t="s">
        <v>188</v>
      </c>
      <c r="C99" s="447"/>
      <c r="D99" s="447"/>
      <c r="E99" s="447"/>
      <c r="F99" s="447">
        <v>18830</v>
      </c>
      <c r="G99" s="447">
        <v>15900</v>
      </c>
      <c r="H99" s="447">
        <v>15900</v>
      </c>
      <c r="I99" s="447">
        <v>3383</v>
      </c>
      <c r="J99" s="447"/>
    </row>
    <row r="100" spans="3:10" ht="12.75">
      <c r="C100" s="447"/>
      <c r="D100" s="447"/>
      <c r="E100" s="447"/>
      <c r="F100" s="447"/>
      <c r="G100" s="447"/>
      <c r="H100" s="447"/>
      <c r="I100" s="447"/>
      <c r="J100" s="447"/>
    </row>
    <row r="101" spans="3:10" ht="12.75">
      <c r="C101" s="447"/>
      <c r="D101" s="447"/>
      <c r="E101" s="447"/>
      <c r="F101" s="447"/>
      <c r="G101" s="447"/>
      <c r="H101" s="447"/>
      <c r="I101" s="447"/>
      <c r="J101" s="447"/>
    </row>
    <row r="102" spans="2:11" ht="12.75">
      <c r="B102" s="376" t="s">
        <v>189</v>
      </c>
      <c r="C102" s="447">
        <f>SUM(C98)</f>
        <v>6062.500000000001</v>
      </c>
      <c r="D102" s="447">
        <f aca="true" t="shared" si="6" ref="D102:I102">+C102+D98</f>
        <v>19776.4</v>
      </c>
      <c r="E102" s="447">
        <f t="shared" si="6"/>
        <v>38287.399999999994</v>
      </c>
      <c r="F102" s="447">
        <f t="shared" si="6"/>
        <v>57108.299999999996</v>
      </c>
      <c r="G102" s="447">
        <f t="shared" si="6"/>
        <v>73016.897</v>
      </c>
      <c r="H102" s="447">
        <f t="shared" si="6"/>
        <v>88916.897</v>
      </c>
      <c r="I102" s="447">
        <f t="shared" si="6"/>
        <v>92299.79699999999</v>
      </c>
      <c r="J102" s="447">
        <v>74</v>
      </c>
      <c r="K102" s="464">
        <f>+J102+I102</f>
        <v>92373.79699999999</v>
      </c>
    </row>
    <row r="103" spans="2:11" ht="12.75">
      <c r="B103" s="376" t="s">
        <v>190</v>
      </c>
      <c r="C103" s="447"/>
      <c r="D103" s="447"/>
      <c r="E103" s="447">
        <f>41318-75</f>
        <v>41243</v>
      </c>
      <c r="F103" s="447">
        <f>+E103+15900</f>
        <v>57143</v>
      </c>
      <c r="G103" s="447">
        <f>+F103+G99</f>
        <v>73043</v>
      </c>
      <c r="H103" s="447">
        <f>+G103+H99</f>
        <v>88943</v>
      </c>
      <c r="I103" s="447">
        <f>+H103+I99</f>
        <v>92326</v>
      </c>
      <c r="J103" s="447">
        <v>75</v>
      </c>
      <c r="K103" s="464">
        <f>+J103+I103</f>
        <v>92401</v>
      </c>
    </row>
    <row r="104" spans="3:10" ht="12.75">
      <c r="C104" s="447"/>
      <c r="D104" s="447"/>
      <c r="E104" s="447"/>
      <c r="F104" s="447"/>
      <c r="G104" s="447"/>
      <c r="H104" s="447"/>
      <c r="I104" s="447"/>
      <c r="J104" s="447"/>
    </row>
    <row r="105" spans="3:10" ht="12.75">
      <c r="C105" s="447"/>
      <c r="D105" s="447"/>
      <c r="E105" s="447"/>
      <c r="F105" s="447"/>
      <c r="G105" s="447"/>
      <c r="H105" s="447"/>
      <c r="I105" s="447"/>
      <c r="J105" s="447"/>
    </row>
    <row r="106" spans="3:10" ht="12.75">
      <c r="C106" s="447" t="s">
        <v>133</v>
      </c>
      <c r="D106" s="447" t="s">
        <v>134</v>
      </c>
      <c r="E106" s="447" t="s">
        <v>135</v>
      </c>
      <c r="F106" s="447" t="s">
        <v>136</v>
      </c>
      <c r="G106" s="447" t="s">
        <v>137</v>
      </c>
      <c r="H106" s="447" t="s">
        <v>138</v>
      </c>
      <c r="I106" s="447" t="s">
        <v>139</v>
      </c>
      <c r="J106" s="447" t="s">
        <v>140</v>
      </c>
    </row>
    <row r="107" spans="3:10" ht="12.75">
      <c r="C107" s="447"/>
      <c r="D107" s="447"/>
      <c r="E107" s="447"/>
      <c r="F107" s="447"/>
      <c r="G107" s="447"/>
      <c r="H107" s="447"/>
      <c r="I107" s="447"/>
      <c r="J107" s="447"/>
    </row>
    <row r="108" spans="3:10" ht="13.5" thickBot="1">
      <c r="C108" s="447"/>
      <c r="D108" s="447"/>
      <c r="E108" s="447"/>
      <c r="F108" s="447"/>
      <c r="G108" s="447"/>
      <c r="H108" s="447"/>
      <c r="I108" s="447"/>
      <c r="J108" s="447"/>
    </row>
    <row r="109" spans="3:10" ht="13.5" thickBot="1">
      <c r="C109" s="447"/>
      <c r="D109" s="447"/>
      <c r="E109" s="447"/>
      <c r="F109" s="465">
        <v>42</v>
      </c>
      <c r="G109" s="465">
        <v>44</v>
      </c>
      <c r="H109" s="465">
        <v>38</v>
      </c>
      <c r="I109" s="465">
        <v>11</v>
      </c>
      <c r="J109" s="465">
        <f>SUM(F109:I109)</f>
        <v>135</v>
      </c>
    </row>
    <row r="110" spans="3:10" ht="12.75">
      <c r="C110" s="447"/>
      <c r="D110" s="447"/>
      <c r="E110" s="447"/>
      <c r="F110" s="447">
        <v>1253.7</v>
      </c>
      <c r="G110" s="447">
        <v>2474.3</v>
      </c>
      <c r="H110" s="447">
        <v>4718.7</v>
      </c>
      <c r="I110" s="447">
        <v>1040</v>
      </c>
      <c r="J110" s="447"/>
    </row>
    <row r="111" spans="3:10" ht="12.75">
      <c r="C111" s="447"/>
      <c r="D111" s="447"/>
      <c r="E111" s="447"/>
      <c r="F111" s="447"/>
      <c r="G111" s="447"/>
      <c r="H111" s="447"/>
      <c r="I111" s="447"/>
      <c r="J111" s="447"/>
    </row>
    <row r="112" spans="3:10" ht="12.75">
      <c r="C112" s="447"/>
      <c r="D112" s="447"/>
      <c r="E112" s="447"/>
      <c r="F112" s="447"/>
      <c r="G112" s="447"/>
      <c r="H112" s="447"/>
      <c r="I112" s="447"/>
      <c r="J112" s="447"/>
    </row>
    <row r="113" spans="3:10" ht="12.75">
      <c r="C113" s="447"/>
      <c r="D113" s="447"/>
      <c r="E113" s="447"/>
      <c r="F113" s="447">
        <f>SUM(C98:F98)</f>
        <v>57108.299999999996</v>
      </c>
      <c r="G113" s="447">
        <f>+F113+G98</f>
        <v>73016.897</v>
      </c>
      <c r="H113" s="447">
        <f>+G113+H98</f>
        <v>88916.897</v>
      </c>
      <c r="I113" s="447">
        <f>+H113+I98</f>
        <v>92299.79699999999</v>
      </c>
      <c r="J113" s="447"/>
    </row>
    <row r="114" spans="3:10" ht="12.75">
      <c r="C114" s="447"/>
      <c r="D114" s="447"/>
      <c r="E114" s="447"/>
      <c r="F114" s="447"/>
      <c r="G114" s="447"/>
      <c r="H114" s="447"/>
      <c r="I114" s="447"/>
      <c r="J114" s="447"/>
    </row>
    <row r="115" spans="3:10" ht="12.75">
      <c r="C115" s="447"/>
      <c r="D115" s="447"/>
      <c r="E115" s="447"/>
      <c r="F115" s="447">
        <f>SUM(J95)</f>
        <v>9621.7</v>
      </c>
      <c r="G115" s="466">
        <f>+F115/F116</f>
        <v>0.2167503700155913</v>
      </c>
      <c r="H115" s="447"/>
      <c r="I115" s="447"/>
      <c r="J115" s="447"/>
    </row>
    <row r="116" spans="3:10" ht="12.75">
      <c r="C116" s="447"/>
      <c r="D116" s="447"/>
      <c r="E116" s="447">
        <v>38312.887</v>
      </c>
      <c r="F116" s="447">
        <f>SUM(F93:I93)</f>
        <v>44390.69700000001</v>
      </c>
      <c r="G116" s="447"/>
      <c r="H116" s="447"/>
      <c r="I116" s="447"/>
      <c r="J116" s="447">
        <f>SUM(E116:F116)</f>
        <v>82703.584</v>
      </c>
    </row>
    <row r="117" spans="3:10" ht="12.75">
      <c r="C117" s="447"/>
      <c r="D117" s="447"/>
      <c r="E117" s="447"/>
      <c r="F117" s="447"/>
      <c r="G117" s="447"/>
      <c r="H117" s="447"/>
      <c r="I117" s="467" t="s">
        <v>191</v>
      </c>
      <c r="J117" s="447">
        <v>75</v>
      </c>
    </row>
    <row r="118" spans="3:10" ht="12.75">
      <c r="C118" s="447"/>
      <c r="D118" s="447"/>
      <c r="E118" s="447"/>
      <c r="F118" s="447"/>
      <c r="G118" s="447"/>
      <c r="H118" s="447"/>
      <c r="I118" s="447"/>
      <c r="J118" s="447"/>
    </row>
    <row r="119" spans="3:10" ht="12.75">
      <c r="C119" s="447"/>
      <c r="D119" s="447"/>
      <c r="E119" s="447"/>
      <c r="F119" s="447"/>
      <c r="G119" s="447"/>
      <c r="H119" s="447"/>
      <c r="I119" s="447"/>
      <c r="J119" s="447">
        <f>SUM(J95,J116:J117)</f>
        <v>92400.284</v>
      </c>
    </row>
    <row r="120" spans="3:10" ht="12.75">
      <c r="C120" s="447"/>
      <c r="D120" s="447"/>
      <c r="E120" s="447"/>
      <c r="F120" s="447"/>
      <c r="G120" s="447"/>
      <c r="H120" s="447"/>
      <c r="I120" s="447"/>
      <c r="J120" s="44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5:M94"/>
  <sheetViews>
    <sheetView workbookViewId="0" topLeftCell="A1">
      <selection activeCell="C5" sqref="C5:G94"/>
    </sheetView>
  </sheetViews>
  <sheetFormatPr defaultColWidth="9.140625" defaultRowHeight="12.75"/>
  <cols>
    <col min="2" max="2" width="11.28125" style="0" bestFit="1" customWidth="1"/>
    <col min="3" max="3" width="38.00390625" style="0" customWidth="1"/>
    <col min="4" max="4" width="14.28125" style="431" customWidth="1"/>
    <col min="5" max="5" width="11.00390625" style="431" customWidth="1"/>
    <col min="6" max="6" width="12.7109375" style="431" customWidth="1"/>
    <col min="7" max="7" width="10.421875" style="17" customWidth="1"/>
    <col min="8" max="8" width="14.57421875" style="17" customWidth="1"/>
    <col min="9" max="9" width="11.421875" style="17" customWidth="1"/>
    <col min="11" max="11" width="17.140625" style="0" bestFit="1" customWidth="1"/>
    <col min="12" max="12" width="15.8515625" style="0" bestFit="1" customWidth="1"/>
    <col min="13" max="13" width="6.28125" style="0" bestFit="1" customWidth="1"/>
  </cols>
  <sheetData>
    <row r="5" spans="3:9" ht="25.5">
      <c r="C5" s="2"/>
      <c r="D5" s="24" t="s">
        <v>655</v>
      </c>
      <c r="E5" s="428" t="s">
        <v>673</v>
      </c>
      <c r="F5" s="428" t="s">
        <v>131</v>
      </c>
      <c r="G5" s="25" t="s">
        <v>195</v>
      </c>
      <c r="H5" s="438" t="s">
        <v>677</v>
      </c>
      <c r="I5" s="288" t="s">
        <v>478</v>
      </c>
    </row>
    <row r="6" spans="2:13" ht="12.75">
      <c r="B6" s="716"/>
      <c r="C6" s="3" t="s">
        <v>652</v>
      </c>
      <c r="D6" s="26">
        <f>SUM('Budget Summary may06'!L4)-D7</f>
        <v>4618.830000000001</v>
      </c>
      <c r="E6" s="429">
        <v>627.947</v>
      </c>
      <c r="F6" s="429">
        <v>103.608</v>
      </c>
      <c r="G6" s="27">
        <f>+F6/E6</f>
        <v>0.16499481644151498</v>
      </c>
      <c r="H6" s="439">
        <v>0.24</v>
      </c>
      <c r="I6" s="289">
        <v>0.36</v>
      </c>
      <c r="J6" s="12" t="s">
        <v>196</v>
      </c>
      <c r="K6" s="20">
        <v>3245017.8509</v>
      </c>
      <c r="L6" s="20">
        <v>525152.66296</v>
      </c>
      <c r="M6" s="21">
        <f>+L6/K6</f>
        <v>0.1618335205195712</v>
      </c>
    </row>
    <row r="7" spans="2:13" ht="12.75">
      <c r="B7" s="716"/>
      <c r="C7" s="3" t="s">
        <v>241</v>
      </c>
      <c r="D7" s="26">
        <v>5135.441</v>
      </c>
      <c r="E7" s="429">
        <v>1059.311</v>
      </c>
      <c r="F7" s="429">
        <v>52.95</v>
      </c>
      <c r="G7" s="27">
        <f>+F7/E7</f>
        <v>0.049985320647099866</v>
      </c>
      <c r="H7" s="439">
        <v>0.1</v>
      </c>
      <c r="I7" s="289"/>
      <c r="J7" s="12"/>
      <c r="K7" s="20"/>
      <c r="L7" s="20"/>
      <c r="M7" s="21"/>
    </row>
    <row r="8" spans="2:13" ht="12.75">
      <c r="B8" s="716"/>
      <c r="C8" s="3" t="s">
        <v>115</v>
      </c>
      <c r="D8" s="26">
        <f>SUM('Budget Summary may06'!L5)-1601.5</f>
        <v>3658.469</v>
      </c>
      <c r="E8" s="429">
        <f>3154.943-E9</f>
        <v>1553.9430000000002</v>
      </c>
      <c r="F8" s="429">
        <f>514.6-F9</f>
        <v>354.6</v>
      </c>
      <c r="G8" s="27">
        <f>+F8/E8</f>
        <v>0.22819369822445223</v>
      </c>
      <c r="H8" s="439">
        <v>0.38</v>
      </c>
      <c r="I8" s="289">
        <v>0.43</v>
      </c>
      <c r="J8" s="12" t="s">
        <v>197</v>
      </c>
      <c r="K8" s="20">
        <v>3309741.3526400006</v>
      </c>
      <c r="L8" s="20">
        <v>1115143.380733599</v>
      </c>
      <c r="M8" s="22">
        <f>+L8/K8</f>
        <v>0.33692765141424413</v>
      </c>
    </row>
    <row r="9" spans="2:13" ht="12.75">
      <c r="B9" s="716"/>
      <c r="C9" s="3" t="s">
        <v>825</v>
      </c>
      <c r="D9" s="26">
        <v>1601</v>
      </c>
      <c r="E9" s="429">
        <v>1601</v>
      </c>
      <c r="F9" s="429">
        <v>160</v>
      </c>
      <c r="G9" s="27">
        <f>+F9/E9</f>
        <v>0.09993753903810118</v>
      </c>
      <c r="H9" s="439"/>
      <c r="I9" s="289"/>
      <c r="J9" s="12"/>
      <c r="K9" s="20"/>
      <c r="L9" s="20"/>
      <c r="M9" s="22"/>
    </row>
    <row r="10" spans="2:13" ht="12.75">
      <c r="B10" s="716">
        <f>SUM(F10:F11)</f>
        <v>1887.603</v>
      </c>
      <c r="C10" s="3" t="s">
        <v>653</v>
      </c>
      <c r="D10" s="26">
        <f>SUM('Budget Summary may06'!L6)-D11</f>
        <v>24392.233</v>
      </c>
      <c r="E10" s="429">
        <v>6830.118</v>
      </c>
      <c r="F10" s="429">
        <v>1477.603</v>
      </c>
      <c r="G10" s="27">
        <f>+F10/E10</f>
        <v>0.2163363795471762</v>
      </c>
      <c r="H10" s="439">
        <v>0.29</v>
      </c>
      <c r="I10" s="289">
        <v>0.42</v>
      </c>
      <c r="J10" s="12" t="s">
        <v>198</v>
      </c>
      <c r="K10" s="20">
        <v>12601589.329945397</v>
      </c>
      <c r="L10" s="20">
        <v>2799408.4942436093</v>
      </c>
      <c r="M10" s="22">
        <f>+L10/K10</f>
        <v>0.2221472562664236</v>
      </c>
    </row>
    <row r="11" spans="2:13" ht="12.75">
      <c r="B11" s="716"/>
      <c r="C11" s="3" t="s">
        <v>242</v>
      </c>
      <c r="D11" s="26">
        <v>9079.115</v>
      </c>
      <c r="E11" s="429">
        <v>3316.002</v>
      </c>
      <c r="F11" s="429">
        <v>410</v>
      </c>
      <c r="G11" s="27">
        <f>+F11/E11</f>
        <v>0.12364286873168352</v>
      </c>
      <c r="H11" s="439">
        <v>0.1</v>
      </c>
      <c r="I11" s="289"/>
      <c r="J11" s="12"/>
      <c r="K11" s="20"/>
      <c r="L11" s="20"/>
      <c r="M11" s="22"/>
    </row>
    <row r="12" spans="2:13" ht="12.75">
      <c r="B12" s="716"/>
      <c r="C12" s="3" t="s">
        <v>117</v>
      </c>
      <c r="D12" s="26">
        <f>SUM('Budget Summary may06'!L7)</f>
        <v>1325.349</v>
      </c>
      <c r="E12" s="429">
        <v>1247.719</v>
      </c>
      <c r="F12" s="429">
        <v>398.126</v>
      </c>
      <c r="G12" s="27">
        <f aca="true" t="shared" si="0" ref="G12:G25">+F12/E12</f>
        <v>0.31908306277294807</v>
      </c>
      <c r="H12" s="439">
        <v>0.3</v>
      </c>
      <c r="I12" s="289"/>
      <c r="J12" s="12" t="s">
        <v>199</v>
      </c>
      <c r="K12" s="20">
        <v>1307049.9460000002</v>
      </c>
      <c r="L12" s="20">
        <v>417047.51912</v>
      </c>
      <c r="M12" s="22">
        <f aca="true" t="shared" si="1" ref="M12:M17">+L12/K12</f>
        <v>0.3190754266095964</v>
      </c>
    </row>
    <row r="13" spans="2:13" ht="12.75">
      <c r="B13" s="716"/>
      <c r="C13" s="3" t="s">
        <v>118</v>
      </c>
      <c r="D13" s="26">
        <f>SUM('Budget Summary may06'!L8)</f>
        <v>1137.792</v>
      </c>
      <c r="E13" s="429">
        <v>1131.648</v>
      </c>
      <c r="F13" s="429">
        <v>280.748</v>
      </c>
      <c r="G13" s="27">
        <f t="shared" si="0"/>
        <v>0.24808774459902727</v>
      </c>
      <c r="H13" s="439">
        <v>0.3</v>
      </c>
      <c r="I13" s="289"/>
      <c r="J13" s="12" t="s">
        <v>200</v>
      </c>
      <c r="K13" s="20">
        <v>1135012.25</v>
      </c>
      <c r="L13" s="20">
        <v>281714.59020000004</v>
      </c>
      <c r="M13" s="22">
        <f t="shared" si="1"/>
        <v>0.24820400854704436</v>
      </c>
    </row>
    <row r="14" spans="2:13" ht="12.75">
      <c r="B14" s="716"/>
      <c r="C14" s="3" t="s">
        <v>141</v>
      </c>
      <c r="D14" s="26">
        <f>SUM('Budget Summary may06'!L9)</f>
        <v>1578.486</v>
      </c>
      <c r="E14" s="429">
        <v>1164.09</v>
      </c>
      <c r="F14" s="429">
        <v>344.644</v>
      </c>
      <c r="G14" s="27">
        <f t="shared" si="0"/>
        <v>0.29606301918236566</v>
      </c>
      <c r="H14" s="439">
        <v>0.3</v>
      </c>
      <c r="I14" s="289"/>
      <c r="J14" s="12" t="s">
        <v>201</v>
      </c>
      <c r="K14" s="20">
        <v>1155896.5262</v>
      </c>
      <c r="L14" s="20">
        <v>338949.177416</v>
      </c>
      <c r="M14" s="22">
        <f t="shared" si="1"/>
        <v>0.2932348784975525</v>
      </c>
    </row>
    <row r="15" spans="2:13" ht="12.75">
      <c r="B15" s="716"/>
      <c r="C15" s="3" t="s">
        <v>119</v>
      </c>
      <c r="D15" s="26">
        <f>SUM('Budget Summary may06'!L10)</f>
        <v>6006.76</v>
      </c>
      <c r="E15" s="429">
        <v>4233.121</v>
      </c>
      <c r="F15" s="429">
        <v>1985.7</v>
      </c>
      <c r="G15" s="27">
        <f t="shared" si="0"/>
        <v>0.4690865203238934</v>
      </c>
      <c r="H15" s="439">
        <v>0.3</v>
      </c>
      <c r="I15" s="289">
        <v>0.42</v>
      </c>
      <c r="J15" s="12" t="s">
        <v>202</v>
      </c>
      <c r="K15" s="20">
        <v>3945762.16</v>
      </c>
      <c r="L15" s="20">
        <v>1411742.8319999992</v>
      </c>
      <c r="M15" s="22">
        <f t="shared" si="1"/>
        <v>0.35778710797915886</v>
      </c>
    </row>
    <row r="16" spans="2:13" ht="15">
      <c r="B16" s="716"/>
      <c r="C16" s="3" t="s">
        <v>142</v>
      </c>
      <c r="D16" s="28">
        <f>SUM('Budget Summary may06'!L11)</f>
        <v>2769.538</v>
      </c>
      <c r="E16" s="430">
        <v>1024.933</v>
      </c>
      <c r="F16" s="430">
        <v>102.493</v>
      </c>
      <c r="G16" s="287">
        <f t="shared" si="0"/>
        <v>0.09999970729794044</v>
      </c>
      <c r="H16" s="439">
        <v>0.1</v>
      </c>
      <c r="I16" s="289"/>
      <c r="J16" s="12" t="s">
        <v>203</v>
      </c>
      <c r="K16" s="20">
        <v>1282096.4449999998</v>
      </c>
      <c r="L16" s="20">
        <v>128209.6445</v>
      </c>
      <c r="M16" s="22">
        <f t="shared" si="1"/>
        <v>0.1</v>
      </c>
    </row>
    <row r="17" spans="2:13" ht="12.75">
      <c r="B17" s="716"/>
      <c r="C17" s="6" t="s">
        <v>143</v>
      </c>
      <c r="D17" s="26">
        <f>SUM(D6:D16)</f>
        <v>61303.013</v>
      </c>
      <c r="E17" s="26">
        <f>SUM(E6:E16)</f>
        <v>23789.832000000002</v>
      </c>
      <c r="F17" s="26">
        <f>SUM(F6:F16)</f>
        <v>5670.472</v>
      </c>
      <c r="G17" s="29">
        <f t="shared" si="0"/>
        <v>0.23835695855271274</v>
      </c>
      <c r="H17" s="439">
        <v>0.2503650827529818</v>
      </c>
      <c r="I17" s="289">
        <v>0.29</v>
      </c>
      <c r="J17" s="12">
        <v>1</v>
      </c>
      <c r="K17" s="23">
        <f>SUM(K4:K16)</f>
        <v>27982165.860685397</v>
      </c>
      <c r="L17" s="23">
        <f>SUM(L4:L16)</f>
        <v>7017368.301173208</v>
      </c>
      <c r="M17" s="22">
        <f t="shared" si="1"/>
        <v>0.25078002668237076</v>
      </c>
    </row>
    <row r="18" spans="2:13" ht="12.75">
      <c r="B18" s="716"/>
      <c r="C18" s="6" t="s">
        <v>144</v>
      </c>
      <c r="D18" s="26">
        <f>SUM('Budget Summary may06'!L13)</f>
        <v>484.874</v>
      </c>
      <c r="E18" s="26">
        <v>137.25</v>
      </c>
      <c r="F18" s="26">
        <v>19.215</v>
      </c>
      <c r="G18" s="27">
        <f t="shared" si="0"/>
        <v>0.13999999999999999</v>
      </c>
      <c r="H18" s="439">
        <v>0.14</v>
      </c>
      <c r="I18" s="289"/>
      <c r="J18" s="12" t="s">
        <v>204</v>
      </c>
      <c r="K18" s="20">
        <v>88092.99</v>
      </c>
      <c r="L18" s="20">
        <v>12333.0186</v>
      </c>
      <c r="M18" s="12"/>
    </row>
    <row r="19" spans="2:13" ht="12.75">
      <c r="B19" s="716"/>
      <c r="C19" s="6" t="s">
        <v>145</v>
      </c>
      <c r="D19" s="26">
        <f>SUM('Budget Summary may06'!L14)</f>
        <v>994.53</v>
      </c>
      <c r="E19" s="429">
        <v>292.843</v>
      </c>
      <c r="F19" s="429">
        <v>87.807</v>
      </c>
      <c r="G19" s="336">
        <f t="shared" si="0"/>
        <v>0.29984326072332274</v>
      </c>
      <c r="H19" s="439">
        <v>0.24</v>
      </c>
      <c r="I19" s="289">
        <v>0.31</v>
      </c>
      <c r="J19" s="12"/>
      <c r="K19" s="20"/>
      <c r="L19" s="12"/>
      <c r="M19" s="12"/>
    </row>
    <row r="20" spans="2:13" ht="12.75">
      <c r="B20" s="716"/>
      <c r="C20" s="6" t="s">
        <v>146</v>
      </c>
      <c r="D20" s="26">
        <f>SUM('Budget Summary may06'!L15)</f>
        <v>3104.307</v>
      </c>
      <c r="E20" s="429">
        <v>2452.585</v>
      </c>
      <c r="F20" s="429">
        <v>477.399</v>
      </c>
      <c r="G20" s="336">
        <f t="shared" si="0"/>
        <v>0.19465135764917424</v>
      </c>
      <c r="H20" s="439">
        <v>0.2</v>
      </c>
      <c r="I20" s="289"/>
      <c r="J20" s="12" t="s">
        <v>205</v>
      </c>
      <c r="K20" s="20">
        <v>355156.69</v>
      </c>
      <c r="L20" s="20">
        <v>49721.93660000001</v>
      </c>
      <c r="M20" s="12"/>
    </row>
    <row r="21" spans="2:13" ht="12.75">
      <c r="B21" s="716"/>
      <c r="C21" s="6" t="s">
        <v>147</v>
      </c>
      <c r="D21" s="26">
        <f>SUM('Budget Summary may06'!L16)</f>
        <v>842.315</v>
      </c>
      <c r="E21" s="429">
        <v>808.879</v>
      </c>
      <c r="F21" s="429">
        <v>78.238</v>
      </c>
      <c r="G21" s="27">
        <f t="shared" si="0"/>
        <v>0.09672398467508737</v>
      </c>
      <c r="H21" s="439">
        <v>0.1</v>
      </c>
      <c r="I21" s="289"/>
      <c r="J21" s="12">
        <v>2</v>
      </c>
      <c r="K21" s="23">
        <f>SUM(K18:K20)</f>
        <v>443249.68</v>
      </c>
      <c r="L21" s="23">
        <f>SUM(L18:L20)</f>
        <v>62054.95520000001</v>
      </c>
      <c r="M21" s="22">
        <f>+L21/K21</f>
        <v>0.14000000000000004</v>
      </c>
    </row>
    <row r="22" spans="2:13" ht="12.75">
      <c r="B22" s="716"/>
      <c r="C22" s="6" t="s">
        <v>148</v>
      </c>
      <c r="D22" s="26">
        <f>SUM('Budget Summary may06'!L17)</f>
        <v>600.863</v>
      </c>
      <c r="E22" s="429">
        <v>576.209</v>
      </c>
      <c r="F22" s="429">
        <v>115.242</v>
      </c>
      <c r="G22" s="27">
        <f t="shared" si="0"/>
        <v>0.20000034709627934</v>
      </c>
      <c r="H22" s="439">
        <v>0.2</v>
      </c>
      <c r="I22" s="289"/>
      <c r="J22" s="12" t="s">
        <v>206</v>
      </c>
      <c r="K22" s="20">
        <v>0</v>
      </c>
      <c r="L22" s="20">
        <v>0</v>
      </c>
      <c r="M22" s="12"/>
    </row>
    <row r="23" spans="2:13" ht="12.75">
      <c r="B23" s="716"/>
      <c r="C23" s="6" t="s">
        <v>149</v>
      </c>
      <c r="D23" s="26">
        <f>SUM('Budget Summary may06'!L18)</f>
        <v>4436.766</v>
      </c>
      <c r="E23" s="429">
        <v>3498.828</v>
      </c>
      <c r="F23" s="429">
        <v>1008.48</v>
      </c>
      <c r="G23" s="27">
        <f t="shared" si="0"/>
        <v>0.2882336599569913</v>
      </c>
      <c r="H23" s="439">
        <v>0.22</v>
      </c>
      <c r="I23" s="289"/>
      <c r="J23" s="12"/>
      <c r="K23" s="20"/>
      <c r="L23" s="12"/>
      <c r="M23" s="12"/>
    </row>
    <row r="24" spans="2:13" ht="15">
      <c r="B24" s="716"/>
      <c r="C24" s="6" t="s">
        <v>150</v>
      </c>
      <c r="D24" s="28">
        <f>SUM('Budget Summary may06'!L19)</f>
        <v>12662.936</v>
      </c>
      <c r="E24" s="430">
        <v>4939.142</v>
      </c>
      <c r="F24" s="430">
        <v>440.48</v>
      </c>
      <c r="G24" s="287">
        <f t="shared" si="0"/>
        <v>0.0891814813180103</v>
      </c>
      <c r="H24" s="439">
        <v>0.13</v>
      </c>
      <c r="I24" s="289">
        <v>0.15</v>
      </c>
      <c r="J24" s="12" t="s">
        <v>207</v>
      </c>
      <c r="K24" s="20">
        <v>357766.5088400002</v>
      </c>
      <c r="L24" s="20">
        <v>107329.95265199998</v>
      </c>
      <c r="M24" s="12"/>
    </row>
    <row r="25" spans="2:13" ht="12.75">
      <c r="B25" s="716"/>
      <c r="C25" s="6" t="s">
        <v>151</v>
      </c>
      <c r="D25" s="26">
        <f>SUM(D17:D24)</f>
        <v>84429.604</v>
      </c>
      <c r="E25" s="26">
        <f>SUM(E17:E24)</f>
        <v>36495.568</v>
      </c>
      <c r="F25" s="26">
        <f>SUM(F17:F24)</f>
        <v>7897.3330000000005</v>
      </c>
      <c r="G25" s="29">
        <f t="shared" si="0"/>
        <v>0.21639156294265652</v>
      </c>
      <c r="H25" s="439">
        <v>0.21648387589917062</v>
      </c>
      <c r="I25" s="290">
        <v>0.25</v>
      </c>
      <c r="J25" s="12"/>
      <c r="K25" s="20"/>
      <c r="L25" s="12"/>
      <c r="M25" s="12"/>
    </row>
    <row r="26" spans="2:13" ht="15">
      <c r="B26" s="716"/>
      <c r="C26" s="6" t="s">
        <v>131</v>
      </c>
      <c r="D26" s="28">
        <f>SUM('Budget Summary may06'!L28)</f>
        <v>7896.596</v>
      </c>
      <c r="H26" s="437"/>
      <c r="J26" s="12" t="s">
        <v>208</v>
      </c>
      <c r="K26" s="20">
        <v>45581.15</v>
      </c>
      <c r="L26" s="20">
        <v>9116.23</v>
      </c>
      <c r="M26" s="12"/>
    </row>
    <row r="27" spans="2:13" ht="12.75">
      <c r="B27" s="716"/>
      <c r="C27" s="6" t="s">
        <v>152</v>
      </c>
      <c r="D27" s="26">
        <f>SUM(D25:D26)</f>
        <v>92326.20000000001</v>
      </c>
      <c r="J27" s="12"/>
      <c r="K27" s="20"/>
      <c r="L27" s="12"/>
      <c r="M27" s="12"/>
    </row>
    <row r="28" spans="2:13" ht="12.75">
      <c r="B28" s="716"/>
      <c r="C28" s="6" t="s">
        <v>132</v>
      </c>
      <c r="D28" s="38">
        <v>75</v>
      </c>
      <c r="J28" s="12" t="s">
        <v>209</v>
      </c>
      <c r="K28" s="20">
        <v>206196.8</v>
      </c>
      <c r="L28" s="20">
        <v>70106.91200000001</v>
      </c>
      <c r="M28" s="12"/>
    </row>
    <row r="29" spans="2:13" ht="12.75">
      <c r="B29" s="716"/>
      <c r="C29" s="6"/>
      <c r="D29" s="30">
        <f>SUM(D27:D28)</f>
        <v>92401.20000000001</v>
      </c>
      <c r="J29" s="12"/>
      <c r="K29" s="20"/>
      <c r="L29" s="12"/>
      <c r="M29" s="12"/>
    </row>
    <row r="30" spans="2:13" ht="12.75" hidden="1">
      <c r="B30" s="716"/>
      <c r="J30" s="12" t="s">
        <v>210</v>
      </c>
      <c r="K30" s="20">
        <v>70515.03</v>
      </c>
      <c r="L30" s="20">
        <v>21154.509</v>
      </c>
      <c r="M30" s="12"/>
    </row>
    <row r="31" spans="2:13" ht="12.75" hidden="1">
      <c r="B31" s="716"/>
      <c r="J31" s="12">
        <v>3</v>
      </c>
      <c r="K31" s="23">
        <f>SUM(K24:K30)</f>
        <v>680059.4888400002</v>
      </c>
      <c r="L31" s="23">
        <f>SUM(L24:L30)</f>
        <v>207707.603652</v>
      </c>
      <c r="M31" s="22">
        <f>+L31/K31</f>
        <v>0.30542563858096244</v>
      </c>
    </row>
    <row r="32" spans="10:13" ht="12.75" hidden="1">
      <c r="J32" s="12" t="s">
        <v>211</v>
      </c>
      <c r="K32" s="20">
        <v>314949.46</v>
      </c>
      <c r="L32" s="20">
        <v>56690.90279999999</v>
      </c>
      <c r="M32" s="12"/>
    </row>
    <row r="33" spans="10:13" ht="12.75" hidden="1">
      <c r="J33" s="12"/>
      <c r="K33" s="20"/>
      <c r="L33" s="12"/>
      <c r="M33" s="12"/>
    </row>
    <row r="34" spans="10:13" ht="12.75" hidden="1">
      <c r="J34" s="12" t="s">
        <v>212</v>
      </c>
      <c r="K34" s="20">
        <v>298006.76399999997</v>
      </c>
      <c r="L34" s="20">
        <v>53641.21752</v>
      </c>
      <c r="M34" s="12"/>
    </row>
    <row r="35" spans="10:13" ht="12.75" hidden="1">
      <c r="J35" s="12"/>
      <c r="K35" s="20"/>
      <c r="L35" s="12"/>
      <c r="M35" s="12"/>
    </row>
    <row r="36" spans="10:13" ht="12.75" hidden="1">
      <c r="J36" s="12" t="s">
        <v>213</v>
      </c>
      <c r="K36" s="20">
        <v>1289552.6376000005</v>
      </c>
      <c r="L36" s="20">
        <v>252769.593168</v>
      </c>
      <c r="M36" s="12"/>
    </row>
    <row r="37" spans="10:13" ht="12.75" hidden="1">
      <c r="J37" s="12"/>
      <c r="K37" s="20"/>
      <c r="L37" s="12"/>
      <c r="M37" s="12"/>
    </row>
    <row r="38" spans="10:13" ht="12.75" hidden="1">
      <c r="J38" s="12" t="s">
        <v>214</v>
      </c>
      <c r="K38" s="20">
        <v>916464.64</v>
      </c>
      <c r="L38" s="20">
        <v>185703.98560000004</v>
      </c>
      <c r="M38" s="12"/>
    </row>
    <row r="39" spans="10:13" ht="12.75" hidden="1">
      <c r="J39" s="12"/>
      <c r="K39" s="20"/>
      <c r="L39" s="12"/>
      <c r="M39" s="12"/>
    </row>
    <row r="40" spans="10:13" ht="12.75" hidden="1">
      <c r="J40" s="12" t="s">
        <v>215</v>
      </c>
      <c r="K40" s="20">
        <v>0</v>
      </c>
      <c r="L40" s="20">
        <v>0</v>
      </c>
      <c r="M40" s="12"/>
    </row>
    <row r="41" spans="10:13" ht="12.75" hidden="1">
      <c r="J41" s="12">
        <v>4</v>
      </c>
      <c r="K41" s="23">
        <f>SUM(K32:K40)</f>
        <v>2818973.5016000005</v>
      </c>
      <c r="L41" s="23">
        <f>SUM(L32:L40)</f>
        <v>548805.699088</v>
      </c>
      <c r="M41" s="22">
        <f>+L41/K41</f>
        <v>0.1946828158464446</v>
      </c>
    </row>
    <row r="42" spans="10:13" ht="12.75" hidden="1">
      <c r="J42" s="12" t="s">
        <v>216</v>
      </c>
      <c r="K42" s="20">
        <v>280385.9</v>
      </c>
      <c r="L42" s="20">
        <v>14019.295000000002</v>
      </c>
      <c r="M42" s="12"/>
    </row>
    <row r="43" spans="10:13" ht="12.75" hidden="1">
      <c r="J43" s="12"/>
      <c r="K43" s="20"/>
      <c r="L43" s="12"/>
      <c r="M43" s="12"/>
    </row>
    <row r="44" spans="10:13" ht="12.75" hidden="1">
      <c r="J44" s="12" t="s">
        <v>217</v>
      </c>
      <c r="K44" s="20">
        <v>530112.41</v>
      </c>
      <c r="L44" s="20">
        <v>53011.241</v>
      </c>
      <c r="M44" s="12"/>
    </row>
    <row r="45" spans="10:13" ht="12.75" hidden="1">
      <c r="J45" s="12"/>
      <c r="K45" s="20"/>
      <c r="L45" s="12"/>
      <c r="M45" s="12"/>
    </row>
    <row r="46" spans="10:13" ht="12.75" hidden="1">
      <c r="J46" s="12" t="s">
        <v>218</v>
      </c>
      <c r="K46" s="20">
        <v>329072.83</v>
      </c>
      <c r="L46" s="20">
        <v>52651.652799999996</v>
      </c>
      <c r="M46" s="12"/>
    </row>
    <row r="47" spans="10:13" ht="12.75" hidden="1">
      <c r="J47" s="12"/>
      <c r="K47" s="20"/>
      <c r="L47" s="12"/>
      <c r="M47" s="12"/>
    </row>
    <row r="48" spans="10:13" ht="12.75" hidden="1">
      <c r="J48" s="12" t="s">
        <v>219</v>
      </c>
      <c r="K48" s="20">
        <v>195823.11</v>
      </c>
      <c r="L48" s="20">
        <v>27415.235399999998</v>
      </c>
      <c r="M48" s="12"/>
    </row>
    <row r="49" spans="10:13" ht="12.75" hidden="1">
      <c r="J49" s="12"/>
      <c r="K49" s="20"/>
      <c r="L49" s="12"/>
      <c r="M49" s="12"/>
    </row>
    <row r="50" spans="10:13" ht="12.75" hidden="1">
      <c r="J50" s="12" t="s">
        <v>220</v>
      </c>
      <c r="K50" s="20">
        <v>179331.4</v>
      </c>
      <c r="L50" s="20">
        <v>14346.511999999999</v>
      </c>
      <c r="M50" s="12"/>
    </row>
    <row r="51" spans="10:13" ht="12.75" hidden="1">
      <c r="J51" s="12"/>
      <c r="K51" s="20"/>
      <c r="L51" s="12"/>
      <c r="M51" s="12"/>
    </row>
    <row r="52" spans="10:13" ht="12.75" hidden="1">
      <c r="J52" s="12" t="s">
        <v>221</v>
      </c>
      <c r="K52" s="20">
        <v>325498.85</v>
      </c>
      <c r="L52" s="20">
        <v>26039.908</v>
      </c>
      <c r="M52" s="12"/>
    </row>
    <row r="53" spans="10:13" ht="12.75" hidden="1">
      <c r="J53" s="12"/>
      <c r="K53" s="20"/>
      <c r="L53" s="12"/>
      <c r="M53" s="12"/>
    </row>
    <row r="54" spans="10:13" ht="12.75" hidden="1">
      <c r="J54" s="12" t="s">
        <v>222</v>
      </c>
      <c r="K54" s="20">
        <v>0</v>
      </c>
      <c r="L54" s="20">
        <v>0</v>
      </c>
      <c r="M54" s="12"/>
    </row>
    <row r="55" spans="10:13" ht="12.75" hidden="1">
      <c r="J55" s="12"/>
      <c r="K55" s="20"/>
      <c r="L55" s="12"/>
      <c r="M55" s="12"/>
    </row>
    <row r="56" spans="10:13" ht="12.75" hidden="1">
      <c r="J56" s="12" t="s">
        <v>223</v>
      </c>
      <c r="K56" s="20">
        <v>0</v>
      </c>
      <c r="L56" s="20">
        <v>0</v>
      </c>
      <c r="M56" s="12"/>
    </row>
    <row r="57" spans="3:13" ht="12.75" hidden="1">
      <c r="C57" s="31" t="s">
        <v>241</v>
      </c>
      <c r="D57" s="432">
        <f>SUM(D7)</f>
        <v>5135.441</v>
      </c>
      <c r="E57" s="432">
        <f>SUM(E7)</f>
        <v>1059.311</v>
      </c>
      <c r="F57" s="432">
        <f>SUM(F7)</f>
        <v>52.95</v>
      </c>
      <c r="G57" s="32">
        <f aca="true" t="shared" si="2" ref="G57:G91">+F57/E57</f>
        <v>0.049985320647099866</v>
      </c>
      <c r="J57" s="12">
        <v>5</v>
      </c>
      <c r="K57" s="23">
        <f>SUM(K42:K56)</f>
        <v>1840224.5</v>
      </c>
      <c r="L57" s="23">
        <f>SUM(L42:L56)</f>
        <v>187483.8442</v>
      </c>
      <c r="M57" s="22">
        <f>+L57/K57</f>
        <v>0.10188096300206849</v>
      </c>
    </row>
    <row r="58" spans="3:13" ht="12.75" hidden="1">
      <c r="C58" s="33"/>
      <c r="D58" s="433"/>
      <c r="E58" s="433"/>
      <c r="F58" s="433"/>
      <c r="G58" s="34" t="e">
        <f t="shared" si="2"/>
        <v>#DIV/0!</v>
      </c>
      <c r="J58" s="12" t="s">
        <v>224</v>
      </c>
      <c r="K58" s="20">
        <v>92271.78</v>
      </c>
      <c r="L58" s="20">
        <v>18454.356</v>
      </c>
      <c r="M58" s="12"/>
    </row>
    <row r="59" spans="3:13" ht="12.75" hidden="1">
      <c r="C59" s="33"/>
      <c r="D59" s="433"/>
      <c r="E59" s="433"/>
      <c r="F59" s="433"/>
      <c r="G59" s="34" t="e">
        <f t="shared" si="2"/>
        <v>#DIV/0!</v>
      </c>
      <c r="J59" s="12"/>
      <c r="K59" s="20"/>
      <c r="L59" s="12"/>
      <c r="M59" s="12"/>
    </row>
    <row r="60" spans="3:13" ht="12.75" hidden="1">
      <c r="C60" s="33"/>
      <c r="D60" s="433"/>
      <c r="E60" s="433"/>
      <c r="F60" s="433"/>
      <c r="G60" s="34" t="e">
        <f t="shared" si="2"/>
        <v>#DIV/0!</v>
      </c>
      <c r="J60" s="12" t="s">
        <v>225</v>
      </c>
      <c r="K60" s="20">
        <v>455033.04</v>
      </c>
      <c r="L60" s="20">
        <v>91006.60800000002</v>
      </c>
      <c r="M60" s="12"/>
    </row>
    <row r="61" spans="3:13" ht="12.75" hidden="1">
      <c r="C61" s="33"/>
      <c r="D61" s="433"/>
      <c r="E61" s="433"/>
      <c r="F61" s="433"/>
      <c r="G61" s="34" t="e">
        <f t="shared" si="2"/>
        <v>#DIV/0!</v>
      </c>
      <c r="J61" s="12"/>
      <c r="K61" s="20"/>
      <c r="L61" s="12"/>
      <c r="M61" s="12"/>
    </row>
    <row r="62" spans="3:13" ht="12.75" hidden="1">
      <c r="C62" s="33"/>
      <c r="D62" s="433"/>
      <c r="E62" s="433"/>
      <c r="F62" s="433"/>
      <c r="G62" s="34" t="e">
        <f t="shared" si="2"/>
        <v>#DIV/0!</v>
      </c>
      <c r="J62" s="12" t="s">
        <v>226</v>
      </c>
      <c r="K62" s="20">
        <v>106903.92</v>
      </c>
      <c r="L62" s="20">
        <v>21380.784</v>
      </c>
      <c r="M62" s="12"/>
    </row>
    <row r="63" spans="3:13" ht="12.75" hidden="1">
      <c r="C63" s="33"/>
      <c r="D63" s="433"/>
      <c r="E63" s="433"/>
      <c r="F63" s="433"/>
      <c r="G63" s="34" t="e">
        <f t="shared" si="2"/>
        <v>#DIV/0!</v>
      </c>
      <c r="J63" s="12"/>
      <c r="K63" s="20"/>
      <c r="L63" s="12"/>
      <c r="M63" s="12"/>
    </row>
    <row r="64" spans="3:13" ht="12.75" hidden="1">
      <c r="C64" s="33"/>
      <c r="D64" s="433"/>
      <c r="E64" s="433"/>
      <c r="F64" s="433"/>
      <c r="G64" s="34" t="e">
        <f t="shared" si="2"/>
        <v>#DIV/0!</v>
      </c>
      <c r="J64" s="12" t="s">
        <v>227</v>
      </c>
      <c r="K64" s="20">
        <v>0</v>
      </c>
      <c r="L64" s="20">
        <v>0</v>
      </c>
      <c r="M64" s="12"/>
    </row>
    <row r="65" spans="3:13" ht="12.75" hidden="1">
      <c r="C65" s="33"/>
      <c r="D65" s="433"/>
      <c r="E65" s="433"/>
      <c r="F65" s="433"/>
      <c r="G65" s="34" t="e">
        <f t="shared" si="2"/>
        <v>#DIV/0!</v>
      </c>
      <c r="J65" s="12"/>
      <c r="K65" s="20"/>
      <c r="L65" s="12"/>
      <c r="M65" s="12"/>
    </row>
    <row r="66" spans="3:13" ht="12.75" hidden="1">
      <c r="C66" s="33"/>
      <c r="D66" s="433"/>
      <c r="E66" s="433"/>
      <c r="F66" s="433"/>
      <c r="G66" s="34" t="e">
        <f t="shared" si="2"/>
        <v>#DIV/0!</v>
      </c>
      <c r="J66" s="12" t="s">
        <v>228</v>
      </c>
      <c r="K66" s="20">
        <v>0</v>
      </c>
      <c r="L66" s="20">
        <v>0</v>
      </c>
      <c r="M66" s="12"/>
    </row>
    <row r="67" spans="3:13" ht="12.75" hidden="1">
      <c r="C67" s="33" t="s">
        <v>242</v>
      </c>
      <c r="D67" s="434">
        <f>SUM(D11)</f>
        <v>9079.115</v>
      </c>
      <c r="E67" s="434">
        <f>SUM(E11)</f>
        <v>3316.002</v>
      </c>
      <c r="F67" s="434">
        <f>SUM(F11)</f>
        <v>410</v>
      </c>
      <c r="G67" s="34">
        <f t="shared" si="2"/>
        <v>0.12364286873168352</v>
      </c>
      <c r="J67" s="12"/>
      <c r="K67" s="23">
        <f>SUM(K58:K66)</f>
        <v>654208.74</v>
      </c>
      <c r="L67" s="23">
        <f>SUM(L58:L66)</f>
        <v>130841.74800000002</v>
      </c>
      <c r="M67" s="22">
        <f>+L67/K67</f>
        <v>0.20000000000000004</v>
      </c>
    </row>
    <row r="68" spans="3:13" ht="12.75" hidden="1">
      <c r="C68" s="33"/>
      <c r="D68" s="433"/>
      <c r="E68" s="433"/>
      <c r="F68" s="433"/>
      <c r="G68" s="34" t="e">
        <f t="shared" si="2"/>
        <v>#DIV/0!</v>
      </c>
      <c r="J68" s="12" t="s">
        <v>229</v>
      </c>
      <c r="K68" s="20">
        <v>0</v>
      </c>
      <c r="L68" s="20">
        <v>0</v>
      </c>
      <c r="M68" s="12"/>
    </row>
    <row r="69" spans="3:13" ht="12.75" hidden="1">
      <c r="C69" s="33"/>
      <c r="D69" s="433"/>
      <c r="E69" s="433"/>
      <c r="F69" s="433"/>
      <c r="G69" s="34" t="e">
        <f t="shared" si="2"/>
        <v>#DIV/0!</v>
      </c>
      <c r="J69" s="12"/>
      <c r="K69" s="20"/>
      <c r="L69" s="12"/>
      <c r="M69" s="12"/>
    </row>
    <row r="70" spans="3:13" ht="12.75" hidden="1">
      <c r="C70" s="33"/>
      <c r="D70" s="433"/>
      <c r="E70" s="433"/>
      <c r="F70" s="433"/>
      <c r="G70" s="34" t="e">
        <f t="shared" si="2"/>
        <v>#DIV/0!</v>
      </c>
      <c r="J70" s="12" t="s">
        <v>230</v>
      </c>
      <c r="K70" s="20">
        <v>9097.92</v>
      </c>
      <c r="L70" s="20">
        <v>909.7920000000001</v>
      </c>
      <c r="M70" s="12"/>
    </row>
    <row r="71" spans="3:13" ht="12.75" hidden="1">
      <c r="C71" s="33"/>
      <c r="D71" s="433"/>
      <c r="E71" s="433"/>
      <c r="F71" s="433"/>
      <c r="G71" s="34" t="e">
        <f t="shared" si="2"/>
        <v>#DIV/0!</v>
      </c>
      <c r="J71" s="12"/>
      <c r="K71" s="20"/>
      <c r="L71" s="12"/>
      <c r="M71" s="12"/>
    </row>
    <row r="72" spans="3:13" ht="12.75" hidden="1">
      <c r="C72" s="33"/>
      <c r="D72" s="433"/>
      <c r="E72" s="433"/>
      <c r="F72" s="433"/>
      <c r="G72" s="34" t="e">
        <f t="shared" si="2"/>
        <v>#DIV/0!</v>
      </c>
      <c r="J72" s="12" t="s">
        <v>231</v>
      </c>
      <c r="K72" s="20">
        <v>37599.901</v>
      </c>
      <c r="L72" s="20">
        <v>3643.5384599999998</v>
      </c>
      <c r="M72" s="12"/>
    </row>
    <row r="73" spans="3:13" ht="12.75" hidden="1">
      <c r="C73" s="33"/>
      <c r="D73" s="433"/>
      <c r="E73" s="433"/>
      <c r="F73" s="433"/>
      <c r="G73" s="34" t="e">
        <f t="shared" si="2"/>
        <v>#DIV/0!</v>
      </c>
      <c r="J73" s="12"/>
      <c r="K73" s="20"/>
      <c r="L73" s="12"/>
      <c r="M73" s="12"/>
    </row>
    <row r="74" spans="3:13" ht="12.75" hidden="1">
      <c r="C74" s="33"/>
      <c r="D74" s="433"/>
      <c r="E74" s="433"/>
      <c r="F74" s="433"/>
      <c r="G74" s="34" t="e">
        <f t="shared" si="2"/>
        <v>#DIV/0!</v>
      </c>
      <c r="J74" s="12" t="s">
        <v>232</v>
      </c>
      <c r="K74" s="20">
        <v>956980.383</v>
      </c>
      <c r="L74" s="20">
        <v>145873.41821999996</v>
      </c>
      <c r="M74" s="12"/>
    </row>
    <row r="75" spans="3:13" ht="12.75" hidden="1">
      <c r="C75" s="33"/>
      <c r="D75" s="433"/>
      <c r="E75" s="433"/>
      <c r="F75" s="433"/>
      <c r="G75" s="34" t="e">
        <f t="shared" si="2"/>
        <v>#DIV/0!</v>
      </c>
      <c r="J75" s="12"/>
      <c r="K75" s="20"/>
      <c r="L75" s="12"/>
      <c r="M75" s="12"/>
    </row>
    <row r="76" spans="3:13" ht="12.75" hidden="1">
      <c r="C76" s="33"/>
      <c r="D76" s="433"/>
      <c r="E76" s="433"/>
      <c r="F76" s="433"/>
      <c r="G76" s="34" t="e">
        <f t="shared" si="2"/>
        <v>#DIV/0!</v>
      </c>
      <c r="J76" s="12" t="s">
        <v>233</v>
      </c>
      <c r="K76" s="20">
        <v>2422508.16</v>
      </c>
      <c r="L76" s="20">
        <v>585652.9823999997</v>
      </c>
      <c r="M76" s="12"/>
    </row>
    <row r="77" spans="3:13" ht="12.75" hidden="1">
      <c r="C77" s="33"/>
      <c r="D77" s="433"/>
      <c r="E77" s="433"/>
      <c r="F77" s="433"/>
      <c r="G77" s="34" t="e">
        <f t="shared" si="2"/>
        <v>#DIV/0!</v>
      </c>
      <c r="J77" s="12"/>
      <c r="K77" s="20"/>
      <c r="L77" s="12"/>
      <c r="M77" s="12"/>
    </row>
    <row r="78" spans="3:13" ht="12.75" hidden="1">
      <c r="C78" s="33"/>
      <c r="D78" s="433"/>
      <c r="E78" s="433"/>
      <c r="F78" s="433"/>
      <c r="G78" s="34" t="e">
        <f t="shared" si="2"/>
        <v>#DIV/0!</v>
      </c>
      <c r="J78" s="12" t="s">
        <v>234</v>
      </c>
      <c r="K78" s="20">
        <v>237778.59</v>
      </c>
      <c r="L78" s="20">
        <v>57066.861600000004</v>
      </c>
      <c r="M78" s="12"/>
    </row>
    <row r="79" spans="3:13" ht="12.75" hidden="1">
      <c r="C79" s="33" t="s">
        <v>243</v>
      </c>
      <c r="D79" s="434">
        <f>SUM(D6,D8,D10,D12:D15)</f>
        <v>42717.919</v>
      </c>
      <c r="E79" s="434">
        <f>SUM(E6,E8,E10,E12:E15)</f>
        <v>16788.586000000003</v>
      </c>
      <c r="F79" s="434">
        <f>SUM(F6,F8,F10,F12:F15)</f>
        <v>4945.0289999999995</v>
      </c>
      <c r="G79" s="34">
        <f t="shared" si="2"/>
        <v>0.2945470809751339</v>
      </c>
      <c r="J79" s="12">
        <v>7</v>
      </c>
      <c r="K79" s="23">
        <f>SUM(K68:K78)</f>
        <v>3663964.954</v>
      </c>
      <c r="L79" s="23">
        <f>SUM(L68:L78)</f>
        <v>793146.5926799998</v>
      </c>
      <c r="M79" s="22">
        <f>+L79/K79</f>
        <v>0.21647221047082094</v>
      </c>
    </row>
    <row r="80" spans="3:13" ht="12.75" hidden="1">
      <c r="C80" s="33"/>
      <c r="D80" s="433"/>
      <c r="E80" s="433"/>
      <c r="F80" s="433"/>
      <c r="G80" s="34" t="e">
        <f t="shared" si="2"/>
        <v>#DIV/0!</v>
      </c>
      <c r="J80" s="12" t="s">
        <v>235</v>
      </c>
      <c r="K80" s="20">
        <v>2244301.07</v>
      </c>
      <c r="L80" s="20">
        <v>112320.25349999998</v>
      </c>
      <c r="M80" s="12"/>
    </row>
    <row r="81" spans="3:13" ht="12.75" hidden="1">
      <c r="C81" s="33"/>
      <c r="D81" s="433"/>
      <c r="E81" s="433"/>
      <c r="F81" s="433"/>
      <c r="G81" s="34" t="e">
        <f t="shared" si="2"/>
        <v>#DIV/0!</v>
      </c>
      <c r="J81" s="12"/>
      <c r="K81" s="20"/>
      <c r="L81" s="12"/>
      <c r="M81" s="12"/>
    </row>
    <row r="82" spans="3:13" ht="12.75" hidden="1">
      <c r="C82" s="33"/>
      <c r="D82" s="433"/>
      <c r="E82" s="433"/>
      <c r="F82" s="433"/>
      <c r="G82" s="34" t="e">
        <f t="shared" si="2"/>
        <v>#DIV/0!</v>
      </c>
      <c r="J82" s="12" t="s">
        <v>236</v>
      </c>
      <c r="K82" s="20">
        <v>2011860.24</v>
      </c>
      <c r="L82" s="20">
        <v>168437.38799999998</v>
      </c>
      <c r="M82" s="12"/>
    </row>
    <row r="83" spans="3:13" ht="12.75" hidden="1">
      <c r="C83" s="33"/>
      <c r="D83" s="433"/>
      <c r="E83" s="433"/>
      <c r="F83" s="433"/>
      <c r="G83" s="34" t="e">
        <f t="shared" si="2"/>
        <v>#DIV/0!</v>
      </c>
      <c r="J83" s="12"/>
      <c r="K83" s="20"/>
      <c r="L83" s="12"/>
      <c r="M83" s="12"/>
    </row>
    <row r="84" spans="3:13" ht="12.75" hidden="1">
      <c r="C84" s="33"/>
      <c r="D84" s="433"/>
      <c r="E84" s="433"/>
      <c r="F84" s="433"/>
      <c r="G84" s="34" t="e">
        <f t="shared" si="2"/>
        <v>#DIV/0!</v>
      </c>
      <c r="J84" s="12" t="s">
        <v>237</v>
      </c>
      <c r="K84" s="20">
        <v>0</v>
      </c>
      <c r="L84" s="20">
        <v>0</v>
      </c>
      <c r="M84" s="12"/>
    </row>
    <row r="85" spans="3:13" ht="12.75" hidden="1">
      <c r="C85" s="33"/>
      <c r="D85" s="433"/>
      <c r="E85" s="433"/>
      <c r="F85" s="433"/>
      <c r="G85" s="34" t="e">
        <f t="shared" si="2"/>
        <v>#DIV/0!</v>
      </c>
      <c r="J85" s="12"/>
      <c r="K85" s="20"/>
      <c r="L85" s="12"/>
      <c r="M85" s="12"/>
    </row>
    <row r="86" spans="3:13" ht="12.75" hidden="1">
      <c r="C86" s="33"/>
      <c r="D86" s="433"/>
      <c r="E86" s="433"/>
      <c r="F86" s="433"/>
      <c r="G86" s="34" t="e">
        <f t="shared" si="2"/>
        <v>#DIV/0!</v>
      </c>
      <c r="J86" s="12" t="s">
        <v>238</v>
      </c>
      <c r="K86" s="20">
        <v>1199387.27</v>
      </c>
      <c r="L86" s="20">
        <v>310999.39900000003</v>
      </c>
      <c r="M86" s="12"/>
    </row>
    <row r="87" spans="3:13" ht="12.75" hidden="1">
      <c r="C87" s="33"/>
      <c r="D87" s="433"/>
      <c r="E87" s="433"/>
      <c r="F87" s="433"/>
      <c r="G87" s="34" t="e">
        <f t="shared" si="2"/>
        <v>#DIV/0!</v>
      </c>
      <c r="J87" s="12"/>
      <c r="K87" s="20"/>
      <c r="L87" s="12"/>
      <c r="M87" s="12"/>
    </row>
    <row r="88" spans="3:13" ht="12.75" hidden="1">
      <c r="C88" s="33"/>
      <c r="D88" s="433"/>
      <c r="E88" s="433"/>
      <c r="F88" s="433"/>
      <c r="G88" s="34" t="e">
        <f t="shared" si="2"/>
        <v>#DIV/0!</v>
      </c>
      <c r="J88" s="12" t="s">
        <v>239</v>
      </c>
      <c r="K88" s="20">
        <v>828888.41</v>
      </c>
      <c r="L88" s="20">
        <v>82888.84099999999</v>
      </c>
      <c r="M88" s="12"/>
    </row>
    <row r="89" spans="3:13" ht="12.75" hidden="1">
      <c r="C89" s="33" t="s">
        <v>245</v>
      </c>
      <c r="D89" s="434">
        <f>SUM(D18:D23)+1199</f>
        <v>11662.654999999999</v>
      </c>
      <c r="E89" s="434">
        <f>SUM(E18:E23)+1199</f>
        <v>8965.594</v>
      </c>
      <c r="F89" s="434">
        <f>SUM(F18:F23)+311</f>
        <v>2097.3810000000003</v>
      </c>
      <c r="G89" s="34">
        <f t="shared" si="2"/>
        <v>0.23393664714239798</v>
      </c>
      <c r="J89" s="12">
        <v>8</v>
      </c>
      <c r="K89" s="23">
        <f>SUM(K80:K88)</f>
        <v>6284436.99</v>
      </c>
      <c r="L89" s="23">
        <f>SUM(L80:L88)</f>
        <v>674645.8815</v>
      </c>
      <c r="M89" s="22">
        <f>+L89/K89</f>
        <v>0.10735184115514539</v>
      </c>
    </row>
    <row r="90" spans="3:13" ht="15" hidden="1">
      <c r="C90" s="33" t="s">
        <v>244</v>
      </c>
      <c r="D90" s="435">
        <f>SUM(D16,D24)-1199</f>
        <v>14233.474</v>
      </c>
      <c r="E90" s="435">
        <f>SUM(E16,E24)-1199</f>
        <v>4765.075</v>
      </c>
      <c r="F90" s="435">
        <f>SUM(F16,F24)-311</f>
        <v>231.97299999999996</v>
      </c>
      <c r="G90" s="35">
        <f t="shared" si="2"/>
        <v>0.048681920011752165</v>
      </c>
      <c r="J90" s="12" t="s">
        <v>240</v>
      </c>
      <c r="K90" s="20">
        <v>44367283.715125404</v>
      </c>
      <c r="L90" s="20">
        <v>9622054.62549321</v>
      </c>
      <c r="M90" s="22">
        <f>+L90/K90</f>
        <v>0.21687274540570808</v>
      </c>
    </row>
    <row r="91" spans="3:7" ht="13.5" hidden="1" thickBot="1">
      <c r="C91" s="36"/>
      <c r="D91" s="436">
        <f>SUM(D57:D90)</f>
        <v>82828.604</v>
      </c>
      <c r="E91" s="436">
        <f>SUM(E57:E90)</f>
        <v>34894.568</v>
      </c>
      <c r="F91" s="436">
        <f>SUM(F57:F90)</f>
        <v>7737.333</v>
      </c>
      <c r="G91" s="37">
        <f t="shared" si="2"/>
        <v>0.22173459777464502</v>
      </c>
    </row>
    <row r="93" spans="3:7" ht="12.75">
      <c r="C93" t="s">
        <v>675</v>
      </c>
      <c r="D93" s="26">
        <f>SUM(D7,D11)+1623</f>
        <v>15837.556</v>
      </c>
      <c r="E93" s="26">
        <f>SUM(E7,E11)+1623</f>
        <v>5998.313</v>
      </c>
      <c r="F93" s="26">
        <f>SUM(F7,F11)+162</f>
        <v>624.95</v>
      </c>
      <c r="G93" s="29">
        <f>+F93/E93</f>
        <v>0.10418762742124328</v>
      </c>
    </row>
    <row r="94" spans="3:7" ht="12.75">
      <c r="C94" s="9" t="s">
        <v>676</v>
      </c>
      <c r="D94" s="26">
        <f>+D25-D93</f>
        <v>68592.04800000001</v>
      </c>
      <c r="E94" s="26">
        <f>+E25-E93</f>
        <v>30497.254999999997</v>
      </c>
      <c r="F94" s="26">
        <f>+F25-F93</f>
        <v>7272.383000000001</v>
      </c>
      <c r="G94" s="29">
        <f>+F94/E94</f>
        <v>0.23846024830759363</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U111"/>
  <sheetViews>
    <sheetView zoomScale="75" zoomScaleNormal="75" workbookViewId="0" topLeftCell="A51">
      <selection activeCell="A51" sqref="A1:IV16384"/>
    </sheetView>
  </sheetViews>
  <sheetFormatPr defaultColWidth="9.140625" defaultRowHeight="12.75"/>
  <cols>
    <col min="1" max="1" width="5.00390625" style="564" customWidth="1"/>
    <col min="2" max="2" width="36.28125" style="572" customWidth="1"/>
    <col min="3" max="3" width="15.421875" style="527" customWidth="1"/>
    <col min="4" max="4" width="15.00390625" style="527" customWidth="1"/>
    <col min="5" max="5" width="13.28125" style="527" customWidth="1"/>
    <col min="6" max="6" width="10.00390625" style="504" customWidth="1"/>
    <col min="7" max="7" width="12.140625" style="527" customWidth="1"/>
    <col min="8" max="8" width="15.28125" style="568" customWidth="1"/>
    <col min="9" max="9" width="5.00390625" style="527" customWidth="1"/>
    <col min="10" max="10" width="5.28125" style="527" customWidth="1"/>
    <col min="11" max="11" width="5.00390625" style="527" customWidth="1"/>
    <col min="12" max="12" width="5.140625" style="527" customWidth="1"/>
    <col min="13" max="13" width="6.57421875" style="568" customWidth="1"/>
    <col min="14" max="14" width="13.28125" style="504" customWidth="1"/>
    <col min="15" max="15" width="11.140625" style="524" hidden="1" customWidth="1"/>
    <col min="16" max="16" width="73.8515625" style="504" customWidth="1"/>
    <col min="17" max="17" width="14.8515625" style="504" customWidth="1"/>
    <col min="18" max="18" width="17.00390625" style="504" customWidth="1"/>
    <col min="19" max="19" width="12.7109375" style="504" customWidth="1"/>
    <col min="20" max="20" width="9.140625" style="504" customWidth="1"/>
    <col min="21" max="21" width="11.140625" style="504" bestFit="1" customWidth="1"/>
    <col min="22" max="16384" width="9.140625" style="504" customWidth="1"/>
  </cols>
  <sheetData>
    <row r="1" spans="1:16" ht="13.5" thickBot="1">
      <c r="A1" s="690" t="s">
        <v>578</v>
      </c>
      <c r="B1" s="690" t="s">
        <v>579</v>
      </c>
      <c r="C1" s="693" t="s">
        <v>580</v>
      </c>
      <c r="D1" s="694"/>
      <c r="E1" s="694"/>
      <c r="F1" s="694"/>
      <c r="G1" s="694"/>
      <c r="H1" s="695"/>
      <c r="I1" s="693" t="s">
        <v>581</v>
      </c>
      <c r="J1" s="694"/>
      <c r="K1" s="694"/>
      <c r="L1" s="694"/>
      <c r="M1" s="695"/>
      <c r="N1" s="696" t="s">
        <v>582</v>
      </c>
      <c r="O1" s="696" t="s">
        <v>583</v>
      </c>
      <c r="P1" s="699" t="s">
        <v>584</v>
      </c>
    </row>
    <row r="2" spans="1:16" ht="39" thickBot="1">
      <c r="A2" s="691"/>
      <c r="B2" s="691"/>
      <c r="C2" s="701" t="s">
        <v>585</v>
      </c>
      <c r="D2" s="505" t="s">
        <v>586</v>
      </c>
      <c r="E2" s="505" t="s">
        <v>587</v>
      </c>
      <c r="F2" s="693" t="s">
        <v>131</v>
      </c>
      <c r="G2" s="695"/>
      <c r="H2" s="703" t="s">
        <v>588</v>
      </c>
      <c r="I2" s="506" t="s">
        <v>589</v>
      </c>
      <c r="J2" s="505" t="s">
        <v>590</v>
      </c>
      <c r="K2" s="705" t="s">
        <v>591</v>
      </c>
      <c r="L2" s="705"/>
      <c r="M2" s="703" t="s">
        <v>588</v>
      </c>
      <c r="N2" s="697"/>
      <c r="O2" s="697"/>
      <c r="P2" s="699"/>
    </row>
    <row r="3" spans="1:18" s="515" customFormat="1" ht="26.25" thickBot="1">
      <c r="A3" s="692"/>
      <c r="B3" s="692"/>
      <c r="C3" s="702"/>
      <c r="D3" s="507" t="s">
        <v>592</v>
      </c>
      <c r="E3" s="508" t="s">
        <v>592</v>
      </c>
      <c r="F3" s="509" t="s">
        <v>195</v>
      </c>
      <c r="G3" s="510" t="s">
        <v>593</v>
      </c>
      <c r="H3" s="704"/>
      <c r="I3" s="511" t="s">
        <v>592</v>
      </c>
      <c r="J3" s="512" t="s">
        <v>592</v>
      </c>
      <c r="K3" s="512" t="s">
        <v>593</v>
      </c>
      <c r="L3" s="513" t="s">
        <v>195</v>
      </c>
      <c r="M3" s="704"/>
      <c r="N3" s="698"/>
      <c r="O3" s="698"/>
      <c r="P3" s="700"/>
      <c r="Q3" s="514"/>
      <c r="R3" s="514"/>
    </row>
    <row r="4" spans="1:18" s="524" customFormat="1" ht="12.75">
      <c r="A4" s="516">
        <v>1</v>
      </c>
      <c r="B4" s="517" t="s">
        <v>594</v>
      </c>
      <c r="C4" s="518">
        <f>SUM(C6:C13)</f>
        <v>57728100</v>
      </c>
      <c r="D4" s="518">
        <f>SUM(D5:D13)</f>
        <v>29727000</v>
      </c>
      <c r="E4" s="518">
        <f>SUM(E5:E13)</f>
        <v>28001100</v>
      </c>
      <c r="F4" s="519">
        <f>+G4/E4</f>
        <v>0.24564567106292254</v>
      </c>
      <c r="G4" s="520">
        <f>SUM(G5:G13)</f>
        <v>6878349</v>
      </c>
      <c r="H4" s="521">
        <f>SUM(G4,C4)</f>
        <v>64606449</v>
      </c>
      <c r="I4" s="518"/>
      <c r="J4" s="520"/>
      <c r="K4" s="520"/>
      <c r="L4" s="520"/>
      <c r="M4" s="521"/>
      <c r="N4" s="518"/>
      <c r="O4" s="522"/>
      <c r="P4" s="523"/>
      <c r="Q4" s="504"/>
      <c r="R4" s="504"/>
    </row>
    <row r="5" spans="1:16" ht="12.75">
      <c r="A5" s="525">
        <v>11</v>
      </c>
      <c r="B5" s="526" t="s">
        <v>595</v>
      </c>
      <c r="D5" s="528">
        <v>0</v>
      </c>
      <c r="E5" s="529">
        <f>+C5-D5</f>
        <v>0</v>
      </c>
      <c r="F5" s="530"/>
      <c r="G5" s="531"/>
      <c r="H5" s="532">
        <f aca="true" t="shared" si="0" ref="H5:H60">SUM(G5,C5)</f>
        <v>0</v>
      </c>
      <c r="I5" s="528"/>
      <c r="J5" s="533"/>
      <c r="K5" s="533"/>
      <c r="L5" s="533"/>
      <c r="M5" s="534"/>
      <c r="N5" s="529"/>
      <c r="O5" s="535"/>
      <c r="P5" s="534"/>
    </row>
    <row r="6" spans="1:16" ht="12.75">
      <c r="A6" s="525">
        <v>12</v>
      </c>
      <c r="B6" s="526" t="s">
        <v>596</v>
      </c>
      <c r="C6" s="536">
        <v>9439300</v>
      </c>
      <c r="D6" s="528">
        <v>6191000</v>
      </c>
      <c r="E6" s="529">
        <f aca="true" t="shared" si="1" ref="E6:E13">+C6-D6</f>
        <v>3248300</v>
      </c>
      <c r="F6" s="530">
        <f aca="true" t="shared" si="2" ref="F6:F60">+G6/E6</f>
        <v>0.13911646091801866</v>
      </c>
      <c r="G6" s="531">
        <v>451892</v>
      </c>
      <c r="H6" s="532">
        <f t="shared" si="0"/>
        <v>9891192</v>
      </c>
      <c r="I6" s="528"/>
      <c r="J6" s="533"/>
      <c r="K6" s="533"/>
      <c r="L6" s="533"/>
      <c r="M6" s="534"/>
      <c r="N6" s="529"/>
      <c r="O6" s="535"/>
      <c r="P6" s="534"/>
    </row>
    <row r="7" spans="1:16" ht="12.75">
      <c r="A7" s="525">
        <v>13</v>
      </c>
      <c r="B7" s="526" t="s">
        <v>597</v>
      </c>
      <c r="C7" s="536">
        <v>4831000</v>
      </c>
      <c r="D7" s="528">
        <v>1515000</v>
      </c>
      <c r="E7" s="529">
        <f t="shared" si="1"/>
        <v>3316000</v>
      </c>
      <c r="F7" s="530">
        <f t="shared" si="2"/>
        <v>0.38237364294330517</v>
      </c>
      <c r="G7" s="531">
        <v>1267951</v>
      </c>
      <c r="H7" s="532">
        <f t="shared" si="0"/>
        <v>6098951</v>
      </c>
      <c r="I7" s="528"/>
      <c r="J7" s="533"/>
      <c r="K7" s="533"/>
      <c r="L7" s="533"/>
      <c r="M7" s="534"/>
      <c r="N7" s="529"/>
      <c r="O7" s="535"/>
      <c r="P7" s="537"/>
    </row>
    <row r="8" spans="1:16" ht="12.75">
      <c r="A8" s="525">
        <v>14</v>
      </c>
      <c r="B8" s="526" t="s">
        <v>598</v>
      </c>
      <c r="C8" s="536">
        <v>31355900</v>
      </c>
      <c r="D8" s="528">
        <v>18753000</v>
      </c>
      <c r="E8" s="529">
        <f t="shared" si="1"/>
        <v>12602900</v>
      </c>
      <c r="F8" s="530">
        <f t="shared" si="2"/>
        <v>0.22005443191646368</v>
      </c>
      <c r="G8" s="531">
        <v>2773324</v>
      </c>
      <c r="H8" s="532">
        <f t="shared" si="0"/>
        <v>34129224</v>
      </c>
      <c r="I8" s="528"/>
      <c r="J8" s="533"/>
      <c r="K8" s="533"/>
      <c r="L8" s="533"/>
      <c r="M8" s="534"/>
      <c r="N8" s="529"/>
      <c r="O8" s="535"/>
      <c r="P8" s="537"/>
    </row>
    <row r="9" spans="1:16" ht="12.75">
      <c r="A9" s="525">
        <v>15</v>
      </c>
      <c r="B9" s="526" t="s">
        <v>599</v>
      </c>
      <c r="C9" s="536">
        <v>1386200</v>
      </c>
      <c r="D9" s="528">
        <v>75000</v>
      </c>
      <c r="E9" s="529">
        <f t="shared" si="1"/>
        <v>1311200</v>
      </c>
      <c r="F9" s="530">
        <f t="shared" si="2"/>
        <v>0.2982824893227578</v>
      </c>
      <c r="G9" s="531">
        <v>391108</v>
      </c>
      <c r="H9" s="532">
        <f t="shared" si="0"/>
        <v>1777308</v>
      </c>
      <c r="I9" s="528"/>
      <c r="J9" s="533"/>
      <c r="K9" s="533"/>
      <c r="L9" s="533"/>
      <c r="M9" s="534"/>
      <c r="N9" s="529"/>
      <c r="O9" s="535"/>
      <c r="P9" s="537"/>
    </row>
    <row r="10" spans="1:16" ht="12.75">
      <c r="A10" s="525">
        <v>16</v>
      </c>
      <c r="B10" s="526" t="s">
        <v>600</v>
      </c>
      <c r="C10" s="536">
        <v>1135000</v>
      </c>
      <c r="D10" s="528">
        <v>0</v>
      </c>
      <c r="E10" s="529">
        <f t="shared" si="1"/>
        <v>1135000</v>
      </c>
      <c r="F10" s="530">
        <f t="shared" si="2"/>
        <v>0.3000035242290749</v>
      </c>
      <c r="G10" s="531">
        <v>340504</v>
      </c>
      <c r="H10" s="532">
        <f t="shared" si="0"/>
        <v>1475504</v>
      </c>
      <c r="I10" s="528"/>
      <c r="J10" s="533"/>
      <c r="K10" s="533"/>
      <c r="L10" s="533"/>
      <c r="M10" s="534"/>
      <c r="N10" s="529"/>
      <c r="O10" s="535"/>
      <c r="P10" s="537"/>
    </row>
    <row r="11" spans="1:16" ht="12.75">
      <c r="A11" s="525">
        <v>17</v>
      </c>
      <c r="B11" s="526" t="s">
        <v>601</v>
      </c>
      <c r="C11" s="536">
        <v>1532900</v>
      </c>
      <c r="D11" s="528">
        <v>372000</v>
      </c>
      <c r="E11" s="529">
        <f t="shared" si="1"/>
        <v>1160900</v>
      </c>
      <c r="F11" s="530">
        <f t="shared" si="2"/>
        <v>0.29870703764320783</v>
      </c>
      <c r="G11" s="531">
        <v>346769</v>
      </c>
      <c r="H11" s="532">
        <f t="shared" si="0"/>
        <v>1879669</v>
      </c>
      <c r="I11" s="528"/>
      <c r="J11" s="533"/>
      <c r="K11" s="533"/>
      <c r="L11" s="533"/>
      <c r="M11" s="534"/>
      <c r="N11" s="529"/>
      <c r="O11" s="535"/>
      <c r="P11" s="537"/>
    </row>
    <row r="12" spans="1:16" ht="12.75">
      <c r="A12" s="525">
        <v>18</v>
      </c>
      <c r="B12" s="526" t="s">
        <v>602</v>
      </c>
      <c r="C12" s="536">
        <v>5280800</v>
      </c>
      <c r="D12" s="528">
        <v>1336000</v>
      </c>
      <c r="E12" s="529">
        <f t="shared" si="1"/>
        <v>3944800</v>
      </c>
      <c r="F12" s="530">
        <f t="shared" si="2"/>
        <v>0.2987707868586494</v>
      </c>
      <c r="G12" s="531">
        <v>1178591</v>
      </c>
      <c r="H12" s="532">
        <f t="shared" si="0"/>
        <v>6459391</v>
      </c>
      <c r="I12" s="528"/>
      <c r="J12" s="533"/>
      <c r="K12" s="533"/>
      <c r="L12" s="533"/>
      <c r="M12" s="534"/>
      <c r="N12" s="529"/>
      <c r="O12" s="535"/>
      <c r="P12" s="537"/>
    </row>
    <row r="13" spans="1:16" ht="25.5">
      <c r="A13" s="525">
        <v>19</v>
      </c>
      <c r="B13" s="526" t="s">
        <v>604</v>
      </c>
      <c r="C13" s="536">
        <v>2767000</v>
      </c>
      <c r="D13" s="528">
        <v>1485000</v>
      </c>
      <c r="E13" s="529">
        <f t="shared" si="1"/>
        <v>1282000</v>
      </c>
      <c r="F13" s="530">
        <f t="shared" si="2"/>
        <v>0.10000780031201248</v>
      </c>
      <c r="G13" s="531">
        <v>128210</v>
      </c>
      <c r="H13" s="532">
        <f t="shared" si="0"/>
        <v>2895210</v>
      </c>
      <c r="I13" s="528"/>
      <c r="J13" s="533"/>
      <c r="K13" s="533"/>
      <c r="L13" s="533"/>
      <c r="M13" s="534"/>
      <c r="N13" s="529"/>
      <c r="O13" s="535"/>
      <c r="P13" s="537"/>
    </row>
    <row r="14" spans="1:18" s="524" customFormat="1" ht="25.5">
      <c r="A14" s="538">
        <v>2</v>
      </c>
      <c r="B14" s="539" t="s">
        <v>605</v>
      </c>
      <c r="C14" s="540">
        <f>SUM(C15:C18)</f>
        <v>791300</v>
      </c>
      <c r="D14" s="540">
        <f>SUM(D15:D18)</f>
        <v>347400</v>
      </c>
      <c r="E14" s="540">
        <f>SUM(E15:E18)</f>
        <v>443900</v>
      </c>
      <c r="F14" s="541">
        <f t="shared" si="2"/>
        <v>0.13979489794998876</v>
      </c>
      <c r="G14" s="542">
        <f>SUM(G15:G18)</f>
        <v>62054.95520000001</v>
      </c>
      <c r="H14" s="521">
        <f t="shared" si="0"/>
        <v>853354.9552</v>
      </c>
      <c r="I14" s="540"/>
      <c r="J14" s="542"/>
      <c r="K14" s="542"/>
      <c r="L14" s="542"/>
      <c r="M14" s="543"/>
      <c r="N14" s="518"/>
      <c r="O14" s="535"/>
      <c r="P14" s="537"/>
      <c r="Q14" s="504"/>
      <c r="R14" s="504"/>
    </row>
    <row r="15" spans="1:16" ht="12.75">
      <c r="A15" s="525">
        <v>21</v>
      </c>
      <c r="B15" s="526" t="s">
        <v>606</v>
      </c>
      <c r="C15" s="536">
        <v>88100</v>
      </c>
      <c r="D15" s="528"/>
      <c r="E15" s="529">
        <f>+C15-D15</f>
        <v>88100</v>
      </c>
      <c r="F15" s="530">
        <f t="shared" si="2"/>
        <v>0.1399888603859251</v>
      </c>
      <c r="G15" s="544">
        <v>12333.0186</v>
      </c>
      <c r="H15" s="532">
        <f t="shared" si="0"/>
        <v>100433.0186</v>
      </c>
      <c r="I15" s="528"/>
      <c r="J15" s="533"/>
      <c r="K15" s="533"/>
      <c r="L15" s="533"/>
      <c r="M15" s="534"/>
      <c r="N15" s="529"/>
      <c r="O15" s="535"/>
      <c r="P15" s="537"/>
    </row>
    <row r="16" spans="1:16" ht="12.75">
      <c r="A16" s="525">
        <v>22</v>
      </c>
      <c r="B16" s="526" t="s">
        <v>607</v>
      </c>
      <c r="C16" s="536">
        <v>418800</v>
      </c>
      <c r="D16" s="528">
        <v>63000</v>
      </c>
      <c r="E16" s="529">
        <f>+C16-D16</f>
        <v>355800</v>
      </c>
      <c r="F16" s="530">
        <f t="shared" si="2"/>
        <v>0.13974687071388422</v>
      </c>
      <c r="G16" s="531">
        <v>49721.93660000001</v>
      </c>
      <c r="H16" s="532">
        <f t="shared" si="0"/>
        <v>468521.9366</v>
      </c>
      <c r="I16" s="528"/>
      <c r="J16" s="533"/>
      <c r="K16" s="533"/>
      <c r="L16" s="533"/>
      <c r="M16" s="534"/>
      <c r="N16" s="529"/>
      <c r="O16" s="535"/>
      <c r="P16" s="537"/>
    </row>
    <row r="17" spans="1:16" ht="12.75">
      <c r="A17" s="525">
        <v>23</v>
      </c>
      <c r="B17" s="526" t="s">
        <v>608</v>
      </c>
      <c r="C17" s="504"/>
      <c r="D17" s="528"/>
      <c r="E17" s="529">
        <f>+C17-D17</f>
        <v>0</v>
      </c>
      <c r="F17" s="530"/>
      <c r="G17" s="533"/>
      <c r="H17" s="532">
        <f t="shared" si="0"/>
        <v>0</v>
      </c>
      <c r="I17" s="528"/>
      <c r="J17" s="533"/>
      <c r="K17" s="533"/>
      <c r="L17" s="533"/>
      <c r="M17" s="534"/>
      <c r="N17" s="529"/>
      <c r="O17" s="535"/>
      <c r="P17" s="537"/>
    </row>
    <row r="18" spans="1:16" ht="12.75">
      <c r="A18" s="525">
        <v>25</v>
      </c>
      <c r="B18" s="545" t="s">
        <v>609</v>
      </c>
      <c r="C18" s="536">
        <v>284400</v>
      </c>
      <c r="D18" s="528">
        <v>284400</v>
      </c>
      <c r="E18" s="529">
        <f>+C18-D18</f>
        <v>0</v>
      </c>
      <c r="F18" s="530"/>
      <c r="G18" s="533"/>
      <c r="H18" s="532">
        <f t="shared" si="0"/>
        <v>284400</v>
      </c>
      <c r="I18" s="528"/>
      <c r="J18" s="533"/>
      <c r="K18" s="533"/>
      <c r="L18" s="533"/>
      <c r="M18" s="534"/>
      <c r="N18" s="529"/>
      <c r="O18" s="535"/>
      <c r="P18" s="537"/>
    </row>
    <row r="19" spans="1:18" s="524" customFormat="1" ht="12.75">
      <c r="A19" s="538">
        <v>3</v>
      </c>
      <c r="B19" s="539" t="s">
        <v>610</v>
      </c>
      <c r="C19" s="540">
        <f>SUM(C20:C24)</f>
        <v>1148700</v>
      </c>
      <c r="D19" s="540">
        <f>SUM(D20:D24)</f>
        <v>405000</v>
      </c>
      <c r="E19" s="540">
        <f>SUM(E20:E24)</f>
        <v>743700</v>
      </c>
      <c r="F19" s="541">
        <f t="shared" si="2"/>
        <v>0.23627422616646496</v>
      </c>
      <c r="G19" s="542">
        <f>SUM(G20:G24)</f>
        <v>175717.142</v>
      </c>
      <c r="H19" s="521">
        <f t="shared" si="0"/>
        <v>1324417.142</v>
      </c>
      <c r="I19" s="540"/>
      <c r="J19" s="542"/>
      <c r="K19" s="542"/>
      <c r="L19" s="542"/>
      <c r="M19" s="543"/>
      <c r="N19" s="518"/>
      <c r="O19" s="535"/>
      <c r="P19" s="537"/>
      <c r="Q19" s="504"/>
      <c r="R19" s="504"/>
    </row>
    <row r="20" spans="1:16" ht="12.75">
      <c r="A20" s="525">
        <v>31</v>
      </c>
      <c r="B20" s="526" t="s">
        <v>159</v>
      </c>
      <c r="C20" s="536">
        <v>551600</v>
      </c>
      <c r="D20" s="528">
        <v>131000</v>
      </c>
      <c r="E20" s="529">
        <f>+C20-D20</f>
        <v>420600</v>
      </c>
      <c r="F20" s="530">
        <f t="shared" si="2"/>
        <v>0.2126533523537803</v>
      </c>
      <c r="G20" s="544">
        <v>89442</v>
      </c>
      <c r="H20" s="532">
        <f t="shared" si="0"/>
        <v>641042</v>
      </c>
      <c r="I20" s="528"/>
      <c r="J20" s="533"/>
      <c r="K20" s="533"/>
      <c r="L20" s="533"/>
      <c r="M20" s="534"/>
      <c r="N20" s="529"/>
      <c r="O20" s="542"/>
      <c r="P20" s="537"/>
    </row>
    <row r="21" spans="1:16" ht="12.75">
      <c r="A21" s="525">
        <v>35</v>
      </c>
      <c r="B21" s="526" t="s">
        <v>611</v>
      </c>
      <c r="C21" s="504"/>
      <c r="D21" s="528"/>
      <c r="E21" s="529">
        <f>+C21-D21</f>
        <v>0</v>
      </c>
      <c r="F21" s="530"/>
      <c r="H21" s="532">
        <f t="shared" si="0"/>
        <v>0</v>
      </c>
      <c r="I21" s="528"/>
      <c r="J21" s="533"/>
      <c r="K21" s="533"/>
      <c r="L21" s="533"/>
      <c r="M21" s="534"/>
      <c r="N21" s="529"/>
      <c r="O21" s="542"/>
      <c r="P21" s="537"/>
    </row>
    <row r="22" spans="1:16" ht="12.75">
      <c r="A22" s="525">
        <v>36</v>
      </c>
      <c r="B22" s="526" t="s">
        <v>612</v>
      </c>
      <c r="C22" s="536">
        <v>45600</v>
      </c>
      <c r="D22" s="528"/>
      <c r="E22" s="529">
        <f>+C22-D22</f>
        <v>45600</v>
      </c>
      <c r="F22" s="530">
        <f t="shared" si="2"/>
        <v>0.1999173245614035</v>
      </c>
      <c r="G22" s="531">
        <v>9116.23</v>
      </c>
      <c r="H22" s="532">
        <f t="shared" si="0"/>
        <v>54716.229999999996</v>
      </c>
      <c r="I22" s="528"/>
      <c r="J22" s="533"/>
      <c r="K22" s="533"/>
      <c r="L22" s="533"/>
      <c r="M22" s="534"/>
      <c r="N22" s="529"/>
      <c r="O22" s="542"/>
      <c r="P22" s="537"/>
    </row>
    <row r="23" spans="1:16" ht="12.75">
      <c r="A23" s="525">
        <v>38</v>
      </c>
      <c r="B23" s="526" t="s">
        <v>613</v>
      </c>
      <c r="C23" s="536">
        <v>206200</v>
      </c>
      <c r="D23" s="528"/>
      <c r="E23" s="529">
        <f>+C23-D23</f>
        <v>206200</v>
      </c>
      <c r="F23" s="530">
        <f t="shared" si="2"/>
        <v>0.3399947235693502</v>
      </c>
      <c r="G23" s="531">
        <v>70106.91200000001</v>
      </c>
      <c r="H23" s="532">
        <f t="shared" si="0"/>
        <v>276306.912</v>
      </c>
      <c r="I23" s="528"/>
      <c r="J23" s="533"/>
      <c r="K23" s="533"/>
      <c r="L23" s="533"/>
      <c r="M23" s="534"/>
      <c r="N23" s="529"/>
      <c r="O23" s="542"/>
      <c r="P23" s="537"/>
    </row>
    <row r="24" spans="1:16" ht="12.75">
      <c r="A24" s="525">
        <v>39</v>
      </c>
      <c r="B24" s="526" t="s">
        <v>614</v>
      </c>
      <c r="C24" s="536">
        <v>345300</v>
      </c>
      <c r="D24" s="528">
        <v>274000</v>
      </c>
      <c r="E24" s="529">
        <f>+C24-D24</f>
        <v>71300</v>
      </c>
      <c r="F24" s="530">
        <f t="shared" si="2"/>
        <v>0.09890603085553998</v>
      </c>
      <c r="G24" s="531">
        <v>7052</v>
      </c>
      <c r="H24" s="532">
        <f t="shared" si="0"/>
        <v>352352</v>
      </c>
      <c r="I24" s="528"/>
      <c r="J24" s="533"/>
      <c r="K24" s="533"/>
      <c r="L24" s="533"/>
      <c r="M24" s="534"/>
      <c r="N24" s="529"/>
      <c r="O24" s="542"/>
      <c r="P24" s="537"/>
    </row>
    <row r="25" spans="1:18" s="524" customFormat="1" ht="12.75">
      <c r="A25" s="538">
        <v>4</v>
      </c>
      <c r="B25" s="539" t="s">
        <v>615</v>
      </c>
      <c r="C25" s="540">
        <f>SUM(C26:C31)</f>
        <v>3305100</v>
      </c>
      <c r="D25" s="540">
        <f>SUM(D26:D31)</f>
        <v>527000</v>
      </c>
      <c r="E25" s="540">
        <f>SUM(E26:E31)</f>
        <v>2778100</v>
      </c>
      <c r="F25" s="541">
        <f t="shared" si="2"/>
        <v>0.19754713620388034</v>
      </c>
      <c r="G25" s="542">
        <f>SUM(G26:G31)</f>
        <v>548805.699088</v>
      </c>
      <c r="H25" s="521">
        <f t="shared" si="0"/>
        <v>3853905.6990879998</v>
      </c>
      <c r="I25" s="540"/>
      <c r="J25" s="542"/>
      <c r="K25" s="542"/>
      <c r="L25" s="542"/>
      <c r="M25" s="543"/>
      <c r="N25" s="518"/>
      <c r="O25" s="535"/>
      <c r="P25" s="537"/>
      <c r="Q25" s="504"/>
      <c r="R25" s="504"/>
    </row>
    <row r="26" spans="1:16" ht="12.75">
      <c r="A26" s="525">
        <v>41</v>
      </c>
      <c r="B26" s="526" t="s">
        <v>616</v>
      </c>
      <c r="C26" s="536">
        <v>423900</v>
      </c>
      <c r="D26" s="528">
        <v>107000</v>
      </c>
      <c r="E26" s="529">
        <f aca="true" t="shared" si="3" ref="E26:E31">+C26-D26</f>
        <v>316900</v>
      </c>
      <c r="F26" s="530">
        <f t="shared" si="2"/>
        <v>0.17889208835594822</v>
      </c>
      <c r="G26" s="544">
        <v>56690.90279999999</v>
      </c>
      <c r="H26" s="532">
        <f t="shared" si="0"/>
        <v>480590.9028</v>
      </c>
      <c r="I26" s="528"/>
      <c r="J26" s="533"/>
      <c r="K26" s="533"/>
      <c r="L26" s="533"/>
      <c r="M26" s="534"/>
      <c r="N26" s="529"/>
      <c r="O26" s="542"/>
      <c r="P26" s="537"/>
    </row>
    <row r="27" spans="1:16" ht="12.75">
      <c r="A27" s="525">
        <v>42</v>
      </c>
      <c r="B27" s="526" t="s">
        <v>617</v>
      </c>
      <c r="C27" s="504"/>
      <c r="D27" s="528"/>
      <c r="E27" s="529">
        <f t="shared" si="3"/>
        <v>0</v>
      </c>
      <c r="F27" s="530"/>
      <c r="H27" s="532">
        <f t="shared" si="0"/>
        <v>0</v>
      </c>
      <c r="I27" s="528"/>
      <c r="J27" s="533"/>
      <c r="K27" s="533"/>
      <c r="L27" s="533"/>
      <c r="M27" s="534"/>
      <c r="N27" s="529"/>
      <c r="O27" s="542"/>
      <c r="P27" s="537"/>
    </row>
    <row r="28" spans="1:16" ht="12.75">
      <c r="A28" s="525">
        <v>43</v>
      </c>
      <c r="B28" s="526" t="s">
        <v>618</v>
      </c>
      <c r="C28" s="536">
        <v>478800</v>
      </c>
      <c r="D28" s="528">
        <v>226000</v>
      </c>
      <c r="E28" s="529">
        <f t="shared" si="3"/>
        <v>252800</v>
      </c>
      <c r="F28" s="530">
        <f t="shared" si="2"/>
        <v>0.21218836044303796</v>
      </c>
      <c r="G28" s="531">
        <v>53641.21752</v>
      </c>
      <c r="H28" s="532">
        <f t="shared" si="0"/>
        <v>532441.21752</v>
      </c>
      <c r="I28" s="528"/>
      <c r="J28" s="533"/>
      <c r="K28" s="533"/>
      <c r="L28" s="533"/>
      <c r="M28" s="534"/>
      <c r="N28" s="529"/>
      <c r="O28" s="542"/>
      <c r="P28" s="537"/>
    </row>
    <row r="29" spans="1:16" ht="12.75">
      <c r="A29" s="525">
        <v>44</v>
      </c>
      <c r="B29" s="526" t="s">
        <v>619</v>
      </c>
      <c r="C29" s="536">
        <v>1346000</v>
      </c>
      <c r="D29" s="528">
        <v>55000</v>
      </c>
      <c r="E29" s="529">
        <f t="shared" si="3"/>
        <v>1291000</v>
      </c>
      <c r="F29" s="530">
        <f t="shared" si="2"/>
        <v>0.19579364304260263</v>
      </c>
      <c r="G29" s="531">
        <v>252769.593168</v>
      </c>
      <c r="H29" s="532">
        <f t="shared" si="0"/>
        <v>1598769.593168</v>
      </c>
      <c r="I29" s="528"/>
      <c r="J29" s="533"/>
      <c r="K29" s="533"/>
      <c r="L29" s="533"/>
      <c r="M29" s="534"/>
      <c r="N29" s="529"/>
      <c r="O29" s="542"/>
      <c r="P29" s="537"/>
    </row>
    <row r="30" spans="1:16" ht="12.75">
      <c r="A30" s="525">
        <v>45</v>
      </c>
      <c r="B30" s="526" t="s">
        <v>620</v>
      </c>
      <c r="C30" s="536">
        <v>1055100</v>
      </c>
      <c r="D30" s="528">
        <v>138000</v>
      </c>
      <c r="E30" s="529">
        <f t="shared" si="3"/>
        <v>917100</v>
      </c>
      <c r="F30" s="530">
        <f t="shared" si="2"/>
        <v>0.20249044335405086</v>
      </c>
      <c r="G30" s="531">
        <v>185703.98560000004</v>
      </c>
      <c r="H30" s="532">
        <f t="shared" si="0"/>
        <v>1240803.9856</v>
      </c>
      <c r="I30" s="528"/>
      <c r="J30" s="533"/>
      <c r="K30" s="533"/>
      <c r="L30" s="533"/>
      <c r="M30" s="534"/>
      <c r="N30" s="529"/>
      <c r="O30" s="542"/>
      <c r="P30" s="537"/>
    </row>
    <row r="31" spans="1:16" ht="12.75">
      <c r="A31" s="525">
        <v>46</v>
      </c>
      <c r="B31" s="526" t="s">
        <v>621</v>
      </c>
      <c r="C31" s="536">
        <v>1300</v>
      </c>
      <c r="D31" s="528">
        <v>1000</v>
      </c>
      <c r="E31" s="529">
        <f t="shared" si="3"/>
        <v>300</v>
      </c>
      <c r="F31" s="530">
        <f t="shared" si="2"/>
        <v>0</v>
      </c>
      <c r="G31" s="533"/>
      <c r="H31" s="532">
        <f t="shared" si="0"/>
        <v>1300</v>
      </c>
      <c r="I31" s="528"/>
      <c r="J31" s="533"/>
      <c r="K31" s="533"/>
      <c r="L31" s="533"/>
      <c r="M31" s="534"/>
      <c r="N31" s="529"/>
      <c r="O31" s="542"/>
      <c r="P31" s="537"/>
    </row>
    <row r="32" spans="1:18" s="524" customFormat="1" ht="12.75">
      <c r="A32" s="538">
        <v>5</v>
      </c>
      <c r="B32" s="539" t="s">
        <v>622</v>
      </c>
      <c r="C32" s="540">
        <f>SUM(C33:C40)</f>
        <v>1873585</v>
      </c>
      <c r="D32" s="540">
        <f>SUM(D33:D40)</f>
        <v>33400</v>
      </c>
      <c r="E32" s="540">
        <f>SUM(E33:E40)</f>
        <v>1840185</v>
      </c>
      <c r="F32" s="541">
        <f t="shared" si="2"/>
        <v>0.10188314990068933</v>
      </c>
      <c r="G32" s="542">
        <f>SUM(G33:G39)</f>
        <v>187483.8442</v>
      </c>
      <c r="H32" s="521">
        <f t="shared" si="0"/>
        <v>2061068.8442</v>
      </c>
      <c r="I32" s="540"/>
      <c r="J32" s="542"/>
      <c r="K32" s="542"/>
      <c r="L32" s="542"/>
      <c r="M32" s="543"/>
      <c r="N32" s="518"/>
      <c r="O32" s="535"/>
      <c r="P32" s="537"/>
      <c r="Q32" s="504"/>
      <c r="R32" s="504"/>
    </row>
    <row r="33" spans="1:16" ht="12.75">
      <c r="A33" s="525">
        <v>51</v>
      </c>
      <c r="B33" s="526" t="s">
        <v>623</v>
      </c>
      <c r="C33" s="536">
        <v>280385</v>
      </c>
      <c r="D33" s="528"/>
      <c r="E33" s="529">
        <f aca="true" t="shared" si="4" ref="E33:E40">+C33-D33</f>
        <v>280385</v>
      </c>
      <c r="F33" s="530">
        <f t="shared" si="2"/>
        <v>0.050000160493607004</v>
      </c>
      <c r="G33" s="544">
        <f>14019.295</f>
        <v>14019.295</v>
      </c>
      <c r="H33" s="532">
        <f t="shared" si="0"/>
        <v>294404.295</v>
      </c>
      <c r="I33" s="528"/>
      <c r="J33" s="533"/>
      <c r="K33" s="533"/>
      <c r="L33" s="533"/>
      <c r="M33" s="534"/>
      <c r="N33" s="529"/>
      <c r="O33" s="535"/>
      <c r="P33" s="537"/>
    </row>
    <row r="34" spans="1:16" ht="25.5">
      <c r="A34" s="525">
        <v>52</v>
      </c>
      <c r="B34" s="526" t="s">
        <v>624</v>
      </c>
      <c r="C34" s="536">
        <v>530100</v>
      </c>
      <c r="D34" s="528"/>
      <c r="E34" s="529">
        <f t="shared" si="4"/>
        <v>530100</v>
      </c>
      <c r="F34" s="530">
        <f t="shared" si="2"/>
        <v>0.10000234106772307</v>
      </c>
      <c r="G34" s="531">
        <v>53011.241</v>
      </c>
      <c r="H34" s="532">
        <f t="shared" si="0"/>
        <v>583111.241</v>
      </c>
      <c r="I34" s="528"/>
      <c r="J34" s="533"/>
      <c r="K34" s="533"/>
      <c r="L34" s="533"/>
      <c r="M34" s="534"/>
      <c r="N34" s="529"/>
      <c r="O34" s="535"/>
      <c r="P34" s="537"/>
    </row>
    <row r="35" spans="1:16" ht="25.5">
      <c r="A35" s="525">
        <v>53</v>
      </c>
      <c r="B35" s="526" t="s">
        <v>625</v>
      </c>
      <c r="C35" s="536">
        <v>329100</v>
      </c>
      <c r="D35" s="528"/>
      <c r="E35" s="529">
        <f t="shared" si="4"/>
        <v>329100</v>
      </c>
      <c r="F35" s="530">
        <f t="shared" si="2"/>
        <v>0.1599867906411425</v>
      </c>
      <c r="G35" s="531">
        <v>52651.652799999996</v>
      </c>
      <c r="H35" s="532">
        <f t="shared" si="0"/>
        <v>381751.6528</v>
      </c>
      <c r="I35" s="528"/>
      <c r="J35" s="533"/>
      <c r="K35" s="533"/>
      <c r="L35" s="533"/>
      <c r="M35" s="534"/>
      <c r="N35" s="529"/>
      <c r="O35" s="535"/>
      <c r="P35" s="537"/>
    </row>
    <row r="36" spans="1:16" ht="25.5">
      <c r="A36" s="525">
        <v>54</v>
      </c>
      <c r="B36" s="526" t="s">
        <v>626</v>
      </c>
      <c r="C36" s="536">
        <v>195800</v>
      </c>
      <c r="D36" s="528"/>
      <c r="E36" s="529">
        <f t="shared" si="4"/>
        <v>195800</v>
      </c>
      <c r="F36" s="530">
        <f t="shared" si="2"/>
        <v>0.1400165240040858</v>
      </c>
      <c r="G36" s="531">
        <v>27415.235399999998</v>
      </c>
      <c r="H36" s="532">
        <f t="shared" si="0"/>
        <v>223215.2354</v>
      </c>
      <c r="I36" s="528"/>
      <c r="J36" s="533"/>
      <c r="K36" s="533"/>
      <c r="L36" s="533"/>
      <c r="M36" s="534"/>
      <c r="N36" s="529"/>
      <c r="O36" s="535"/>
      <c r="P36" s="537"/>
    </row>
    <row r="37" spans="1:16" ht="25.5">
      <c r="A37" s="525">
        <v>55</v>
      </c>
      <c r="B37" s="526" t="s">
        <v>627</v>
      </c>
      <c r="C37" s="536">
        <v>179300</v>
      </c>
      <c r="D37" s="528"/>
      <c r="E37" s="529">
        <f t="shared" si="4"/>
        <v>179300</v>
      </c>
      <c r="F37" s="530">
        <f t="shared" si="2"/>
        <v>0.08001401003904071</v>
      </c>
      <c r="G37" s="531">
        <v>14346.511999999999</v>
      </c>
      <c r="H37" s="532">
        <f t="shared" si="0"/>
        <v>193646.512</v>
      </c>
      <c r="I37" s="528"/>
      <c r="J37" s="533"/>
      <c r="K37" s="533"/>
      <c r="L37" s="533"/>
      <c r="M37" s="534"/>
      <c r="N37" s="529"/>
      <c r="O37" s="535"/>
      <c r="P37" s="537"/>
    </row>
    <row r="38" spans="1:16" ht="12.75">
      <c r="A38" s="525">
        <v>56</v>
      </c>
      <c r="B38" s="526" t="s">
        <v>628</v>
      </c>
      <c r="C38" s="536">
        <v>325500</v>
      </c>
      <c r="D38" s="528"/>
      <c r="E38" s="529">
        <f t="shared" si="4"/>
        <v>325500</v>
      </c>
      <c r="F38" s="530">
        <f t="shared" si="2"/>
        <v>0.07999971735791091</v>
      </c>
      <c r="G38" s="531">
        <v>26039.908</v>
      </c>
      <c r="H38" s="532">
        <f t="shared" si="0"/>
        <v>351539.908</v>
      </c>
      <c r="I38" s="528"/>
      <c r="J38" s="533"/>
      <c r="K38" s="533"/>
      <c r="L38" s="533"/>
      <c r="M38" s="534"/>
      <c r="N38" s="529"/>
      <c r="O38" s="535"/>
      <c r="P38" s="537"/>
    </row>
    <row r="39" spans="1:16" ht="12.75">
      <c r="A39" s="525">
        <v>57</v>
      </c>
      <c r="B39" s="526" t="s">
        <v>629</v>
      </c>
      <c r="C39" s="528"/>
      <c r="D39" s="528"/>
      <c r="E39" s="529">
        <f t="shared" si="4"/>
        <v>0</v>
      </c>
      <c r="F39" s="530"/>
      <c r="G39" s="533"/>
      <c r="H39" s="532">
        <f t="shared" si="0"/>
        <v>0</v>
      </c>
      <c r="I39" s="528"/>
      <c r="J39" s="533"/>
      <c r="K39" s="533"/>
      <c r="L39" s="533"/>
      <c r="M39" s="534"/>
      <c r="N39" s="529"/>
      <c r="O39" s="535"/>
      <c r="P39" s="537"/>
    </row>
    <row r="40" spans="1:16" ht="12.75">
      <c r="A40" s="525">
        <v>58</v>
      </c>
      <c r="B40" s="504" t="s">
        <v>650</v>
      </c>
      <c r="C40" s="536">
        <v>33400</v>
      </c>
      <c r="D40" s="528">
        <v>33400</v>
      </c>
      <c r="E40" s="529">
        <f t="shared" si="4"/>
        <v>0</v>
      </c>
      <c r="F40" s="530"/>
      <c r="G40" s="536"/>
      <c r="H40" s="532">
        <f t="shared" si="0"/>
        <v>33400</v>
      </c>
      <c r="I40" s="528"/>
      <c r="J40" s="533"/>
      <c r="K40" s="533"/>
      <c r="L40" s="533"/>
      <c r="M40" s="534"/>
      <c r="N40" s="529"/>
      <c r="O40" s="535"/>
      <c r="P40" s="537"/>
    </row>
    <row r="41" spans="1:18" s="524" customFormat="1" ht="12.75">
      <c r="A41" s="538">
        <v>6</v>
      </c>
      <c r="B41" s="539" t="s">
        <v>630</v>
      </c>
      <c r="C41" s="540">
        <f>SUM(C42:C46)</f>
        <v>678200</v>
      </c>
      <c r="D41" s="540">
        <f>SUM(D42:D46)</f>
        <v>24000</v>
      </c>
      <c r="E41" s="540">
        <f>SUM(E42:E46)</f>
        <v>654200</v>
      </c>
      <c r="F41" s="541">
        <f t="shared" si="2"/>
        <v>0.20000267196575974</v>
      </c>
      <c r="G41" s="542">
        <f>SUM(G42:G46)</f>
        <v>130841.74800000002</v>
      </c>
      <c r="H41" s="521">
        <f t="shared" si="0"/>
        <v>809041.748</v>
      </c>
      <c r="I41" s="540"/>
      <c r="J41" s="542"/>
      <c r="K41" s="542"/>
      <c r="L41" s="542"/>
      <c r="M41" s="543"/>
      <c r="N41" s="518"/>
      <c r="O41" s="535"/>
      <c r="P41" s="537"/>
      <c r="Q41" s="504"/>
      <c r="R41" s="504"/>
    </row>
    <row r="42" spans="1:16" ht="12.75">
      <c r="A42" s="525">
        <v>61</v>
      </c>
      <c r="B42" s="526" t="s">
        <v>631</v>
      </c>
      <c r="C42" s="536">
        <v>92300</v>
      </c>
      <c r="D42" s="528">
        <v>15000</v>
      </c>
      <c r="E42" s="529">
        <f>+C42-D42</f>
        <v>77300</v>
      </c>
      <c r="F42" s="530">
        <f t="shared" si="2"/>
        <v>0.23873681759379042</v>
      </c>
      <c r="G42" s="544">
        <v>18454.356</v>
      </c>
      <c r="H42" s="532">
        <f t="shared" si="0"/>
        <v>110754.356</v>
      </c>
      <c r="I42" s="528"/>
      <c r="J42" s="533"/>
      <c r="K42" s="533"/>
      <c r="L42" s="533"/>
      <c r="M42" s="534"/>
      <c r="N42" s="529"/>
      <c r="O42" s="542"/>
      <c r="P42" s="537"/>
    </row>
    <row r="43" spans="1:16" ht="12.75">
      <c r="A43" s="525">
        <v>62</v>
      </c>
      <c r="B43" s="526" t="s">
        <v>632</v>
      </c>
      <c r="C43" s="536">
        <v>455000</v>
      </c>
      <c r="D43" s="528"/>
      <c r="E43" s="529">
        <f>+C43-D43</f>
        <v>455000</v>
      </c>
      <c r="F43" s="530">
        <f t="shared" si="2"/>
        <v>0.20001452307692313</v>
      </c>
      <c r="G43" s="531">
        <v>91006.60800000002</v>
      </c>
      <c r="H43" s="532">
        <f t="shared" si="0"/>
        <v>546006.608</v>
      </c>
      <c r="I43" s="528"/>
      <c r="J43" s="533"/>
      <c r="K43" s="533"/>
      <c r="L43" s="533"/>
      <c r="M43" s="534"/>
      <c r="N43" s="529"/>
      <c r="O43" s="535"/>
      <c r="P43" s="537"/>
    </row>
    <row r="44" spans="1:16" ht="12.75">
      <c r="A44" s="525">
        <v>63</v>
      </c>
      <c r="B44" s="526" t="s">
        <v>633</v>
      </c>
      <c r="C44" s="536">
        <v>106900</v>
      </c>
      <c r="D44" s="528">
        <v>9000</v>
      </c>
      <c r="E44" s="529">
        <f>+C44-D44</f>
        <v>97900</v>
      </c>
      <c r="F44" s="530">
        <f t="shared" si="2"/>
        <v>0.2183941164453524</v>
      </c>
      <c r="G44" s="531">
        <v>21380.784</v>
      </c>
      <c r="H44" s="532">
        <f t="shared" si="0"/>
        <v>128280.784</v>
      </c>
      <c r="I44" s="528"/>
      <c r="J44" s="533"/>
      <c r="K44" s="533"/>
      <c r="L44" s="533"/>
      <c r="M44" s="534"/>
      <c r="N44" s="529"/>
      <c r="O44" s="542"/>
      <c r="P44" s="537"/>
    </row>
    <row r="45" spans="1:16" ht="12.75">
      <c r="A45" s="525">
        <v>64</v>
      </c>
      <c r="B45" s="526" t="s">
        <v>634</v>
      </c>
      <c r="C45" s="504"/>
      <c r="D45" s="528"/>
      <c r="E45" s="529">
        <f>+C45-D45</f>
        <v>0</v>
      </c>
      <c r="F45" s="530"/>
      <c r="G45" s="533"/>
      <c r="H45" s="532">
        <f t="shared" si="0"/>
        <v>0</v>
      </c>
      <c r="I45" s="528"/>
      <c r="J45" s="533"/>
      <c r="K45" s="533"/>
      <c r="L45" s="533"/>
      <c r="M45" s="534"/>
      <c r="N45" s="529"/>
      <c r="O45" s="542"/>
      <c r="P45" s="537"/>
    </row>
    <row r="46" spans="1:16" ht="12.75">
      <c r="A46" s="525">
        <v>65</v>
      </c>
      <c r="B46" s="526" t="s">
        <v>635</v>
      </c>
      <c r="C46" s="536">
        <v>24000</v>
      </c>
      <c r="D46" s="528"/>
      <c r="E46" s="529">
        <f>+C46-D46</f>
        <v>24000</v>
      </c>
      <c r="F46" s="530">
        <f t="shared" si="2"/>
        <v>0</v>
      </c>
      <c r="G46" s="533"/>
      <c r="H46" s="532">
        <f t="shared" si="0"/>
        <v>24000</v>
      </c>
      <c r="I46" s="528"/>
      <c r="J46" s="533"/>
      <c r="K46" s="533"/>
      <c r="L46" s="533"/>
      <c r="M46" s="534"/>
      <c r="N46" s="529"/>
      <c r="O46" s="535"/>
      <c r="P46" s="537"/>
    </row>
    <row r="47" spans="1:18" s="524" customFormat="1" ht="12.75">
      <c r="A47" s="538">
        <v>7</v>
      </c>
      <c r="B47" s="539" t="s">
        <v>636</v>
      </c>
      <c r="C47" s="540">
        <f>SUM(C48:C53)</f>
        <v>4555200</v>
      </c>
      <c r="D47" s="540">
        <f>SUM(D48:D53)</f>
        <v>900200</v>
      </c>
      <c r="E47" s="540">
        <f>SUM(E48:E53)</f>
        <v>3655000</v>
      </c>
      <c r="F47" s="541">
        <f t="shared" si="2"/>
        <v>0.21700317173187408</v>
      </c>
      <c r="G47" s="542">
        <f>SUM(G48:G53)</f>
        <v>793146.5926799998</v>
      </c>
      <c r="H47" s="521">
        <f t="shared" si="0"/>
        <v>5348346.59268</v>
      </c>
      <c r="I47" s="540"/>
      <c r="J47" s="542"/>
      <c r="K47" s="542"/>
      <c r="L47" s="542"/>
      <c r="M47" s="543"/>
      <c r="N47" s="518"/>
      <c r="O47" s="535"/>
      <c r="P47" s="537"/>
      <c r="Q47" s="504"/>
      <c r="R47" s="504"/>
    </row>
    <row r="48" spans="1:16" ht="12.75">
      <c r="A48" s="525">
        <v>71</v>
      </c>
      <c r="B48" s="526" t="s">
        <v>637</v>
      </c>
      <c r="C48" s="536">
        <v>32200</v>
      </c>
      <c r="D48" s="528">
        <v>32200</v>
      </c>
      <c r="E48" s="529">
        <f aca="true" t="shared" si="5" ref="E48:E53">+C48-D48</f>
        <v>0</v>
      </c>
      <c r="F48" s="530"/>
      <c r="G48" s="544">
        <v>0</v>
      </c>
      <c r="H48" s="532">
        <f t="shared" si="0"/>
        <v>32200</v>
      </c>
      <c r="I48" s="528"/>
      <c r="J48" s="533"/>
      <c r="K48" s="533"/>
      <c r="L48" s="533"/>
      <c r="M48" s="534"/>
      <c r="N48" s="529"/>
      <c r="O48" s="542"/>
      <c r="P48" s="537"/>
    </row>
    <row r="49" spans="1:16" ht="12.75">
      <c r="A49" s="525">
        <v>72</v>
      </c>
      <c r="B49" s="526" t="s">
        <v>638</v>
      </c>
      <c r="C49" s="536">
        <v>9100</v>
      </c>
      <c r="D49" s="528">
        <v>0</v>
      </c>
      <c r="E49" s="529">
        <f t="shared" si="5"/>
        <v>9100</v>
      </c>
      <c r="F49" s="530">
        <f t="shared" si="2"/>
        <v>0.09997714285714288</v>
      </c>
      <c r="G49" s="531">
        <v>909.7920000000001</v>
      </c>
      <c r="H49" s="532">
        <f t="shared" si="0"/>
        <v>10009.792</v>
      </c>
      <c r="I49" s="528"/>
      <c r="J49" s="533"/>
      <c r="K49" s="533"/>
      <c r="L49" s="533"/>
      <c r="M49" s="534"/>
      <c r="N49" s="529"/>
      <c r="O49" s="542"/>
      <c r="P49" s="537"/>
    </row>
    <row r="50" spans="1:16" ht="12.75">
      <c r="A50" s="525">
        <v>73</v>
      </c>
      <c r="B50" s="526" t="s">
        <v>639</v>
      </c>
      <c r="C50" s="536">
        <v>109100</v>
      </c>
      <c r="D50" s="528">
        <v>73000</v>
      </c>
      <c r="E50" s="529">
        <f t="shared" si="5"/>
        <v>36100</v>
      </c>
      <c r="F50" s="530">
        <f t="shared" si="2"/>
        <v>0.10092904321329639</v>
      </c>
      <c r="G50" s="531">
        <v>3643.5384599999998</v>
      </c>
      <c r="H50" s="532">
        <f t="shared" si="0"/>
        <v>112743.53846</v>
      </c>
      <c r="I50" s="528"/>
      <c r="J50" s="533"/>
      <c r="K50" s="533"/>
      <c r="L50" s="533"/>
      <c r="M50" s="534"/>
      <c r="N50" s="529"/>
      <c r="O50" s="542"/>
      <c r="P50" s="537"/>
    </row>
    <row r="51" spans="1:16" ht="12.75">
      <c r="A51" s="525">
        <v>74</v>
      </c>
      <c r="B51" s="526" t="s">
        <v>640</v>
      </c>
      <c r="C51" s="536">
        <v>1753200</v>
      </c>
      <c r="D51" s="528">
        <v>795000</v>
      </c>
      <c r="E51" s="529">
        <f t="shared" si="5"/>
        <v>958200</v>
      </c>
      <c r="F51" s="530">
        <f t="shared" si="2"/>
        <v>0.15223692154038818</v>
      </c>
      <c r="G51" s="531">
        <v>145873.41821999996</v>
      </c>
      <c r="H51" s="532">
        <f t="shared" si="0"/>
        <v>1899073.4182199999</v>
      </c>
      <c r="I51" s="528"/>
      <c r="J51" s="533"/>
      <c r="K51" s="533"/>
      <c r="L51" s="533"/>
      <c r="M51" s="534"/>
      <c r="N51" s="529"/>
      <c r="O51" s="535"/>
      <c r="P51" s="537"/>
    </row>
    <row r="52" spans="1:16" ht="12.75">
      <c r="A52" s="525">
        <v>75</v>
      </c>
      <c r="B52" s="526" t="s">
        <v>641</v>
      </c>
      <c r="C52" s="536">
        <v>2413800</v>
      </c>
      <c r="D52" s="528"/>
      <c r="E52" s="529">
        <f t="shared" si="5"/>
        <v>2413800</v>
      </c>
      <c r="F52" s="530">
        <f t="shared" si="2"/>
        <v>0.24262697091722585</v>
      </c>
      <c r="G52" s="531">
        <v>585652.9823999997</v>
      </c>
      <c r="H52" s="532">
        <f t="shared" si="0"/>
        <v>2999452.9823999996</v>
      </c>
      <c r="I52" s="528"/>
      <c r="J52" s="533"/>
      <c r="K52" s="533"/>
      <c r="L52" s="376"/>
      <c r="M52" s="376"/>
      <c r="N52" s="376"/>
      <c r="O52" s="376"/>
      <c r="P52" s="376"/>
    </row>
    <row r="53" spans="1:16" ht="12.75">
      <c r="A53" s="525">
        <v>76</v>
      </c>
      <c r="B53" s="526" t="s">
        <v>603</v>
      </c>
      <c r="C53" s="536">
        <v>237800</v>
      </c>
      <c r="D53" s="528"/>
      <c r="E53" s="529">
        <f t="shared" si="5"/>
        <v>237800</v>
      </c>
      <c r="F53" s="530">
        <f t="shared" si="2"/>
        <v>0.23997839192598824</v>
      </c>
      <c r="G53" s="531">
        <v>57066.861600000004</v>
      </c>
      <c r="H53" s="532">
        <f t="shared" si="0"/>
        <v>294866.8616</v>
      </c>
      <c r="I53" s="528"/>
      <c r="J53" s="533"/>
      <c r="K53" s="533"/>
      <c r="L53" s="376"/>
      <c r="M53" s="376"/>
      <c r="N53" s="376"/>
      <c r="O53" s="376"/>
      <c r="P53" s="376"/>
    </row>
    <row r="54" spans="1:18" s="524" customFormat="1" ht="12.75">
      <c r="A54" s="538">
        <v>8</v>
      </c>
      <c r="B54" s="539" t="s">
        <v>642</v>
      </c>
      <c r="C54" s="540">
        <f>SUM(C55:C60)</f>
        <v>12633000</v>
      </c>
      <c r="D54" s="540">
        <f>SUM(D55:D60)</f>
        <v>6349900</v>
      </c>
      <c r="E54" s="540">
        <f>SUM(E55:E60)</f>
        <v>6283100</v>
      </c>
      <c r="F54" s="541">
        <f t="shared" si="2"/>
        <v>0.13306735425188204</v>
      </c>
      <c r="G54" s="542">
        <f>SUM(G55:G60)</f>
        <v>836075.4935000001</v>
      </c>
      <c r="H54" s="521">
        <f t="shared" si="0"/>
        <v>13469075.4935</v>
      </c>
      <c r="I54" s="540"/>
      <c r="J54" s="542"/>
      <c r="K54" s="542"/>
      <c r="L54" s="542"/>
      <c r="M54" s="543"/>
      <c r="N54" s="528"/>
      <c r="O54" s="535"/>
      <c r="P54" s="537"/>
      <c r="Q54" s="504"/>
      <c r="R54" s="504"/>
    </row>
    <row r="55" spans="1:16" ht="12.75">
      <c r="A55" s="525">
        <v>81</v>
      </c>
      <c r="B55" s="526" t="s">
        <v>643</v>
      </c>
      <c r="C55" s="536">
        <v>4452900</v>
      </c>
      <c r="D55" s="528">
        <v>2209000</v>
      </c>
      <c r="E55" s="529">
        <f aca="true" t="shared" si="6" ref="E55:E60">+C55-D55</f>
        <v>2243900</v>
      </c>
      <c r="F55" s="530">
        <f t="shared" si="2"/>
        <v>0.11088740741566024</v>
      </c>
      <c r="G55" s="544">
        <f>112320.2535+136500</f>
        <v>248820.2535</v>
      </c>
      <c r="H55" s="532">
        <f t="shared" si="0"/>
        <v>4701720.2535</v>
      </c>
      <c r="I55" s="528"/>
      <c r="J55" s="533"/>
      <c r="K55" s="533"/>
      <c r="L55" s="533"/>
      <c r="M55" s="534"/>
      <c r="N55" s="528"/>
      <c r="O55" s="535"/>
      <c r="P55" s="537"/>
    </row>
    <row r="56" spans="1:16" ht="12.75">
      <c r="A56" s="525">
        <v>82</v>
      </c>
      <c r="B56" s="526" t="s">
        <v>644</v>
      </c>
      <c r="C56" s="536">
        <v>4904100</v>
      </c>
      <c r="D56" s="528">
        <v>2891000</v>
      </c>
      <c r="E56" s="529">
        <f t="shared" si="6"/>
        <v>2013100</v>
      </c>
      <c r="F56" s="530">
        <f t="shared" si="2"/>
        <v>0.09605434404649546</v>
      </c>
      <c r="G56" s="531">
        <v>193367</v>
      </c>
      <c r="H56" s="532">
        <f t="shared" si="0"/>
        <v>5097467</v>
      </c>
      <c r="I56" s="528"/>
      <c r="J56" s="533"/>
      <c r="K56" s="533"/>
      <c r="L56" s="546"/>
      <c r="M56" s="534"/>
      <c r="N56" s="528"/>
      <c r="O56" s="535"/>
      <c r="P56" s="537"/>
    </row>
    <row r="57" spans="1:16" ht="25.5">
      <c r="A57" s="525">
        <v>83</v>
      </c>
      <c r="B57" s="526" t="s">
        <v>645</v>
      </c>
      <c r="D57" s="528"/>
      <c r="E57" s="529">
        <f t="shared" si="6"/>
        <v>0</v>
      </c>
      <c r="F57" s="530"/>
      <c r="G57" s="533"/>
      <c r="H57" s="532">
        <f t="shared" si="0"/>
        <v>0</v>
      </c>
      <c r="I57" s="528"/>
      <c r="J57" s="533"/>
      <c r="K57" s="533"/>
      <c r="L57" s="533"/>
      <c r="M57" s="534"/>
      <c r="N57" s="528"/>
      <c r="O57" s="535"/>
      <c r="P57" s="537"/>
    </row>
    <row r="58" spans="1:16" ht="12.75">
      <c r="A58" s="525">
        <v>84</v>
      </c>
      <c r="B58" s="526" t="s">
        <v>646</v>
      </c>
      <c r="C58" s="536">
        <v>469900</v>
      </c>
      <c r="D58" s="528">
        <v>469900</v>
      </c>
      <c r="E58" s="529">
        <f t="shared" si="6"/>
        <v>0</v>
      </c>
      <c r="F58" s="530"/>
      <c r="G58" s="533"/>
      <c r="H58" s="532">
        <f t="shared" si="0"/>
        <v>469900</v>
      </c>
      <c r="I58" s="528"/>
      <c r="J58" s="533"/>
      <c r="K58" s="533"/>
      <c r="L58" s="533"/>
      <c r="M58" s="534"/>
      <c r="N58" s="528"/>
      <c r="O58" s="535"/>
      <c r="P58" s="537"/>
    </row>
    <row r="59" spans="1:16" ht="12.75">
      <c r="A59" s="525">
        <v>85</v>
      </c>
      <c r="B59" s="526" t="s">
        <v>647</v>
      </c>
      <c r="C59" s="536">
        <v>1197700</v>
      </c>
      <c r="D59" s="528">
        <v>0</v>
      </c>
      <c r="E59" s="529">
        <f t="shared" si="6"/>
        <v>1197700</v>
      </c>
      <c r="F59" s="530">
        <f t="shared" si="2"/>
        <v>0.2596638548885364</v>
      </c>
      <c r="G59" s="531">
        <v>310999.39900000003</v>
      </c>
      <c r="H59" s="532">
        <f t="shared" si="0"/>
        <v>1508699.399</v>
      </c>
      <c r="I59" s="528"/>
      <c r="J59" s="533"/>
      <c r="K59" s="533"/>
      <c r="L59" s="533"/>
      <c r="M59" s="534"/>
      <c r="N59" s="528"/>
      <c r="O59" s="535"/>
      <c r="P59" s="537"/>
    </row>
    <row r="60" spans="1:16" s="524" customFormat="1" ht="13.5" thickBot="1">
      <c r="A60" s="547" t="s">
        <v>648</v>
      </c>
      <c r="B60" s="548" t="s">
        <v>649</v>
      </c>
      <c r="C60" s="536">
        <v>1608400</v>
      </c>
      <c r="D60" s="549">
        <v>780000</v>
      </c>
      <c r="E60" s="529">
        <f t="shared" si="6"/>
        <v>828400</v>
      </c>
      <c r="F60" s="530">
        <f t="shared" si="2"/>
        <v>0.10005895823273779</v>
      </c>
      <c r="G60" s="544">
        <v>82888.84099999999</v>
      </c>
      <c r="H60" s="532">
        <f t="shared" si="0"/>
        <v>1691288.841</v>
      </c>
      <c r="I60" s="549"/>
      <c r="J60" s="550"/>
      <c r="K60" s="550"/>
      <c r="L60" s="550"/>
      <c r="M60" s="551"/>
      <c r="N60" s="552"/>
      <c r="O60" s="553"/>
      <c r="P60" s="554"/>
    </row>
    <row r="61" spans="1:16" s="563" customFormat="1" ht="14.25" thickBot="1" thickTop="1">
      <c r="A61" s="555"/>
      <c r="B61" s="556" t="s">
        <v>140</v>
      </c>
      <c r="C61" s="557">
        <f>SUM(C54,C47,C41,C32,C25,C19,C14,C4)</f>
        <v>82713185</v>
      </c>
      <c r="D61" s="557">
        <f>SUM(D54,D47,D41,D32,D25,D19,D14,D4)</f>
        <v>38313900</v>
      </c>
      <c r="E61" s="557">
        <f>SUM(E54,E47,E41,E32,E25,E19,E14,E4)</f>
        <v>44399285</v>
      </c>
      <c r="F61" s="558">
        <f>G61/E61</f>
        <v>0.21650065929368006</v>
      </c>
      <c r="G61" s="559">
        <f>G54+G47+G41+G32+G25+G14+G19+G4</f>
        <v>9612474.474668</v>
      </c>
      <c r="H61" s="560">
        <f>H54+H47+H41+H32+H25+H14+H19+H4</f>
        <v>92325659.474668</v>
      </c>
      <c r="I61" s="557"/>
      <c r="J61" s="559"/>
      <c r="K61" s="559"/>
      <c r="L61" s="559"/>
      <c r="M61" s="560">
        <f>M54+M47+M41+M32+M25+M14+M19+M4</f>
        <v>0</v>
      </c>
      <c r="N61" s="557">
        <f>M61-H61</f>
        <v>-92325659.474668</v>
      </c>
      <c r="O61" s="561"/>
      <c r="P61" s="562"/>
    </row>
    <row r="62" spans="2:16" ht="12.75">
      <c r="B62" s="565" t="s">
        <v>132</v>
      </c>
      <c r="C62" s="566">
        <v>75000</v>
      </c>
      <c r="D62" s="566"/>
      <c r="E62" s="566"/>
      <c r="F62" s="567"/>
      <c r="G62" s="566"/>
      <c r="H62" s="568">
        <v>75000</v>
      </c>
      <c r="I62" s="566"/>
      <c r="J62" s="566"/>
      <c r="K62" s="566"/>
      <c r="L62" s="566"/>
      <c r="N62" s="566"/>
      <c r="O62" s="569"/>
      <c r="P62" s="570"/>
    </row>
    <row r="63" spans="2:8" ht="18.75">
      <c r="B63" s="565"/>
      <c r="C63" s="571">
        <f>SUM(C61:C62)</f>
        <v>82788185</v>
      </c>
      <c r="H63" s="571">
        <f>SUM(H61:H62)</f>
        <v>92400659.474668</v>
      </c>
    </row>
    <row r="64" ht="12.75">
      <c r="B64" s="565"/>
    </row>
    <row r="67" ht="12.75">
      <c r="T67" s="504" t="s">
        <v>156</v>
      </c>
    </row>
    <row r="69" spans="18:21" ht="12.75">
      <c r="R69" s="504" t="s">
        <v>114</v>
      </c>
      <c r="T69" s="504">
        <v>9439.3</v>
      </c>
      <c r="U69" s="536">
        <v>9439300</v>
      </c>
    </row>
    <row r="70" spans="18:21" ht="12.75">
      <c r="R70" s="504" t="s">
        <v>115</v>
      </c>
      <c r="T70" s="504">
        <v>4831</v>
      </c>
      <c r="U70" s="536">
        <v>4831000</v>
      </c>
    </row>
    <row r="71" spans="18:21" ht="12.75">
      <c r="R71" s="504" t="s">
        <v>116</v>
      </c>
      <c r="T71" s="504">
        <v>31355.9</v>
      </c>
      <c r="U71" s="536">
        <v>31355900</v>
      </c>
    </row>
    <row r="72" spans="18:21" ht="12.75">
      <c r="R72" s="504" t="s">
        <v>117</v>
      </c>
      <c r="T72" s="504">
        <v>1386.2</v>
      </c>
      <c r="U72" s="536">
        <v>1386200</v>
      </c>
    </row>
    <row r="73" spans="18:21" ht="12.75">
      <c r="R73" s="504" t="s">
        <v>118</v>
      </c>
      <c r="T73" s="504">
        <v>1135</v>
      </c>
      <c r="U73" s="536">
        <v>1135000</v>
      </c>
    </row>
    <row r="74" spans="18:21" ht="12.75">
      <c r="R74" s="504" t="s">
        <v>566</v>
      </c>
      <c r="T74" s="504">
        <v>1532.9</v>
      </c>
      <c r="U74" s="536">
        <v>1532900</v>
      </c>
    </row>
    <row r="75" spans="18:21" ht="12.75">
      <c r="R75" s="504" t="s">
        <v>119</v>
      </c>
      <c r="T75" s="504">
        <v>5280.8</v>
      </c>
      <c r="U75" s="536">
        <v>5280800</v>
      </c>
    </row>
    <row r="76" spans="18:21" ht="12.75">
      <c r="R76" s="504" t="s">
        <v>120</v>
      </c>
      <c r="T76" s="504">
        <v>2767</v>
      </c>
      <c r="U76" s="536">
        <v>2767000</v>
      </c>
    </row>
    <row r="77" spans="18:21" ht="12.75">
      <c r="R77" s="504" t="s">
        <v>121</v>
      </c>
      <c r="T77" s="504">
        <v>88.1</v>
      </c>
      <c r="U77" s="536">
        <v>88100</v>
      </c>
    </row>
    <row r="78" spans="18:21" ht="12.75">
      <c r="R78" s="504" t="s">
        <v>567</v>
      </c>
      <c r="T78" s="504">
        <v>418.8</v>
      </c>
      <c r="U78" s="536">
        <v>418800</v>
      </c>
    </row>
    <row r="79" spans="18:21" ht="12.75">
      <c r="R79" s="504" t="s">
        <v>568</v>
      </c>
      <c r="T79" s="504">
        <v>284.4</v>
      </c>
      <c r="U79" s="536">
        <v>284400</v>
      </c>
    </row>
    <row r="80" spans="18:21" ht="12.75">
      <c r="R80" s="504" t="s">
        <v>122</v>
      </c>
      <c r="T80" s="504">
        <v>551.6</v>
      </c>
      <c r="U80" s="536">
        <v>551600</v>
      </c>
    </row>
    <row r="81" spans="18:21" ht="12.75">
      <c r="R81" s="504" t="s">
        <v>569</v>
      </c>
      <c r="T81" s="504">
        <v>45.6</v>
      </c>
      <c r="U81" s="536">
        <v>45600</v>
      </c>
    </row>
    <row r="82" spans="18:21" ht="12.75">
      <c r="R82" s="504" t="s">
        <v>570</v>
      </c>
      <c r="T82" s="504">
        <v>206.2</v>
      </c>
      <c r="U82" s="536">
        <v>206200</v>
      </c>
    </row>
    <row r="83" spans="18:21" ht="12.75">
      <c r="R83" s="504" t="s">
        <v>123</v>
      </c>
      <c r="T83" s="504">
        <v>345.3</v>
      </c>
      <c r="U83" s="536">
        <v>345300</v>
      </c>
    </row>
    <row r="84" spans="18:21" ht="12.75">
      <c r="R84" s="504" t="s">
        <v>124</v>
      </c>
      <c r="T84" s="504">
        <v>423.9</v>
      </c>
      <c r="U84" s="536">
        <v>423900</v>
      </c>
    </row>
    <row r="85" spans="18:21" ht="12.75">
      <c r="R85" s="504" t="s">
        <v>125</v>
      </c>
      <c r="T85" s="504">
        <v>478.8</v>
      </c>
      <c r="U85" s="536">
        <v>478800</v>
      </c>
    </row>
    <row r="86" spans="18:21" ht="12.75">
      <c r="R86" s="504" t="s">
        <v>493</v>
      </c>
      <c r="T86" s="504">
        <v>1346</v>
      </c>
      <c r="U86" s="536">
        <v>1346000</v>
      </c>
    </row>
    <row r="87" spans="18:21" ht="12.75">
      <c r="R87" s="504" t="s">
        <v>494</v>
      </c>
      <c r="T87" s="504">
        <v>1055.1</v>
      </c>
      <c r="U87" s="536">
        <v>1055100</v>
      </c>
    </row>
    <row r="88" spans="18:21" ht="12.75">
      <c r="R88" s="504" t="s">
        <v>495</v>
      </c>
      <c r="T88" s="504">
        <v>1.3</v>
      </c>
      <c r="U88" s="536">
        <v>1300</v>
      </c>
    </row>
    <row r="89" spans="18:21" ht="12.75">
      <c r="R89" s="504" t="s">
        <v>496</v>
      </c>
      <c r="T89" s="504">
        <v>308.3</v>
      </c>
      <c r="U89" s="536">
        <v>308300</v>
      </c>
    </row>
    <row r="90" spans="18:21" ht="12.75">
      <c r="R90" s="504" t="s">
        <v>497</v>
      </c>
      <c r="T90" s="504">
        <v>530.1</v>
      </c>
      <c r="U90" s="536">
        <v>530100</v>
      </c>
    </row>
    <row r="91" spans="18:21" ht="12.75">
      <c r="R91" s="504" t="s">
        <v>498</v>
      </c>
      <c r="T91" s="504">
        <v>329.1</v>
      </c>
      <c r="U91" s="536">
        <v>329100</v>
      </c>
    </row>
    <row r="92" spans="18:21" ht="12.75">
      <c r="R92" s="504" t="s">
        <v>499</v>
      </c>
      <c r="T92" s="504">
        <v>195.8</v>
      </c>
      <c r="U92" s="536">
        <v>195800</v>
      </c>
    </row>
    <row r="93" spans="18:21" ht="12.75">
      <c r="R93" s="504" t="s">
        <v>500</v>
      </c>
      <c r="T93" s="504">
        <v>179.3</v>
      </c>
      <c r="U93" s="536">
        <v>179300</v>
      </c>
    </row>
    <row r="94" spans="18:21" ht="12.75">
      <c r="R94" s="504" t="s">
        <v>501</v>
      </c>
      <c r="T94" s="504">
        <v>325.5</v>
      </c>
      <c r="U94" s="536">
        <v>325500</v>
      </c>
    </row>
    <row r="95" spans="18:21" ht="12.75">
      <c r="R95" s="504" t="s">
        <v>502</v>
      </c>
      <c r="T95" s="504">
        <v>5.5</v>
      </c>
      <c r="U95" s="536">
        <v>5500</v>
      </c>
    </row>
    <row r="96" spans="18:21" ht="12.75">
      <c r="R96" s="504" t="s">
        <v>126</v>
      </c>
      <c r="T96" s="504">
        <v>92.3</v>
      </c>
      <c r="U96" s="536">
        <v>92300</v>
      </c>
    </row>
    <row r="97" spans="18:21" ht="12.75">
      <c r="R97" s="504" t="s">
        <v>127</v>
      </c>
      <c r="T97" s="504">
        <v>455</v>
      </c>
      <c r="U97" s="536">
        <v>455000</v>
      </c>
    </row>
    <row r="98" spans="18:21" ht="12.75">
      <c r="R98" s="504" t="s">
        <v>128</v>
      </c>
      <c r="T98" s="504">
        <v>106.9</v>
      </c>
      <c r="U98" s="536">
        <v>106900</v>
      </c>
    </row>
    <row r="99" spans="18:21" ht="12.75">
      <c r="R99" s="504" t="s">
        <v>503</v>
      </c>
      <c r="T99" s="504">
        <v>24</v>
      </c>
      <c r="U99" s="536">
        <v>24000</v>
      </c>
    </row>
    <row r="100" spans="18:21" ht="12.75">
      <c r="R100" s="504" t="s">
        <v>504</v>
      </c>
      <c r="T100" s="504">
        <v>32.2</v>
      </c>
      <c r="U100" s="536">
        <v>32200</v>
      </c>
    </row>
    <row r="101" spans="18:21" ht="12.75">
      <c r="R101" s="504" t="s">
        <v>505</v>
      </c>
      <c r="T101" s="504">
        <v>9.1</v>
      </c>
      <c r="U101" s="536">
        <v>9100</v>
      </c>
    </row>
    <row r="102" spans="18:21" ht="12.75">
      <c r="R102" s="504" t="s">
        <v>506</v>
      </c>
      <c r="T102" s="504">
        <v>109.1</v>
      </c>
      <c r="U102" s="536">
        <v>109100</v>
      </c>
    </row>
    <row r="103" spans="18:21" ht="12.75">
      <c r="R103" s="504" t="s">
        <v>507</v>
      </c>
      <c r="T103" s="504">
        <v>1753.2</v>
      </c>
      <c r="U103" s="536">
        <v>1753200</v>
      </c>
    </row>
    <row r="104" spans="18:21" ht="12.75">
      <c r="R104" s="504" t="s">
        <v>508</v>
      </c>
      <c r="T104" s="504">
        <v>2413.8</v>
      </c>
      <c r="U104" s="536">
        <v>2413800</v>
      </c>
    </row>
    <row r="105" spans="18:21" ht="12.75">
      <c r="R105" s="504" t="s">
        <v>509</v>
      </c>
      <c r="T105" s="504">
        <v>237.8</v>
      </c>
      <c r="U105" s="536">
        <v>237800</v>
      </c>
    </row>
    <row r="106" spans="18:21" ht="12.75">
      <c r="R106" s="504" t="s">
        <v>510</v>
      </c>
      <c r="T106" s="504">
        <v>4452.9</v>
      </c>
      <c r="U106" s="536">
        <v>4452900</v>
      </c>
    </row>
    <row r="107" spans="18:21" ht="12.75">
      <c r="R107" s="504" t="s">
        <v>129</v>
      </c>
      <c r="T107" s="504">
        <v>4904.1</v>
      </c>
      <c r="U107" s="536">
        <v>4904100</v>
      </c>
    </row>
    <row r="108" spans="18:21" ht="12.75">
      <c r="R108" s="504" t="s">
        <v>130</v>
      </c>
      <c r="T108" s="504">
        <v>469.9</v>
      </c>
      <c r="U108" s="536">
        <v>469900</v>
      </c>
    </row>
    <row r="109" spans="18:21" ht="12.75">
      <c r="R109" s="504" t="s">
        <v>511</v>
      </c>
      <c r="T109" s="504">
        <v>1197.7</v>
      </c>
      <c r="U109" s="536">
        <v>1197700</v>
      </c>
    </row>
    <row r="110" spans="18:21" ht="12.75">
      <c r="R110" s="504" t="s">
        <v>565</v>
      </c>
      <c r="T110" s="504">
        <v>1608.4</v>
      </c>
      <c r="U110" s="536">
        <v>1608400</v>
      </c>
    </row>
    <row r="111" spans="20:21" ht="12.75">
      <c r="T111" s="504">
        <f>SUM(T69:T110)</f>
        <v>82713.20000000001</v>
      </c>
      <c r="U111" s="536">
        <v>82713200.00000001</v>
      </c>
    </row>
  </sheetData>
  <mergeCells count="12">
    <mergeCell ref="N1:N3"/>
    <mergeCell ref="O1:O3"/>
    <mergeCell ref="P1:P3"/>
    <mergeCell ref="C2:C3"/>
    <mergeCell ref="F2:G2"/>
    <mergeCell ref="H2:H3"/>
    <mergeCell ref="K2:L2"/>
    <mergeCell ref="M2:M3"/>
    <mergeCell ref="A1:A3"/>
    <mergeCell ref="B1:B3"/>
    <mergeCell ref="C1:H1"/>
    <mergeCell ref="I1:M1"/>
  </mergeCells>
  <printOptions/>
  <pageMargins left="0.34" right="0.34" top="0.76" bottom="0.49" header="0.5" footer="0.25"/>
  <pageSetup fitToHeight="1" fitToWidth="1" horizontalDpi="300" verticalDpi="300" orientation="portrait" scale="83" r:id="rId3"/>
  <headerFooter alignWithMargins="0">
    <oddFooter xml:space="preserve">&amp;R&amp;F      &amp;A   &amp;D   &amp;T </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167"/>
  <sheetViews>
    <sheetView workbookViewId="0" topLeftCell="A1">
      <selection activeCell="A1" sqref="A1:IV16384"/>
    </sheetView>
  </sheetViews>
  <sheetFormatPr defaultColWidth="9.140625" defaultRowHeight="12.75"/>
  <cols>
    <col min="1" max="1" width="5.421875" style="376" customWidth="1"/>
    <col min="2" max="2" width="45.140625" style="376" bestFit="1" customWidth="1"/>
    <col min="3" max="4" width="9.7109375" style="376" bestFit="1" customWidth="1"/>
    <col min="5" max="5" width="10.00390625" style="376" bestFit="1" customWidth="1"/>
    <col min="6" max="6" width="4.8515625" style="376" bestFit="1" customWidth="1"/>
    <col min="7" max="8" width="8.00390625" style="376" bestFit="1" customWidth="1"/>
    <col min="9" max="9" width="9.28125" style="376" bestFit="1" customWidth="1"/>
    <col min="10" max="10" width="8.421875" style="376" bestFit="1" customWidth="1"/>
    <col min="11" max="11" width="6.7109375" style="376" bestFit="1" customWidth="1"/>
    <col min="12" max="12" width="8.7109375" style="376" bestFit="1" customWidth="1"/>
    <col min="13" max="16384" width="9.140625" style="376" customWidth="1"/>
  </cols>
  <sheetData>
    <row r="1" spans="1:10" ht="21" thickBot="1">
      <c r="A1" s="374" t="s">
        <v>520</v>
      </c>
      <c r="B1" s="375"/>
      <c r="C1" s="375"/>
      <c r="D1" s="375"/>
      <c r="E1" s="375"/>
      <c r="F1" s="375"/>
      <c r="G1" s="375"/>
      <c r="H1" s="375"/>
      <c r="I1" s="375"/>
      <c r="J1" s="375"/>
    </row>
    <row r="2" spans="1:10" ht="36.75" thickBot="1">
      <c r="A2" s="377"/>
      <c r="B2" s="378"/>
      <c r="C2" s="379" t="s">
        <v>572</v>
      </c>
      <c r="D2" s="379" t="s">
        <v>657</v>
      </c>
      <c r="E2" s="380" t="s">
        <v>492</v>
      </c>
      <c r="F2" s="378"/>
      <c r="G2" s="378"/>
      <c r="H2" s="378"/>
      <c r="I2" s="378"/>
      <c r="J2" s="378"/>
    </row>
    <row r="3" spans="1:5" ht="12.75">
      <c r="A3" s="381"/>
      <c r="B3" s="376" t="s">
        <v>522</v>
      </c>
      <c r="C3" s="382"/>
      <c r="D3" s="383"/>
      <c r="E3" s="383"/>
    </row>
    <row r="4" spans="1:10" ht="12.75">
      <c r="A4" s="381" t="s">
        <v>114</v>
      </c>
      <c r="C4" s="384"/>
      <c r="D4" s="385"/>
      <c r="E4" s="385"/>
      <c r="H4" s="376" t="s">
        <v>576</v>
      </c>
      <c r="I4" s="376" t="s">
        <v>577</v>
      </c>
      <c r="J4" s="376" t="s">
        <v>187</v>
      </c>
    </row>
    <row r="5" spans="1:10" ht="12.75">
      <c r="A5" s="381"/>
      <c r="B5" s="376" t="s">
        <v>523</v>
      </c>
      <c r="C5" s="386">
        <v>8548.22</v>
      </c>
      <c r="D5" s="387">
        <v>8630</v>
      </c>
      <c r="E5" s="388">
        <v>81.78000000000065</v>
      </c>
      <c r="F5" s="376">
        <v>121</v>
      </c>
      <c r="G5" s="376">
        <v>8630</v>
      </c>
      <c r="H5" s="376">
        <v>8698</v>
      </c>
      <c r="I5" s="389">
        <v>149.78000000000065</v>
      </c>
      <c r="J5" s="376">
        <v>-68</v>
      </c>
    </row>
    <row r="6" spans="1:9" ht="12.75">
      <c r="A6" s="381"/>
      <c r="B6" s="376" t="s">
        <v>524</v>
      </c>
      <c r="C6" s="386">
        <v>191.89</v>
      </c>
      <c r="D6" s="387">
        <v>172.3</v>
      </c>
      <c r="E6" s="388">
        <v>-19.59</v>
      </c>
      <c r="F6" s="376">
        <v>122</v>
      </c>
      <c r="G6" s="376">
        <v>172.3</v>
      </c>
      <c r="H6" s="376">
        <v>172.3</v>
      </c>
      <c r="I6" s="389">
        <v>-19.59</v>
      </c>
    </row>
    <row r="7" spans="1:9" ht="12.75">
      <c r="A7" s="381"/>
      <c r="B7" s="376" t="s">
        <v>525</v>
      </c>
      <c r="C7" s="386">
        <v>535.98</v>
      </c>
      <c r="D7" s="387">
        <v>364.9</v>
      </c>
      <c r="E7" s="388">
        <v>-171.08</v>
      </c>
      <c r="F7" s="376">
        <v>123</v>
      </c>
      <c r="G7" s="376">
        <v>364.9</v>
      </c>
      <c r="H7" s="376">
        <v>364.9</v>
      </c>
      <c r="I7" s="389">
        <v>-171.08</v>
      </c>
    </row>
    <row r="8" spans="1:9" ht="12.75">
      <c r="A8" s="381"/>
      <c r="B8" s="376" t="s">
        <v>526</v>
      </c>
      <c r="C8" s="386">
        <v>106.1</v>
      </c>
      <c r="D8" s="387">
        <v>247.5</v>
      </c>
      <c r="E8" s="388">
        <v>141.4</v>
      </c>
      <c r="F8" s="376">
        <v>124</v>
      </c>
      <c r="G8" s="376">
        <v>247.5</v>
      </c>
      <c r="H8" s="376">
        <v>247.5</v>
      </c>
      <c r="I8" s="389">
        <v>141.4</v>
      </c>
    </row>
    <row r="9" spans="1:9" ht="13.5" thickBot="1">
      <c r="A9" s="381"/>
      <c r="B9" s="376" t="s">
        <v>527</v>
      </c>
      <c r="C9" s="386">
        <v>17.64</v>
      </c>
      <c r="D9" s="387">
        <v>24.6</v>
      </c>
      <c r="E9" s="390">
        <v>6.96</v>
      </c>
      <c r="F9" s="376">
        <v>125</v>
      </c>
      <c r="G9" s="376">
        <v>24.6</v>
      </c>
      <c r="H9" s="376">
        <v>24.6</v>
      </c>
      <c r="I9" s="389">
        <v>6.96</v>
      </c>
    </row>
    <row r="10" spans="1:10" ht="13.5" thickBot="1">
      <c r="A10" s="381"/>
      <c r="B10" s="391" t="s">
        <v>151</v>
      </c>
      <c r="C10" s="392">
        <v>9399.83</v>
      </c>
      <c r="D10" s="393">
        <v>9439.3</v>
      </c>
      <c r="E10" s="393">
        <v>39.470000000000645</v>
      </c>
      <c r="F10" s="394"/>
      <c r="G10" s="394">
        <v>-68</v>
      </c>
      <c r="H10" s="394"/>
      <c r="I10" s="395">
        <v>107.47000000000065</v>
      </c>
      <c r="J10" s="396">
        <v>-68</v>
      </c>
    </row>
    <row r="11" spans="1:9" ht="12.75">
      <c r="A11" s="381" t="s">
        <v>115</v>
      </c>
      <c r="C11" s="384"/>
      <c r="D11" s="385"/>
      <c r="E11" s="385"/>
      <c r="G11" s="376">
        <v>0</v>
      </c>
      <c r="I11" s="389">
        <v>0</v>
      </c>
    </row>
    <row r="12" spans="1:9" ht="12.75">
      <c r="A12" s="381"/>
      <c r="B12" s="376" t="s">
        <v>528</v>
      </c>
      <c r="C12" s="386">
        <v>837.4</v>
      </c>
      <c r="D12" s="387">
        <v>837.4</v>
      </c>
      <c r="E12" s="388">
        <v>0</v>
      </c>
      <c r="F12" s="376">
        <v>130</v>
      </c>
      <c r="G12" s="376">
        <v>837.4</v>
      </c>
      <c r="H12" s="376">
        <v>837.4</v>
      </c>
      <c r="I12" s="389">
        <v>0</v>
      </c>
    </row>
    <row r="13" spans="1:10" ht="12.75">
      <c r="A13" s="381"/>
      <c r="B13" s="376" t="s">
        <v>529</v>
      </c>
      <c r="C13" s="386">
        <v>1717.83</v>
      </c>
      <c r="D13" s="387">
        <v>2399</v>
      </c>
      <c r="E13" s="388">
        <v>681.17</v>
      </c>
      <c r="F13" s="376">
        <v>131</v>
      </c>
      <c r="G13" s="376">
        <v>2399</v>
      </c>
      <c r="H13" s="376">
        <v>2153</v>
      </c>
      <c r="I13" s="389">
        <v>435.17</v>
      </c>
      <c r="J13" s="376">
        <v>246</v>
      </c>
    </row>
    <row r="14" spans="1:9" ht="12.75">
      <c r="A14" s="381"/>
      <c r="B14" s="376" t="s">
        <v>530</v>
      </c>
      <c r="C14" s="386">
        <v>1885.36</v>
      </c>
      <c r="D14" s="387">
        <v>1400</v>
      </c>
      <c r="E14" s="388">
        <v>-485.36</v>
      </c>
      <c r="F14" s="376">
        <v>132</v>
      </c>
      <c r="G14" s="376">
        <v>1400</v>
      </c>
      <c r="H14" s="376">
        <v>1400</v>
      </c>
      <c r="I14" s="389">
        <v>-485.36</v>
      </c>
    </row>
    <row r="15" spans="1:10" ht="12.75">
      <c r="A15" s="381"/>
      <c r="B15" s="381" t="s">
        <v>531</v>
      </c>
      <c r="C15" s="386">
        <v>257.67</v>
      </c>
      <c r="D15" s="387">
        <v>103.4</v>
      </c>
      <c r="E15" s="388">
        <v>-154.27</v>
      </c>
      <c r="F15" s="376">
        <v>133</v>
      </c>
      <c r="G15" s="376">
        <v>103.4</v>
      </c>
      <c r="H15" s="376">
        <v>103.4</v>
      </c>
      <c r="I15" s="389">
        <v>-154.27</v>
      </c>
      <c r="J15" s="381"/>
    </row>
    <row r="16" spans="1:9" ht="15.75" thickBot="1">
      <c r="A16" s="381"/>
      <c r="B16" s="376" t="s">
        <v>532</v>
      </c>
      <c r="C16" s="386">
        <v>91.87</v>
      </c>
      <c r="D16" s="387">
        <v>91.2</v>
      </c>
      <c r="E16" s="397">
        <v>-0.6700000000000017</v>
      </c>
      <c r="F16" s="376">
        <v>134</v>
      </c>
      <c r="G16" s="376">
        <v>91.2</v>
      </c>
      <c r="H16" s="376">
        <v>91.2</v>
      </c>
      <c r="I16" s="389">
        <v>-0.6700000000000017</v>
      </c>
    </row>
    <row r="17" spans="1:10" ht="13.5" thickBot="1">
      <c r="A17" s="381"/>
      <c r="B17" s="391" t="s">
        <v>151</v>
      </c>
      <c r="C17" s="392">
        <v>4790.13</v>
      </c>
      <c r="D17" s="398">
        <v>4831</v>
      </c>
      <c r="E17" s="398">
        <v>40.87000000000016</v>
      </c>
      <c r="F17" s="394"/>
      <c r="G17" s="394">
        <v>246</v>
      </c>
      <c r="H17" s="394"/>
      <c r="I17" s="395">
        <v>-205.13</v>
      </c>
      <c r="J17" s="396">
        <v>246</v>
      </c>
    </row>
    <row r="18" spans="1:9" ht="12.75">
      <c r="A18" s="381" t="s">
        <v>116</v>
      </c>
      <c r="C18" s="384"/>
      <c r="D18" s="385"/>
      <c r="E18" s="388"/>
      <c r="G18" s="376">
        <v>0</v>
      </c>
      <c r="I18" s="389">
        <v>0</v>
      </c>
    </row>
    <row r="19" spans="1:10" ht="12.75">
      <c r="A19" s="381"/>
      <c r="B19" s="376" t="s">
        <v>533</v>
      </c>
      <c r="C19" s="386">
        <v>13271.57</v>
      </c>
      <c r="D19" s="387">
        <v>12727</v>
      </c>
      <c r="E19" s="388">
        <v>-544.57</v>
      </c>
      <c r="F19" s="376">
        <v>141</v>
      </c>
      <c r="G19" s="376">
        <v>12727</v>
      </c>
      <c r="H19" s="376">
        <v>12437</v>
      </c>
      <c r="I19" s="389">
        <v>-834.57</v>
      </c>
      <c r="J19" s="376">
        <v>290</v>
      </c>
    </row>
    <row r="20" spans="1:10" ht="12.75">
      <c r="A20" s="399"/>
      <c r="B20" s="399" t="s">
        <v>534</v>
      </c>
      <c r="C20" s="386">
        <v>11978.769</v>
      </c>
      <c r="D20" s="387">
        <v>14580.5</v>
      </c>
      <c r="E20" s="388">
        <v>2601.7309999999998</v>
      </c>
      <c r="F20" s="376">
        <v>142</v>
      </c>
      <c r="G20" s="376">
        <v>14580.5</v>
      </c>
      <c r="H20" s="376">
        <v>13956.5</v>
      </c>
      <c r="I20" s="389">
        <v>1977.7309999999998</v>
      </c>
      <c r="J20" s="376">
        <v>624</v>
      </c>
    </row>
    <row r="21" spans="1:9" ht="12.75">
      <c r="A21" s="381"/>
      <c r="B21" s="376" t="s">
        <v>535</v>
      </c>
      <c r="C21" s="386">
        <v>0</v>
      </c>
      <c r="D21" s="387">
        <v>0</v>
      </c>
      <c r="E21" s="388">
        <v>0</v>
      </c>
      <c r="G21" s="376">
        <v>0</v>
      </c>
      <c r="I21" s="389">
        <v>0</v>
      </c>
    </row>
    <row r="22" spans="1:11" ht="13.5" thickBot="1">
      <c r="A22" s="381"/>
      <c r="B22" s="381" t="s">
        <v>536</v>
      </c>
      <c r="C22" s="386">
        <v>3863.201</v>
      </c>
      <c r="D22" s="387">
        <v>4048.4</v>
      </c>
      <c r="E22" s="390">
        <v>185.19900000000007</v>
      </c>
      <c r="F22" s="376">
        <v>144</v>
      </c>
      <c r="G22" s="376">
        <v>4048.4</v>
      </c>
      <c r="H22" s="376">
        <v>3918.4</v>
      </c>
      <c r="I22" s="389">
        <v>55.19900000000007</v>
      </c>
      <c r="J22" s="376">
        <v>130</v>
      </c>
      <c r="K22" s="376">
        <v>1044</v>
      </c>
    </row>
    <row r="23" spans="1:10" ht="13.5" thickBot="1">
      <c r="A23" s="381"/>
      <c r="B23" s="391" t="s">
        <v>151</v>
      </c>
      <c r="C23" s="392">
        <v>29113.54</v>
      </c>
      <c r="D23" s="393">
        <v>31355.9</v>
      </c>
      <c r="E23" s="393">
        <v>2242.36</v>
      </c>
      <c r="F23" s="394"/>
      <c r="G23" s="394">
        <v>1044</v>
      </c>
      <c r="H23" s="394"/>
      <c r="I23" s="395">
        <v>1198.36</v>
      </c>
      <c r="J23" s="396">
        <v>1044</v>
      </c>
    </row>
    <row r="24" spans="1:9" ht="12.75">
      <c r="A24" s="381" t="s">
        <v>117</v>
      </c>
      <c r="C24" s="384"/>
      <c r="D24" s="385"/>
      <c r="E24" s="385"/>
      <c r="G24" s="376">
        <v>0</v>
      </c>
      <c r="I24" s="389">
        <v>0</v>
      </c>
    </row>
    <row r="25" spans="1:11" ht="12.75">
      <c r="A25" s="381"/>
      <c r="B25" s="376" t="s">
        <v>537</v>
      </c>
      <c r="C25" s="400">
        <v>1412.96</v>
      </c>
      <c r="D25" s="401">
        <v>1386.2</v>
      </c>
      <c r="E25" s="402">
        <v>-26.76</v>
      </c>
      <c r="F25" s="381">
        <v>151</v>
      </c>
      <c r="G25" s="381">
        <v>1386.2</v>
      </c>
      <c r="H25" s="381">
        <v>1387.2</v>
      </c>
      <c r="I25" s="403">
        <v>-25.76</v>
      </c>
      <c r="J25" s="381">
        <v>-1</v>
      </c>
      <c r="K25" s="381"/>
    </row>
    <row r="26" spans="1:9" ht="12.75">
      <c r="A26" s="381" t="s">
        <v>118</v>
      </c>
      <c r="C26" s="384"/>
      <c r="D26" s="385"/>
      <c r="E26" s="385"/>
      <c r="G26" s="376">
        <v>0</v>
      </c>
      <c r="I26" s="389">
        <v>0</v>
      </c>
    </row>
    <row r="27" spans="1:9" ht="12.75">
      <c r="A27" s="381"/>
      <c r="B27" s="376" t="s">
        <v>538</v>
      </c>
      <c r="C27" s="386">
        <v>372.04</v>
      </c>
      <c r="D27" s="387">
        <v>368.5</v>
      </c>
      <c r="E27" s="388">
        <v>-3.5400000000000205</v>
      </c>
      <c r="F27" s="376">
        <v>161</v>
      </c>
      <c r="G27" s="376">
        <v>368.5</v>
      </c>
      <c r="H27" s="376">
        <v>368.5</v>
      </c>
      <c r="I27" s="389">
        <v>-3.5400000000000205</v>
      </c>
    </row>
    <row r="28" spans="1:9" ht="12.75">
      <c r="A28" s="381"/>
      <c r="B28" s="376" t="s">
        <v>539</v>
      </c>
      <c r="C28" s="386">
        <v>681.64</v>
      </c>
      <c r="D28" s="387">
        <v>681</v>
      </c>
      <c r="E28" s="388">
        <v>-0.6399999999999864</v>
      </c>
      <c r="F28" s="376">
        <v>162</v>
      </c>
      <c r="G28" s="376">
        <v>681</v>
      </c>
      <c r="H28" s="376">
        <v>681</v>
      </c>
      <c r="I28" s="389">
        <v>-0.6399999999999864</v>
      </c>
    </row>
    <row r="29" spans="1:9" ht="15.75" thickBot="1">
      <c r="A29" s="381"/>
      <c r="B29" s="376" t="s">
        <v>540</v>
      </c>
      <c r="C29" s="386">
        <v>86.3</v>
      </c>
      <c r="D29" s="387">
        <v>85.5</v>
      </c>
      <c r="E29" s="397">
        <v>-0.7999999999999972</v>
      </c>
      <c r="F29" s="376">
        <v>163</v>
      </c>
      <c r="G29" s="376">
        <v>85.5</v>
      </c>
      <c r="H29" s="376">
        <v>85.5</v>
      </c>
      <c r="I29" s="389">
        <v>-0.7999999999999972</v>
      </c>
    </row>
    <row r="30" spans="1:10" ht="13.5" thickBot="1">
      <c r="A30" s="381"/>
      <c r="B30" s="391" t="s">
        <v>151</v>
      </c>
      <c r="C30" s="392">
        <v>1139.98</v>
      </c>
      <c r="D30" s="393">
        <v>1135</v>
      </c>
      <c r="E30" s="393">
        <v>-4.98</v>
      </c>
      <c r="F30" s="394"/>
      <c r="G30" s="394">
        <v>-1</v>
      </c>
      <c r="H30" s="394"/>
      <c r="I30" s="395">
        <v>-4.98</v>
      </c>
      <c r="J30" s="396">
        <v>-1</v>
      </c>
    </row>
    <row r="31" spans="1:9" ht="12.75">
      <c r="A31" s="381" t="s">
        <v>566</v>
      </c>
      <c r="C31" s="384"/>
      <c r="D31" s="385"/>
      <c r="E31" s="385"/>
      <c r="G31" s="376">
        <v>0</v>
      </c>
      <c r="I31" s="389">
        <v>0</v>
      </c>
    </row>
    <row r="32" spans="1:10" ht="12.75">
      <c r="A32" s="381"/>
      <c r="B32" s="376" t="s">
        <v>541</v>
      </c>
      <c r="C32" s="386">
        <v>934.01</v>
      </c>
      <c r="D32" s="387">
        <v>1105.2</v>
      </c>
      <c r="E32" s="388">
        <v>171.19</v>
      </c>
      <c r="F32" s="376">
        <v>171</v>
      </c>
      <c r="G32" s="376">
        <v>1105.2</v>
      </c>
      <c r="H32" s="376">
        <v>927.2</v>
      </c>
      <c r="I32" s="389">
        <v>-6.809999999999945</v>
      </c>
      <c r="J32" s="376">
        <v>178</v>
      </c>
    </row>
    <row r="33" spans="1:9" ht="12.75">
      <c r="A33" s="381"/>
      <c r="B33" s="376" t="s">
        <v>542</v>
      </c>
      <c r="C33" s="386">
        <v>426.93</v>
      </c>
      <c r="D33" s="387">
        <v>427.7</v>
      </c>
      <c r="E33" s="388">
        <v>0.7699999999999818</v>
      </c>
      <c r="F33" s="376">
        <v>172</v>
      </c>
      <c r="G33" s="376">
        <v>427.7</v>
      </c>
      <c r="H33" s="376">
        <v>427.7</v>
      </c>
      <c r="I33" s="389">
        <v>0.7699999999999818</v>
      </c>
    </row>
    <row r="34" spans="1:9" ht="15.75" thickBot="1">
      <c r="A34" s="381"/>
      <c r="B34" s="376" t="s">
        <v>521</v>
      </c>
      <c r="C34" s="386">
        <v>0</v>
      </c>
      <c r="D34" s="387">
        <v>0</v>
      </c>
      <c r="E34" s="397">
        <v>0</v>
      </c>
      <c r="G34" s="376">
        <v>0</v>
      </c>
      <c r="I34" s="389">
        <v>0</v>
      </c>
    </row>
    <row r="35" spans="1:10" ht="13.5" thickBot="1">
      <c r="A35" s="381"/>
      <c r="B35" s="391" t="s">
        <v>151</v>
      </c>
      <c r="C35" s="392">
        <v>1360.94</v>
      </c>
      <c r="D35" s="393">
        <v>1532.9</v>
      </c>
      <c r="E35" s="393">
        <v>171.96</v>
      </c>
      <c r="F35" s="394"/>
      <c r="G35" s="394">
        <v>178</v>
      </c>
      <c r="H35" s="394"/>
      <c r="I35" s="395">
        <v>-6.039999999999964</v>
      </c>
      <c r="J35" s="396">
        <v>178</v>
      </c>
    </row>
    <row r="36" spans="1:9" ht="12.75">
      <c r="A36" s="381" t="s">
        <v>119</v>
      </c>
      <c r="C36" s="384"/>
      <c r="D36" s="385"/>
      <c r="E36" s="385"/>
      <c r="G36" s="376">
        <v>0</v>
      </c>
      <c r="I36" s="389">
        <v>0</v>
      </c>
    </row>
    <row r="37" spans="1:10" ht="12.75">
      <c r="A37" s="381"/>
      <c r="B37" s="376" t="s">
        <v>543</v>
      </c>
      <c r="C37" s="386">
        <v>1505.26</v>
      </c>
      <c r="D37" s="387">
        <v>1545.8</v>
      </c>
      <c r="E37" s="388">
        <v>40.54</v>
      </c>
      <c r="F37" s="376">
        <v>181</v>
      </c>
      <c r="G37" s="376">
        <v>1545.8</v>
      </c>
      <c r="H37" s="376">
        <v>1488.8</v>
      </c>
      <c r="I37" s="389">
        <v>-16.46</v>
      </c>
      <c r="J37" s="376">
        <v>57</v>
      </c>
    </row>
    <row r="38" spans="1:9" ht="12.75">
      <c r="A38" s="381"/>
      <c r="B38" s="376" t="s">
        <v>544</v>
      </c>
      <c r="C38" s="386">
        <v>0</v>
      </c>
      <c r="D38" s="387">
        <v>70.3</v>
      </c>
      <c r="E38" s="388">
        <v>70.3</v>
      </c>
      <c r="F38" s="376">
        <v>182</v>
      </c>
      <c r="G38" s="376">
        <v>70.3</v>
      </c>
      <c r="H38" s="376">
        <v>70.3</v>
      </c>
      <c r="I38" s="389">
        <v>70.3</v>
      </c>
    </row>
    <row r="39" spans="1:9" ht="12.75">
      <c r="A39" s="381"/>
      <c r="B39" s="376" t="s">
        <v>545</v>
      </c>
      <c r="C39" s="386">
        <v>0</v>
      </c>
      <c r="D39" s="387">
        <v>0</v>
      </c>
      <c r="E39" s="388">
        <v>0</v>
      </c>
      <c r="G39" s="376">
        <v>0</v>
      </c>
      <c r="I39" s="389">
        <v>0</v>
      </c>
    </row>
    <row r="40" spans="1:9" ht="12.75">
      <c r="A40" s="381"/>
      <c r="B40" s="376" t="s">
        <v>546</v>
      </c>
      <c r="C40" s="386">
        <v>0</v>
      </c>
      <c r="D40" s="387">
        <v>0</v>
      </c>
      <c r="E40" s="388">
        <v>0</v>
      </c>
      <c r="G40" s="376">
        <v>0</v>
      </c>
      <c r="I40" s="389">
        <v>0</v>
      </c>
    </row>
    <row r="41" spans="1:9" ht="12.75">
      <c r="A41" s="381"/>
      <c r="B41" s="376" t="s">
        <v>547</v>
      </c>
      <c r="C41" s="386">
        <v>2203.28</v>
      </c>
      <c r="D41" s="387">
        <v>2063.2</v>
      </c>
      <c r="E41" s="388">
        <v>-140.08</v>
      </c>
      <c r="F41" s="376">
        <v>185</v>
      </c>
      <c r="G41" s="376">
        <v>2063.2</v>
      </c>
      <c r="H41" s="376">
        <v>2063.2</v>
      </c>
      <c r="I41" s="389">
        <v>-140.08</v>
      </c>
    </row>
    <row r="42" spans="1:10" ht="12.75">
      <c r="A42" s="381"/>
      <c r="B42" s="376" t="s">
        <v>548</v>
      </c>
      <c r="C42" s="386">
        <v>1219.66</v>
      </c>
      <c r="D42" s="387">
        <v>1051.1</v>
      </c>
      <c r="E42" s="388">
        <v>-168.56</v>
      </c>
      <c r="F42" s="376">
        <v>186</v>
      </c>
      <c r="G42" s="376">
        <v>1051.1</v>
      </c>
      <c r="H42" s="376">
        <v>1199.1</v>
      </c>
      <c r="I42" s="389">
        <v>-20.560000000000173</v>
      </c>
      <c r="J42" s="376">
        <v>-148</v>
      </c>
    </row>
    <row r="43" spans="1:11" ht="15.75" thickBot="1">
      <c r="A43" s="381"/>
      <c r="B43" s="376" t="s">
        <v>549</v>
      </c>
      <c r="C43" s="386">
        <v>501.77</v>
      </c>
      <c r="D43" s="387">
        <v>550.4</v>
      </c>
      <c r="E43" s="397">
        <v>48.63</v>
      </c>
      <c r="F43" s="376">
        <v>187</v>
      </c>
      <c r="G43" s="376">
        <v>550.4</v>
      </c>
      <c r="H43" s="376">
        <v>482.4</v>
      </c>
      <c r="I43" s="389">
        <v>-19.37</v>
      </c>
      <c r="J43" s="376">
        <v>68</v>
      </c>
      <c r="K43" s="376">
        <v>-23</v>
      </c>
    </row>
    <row r="44" spans="1:10" ht="13.5" thickBot="1">
      <c r="A44" s="381"/>
      <c r="B44" s="391" t="s">
        <v>151</v>
      </c>
      <c r="C44" s="392">
        <v>5429.97</v>
      </c>
      <c r="D44" s="393">
        <v>5280.8</v>
      </c>
      <c r="E44" s="393">
        <v>-149.17000000000058</v>
      </c>
      <c r="F44" s="394"/>
      <c r="G44" s="394">
        <v>-23</v>
      </c>
      <c r="H44" s="394"/>
      <c r="I44" s="395">
        <v>-126.1700000000006</v>
      </c>
      <c r="J44" s="396">
        <v>-23</v>
      </c>
    </row>
    <row r="45" spans="1:9" ht="12.75">
      <c r="A45" s="381" t="s">
        <v>120</v>
      </c>
      <c r="C45" s="384"/>
      <c r="D45" s="385"/>
      <c r="E45" s="385"/>
      <c r="G45" s="376">
        <v>0</v>
      </c>
      <c r="I45" s="389">
        <v>0</v>
      </c>
    </row>
    <row r="46" spans="1:10" ht="12.75">
      <c r="A46" s="381"/>
      <c r="B46" s="376" t="s">
        <v>550</v>
      </c>
      <c r="C46" s="386">
        <v>1041.61</v>
      </c>
      <c r="D46" s="387">
        <v>1054.2</v>
      </c>
      <c r="E46" s="388">
        <v>12.590000000000146</v>
      </c>
      <c r="F46" s="376">
        <v>191</v>
      </c>
      <c r="G46" s="376">
        <v>1054.2</v>
      </c>
      <c r="H46" s="376">
        <v>1045.2</v>
      </c>
      <c r="I46" s="389">
        <v>3.5900000000001455</v>
      </c>
      <c r="J46" s="376">
        <v>9</v>
      </c>
    </row>
    <row r="47" spans="1:9" ht="15.75" thickBot="1">
      <c r="A47" s="381"/>
      <c r="B47" s="376" t="s">
        <v>551</v>
      </c>
      <c r="C47" s="386">
        <v>1696.49</v>
      </c>
      <c r="D47" s="387">
        <v>1712.9</v>
      </c>
      <c r="E47" s="397">
        <v>16.410000000000082</v>
      </c>
      <c r="F47" s="376">
        <v>192</v>
      </c>
      <c r="G47" s="376">
        <v>1712.9</v>
      </c>
      <c r="H47" s="376">
        <v>1712.9</v>
      </c>
      <c r="I47" s="389">
        <v>16.410000000000082</v>
      </c>
    </row>
    <row r="48" spans="1:11" ht="17.25" thickBot="1">
      <c r="A48" s="381"/>
      <c r="B48" s="391" t="s">
        <v>151</v>
      </c>
      <c r="C48" s="392">
        <v>2738.1</v>
      </c>
      <c r="D48" s="393">
        <v>2767.1</v>
      </c>
      <c r="E48" s="404">
        <v>29.000000000000227</v>
      </c>
      <c r="F48" s="394"/>
      <c r="G48" s="394">
        <v>9</v>
      </c>
      <c r="H48" s="394"/>
      <c r="I48" s="395">
        <v>20.000000000000227</v>
      </c>
      <c r="J48" s="405">
        <v>9</v>
      </c>
      <c r="K48" s="406"/>
    </row>
    <row r="49" spans="1:10" ht="15.75" thickBot="1">
      <c r="A49" s="407"/>
      <c r="B49" s="408" t="s">
        <v>512</v>
      </c>
      <c r="C49" s="409">
        <v>55385.45</v>
      </c>
      <c r="D49" s="410">
        <v>57728.2</v>
      </c>
      <c r="E49" s="410">
        <v>2342.75</v>
      </c>
      <c r="F49" s="394"/>
      <c r="G49" s="394">
        <v>1384</v>
      </c>
      <c r="H49" s="394"/>
      <c r="I49" s="395">
        <v>957.7500000000007</v>
      </c>
      <c r="J49" s="411">
        <v>1384</v>
      </c>
    </row>
    <row r="50" spans="1:9" ht="12.75">
      <c r="A50" s="381"/>
      <c r="B50" s="412"/>
      <c r="C50" s="384"/>
      <c r="D50" s="385"/>
      <c r="E50" s="385"/>
      <c r="G50" s="376">
        <v>0</v>
      </c>
      <c r="I50" s="389">
        <v>0</v>
      </c>
    </row>
    <row r="51" spans="1:9" ht="12.75">
      <c r="A51" s="381" t="s">
        <v>121</v>
      </c>
      <c r="C51" s="386">
        <v>86.54</v>
      </c>
      <c r="D51" s="387">
        <v>88.1</v>
      </c>
      <c r="E51" s="388">
        <v>1.559999999999988</v>
      </c>
      <c r="F51" s="376">
        <v>210</v>
      </c>
      <c r="G51" s="376">
        <v>88.1</v>
      </c>
      <c r="H51" s="376">
        <v>88.1</v>
      </c>
      <c r="I51" s="389">
        <v>1.559999999999988</v>
      </c>
    </row>
    <row r="52" spans="1:9" ht="12.75">
      <c r="A52" s="381" t="s">
        <v>567</v>
      </c>
      <c r="C52" s="386">
        <v>412.55</v>
      </c>
      <c r="D52" s="387">
        <v>418.8</v>
      </c>
      <c r="E52" s="388">
        <v>6.25</v>
      </c>
      <c r="F52" s="376">
        <v>220</v>
      </c>
      <c r="G52" s="376">
        <v>418.8</v>
      </c>
      <c r="H52" s="376">
        <v>418.8</v>
      </c>
      <c r="I52" s="389">
        <v>6.25</v>
      </c>
    </row>
    <row r="53" spans="1:10" ht="17.25" thickBot="1">
      <c r="A53" s="381" t="s">
        <v>568</v>
      </c>
      <c r="C53" s="386">
        <v>284.37</v>
      </c>
      <c r="D53" s="387">
        <v>284.4</v>
      </c>
      <c r="E53" s="397">
        <v>0.029999999999972715</v>
      </c>
      <c r="F53" s="376">
        <v>250</v>
      </c>
      <c r="G53" s="376">
        <v>284.4</v>
      </c>
      <c r="H53" s="376">
        <v>284.4</v>
      </c>
      <c r="I53" s="389">
        <v>0.029999999999972715</v>
      </c>
      <c r="J53" s="406"/>
    </row>
    <row r="54" spans="1:10" ht="15.75" thickBot="1">
      <c r="A54" s="407"/>
      <c r="B54" s="408" t="s">
        <v>513</v>
      </c>
      <c r="C54" s="409">
        <v>783.46</v>
      </c>
      <c r="D54" s="410">
        <v>791.3</v>
      </c>
      <c r="E54" s="410">
        <v>7.839999999999961</v>
      </c>
      <c r="F54" s="394"/>
      <c r="G54" s="394">
        <v>0</v>
      </c>
      <c r="H54" s="394"/>
      <c r="I54" s="395">
        <v>7.839999999999961</v>
      </c>
      <c r="J54" s="395">
        <v>0</v>
      </c>
    </row>
    <row r="55" spans="1:10" ht="12.75">
      <c r="A55" s="381" t="s">
        <v>122</v>
      </c>
      <c r="C55" s="386">
        <v>426.35</v>
      </c>
      <c r="D55" s="387">
        <v>551.6</v>
      </c>
      <c r="E55" s="388">
        <v>125.25</v>
      </c>
      <c r="F55" s="376">
        <v>310</v>
      </c>
      <c r="G55" s="376">
        <v>551.6</v>
      </c>
      <c r="H55" s="376">
        <v>521.6</v>
      </c>
      <c r="I55" s="389">
        <v>95.25</v>
      </c>
      <c r="J55" s="376">
        <v>30</v>
      </c>
    </row>
    <row r="56" spans="1:9" ht="12.75">
      <c r="A56" s="381" t="s">
        <v>569</v>
      </c>
      <c r="C56" s="386">
        <v>45.96</v>
      </c>
      <c r="D56" s="387">
        <v>45.6</v>
      </c>
      <c r="E56" s="388">
        <v>-0.35999999999999943</v>
      </c>
      <c r="F56" s="376">
        <v>360</v>
      </c>
      <c r="G56" s="376">
        <v>45.6</v>
      </c>
      <c r="H56" s="376">
        <v>45.6</v>
      </c>
      <c r="I56" s="389">
        <v>-0.35999999999999943</v>
      </c>
    </row>
    <row r="57" spans="1:9" ht="12.75">
      <c r="A57" s="381" t="s">
        <v>570</v>
      </c>
      <c r="C57" s="386">
        <v>310.09</v>
      </c>
      <c r="D57" s="387">
        <v>206.2</v>
      </c>
      <c r="E57" s="388">
        <v>-103.89</v>
      </c>
      <c r="F57" s="376">
        <v>380</v>
      </c>
      <c r="G57" s="376">
        <v>206.2</v>
      </c>
      <c r="H57" s="376">
        <v>206.2</v>
      </c>
      <c r="I57" s="389">
        <v>-103.89</v>
      </c>
    </row>
    <row r="58" spans="1:10" ht="17.25" thickBot="1">
      <c r="A58" s="381" t="s">
        <v>123</v>
      </c>
      <c r="C58" s="386">
        <v>360.52</v>
      </c>
      <c r="D58" s="387">
        <v>345.3</v>
      </c>
      <c r="E58" s="397">
        <v>-15.22</v>
      </c>
      <c r="F58" s="376">
        <v>390</v>
      </c>
      <c r="G58" s="376">
        <v>345.3</v>
      </c>
      <c r="H58" s="376">
        <v>357.3</v>
      </c>
      <c r="I58" s="389">
        <v>-3.2199999999999704</v>
      </c>
      <c r="J58" s="406">
        <v>-12</v>
      </c>
    </row>
    <row r="59" spans="1:10" ht="15.75" thickBot="1">
      <c r="A59" s="407"/>
      <c r="B59" s="408" t="s">
        <v>514</v>
      </c>
      <c r="C59" s="409">
        <v>1142.92</v>
      </c>
      <c r="D59" s="410">
        <v>1148.7</v>
      </c>
      <c r="E59" s="410">
        <v>5.780000000000044</v>
      </c>
      <c r="F59" s="394"/>
      <c r="G59" s="394">
        <v>18</v>
      </c>
      <c r="H59" s="394"/>
      <c r="I59" s="395">
        <v>-12.22</v>
      </c>
      <c r="J59" s="395">
        <v>18</v>
      </c>
    </row>
    <row r="60" spans="1:9" ht="12.75">
      <c r="A60" s="381" t="s">
        <v>124</v>
      </c>
      <c r="C60" s="384"/>
      <c r="D60" s="385"/>
      <c r="E60" s="385"/>
      <c r="G60" s="376">
        <v>0</v>
      </c>
      <c r="I60" s="389">
        <v>0</v>
      </c>
    </row>
    <row r="61" spans="1:10" ht="12.75">
      <c r="A61" s="381"/>
      <c r="B61" s="376" t="s">
        <v>552</v>
      </c>
      <c r="C61" s="386">
        <v>382.03</v>
      </c>
      <c r="D61" s="387">
        <v>376.4</v>
      </c>
      <c r="E61" s="388">
        <v>-5.63</v>
      </c>
      <c r="F61" s="376">
        <v>411</v>
      </c>
      <c r="G61" s="376">
        <v>376.4</v>
      </c>
      <c r="H61" s="376">
        <v>374.4</v>
      </c>
      <c r="I61" s="389">
        <v>-7.63</v>
      </c>
      <c r="J61" s="376">
        <v>2</v>
      </c>
    </row>
    <row r="62" spans="1:9" ht="12.75">
      <c r="A62" s="381"/>
      <c r="B62" s="376" t="s">
        <v>553</v>
      </c>
      <c r="C62" s="386">
        <v>48.14</v>
      </c>
      <c r="D62" s="387">
        <v>47.5</v>
      </c>
      <c r="E62" s="388">
        <v>-0.6400000000000006</v>
      </c>
      <c r="F62" s="376">
        <v>412</v>
      </c>
      <c r="G62" s="376">
        <v>47.5</v>
      </c>
      <c r="H62" s="376">
        <v>47.5</v>
      </c>
      <c r="I62" s="389">
        <v>-0.6400000000000006</v>
      </c>
    </row>
    <row r="63" spans="1:9" ht="12.75">
      <c r="A63" s="381" t="s">
        <v>125</v>
      </c>
      <c r="C63" s="384"/>
      <c r="D63" s="385"/>
      <c r="E63" s="385"/>
      <c r="G63" s="376">
        <v>0</v>
      </c>
      <c r="I63" s="389">
        <v>0</v>
      </c>
    </row>
    <row r="64" spans="1:10" ht="12.75">
      <c r="A64" s="381"/>
      <c r="B64" s="376" t="s">
        <v>554</v>
      </c>
      <c r="C64" s="386">
        <v>453.94</v>
      </c>
      <c r="D64" s="387">
        <v>478.8</v>
      </c>
      <c r="E64" s="388">
        <v>24.86</v>
      </c>
      <c r="F64" s="376">
        <v>431</v>
      </c>
      <c r="G64" s="376">
        <v>478.8</v>
      </c>
      <c r="H64" s="376">
        <v>409.8</v>
      </c>
      <c r="I64" s="389">
        <v>-44.14</v>
      </c>
      <c r="J64" s="376">
        <v>69</v>
      </c>
    </row>
    <row r="65" spans="1:9" ht="12.75">
      <c r="A65" s="381"/>
      <c r="B65" s="381" t="s">
        <v>555</v>
      </c>
      <c r="C65" s="386">
        <v>0</v>
      </c>
      <c r="D65" s="387">
        <v>0</v>
      </c>
      <c r="E65" s="388">
        <v>0</v>
      </c>
      <c r="G65" s="376">
        <v>0</v>
      </c>
      <c r="I65" s="389">
        <v>0</v>
      </c>
    </row>
    <row r="66" spans="1:9" ht="12.75">
      <c r="A66" s="381"/>
      <c r="B66" s="376" t="s">
        <v>556</v>
      </c>
      <c r="C66" s="386">
        <v>0</v>
      </c>
      <c r="D66" s="387">
        <v>0</v>
      </c>
      <c r="E66" s="388">
        <v>0</v>
      </c>
      <c r="G66" s="376">
        <v>0</v>
      </c>
      <c r="I66" s="389">
        <v>0</v>
      </c>
    </row>
    <row r="67" spans="1:9" ht="12.75">
      <c r="A67" s="381" t="s">
        <v>493</v>
      </c>
      <c r="C67" s="384"/>
      <c r="D67" s="385"/>
      <c r="E67" s="385"/>
      <c r="G67" s="376">
        <v>0</v>
      </c>
      <c r="I67" s="389">
        <v>0</v>
      </c>
    </row>
    <row r="68" spans="1:9" ht="12.75">
      <c r="A68" s="381"/>
      <c r="B68" s="376" t="s">
        <v>557</v>
      </c>
      <c r="C68" s="386">
        <v>377.66</v>
      </c>
      <c r="D68" s="387">
        <v>377</v>
      </c>
      <c r="E68" s="388">
        <v>-0.660000000000025</v>
      </c>
      <c r="F68" s="376">
        <v>441</v>
      </c>
      <c r="G68" s="376">
        <v>377</v>
      </c>
      <c r="H68" s="376">
        <v>377</v>
      </c>
      <c r="I68" s="389">
        <v>-0.660000000000025</v>
      </c>
    </row>
    <row r="69" spans="1:9" ht="12.75">
      <c r="A69" s="381"/>
      <c r="B69" s="376" t="s">
        <v>558</v>
      </c>
      <c r="C69" s="386">
        <v>82.18</v>
      </c>
      <c r="D69" s="387">
        <v>81.4</v>
      </c>
      <c r="E69" s="388">
        <v>-0.7800000000000011</v>
      </c>
      <c r="F69" s="376">
        <v>442</v>
      </c>
      <c r="G69" s="376">
        <v>81.4</v>
      </c>
      <c r="H69" s="376">
        <v>81.4</v>
      </c>
      <c r="I69" s="389">
        <v>-0.7800000000000011</v>
      </c>
    </row>
    <row r="70" spans="1:9" ht="12.75">
      <c r="A70" s="381"/>
      <c r="B70" s="376" t="s">
        <v>559</v>
      </c>
      <c r="C70" s="386">
        <v>14.27</v>
      </c>
      <c r="D70" s="387">
        <v>13.8</v>
      </c>
      <c r="E70" s="388">
        <v>-0.46999999999999886</v>
      </c>
      <c r="F70" s="376">
        <v>443</v>
      </c>
      <c r="G70" s="376">
        <v>13.8</v>
      </c>
      <c r="H70" s="376">
        <v>13.8</v>
      </c>
      <c r="I70" s="389">
        <v>-0.46999999999999886</v>
      </c>
    </row>
    <row r="71" spans="1:9" ht="12.75">
      <c r="A71" s="381"/>
      <c r="B71" s="376" t="s">
        <v>560</v>
      </c>
      <c r="C71" s="386">
        <v>312.65</v>
      </c>
      <c r="D71" s="387">
        <v>307.5</v>
      </c>
      <c r="E71" s="388">
        <v>-5.149999999999977</v>
      </c>
      <c r="F71" s="376">
        <v>444</v>
      </c>
      <c r="G71" s="376">
        <v>307.5</v>
      </c>
      <c r="H71" s="376">
        <v>307.5</v>
      </c>
      <c r="I71" s="389">
        <v>-5.149999999999977</v>
      </c>
    </row>
    <row r="72" spans="1:10" ht="12.75">
      <c r="A72" s="381"/>
      <c r="B72" s="376" t="s">
        <v>561</v>
      </c>
      <c r="C72" s="386">
        <v>522.1</v>
      </c>
      <c r="D72" s="387">
        <v>566.3</v>
      </c>
      <c r="E72" s="388">
        <v>44.19999999999993</v>
      </c>
      <c r="F72" s="376">
        <v>445</v>
      </c>
      <c r="G72" s="376">
        <v>566.3</v>
      </c>
      <c r="H72" s="376">
        <v>517.3</v>
      </c>
      <c r="I72" s="389">
        <v>-4.800000000000068</v>
      </c>
      <c r="J72" s="376">
        <v>49</v>
      </c>
    </row>
    <row r="73" spans="1:9" ht="12.75">
      <c r="A73" s="381" t="s">
        <v>494</v>
      </c>
      <c r="C73" s="384"/>
      <c r="D73" s="385"/>
      <c r="E73" s="385"/>
      <c r="G73" s="376">
        <v>0</v>
      </c>
      <c r="I73" s="389">
        <v>0</v>
      </c>
    </row>
    <row r="74" spans="1:10" ht="12.75">
      <c r="A74" s="381"/>
      <c r="B74" s="376" t="s">
        <v>480</v>
      </c>
      <c r="C74" s="386">
        <v>520.33</v>
      </c>
      <c r="D74" s="387">
        <v>478.1</v>
      </c>
      <c r="E74" s="388">
        <v>-42.23</v>
      </c>
      <c r="F74" s="376">
        <v>451</v>
      </c>
      <c r="G74" s="376">
        <v>478.1</v>
      </c>
      <c r="H74" s="376">
        <v>530.1</v>
      </c>
      <c r="I74" s="389">
        <v>9.769999999999982</v>
      </c>
      <c r="J74" s="376">
        <v>-52</v>
      </c>
    </row>
    <row r="75" spans="1:9" ht="12.75">
      <c r="A75" s="381"/>
      <c r="B75" s="376" t="s">
        <v>481</v>
      </c>
      <c r="C75" s="386">
        <v>261.74</v>
      </c>
      <c r="D75" s="387">
        <v>259.3</v>
      </c>
      <c r="E75" s="388">
        <v>-2.44</v>
      </c>
      <c r="F75" s="376">
        <v>452</v>
      </c>
      <c r="G75" s="376">
        <v>259.3</v>
      </c>
      <c r="H75" s="376">
        <v>259.3</v>
      </c>
      <c r="I75" s="389">
        <v>-2.44</v>
      </c>
    </row>
    <row r="76" spans="1:9" ht="12.75">
      <c r="A76" s="381"/>
      <c r="B76" s="376" t="s">
        <v>482</v>
      </c>
      <c r="C76" s="386">
        <v>324.72</v>
      </c>
      <c r="D76" s="387">
        <v>317.7</v>
      </c>
      <c r="E76" s="388">
        <v>-7.020000000000039</v>
      </c>
      <c r="F76" s="376">
        <v>453</v>
      </c>
      <c r="G76" s="376">
        <v>317.7</v>
      </c>
      <c r="H76" s="376">
        <v>317.7</v>
      </c>
      <c r="I76" s="389">
        <v>-7.020000000000039</v>
      </c>
    </row>
    <row r="77" spans="1:9" ht="12.75">
      <c r="A77" s="381"/>
      <c r="C77" s="384"/>
      <c r="D77" s="385"/>
      <c r="E77" s="385"/>
      <c r="G77" s="376">
        <v>0</v>
      </c>
      <c r="I77" s="389">
        <v>0</v>
      </c>
    </row>
    <row r="78" spans="1:10" ht="15" thickBot="1">
      <c r="A78" s="381" t="s">
        <v>495</v>
      </c>
      <c r="C78" s="386">
        <v>1.3</v>
      </c>
      <c r="D78" s="387">
        <v>1.3</v>
      </c>
      <c r="E78" s="413"/>
      <c r="F78" s="376">
        <v>460</v>
      </c>
      <c r="G78" s="376">
        <v>1.3</v>
      </c>
      <c r="H78" s="376">
        <v>1.3</v>
      </c>
      <c r="I78" s="389">
        <v>0</v>
      </c>
      <c r="J78" s="406"/>
    </row>
    <row r="79" spans="1:10" ht="15.75" thickBot="1">
      <c r="A79" s="407"/>
      <c r="B79" s="408" t="s">
        <v>515</v>
      </c>
      <c r="C79" s="409">
        <v>3301.06</v>
      </c>
      <c r="D79" s="410">
        <v>3305.1</v>
      </c>
      <c r="E79" s="410">
        <v>4.039999999999893</v>
      </c>
      <c r="F79" s="394"/>
      <c r="G79" s="394">
        <v>68</v>
      </c>
      <c r="H79" s="394"/>
      <c r="I79" s="395">
        <v>-63.96000000000011</v>
      </c>
      <c r="J79" s="395">
        <v>68</v>
      </c>
    </row>
    <row r="80" spans="1:9" ht="12.75">
      <c r="A80" s="381"/>
      <c r="C80" s="384"/>
      <c r="D80" s="385"/>
      <c r="E80" s="385"/>
      <c r="G80" s="376">
        <v>0</v>
      </c>
      <c r="I80" s="389">
        <v>0</v>
      </c>
    </row>
    <row r="81" spans="1:9" ht="12.75">
      <c r="A81" s="381" t="s">
        <v>496</v>
      </c>
      <c r="C81" s="386">
        <f>310.59-27.9</f>
        <v>282.69</v>
      </c>
      <c r="D81" s="387">
        <f>308.3-27.9</f>
        <v>280.40000000000003</v>
      </c>
      <c r="E81" s="388">
        <v>-2.2899999999999636</v>
      </c>
      <c r="F81" s="376">
        <v>510</v>
      </c>
      <c r="G81" s="376">
        <f>308.3-27.9</f>
        <v>280.40000000000003</v>
      </c>
      <c r="H81" s="376">
        <f>308.3-27.9</f>
        <v>280.40000000000003</v>
      </c>
      <c r="I81" s="389">
        <v>-2.2899999999999636</v>
      </c>
    </row>
    <row r="82" spans="1:9" ht="12.75">
      <c r="A82" s="381" t="s">
        <v>497</v>
      </c>
      <c r="C82" s="386">
        <v>610.92</v>
      </c>
      <c r="D82" s="387">
        <v>530.1</v>
      </c>
      <c r="E82" s="388">
        <v>-80.81999999999994</v>
      </c>
      <c r="F82" s="376">
        <v>520</v>
      </c>
      <c r="G82" s="376">
        <v>530.1</v>
      </c>
      <c r="H82" s="376">
        <v>530.1</v>
      </c>
      <c r="I82" s="389">
        <v>-80.81999999999994</v>
      </c>
    </row>
    <row r="83" spans="1:9" ht="12.75">
      <c r="A83" s="381" t="s">
        <v>498</v>
      </c>
      <c r="C83" s="386">
        <v>351.01</v>
      </c>
      <c r="D83" s="387">
        <v>329.1</v>
      </c>
      <c r="E83" s="388">
        <v>-21.91</v>
      </c>
      <c r="F83" s="376">
        <v>530</v>
      </c>
      <c r="G83" s="376">
        <v>329.1</v>
      </c>
      <c r="H83" s="376">
        <v>329.1</v>
      </c>
      <c r="I83" s="389">
        <v>-21.91</v>
      </c>
    </row>
    <row r="84" spans="1:9" ht="12.75">
      <c r="A84" s="381" t="s">
        <v>499</v>
      </c>
      <c r="C84" s="386">
        <v>220.96</v>
      </c>
      <c r="D84" s="387">
        <v>195.8</v>
      </c>
      <c r="E84" s="388">
        <v>-25.16</v>
      </c>
      <c r="F84" s="376">
        <v>540</v>
      </c>
      <c r="G84" s="376">
        <v>195.8</v>
      </c>
      <c r="H84" s="376">
        <v>195.8</v>
      </c>
      <c r="I84" s="389">
        <v>-25.16</v>
      </c>
    </row>
    <row r="85" spans="1:9" ht="12.75">
      <c r="A85" s="381" t="s">
        <v>500</v>
      </c>
      <c r="C85" s="386">
        <v>161.65</v>
      </c>
      <c r="D85" s="387">
        <v>179.3</v>
      </c>
      <c r="E85" s="388">
        <v>17.65</v>
      </c>
      <c r="F85" s="376">
        <v>550</v>
      </c>
      <c r="G85" s="376">
        <v>179.3</v>
      </c>
      <c r="H85" s="376">
        <v>179.3</v>
      </c>
      <c r="I85" s="389">
        <v>17.65</v>
      </c>
    </row>
    <row r="86" spans="1:9" ht="12.75">
      <c r="A86" s="381" t="s">
        <v>501</v>
      </c>
      <c r="C86" s="386">
        <v>381.94</v>
      </c>
      <c r="D86" s="387">
        <v>325.5</v>
      </c>
      <c r="E86" s="388">
        <v>-56.44</v>
      </c>
      <c r="F86" s="376">
        <v>560</v>
      </c>
      <c r="G86" s="376">
        <v>325.5</v>
      </c>
      <c r="H86" s="376">
        <v>325.5</v>
      </c>
      <c r="I86" s="389">
        <v>-56.44</v>
      </c>
    </row>
    <row r="87" spans="1:10" ht="15" thickBot="1">
      <c r="A87" s="381" t="s">
        <v>502</v>
      </c>
      <c r="C87" s="386">
        <f>12.46+27.9</f>
        <v>40.36</v>
      </c>
      <c r="D87" s="414">
        <f>5.5+27.9</f>
        <v>33.4</v>
      </c>
      <c r="E87" s="388">
        <v>-6.96</v>
      </c>
      <c r="F87" s="376">
        <v>580</v>
      </c>
      <c r="G87" s="376">
        <f>5.5+27.9</f>
        <v>33.4</v>
      </c>
      <c r="H87" s="376">
        <f>12.5+27.9</f>
        <v>40.4</v>
      </c>
      <c r="I87" s="389">
        <v>0.03999999999999915</v>
      </c>
      <c r="J87" s="406">
        <v>-7</v>
      </c>
    </row>
    <row r="88" spans="1:10" ht="15.75" thickBot="1">
      <c r="A88" s="407"/>
      <c r="B88" s="408" t="s">
        <v>516</v>
      </c>
      <c r="C88" s="409">
        <v>2049.53</v>
      </c>
      <c r="D88" s="410">
        <v>1873.6</v>
      </c>
      <c r="E88" s="410">
        <v>-175.93</v>
      </c>
      <c r="F88" s="394"/>
      <c r="G88" s="394">
        <v>-7</v>
      </c>
      <c r="H88" s="394"/>
      <c r="I88" s="411">
        <v>-168.93</v>
      </c>
      <c r="J88" s="411">
        <v>-7</v>
      </c>
    </row>
    <row r="89" spans="1:9" ht="12.75">
      <c r="A89" s="381" t="s">
        <v>126</v>
      </c>
      <c r="C89" s="384"/>
      <c r="D89" s="385"/>
      <c r="E89" s="385"/>
      <c r="G89" s="376">
        <v>0</v>
      </c>
      <c r="I89" s="389">
        <v>0</v>
      </c>
    </row>
    <row r="90" spans="1:9" ht="12.75">
      <c r="A90" s="381"/>
      <c r="B90" s="376" t="s">
        <v>483</v>
      </c>
      <c r="C90" s="386">
        <v>0</v>
      </c>
      <c r="D90" s="387">
        <v>0</v>
      </c>
      <c r="E90" s="388">
        <v>0</v>
      </c>
      <c r="G90" s="376">
        <v>0</v>
      </c>
      <c r="I90" s="389">
        <v>0</v>
      </c>
    </row>
    <row r="91" spans="1:9" ht="12.75">
      <c r="A91" s="381"/>
      <c r="B91" s="376" t="s">
        <v>484</v>
      </c>
      <c r="C91" s="386">
        <v>0</v>
      </c>
      <c r="D91" s="387">
        <v>0</v>
      </c>
      <c r="E91" s="388">
        <v>0</v>
      </c>
      <c r="G91" s="376">
        <v>0</v>
      </c>
      <c r="I91" s="389">
        <v>0</v>
      </c>
    </row>
    <row r="92" spans="1:9" ht="12.75">
      <c r="A92" s="381"/>
      <c r="B92" s="376" t="s">
        <v>485</v>
      </c>
      <c r="C92" s="386">
        <v>94.51</v>
      </c>
      <c r="D92" s="387">
        <v>92.3</v>
      </c>
      <c r="E92" s="388">
        <v>-2.210000000000008</v>
      </c>
      <c r="F92" s="376">
        <v>613</v>
      </c>
      <c r="G92" s="376">
        <v>92.3</v>
      </c>
      <c r="H92" s="376">
        <v>92.3</v>
      </c>
      <c r="I92" s="389">
        <v>-2.210000000000008</v>
      </c>
    </row>
    <row r="93" spans="1:9" ht="12.75">
      <c r="A93" s="381"/>
      <c r="B93" s="376" t="s">
        <v>486</v>
      </c>
      <c r="C93" s="386">
        <v>0</v>
      </c>
      <c r="D93" s="387">
        <v>0</v>
      </c>
      <c r="E93" s="388">
        <v>0</v>
      </c>
      <c r="G93" s="376">
        <v>0</v>
      </c>
      <c r="I93" s="389">
        <v>0</v>
      </c>
    </row>
    <row r="94" spans="1:9" ht="12.75">
      <c r="A94" s="381" t="s">
        <v>127</v>
      </c>
      <c r="C94" s="384"/>
      <c r="D94" s="385"/>
      <c r="E94" s="385"/>
      <c r="G94" s="376">
        <v>0</v>
      </c>
      <c r="I94" s="389">
        <v>0</v>
      </c>
    </row>
    <row r="95" spans="1:9" ht="12.75">
      <c r="A95" s="381"/>
      <c r="B95" s="376" t="s">
        <v>487</v>
      </c>
      <c r="C95" s="386">
        <v>233.04</v>
      </c>
      <c r="D95" s="387">
        <v>229</v>
      </c>
      <c r="E95" s="388">
        <v>-4.039999999999992</v>
      </c>
      <c r="F95" s="376">
        <v>621</v>
      </c>
      <c r="G95" s="376">
        <v>229</v>
      </c>
      <c r="H95" s="376">
        <v>229</v>
      </c>
      <c r="I95" s="389">
        <v>-4.039999999999992</v>
      </c>
    </row>
    <row r="96" spans="1:9" ht="12.75">
      <c r="A96" s="381"/>
      <c r="B96" s="376" t="s">
        <v>488</v>
      </c>
      <c r="C96" s="386">
        <v>0</v>
      </c>
      <c r="D96" s="387">
        <v>0</v>
      </c>
      <c r="E96" s="388">
        <v>0</v>
      </c>
      <c r="F96" s="376">
        <v>622</v>
      </c>
      <c r="G96" s="376">
        <v>0</v>
      </c>
      <c r="I96" s="389">
        <v>0</v>
      </c>
    </row>
    <row r="97" spans="1:9" ht="12.75">
      <c r="A97" s="381"/>
      <c r="B97" s="376" t="s">
        <v>489</v>
      </c>
      <c r="C97" s="386">
        <v>230.22</v>
      </c>
      <c r="D97" s="387">
        <v>226</v>
      </c>
      <c r="E97" s="388">
        <v>-4.22</v>
      </c>
      <c r="F97" s="376">
        <v>623</v>
      </c>
      <c r="G97" s="376">
        <v>226</v>
      </c>
      <c r="H97" s="376">
        <v>226</v>
      </c>
      <c r="I97" s="389">
        <v>-4.22</v>
      </c>
    </row>
    <row r="98" spans="1:9" ht="12.75">
      <c r="A98" s="381"/>
      <c r="C98" s="384"/>
      <c r="D98" s="385"/>
      <c r="E98" s="385"/>
      <c r="G98" s="376">
        <v>0</v>
      </c>
      <c r="I98" s="389">
        <v>0</v>
      </c>
    </row>
    <row r="99" spans="1:9" ht="12.75">
      <c r="A99" s="381" t="s">
        <v>128</v>
      </c>
      <c r="C99" s="386">
        <v>109.3</v>
      </c>
      <c r="D99" s="387">
        <v>106.9</v>
      </c>
      <c r="E99" s="388">
        <v>-2.3999999999999915</v>
      </c>
      <c r="F99" s="376">
        <v>630</v>
      </c>
      <c r="G99" s="376">
        <v>106.9</v>
      </c>
      <c r="H99" s="376">
        <v>106.9</v>
      </c>
      <c r="I99" s="389">
        <v>-2.3999999999999915</v>
      </c>
    </row>
    <row r="100" spans="1:9" ht="12.75">
      <c r="A100" s="381" t="s">
        <v>503</v>
      </c>
      <c r="C100" s="384"/>
      <c r="D100" s="385"/>
      <c r="E100" s="385"/>
      <c r="G100" s="376">
        <v>0</v>
      </c>
      <c r="I100" s="389">
        <v>0</v>
      </c>
    </row>
    <row r="101" spans="1:9" ht="12.75">
      <c r="A101" s="381"/>
      <c r="B101" s="376" t="s">
        <v>484</v>
      </c>
      <c r="C101" s="386">
        <v>9.38</v>
      </c>
      <c r="D101" s="387">
        <v>9.4</v>
      </c>
      <c r="E101" s="388">
        <v>0.019999999999999574</v>
      </c>
      <c r="F101" s="376">
        <v>612</v>
      </c>
      <c r="G101" s="376">
        <v>9.4</v>
      </c>
      <c r="H101" s="376">
        <v>9.4</v>
      </c>
      <c r="I101" s="389">
        <v>0.019999999999999574</v>
      </c>
    </row>
    <row r="102" spans="1:10" ht="15" thickBot="1">
      <c r="A102" s="381"/>
      <c r="B102" s="376" t="s">
        <v>490</v>
      </c>
      <c r="C102" s="386">
        <v>15</v>
      </c>
      <c r="D102" s="387">
        <v>15</v>
      </c>
      <c r="E102" s="388">
        <v>0</v>
      </c>
      <c r="F102" s="376">
        <v>650</v>
      </c>
      <c r="G102" s="376">
        <v>15</v>
      </c>
      <c r="H102" s="376">
        <v>15</v>
      </c>
      <c r="I102" s="389">
        <v>0</v>
      </c>
      <c r="J102" s="406"/>
    </row>
    <row r="103" spans="1:10" ht="15.75" thickBot="1">
      <c r="A103" s="407"/>
      <c r="B103" s="408" t="s">
        <v>517</v>
      </c>
      <c r="C103" s="409">
        <v>691.45</v>
      </c>
      <c r="D103" s="410">
        <v>678.6</v>
      </c>
      <c r="E103" s="410">
        <v>-12.85</v>
      </c>
      <c r="F103" s="394"/>
      <c r="G103" s="394">
        <v>0</v>
      </c>
      <c r="H103" s="394"/>
      <c r="I103" s="395">
        <v>-12.85</v>
      </c>
      <c r="J103" s="395">
        <v>0</v>
      </c>
    </row>
    <row r="104" spans="1:9" ht="12.75">
      <c r="A104" s="381" t="s">
        <v>504</v>
      </c>
      <c r="C104" s="386">
        <v>32.15</v>
      </c>
      <c r="D104" s="387">
        <v>32.2</v>
      </c>
      <c r="E104" s="388">
        <v>0.05000000000000426</v>
      </c>
      <c r="F104" s="376">
        <v>710</v>
      </c>
      <c r="G104" s="376">
        <v>32.2</v>
      </c>
      <c r="H104" s="376">
        <v>32.2</v>
      </c>
      <c r="I104" s="389">
        <v>0.05000000000000426</v>
      </c>
    </row>
    <row r="105" spans="1:9" ht="12.75">
      <c r="A105" s="381" t="s">
        <v>505</v>
      </c>
      <c r="C105" s="386">
        <v>8.09</v>
      </c>
      <c r="D105" s="387">
        <v>9.1</v>
      </c>
      <c r="E105" s="388">
        <v>1.01</v>
      </c>
      <c r="F105" s="376">
        <v>720</v>
      </c>
      <c r="G105" s="376">
        <v>9.1</v>
      </c>
      <c r="H105" s="376">
        <v>9.1</v>
      </c>
      <c r="I105" s="389">
        <v>1.01</v>
      </c>
    </row>
    <row r="106" spans="1:10" ht="12.75">
      <c r="A106" s="381" t="s">
        <v>506</v>
      </c>
      <c r="C106" s="386">
        <v>164.42</v>
      </c>
      <c r="D106" s="387">
        <v>109.1</v>
      </c>
      <c r="E106" s="388">
        <v>-55.32</v>
      </c>
      <c r="F106" s="376">
        <v>730</v>
      </c>
      <c r="G106" s="376">
        <v>109.1</v>
      </c>
      <c r="H106" s="376">
        <v>159.1</v>
      </c>
      <c r="I106" s="389">
        <v>-5.319999999999993</v>
      </c>
      <c r="J106" s="376">
        <v>-50</v>
      </c>
    </row>
    <row r="107" spans="1:9" ht="12.75">
      <c r="A107" s="381" t="s">
        <v>507</v>
      </c>
      <c r="C107" s="384"/>
      <c r="D107" s="385"/>
      <c r="E107" s="388">
        <v>0</v>
      </c>
      <c r="G107" s="376">
        <v>0</v>
      </c>
      <c r="I107" s="389">
        <v>0</v>
      </c>
    </row>
    <row r="108" spans="1:10" ht="12.75">
      <c r="A108" s="381"/>
      <c r="B108" s="376" t="s">
        <v>491</v>
      </c>
      <c r="C108" s="386">
        <v>152.71</v>
      </c>
      <c r="D108" s="387">
        <v>335.8</v>
      </c>
      <c r="E108" s="388">
        <v>183.09</v>
      </c>
      <c r="F108" s="376">
        <v>740</v>
      </c>
      <c r="G108" s="376">
        <v>335.8</v>
      </c>
      <c r="H108" s="376">
        <v>157.8</v>
      </c>
      <c r="I108" s="389">
        <v>5.09</v>
      </c>
      <c r="J108" s="376">
        <v>178</v>
      </c>
    </row>
    <row r="109" spans="1:9" ht="12.75">
      <c r="A109" s="381"/>
      <c r="B109" s="376" t="s">
        <v>562</v>
      </c>
      <c r="C109" s="386">
        <v>312.58</v>
      </c>
      <c r="D109" s="387">
        <v>312.6</v>
      </c>
      <c r="E109" s="388">
        <v>0.020000000000038654</v>
      </c>
      <c r="F109" s="376">
        <v>741</v>
      </c>
      <c r="G109" s="376">
        <v>312.6</v>
      </c>
      <c r="H109" s="376">
        <v>312.6</v>
      </c>
      <c r="I109" s="389">
        <v>0.020000000000038654</v>
      </c>
    </row>
    <row r="110" spans="1:9" ht="12.75">
      <c r="A110" s="381"/>
      <c r="B110" s="376" t="s">
        <v>563</v>
      </c>
      <c r="C110" s="386">
        <v>1099.47</v>
      </c>
      <c r="D110" s="387">
        <v>1104.8</v>
      </c>
      <c r="E110" s="388">
        <v>5.329999999999927</v>
      </c>
      <c r="F110" s="376">
        <v>742</v>
      </c>
      <c r="G110" s="376">
        <v>1104.8</v>
      </c>
      <c r="H110" s="376">
        <v>1104.8</v>
      </c>
      <c r="I110" s="389">
        <v>5.329999999999927</v>
      </c>
    </row>
    <row r="111" spans="1:9" ht="12.75">
      <c r="A111" s="381" t="s">
        <v>508</v>
      </c>
      <c r="C111" s="384"/>
      <c r="D111" s="385"/>
      <c r="E111" s="388">
        <v>0</v>
      </c>
      <c r="G111" s="376">
        <v>0</v>
      </c>
      <c r="I111" s="389">
        <v>0</v>
      </c>
    </row>
    <row r="112" spans="1:9" ht="12.75">
      <c r="A112" s="381"/>
      <c r="B112" s="376" t="s">
        <v>564</v>
      </c>
      <c r="C112" s="386">
        <v>2365.55</v>
      </c>
      <c r="D112" s="387">
        <v>2413.8</v>
      </c>
      <c r="E112" s="388">
        <v>48.25</v>
      </c>
      <c r="F112" s="376">
        <v>750</v>
      </c>
      <c r="G112" s="376">
        <v>2413.8</v>
      </c>
      <c r="H112" s="376">
        <v>2413.8</v>
      </c>
      <c r="I112" s="389">
        <v>48.25</v>
      </c>
    </row>
    <row r="113" spans="1:12" ht="15" thickBot="1">
      <c r="A113" s="381" t="s">
        <v>509</v>
      </c>
      <c r="C113" s="386">
        <v>238.25</v>
      </c>
      <c r="D113" s="387">
        <v>237.8</v>
      </c>
      <c r="E113" s="388">
        <v>-0.44999999999998863</v>
      </c>
      <c r="F113" s="376">
        <v>760</v>
      </c>
      <c r="G113" s="376">
        <v>237.8</v>
      </c>
      <c r="H113" s="376">
        <v>237.8</v>
      </c>
      <c r="I113" s="389">
        <v>-0.44999999999998863</v>
      </c>
      <c r="J113" s="406"/>
      <c r="K113" s="406"/>
      <c r="L113" s="406"/>
    </row>
    <row r="114" spans="1:10" ht="15.75" thickBot="1">
      <c r="A114" s="407"/>
      <c r="B114" s="408" t="s">
        <v>518</v>
      </c>
      <c r="C114" s="409">
        <v>4373.22</v>
      </c>
      <c r="D114" s="410">
        <v>4555.2</v>
      </c>
      <c r="E114" s="410">
        <v>181.98</v>
      </c>
      <c r="F114" s="394"/>
      <c r="G114" s="394">
        <v>128</v>
      </c>
      <c r="H114" s="394"/>
      <c r="I114" s="395">
        <v>53.98</v>
      </c>
      <c r="J114" s="395">
        <v>128</v>
      </c>
    </row>
    <row r="115" spans="1:10" ht="12.75">
      <c r="A115" s="381" t="s">
        <v>510</v>
      </c>
      <c r="C115" s="386">
        <v>4508.81</v>
      </c>
      <c r="D115" s="387">
        <v>4452.9</v>
      </c>
      <c r="E115" s="388">
        <v>-55.910000000000764</v>
      </c>
      <c r="F115" s="376">
        <v>810</v>
      </c>
      <c r="G115" s="376">
        <v>4452.9</v>
      </c>
      <c r="H115" s="376">
        <v>4442.9</v>
      </c>
      <c r="I115" s="389">
        <v>-65.91000000000076</v>
      </c>
      <c r="J115" s="376">
        <v>10</v>
      </c>
    </row>
    <row r="116" spans="1:10" ht="12.75">
      <c r="A116" s="381" t="s">
        <v>129</v>
      </c>
      <c r="B116" s="381"/>
      <c r="C116" s="386">
        <v>4885.08</v>
      </c>
      <c r="D116" s="387">
        <v>4904.1</v>
      </c>
      <c r="E116" s="388">
        <v>19.020000000000437</v>
      </c>
      <c r="F116" s="376">
        <v>820</v>
      </c>
      <c r="G116" s="376">
        <v>4904.1</v>
      </c>
      <c r="H116" s="376">
        <v>4969.1</v>
      </c>
      <c r="I116" s="389">
        <v>84.02000000000044</v>
      </c>
      <c r="J116" s="376">
        <v>-65</v>
      </c>
    </row>
    <row r="117" spans="1:9" ht="12.75">
      <c r="A117" s="381" t="s">
        <v>130</v>
      </c>
      <c r="C117" s="386">
        <v>469.93</v>
      </c>
      <c r="D117" s="387">
        <v>469.9</v>
      </c>
      <c r="E117" s="388">
        <v>-0.03000000000002956</v>
      </c>
      <c r="F117" s="376">
        <v>840</v>
      </c>
      <c r="G117" s="376">
        <v>469.9</v>
      </c>
      <c r="H117" s="376">
        <v>469.9</v>
      </c>
      <c r="I117" s="389">
        <v>-0.03000000000002956</v>
      </c>
    </row>
    <row r="118" spans="1:12" ht="15" thickBot="1">
      <c r="A118" s="381" t="s">
        <v>511</v>
      </c>
      <c r="C118" s="386">
        <v>1189.18</v>
      </c>
      <c r="D118" s="387">
        <v>1197.7</v>
      </c>
      <c r="E118" s="388">
        <v>8.519999999999982</v>
      </c>
      <c r="F118" s="376">
        <v>850</v>
      </c>
      <c r="G118" s="376">
        <v>1197.7</v>
      </c>
      <c r="H118" s="376">
        <v>1197.7</v>
      </c>
      <c r="I118" s="389">
        <v>8.519999999999982</v>
      </c>
      <c r="J118" s="406"/>
      <c r="K118" s="406"/>
      <c r="L118" s="406"/>
    </row>
    <row r="119" spans="1:12" ht="15.75" thickBot="1">
      <c r="A119" s="407"/>
      <c r="B119" s="408" t="s">
        <v>519</v>
      </c>
      <c r="C119" s="409">
        <v>11053</v>
      </c>
      <c r="D119" s="410">
        <v>11024.6</v>
      </c>
      <c r="E119" s="410">
        <v>-28.400000000000375</v>
      </c>
      <c r="F119" s="394"/>
      <c r="G119" s="394">
        <v>-55</v>
      </c>
      <c r="H119" s="394"/>
      <c r="I119" s="395">
        <v>26.599999999999625</v>
      </c>
      <c r="J119" s="395">
        <v>-55</v>
      </c>
      <c r="K119" s="406"/>
      <c r="L119" s="415">
        <v>12633</v>
      </c>
    </row>
    <row r="120" spans="1:10" ht="15.75" thickBot="1">
      <c r="A120" s="407" t="s">
        <v>565</v>
      </c>
      <c r="B120" s="416"/>
      <c r="C120" s="417">
        <v>1576.89</v>
      </c>
      <c r="D120" s="418">
        <v>1608.4</v>
      </c>
      <c r="E120" s="398">
        <v>31.51</v>
      </c>
      <c r="F120" s="394" t="s">
        <v>573</v>
      </c>
      <c r="G120" s="394">
        <v>1608.4</v>
      </c>
      <c r="H120" s="394">
        <v>1552.4</v>
      </c>
      <c r="I120" s="395">
        <v>-24.49</v>
      </c>
      <c r="J120" s="419">
        <v>56</v>
      </c>
    </row>
    <row r="121" spans="1:12" ht="14.25">
      <c r="A121" s="381"/>
      <c r="C121" s="420"/>
      <c r="D121" s="421"/>
      <c r="E121" s="421"/>
      <c r="G121" s="376">
        <v>0</v>
      </c>
      <c r="I121" s="389">
        <v>0</v>
      </c>
      <c r="J121" s="406"/>
      <c r="K121" s="406"/>
      <c r="L121" s="406"/>
    </row>
    <row r="122" spans="1:9" ht="15.75" thickBot="1">
      <c r="A122" s="422" t="s">
        <v>131</v>
      </c>
      <c r="B122" s="406"/>
      <c r="C122" s="423">
        <v>11969.1</v>
      </c>
      <c r="D122" s="387">
        <v>9612</v>
      </c>
      <c r="E122" s="388">
        <v>-2357.1</v>
      </c>
      <c r="F122" s="376" t="s">
        <v>574</v>
      </c>
      <c r="G122" s="376">
        <v>9612</v>
      </c>
      <c r="I122" s="389"/>
    </row>
    <row r="123" spans="1:9" ht="15.75" thickTop="1">
      <c r="A123" s="422"/>
      <c r="B123" s="406"/>
      <c r="C123" s="384"/>
      <c r="D123" s="385"/>
      <c r="E123" s="385"/>
      <c r="G123" s="376">
        <v>0</v>
      </c>
      <c r="I123" s="389"/>
    </row>
    <row r="124" spans="1:9" ht="12.75">
      <c r="A124" s="381" t="s">
        <v>571</v>
      </c>
      <c r="C124" s="386">
        <v>75</v>
      </c>
      <c r="D124" s="387">
        <v>75</v>
      </c>
      <c r="E124" s="388">
        <v>0</v>
      </c>
      <c r="F124" s="376" t="s">
        <v>575</v>
      </c>
      <c r="G124" s="376">
        <v>75</v>
      </c>
      <c r="H124" s="376">
        <v>75</v>
      </c>
      <c r="I124" s="389"/>
    </row>
    <row r="125" spans="1:11" ht="16.5" thickBot="1">
      <c r="A125" s="381"/>
      <c r="C125" s="424">
        <v>92401.39</v>
      </c>
      <c r="D125" s="425">
        <v>92400.7</v>
      </c>
      <c r="E125" s="425">
        <v>-0.37999999999919964</v>
      </c>
      <c r="G125" s="426">
        <v>95321.7</v>
      </c>
      <c r="H125" s="426">
        <v>81195.7</v>
      </c>
      <c r="I125" s="425">
        <v>763.72</v>
      </c>
      <c r="J125" s="425">
        <v>1592</v>
      </c>
      <c r="K125" s="389">
        <v>2355.72</v>
      </c>
    </row>
    <row r="126" ht="12.75">
      <c r="A126" s="381"/>
    </row>
    <row r="127" spans="1:4" ht="12.75">
      <c r="A127" s="381"/>
      <c r="D127" s="389">
        <v>82713.7</v>
      </c>
    </row>
    <row r="128" ht="12.75">
      <c r="A128" s="381"/>
    </row>
    <row r="130" ht="12.75">
      <c r="B130" s="385"/>
    </row>
    <row r="131" ht="12.75">
      <c r="B131" s="385"/>
    </row>
    <row r="132" ht="15.75">
      <c r="B132" s="427"/>
    </row>
    <row r="133" spans="2:9" ht="15.75">
      <c r="B133" s="427"/>
      <c r="F133" s="406"/>
      <c r="G133" s="406"/>
      <c r="H133" s="406"/>
      <c r="I133" s="406"/>
    </row>
    <row r="134" ht="15.75">
      <c r="B134" s="427"/>
    </row>
    <row r="148" spans="6:9" ht="14.25">
      <c r="F148" s="406"/>
      <c r="G148" s="406"/>
      <c r="H148" s="406"/>
      <c r="I148" s="406"/>
    </row>
    <row r="159" spans="6:9" ht="14.25">
      <c r="F159" s="406"/>
      <c r="G159" s="406"/>
      <c r="H159" s="406"/>
      <c r="I159" s="406"/>
    </row>
    <row r="164" spans="6:9" ht="14.25">
      <c r="F164" s="406"/>
      <c r="G164" s="406"/>
      <c r="H164" s="406"/>
      <c r="I164" s="406"/>
    </row>
    <row r="165" spans="6:9" ht="14.25">
      <c r="F165" s="406"/>
      <c r="G165" s="406"/>
      <c r="H165" s="406"/>
      <c r="I165" s="406"/>
    </row>
    <row r="167" spans="6:9" ht="14.25">
      <c r="F167" s="406"/>
      <c r="G167" s="406"/>
      <c r="H167" s="406"/>
      <c r="I167" s="406"/>
    </row>
  </sheetData>
  <printOptions/>
  <pageMargins left="1.17" right="0.27" top="0.43" bottom="0.23" header="0.26" footer="0.17"/>
  <pageSetup fitToHeight="2" fitToWidth="1" horizontalDpi="600" verticalDpi="600" orientation="portrait" scale="76" r:id="rId1"/>
  <headerFooter alignWithMargins="0">
    <oddFooter>&amp;R&amp;F          &amp;A     &amp;D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C3:P40"/>
  <sheetViews>
    <sheetView workbookViewId="0" topLeftCell="A1">
      <selection activeCell="C3" sqref="C3:L29"/>
    </sheetView>
  </sheetViews>
  <sheetFormatPr defaultColWidth="9.140625" defaultRowHeight="12.75"/>
  <cols>
    <col min="1" max="2" width="9.140625" style="2" customWidth="1"/>
    <col min="3" max="3" width="34.28125" style="2" customWidth="1"/>
    <col min="4" max="4" width="10.00390625" style="2" customWidth="1"/>
    <col min="5" max="5" width="1.28515625" style="2" customWidth="1"/>
    <col min="6" max="6" width="14.00390625" style="2" customWidth="1"/>
    <col min="7" max="7" width="1.8515625" style="2" customWidth="1"/>
    <col min="8" max="8" width="13.140625" style="2" customWidth="1"/>
    <col min="9" max="9" width="0.42578125" style="2" customWidth="1"/>
    <col min="10" max="10" width="11.57421875" style="2" customWidth="1"/>
    <col min="11" max="11" width="1.8515625" style="2" customWidth="1"/>
    <col min="12" max="12" width="13.140625" style="2" customWidth="1"/>
    <col min="13" max="13" width="7.00390625" style="2" customWidth="1"/>
    <col min="14" max="16384" width="9.140625" style="2" customWidth="1"/>
  </cols>
  <sheetData>
    <row r="3" spans="4:12" s="291" customFormat="1" ht="44.25" customHeight="1" thickBot="1">
      <c r="D3" s="338" t="s">
        <v>672</v>
      </c>
      <c r="E3" s="337"/>
      <c r="F3" s="338" t="s">
        <v>158</v>
      </c>
      <c r="G3" s="337"/>
      <c r="H3" s="338" t="s">
        <v>654</v>
      </c>
      <c r="I3" s="337"/>
      <c r="J3" s="338" t="s">
        <v>656</v>
      </c>
      <c r="K3" s="337"/>
      <c r="L3" s="338" t="s">
        <v>674</v>
      </c>
    </row>
    <row r="4" spans="3:12" ht="12.75">
      <c r="C4" s="3" t="s">
        <v>114</v>
      </c>
      <c r="D4" s="4">
        <v>9439</v>
      </c>
      <c r="E4" s="4"/>
      <c r="F4" s="4">
        <f>212.271-3</f>
        <v>209.271</v>
      </c>
      <c r="G4" s="4"/>
      <c r="H4" s="4">
        <v>106</v>
      </c>
      <c r="I4" s="4"/>
      <c r="J4" s="4">
        <f>SUM(H4,F4)</f>
        <v>315.27099999999996</v>
      </c>
      <c r="K4" s="4"/>
      <c r="L4" s="4">
        <f>SUM(J4:K4,D4)</f>
        <v>9754.271</v>
      </c>
    </row>
    <row r="5" spans="3:12" ht="12.75">
      <c r="C5" s="3" t="s">
        <v>115</v>
      </c>
      <c r="D5" s="4">
        <v>4831</v>
      </c>
      <c r="E5" s="4"/>
      <c r="F5" s="4">
        <f>167.969-12</f>
        <v>155.969</v>
      </c>
      <c r="G5" s="4"/>
      <c r="H5" s="4">
        <v>273</v>
      </c>
      <c r="I5" s="4"/>
      <c r="J5" s="4">
        <f aca="true" t="shared" si="0" ref="J5:J21">SUM(H5,F5)</f>
        <v>428.969</v>
      </c>
      <c r="K5" s="4"/>
      <c r="L5" s="4">
        <f aca="true" t="shared" si="1" ref="L5:L22">SUM(J5:K5,D5)</f>
        <v>5259.969</v>
      </c>
    </row>
    <row r="6" spans="3:12" ht="12.75">
      <c r="C6" s="3" t="s">
        <v>116</v>
      </c>
      <c r="D6" s="4">
        <v>32247</v>
      </c>
      <c r="E6" s="4"/>
      <c r="F6" s="4">
        <f>656.518-45</f>
        <v>611.518</v>
      </c>
      <c r="G6" s="4"/>
      <c r="H6" s="4">
        <v>612.83</v>
      </c>
      <c r="I6" s="4"/>
      <c r="J6" s="4">
        <f t="shared" si="0"/>
        <v>1224.348</v>
      </c>
      <c r="K6" s="4"/>
      <c r="L6" s="4">
        <f t="shared" si="1"/>
        <v>33471.348</v>
      </c>
    </row>
    <row r="7" spans="3:12" ht="12.75">
      <c r="C7" s="3" t="s">
        <v>117</v>
      </c>
      <c r="D7" s="4">
        <v>1386</v>
      </c>
      <c r="E7" s="4"/>
      <c r="F7" s="4">
        <v>2.349</v>
      </c>
      <c r="G7" s="4"/>
      <c r="H7" s="4">
        <v>-63</v>
      </c>
      <c r="I7" s="4"/>
      <c r="J7" s="4">
        <f t="shared" si="0"/>
        <v>-60.650999999999996</v>
      </c>
      <c r="K7" s="4"/>
      <c r="L7" s="4">
        <f t="shared" si="1"/>
        <v>1325.349</v>
      </c>
    </row>
    <row r="8" spans="3:12" ht="12.75">
      <c r="C8" s="3" t="s">
        <v>118</v>
      </c>
      <c r="D8" s="4">
        <v>1135</v>
      </c>
      <c r="E8" s="4"/>
      <c r="F8" s="4">
        <v>2.792</v>
      </c>
      <c r="G8" s="4"/>
      <c r="H8" s="4">
        <v>0</v>
      </c>
      <c r="I8" s="4"/>
      <c r="J8" s="4">
        <f t="shared" si="0"/>
        <v>2.792</v>
      </c>
      <c r="K8" s="4"/>
      <c r="L8" s="4">
        <f t="shared" si="1"/>
        <v>1137.792</v>
      </c>
    </row>
    <row r="9" spans="3:12" ht="12.75">
      <c r="C9" s="3" t="s">
        <v>141</v>
      </c>
      <c r="D9" s="4">
        <v>1533</v>
      </c>
      <c r="E9" s="4"/>
      <c r="F9" s="4">
        <f>46.486-1</f>
        <v>45.486</v>
      </c>
      <c r="G9" s="4"/>
      <c r="H9" s="4">
        <v>0</v>
      </c>
      <c r="I9" s="4"/>
      <c r="J9" s="4">
        <f t="shared" si="0"/>
        <v>45.486</v>
      </c>
      <c r="K9" s="4"/>
      <c r="L9" s="4">
        <f t="shared" si="1"/>
        <v>1578.486</v>
      </c>
    </row>
    <row r="10" spans="3:12" ht="12.75">
      <c r="C10" s="3" t="s">
        <v>119</v>
      </c>
      <c r="D10" s="4">
        <v>5281</v>
      </c>
      <c r="E10" s="4"/>
      <c r="F10" s="4">
        <f>77.76-9</f>
        <v>68.76</v>
      </c>
      <c r="G10" s="4"/>
      <c r="H10" s="4">
        <v>657</v>
      </c>
      <c r="I10" s="4"/>
      <c r="J10" s="4">
        <f t="shared" si="0"/>
        <v>725.76</v>
      </c>
      <c r="K10" s="4"/>
      <c r="L10" s="4">
        <f t="shared" si="1"/>
        <v>6006.76</v>
      </c>
    </row>
    <row r="11" spans="3:12" ht="15">
      <c r="C11" s="3" t="s">
        <v>142</v>
      </c>
      <c r="D11" s="5">
        <v>2767</v>
      </c>
      <c r="E11" s="5"/>
      <c r="F11" s="5">
        <v>2.538</v>
      </c>
      <c r="G11" s="5"/>
      <c r="H11" s="5">
        <v>0</v>
      </c>
      <c r="I11" s="4"/>
      <c r="J11" s="5">
        <f t="shared" si="0"/>
        <v>2.538</v>
      </c>
      <c r="K11" s="5"/>
      <c r="L11" s="5">
        <f t="shared" si="1"/>
        <v>2769.538</v>
      </c>
    </row>
    <row r="12" spans="3:12" ht="12.75">
      <c r="C12" s="6" t="s">
        <v>143</v>
      </c>
      <c r="D12" s="4">
        <f>SUM(D4:D11)</f>
        <v>58619</v>
      </c>
      <c r="E12" s="4"/>
      <c r="F12" s="4">
        <f>SUM(F4:F11)</f>
        <v>1098.6830000000002</v>
      </c>
      <c r="G12" s="4"/>
      <c r="H12" s="4">
        <f>SUM(H4:H11)</f>
        <v>1585.83</v>
      </c>
      <c r="I12" s="4"/>
      <c r="J12" s="4">
        <f t="shared" si="0"/>
        <v>2684.513</v>
      </c>
      <c r="K12" s="4"/>
      <c r="L12" s="4">
        <f t="shared" si="1"/>
        <v>61303.513</v>
      </c>
    </row>
    <row r="13" spans="3:12" ht="12.75">
      <c r="C13" s="6" t="s">
        <v>144</v>
      </c>
      <c r="D13" s="4">
        <v>791</v>
      </c>
      <c r="E13" s="4"/>
      <c r="F13" s="4">
        <v>-0.126</v>
      </c>
      <c r="G13" s="4"/>
      <c r="H13" s="4">
        <v>-306</v>
      </c>
      <c r="I13" s="4"/>
      <c r="J13" s="4">
        <f t="shared" si="0"/>
        <v>-306.126</v>
      </c>
      <c r="K13" s="4"/>
      <c r="L13" s="4">
        <f t="shared" si="1"/>
        <v>484.874</v>
      </c>
    </row>
    <row r="14" spans="3:12" ht="12.75">
      <c r="C14" s="6" t="s">
        <v>145</v>
      </c>
      <c r="D14" s="4">
        <v>1149</v>
      </c>
      <c r="E14" s="4"/>
      <c r="F14" s="4">
        <f>69.909-5</f>
        <v>64.909</v>
      </c>
      <c r="G14" s="4"/>
      <c r="H14" s="4">
        <v>-219.379</v>
      </c>
      <c r="I14" s="4"/>
      <c r="J14" s="4">
        <f t="shared" si="0"/>
        <v>-154.46999999999997</v>
      </c>
      <c r="K14" s="4"/>
      <c r="L14" s="4">
        <f t="shared" si="1"/>
        <v>994.53</v>
      </c>
    </row>
    <row r="15" spans="3:14" ht="12.75">
      <c r="C15" s="6" t="s">
        <v>146</v>
      </c>
      <c r="D15" s="4">
        <v>3305</v>
      </c>
      <c r="E15" s="4"/>
      <c r="F15" s="4">
        <f>141.018-4</f>
        <v>137.018</v>
      </c>
      <c r="G15" s="4"/>
      <c r="H15" s="4">
        <v>-337.711</v>
      </c>
      <c r="I15" s="4"/>
      <c r="J15" s="4">
        <f t="shared" si="0"/>
        <v>-200.693</v>
      </c>
      <c r="K15" s="4"/>
      <c r="L15" s="370">
        <f t="shared" si="1"/>
        <v>3104.307</v>
      </c>
      <c r="N15" s="4">
        <f>SUM(H13:H19)</f>
        <v>-2337.197</v>
      </c>
    </row>
    <row r="16" spans="3:12" ht="12.75">
      <c r="C16" s="6" t="s">
        <v>147</v>
      </c>
      <c r="D16" s="4">
        <v>1874</v>
      </c>
      <c r="E16" s="4"/>
      <c r="F16" s="4">
        <v>-0.34</v>
      </c>
      <c r="G16" s="4"/>
      <c r="H16" s="4">
        <v>-1031.345</v>
      </c>
      <c r="I16" s="4"/>
      <c r="J16" s="4">
        <f t="shared" si="0"/>
        <v>-1031.685</v>
      </c>
      <c r="K16" s="4"/>
      <c r="L16" s="370">
        <f t="shared" si="1"/>
        <v>842.315</v>
      </c>
    </row>
    <row r="17" spans="3:12" ht="12.75">
      <c r="C17" s="6" t="s">
        <v>148</v>
      </c>
      <c r="D17" s="4">
        <v>679</v>
      </c>
      <c r="E17" s="4"/>
      <c r="F17" s="4">
        <v>-0.137</v>
      </c>
      <c r="G17" s="4"/>
      <c r="H17" s="4">
        <v>-78</v>
      </c>
      <c r="I17" s="4"/>
      <c r="J17" s="4">
        <f t="shared" si="0"/>
        <v>-78.137</v>
      </c>
      <c r="K17" s="4"/>
      <c r="L17" s="370">
        <f t="shared" si="1"/>
        <v>600.863</v>
      </c>
    </row>
    <row r="18" spans="3:12" ht="12.75">
      <c r="C18" s="6" t="s">
        <v>149</v>
      </c>
      <c r="D18" s="4">
        <v>4555</v>
      </c>
      <c r="E18" s="4"/>
      <c r="F18" s="4">
        <v>36.344</v>
      </c>
      <c r="G18" s="4"/>
      <c r="H18" s="4">
        <v>-154.578</v>
      </c>
      <c r="I18" s="4"/>
      <c r="J18" s="4">
        <f t="shared" si="0"/>
        <v>-118.23400000000001</v>
      </c>
      <c r="K18" s="4"/>
      <c r="L18" s="370">
        <f t="shared" si="1"/>
        <v>4436.766</v>
      </c>
    </row>
    <row r="19" spans="3:12" ht="15">
      <c r="C19" s="6" t="s">
        <v>150</v>
      </c>
      <c r="D19" s="5">
        <v>12634</v>
      </c>
      <c r="E19" s="5"/>
      <c r="F19" s="5">
        <f>266.12-27</f>
        <v>239.12</v>
      </c>
      <c r="G19" s="5"/>
      <c r="H19" s="5">
        <v>-210.184</v>
      </c>
      <c r="I19" s="4"/>
      <c r="J19" s="5">
        <f t="shared" si="0"/>
        <v>28.936000000000007</v>
      </c>
      <c r="K19" s="5"/>
      <c r="L19" s="371">
        <f t="shared" si="1"/>
        <v>12662.936</v>
      </c>
    </row>
    <row r="20" spans="3:12" ht="12.75">
      <c r="C20" s="6" t="s">
        <v>151</v>
      </c>
      <c r="D20" s="4">
        <f>SUM(D12:D19)</f>
        <v>83606</v>
      </c>
      <c r="E20" s="4"/>
      <c r="F20" s="4">
        <f>SUM(F12:F19)</f>
        <v>1575.4710000000005</v>
      </c>
      <c r="G20" s="4"/>
      <c r="H20" s="4">
        <f>SUM(H12:H19)</f>
        <v>-751.367</v>
      </c>
      <c r="I20" s="4"/>
      <c r="J20" s="4">
        <f t="shared" si="0"/>
        <v>824.1040000000005</v>
      </c>
      <c r="K20" s="4"/>
      <c r="L20" s="370">
        <f t="shared" si="1"/>
        <v>84430.104</v>
      </c>
    </row>
    <row r="21" spans="3:13" ht="15">
      <c r="C21" s="6" t="s">
        <v>131</v>
      </c>
      <c r="D21" s="5">
        <v>8720</v>
      </c>
      <c r="E21" s="5"/>
      <c r="F21" s="5">
        <f>-F20</f>
        <v>-1575.4710000000005</v>
      </c>
      <c r="G21" s="5"/>
      <c r="H21" s="293">
        <f>-H20</f>
        <v>751.367</v>
      </c>
      <c r="I21" s="4"/>
      <c r="J21" s="5">
        <f t="shared" si="0"/>
        <v>-824.1040000000005</v>
      </c>
      <c r="K21" s="5"/>
      <c r="L21" s="371">
        <f>SUM(J21:K21,D21)+0.7</f>
        <v>7896.596</v>
      </c>
      <c r="M21" s="14"/>
    </row>
    <row r="22" spans="3:12" ht="12.75">
      <c r="C22" s="6" t="s">
        <v>152</v>
      </c>
      <c r="D22" s="4">
        <f>SUM(D20:D21)</f>
        <v>92326</v>
      </c>
      <c r="E22" s="4"/>
      <c r="F22" s="4">
        <v>0</v>
      </c>
      <c r="G22" s="4"/>
      <c r="H22" s="4">
        <v>0</v>
      </c>
      <c r="I22" s="4"/>
      <c r="J22" s="4">
        <v>0</v>
      </c>
      <c r="K22" s="4"/>
      <c r="L22" s="370">
        <f t="shared" si="1"/>
        <v>92326</v>
      </c>
    </row>
    <row r="23" spans="10:12" ht="12.75">
      <c r="J23" s="7"/>
      <c r="K23" s="7"/>
      <c r="L23" s="372"/>
    </row>
    <row r="24" spans="3:13" ht="12.75">
      <c r="C24" s="6" t="s">
        <v>132</v>
      </c>
      <c r="D24" s="15">
        <v>75</v>
      </c>
      <c r="E24" s="15"/>
      <c r="F24" s="15"/>
      <c r="G24" s="15"/>
      <c r="L24" s="373">
        <v>75</v>
      </c>
      <c r="M24" s="3"/>
    </row>
    <row r="25" spans="3:13" ht="12.75">
      <c r="C25" s="6"/>
      <c r="D25" s="16">
        <f>SUM(D24,D22)</f>
        <v>92401</v>
      </c>
      <c r="E25" s="16"/>
      <c r="F25" s="16"/>
      <c r="G25" s="16"/>
      <c r="L25" s="16">
        <f>SUM(L24,L22)</f>
        <v>92401</v>
      </c>
      <c r="M25" s="3"/>
    </row>
    <row r="26" spans="3:13" ht="5.25" customHeight="1">
      <c r="C26" s="6"/>
      <c r="M26" s="3"/>
    </row>
    <row r="27" spans="3:13" ht="12.75">
      <c r="C27" s="10"/>
      <c r="D27" s="11"/>
      <c r="E27" s="11"/>
      <c r="F27" s="11"/>
      <c r="G27" s="11"/>
      <c r="H27" s="11"/>
      <c r="I27" s="11"/>
      <c r="J27" s="369"/>
      <c r="K27" s="292" t="s">
        <v>673</v>
      </c>
      <c r="L27" s="11">
        <v>36495.567</v>
      </c>
      <c r="M27" s="11"/>
    </row>
    <row r="28" spans="3:12" ht="12.75">
      <c r="C28" s="8"/>
      <c r="D28" s="11"/>
      <c r="E28" s="11"/>
      <c r="F28" s="11"/>
      <c r="G28" s="11"/>
      <c r="H28" s="11"/>
      <c r="I28" s="11"/>
      <c r="J28" s="369"/>
      <c r="K28" s="292" t="s">
        <v>155</v>
      </c>
      <c r="L28" s="11">
        <f>SUM(L21)</f>
        <v>7896.596</v>
      </c>
    </row>
    <row r="29" ht="12.75">
      <c r="L29" s="706">
        <f>+L28/L27</f>
        <v>0.21637137463845948</v>
      </c>
    </row>
    <row r="33" spans="3:13" ht="12.75">
      <c r="C33" s="8"/>
      <c r="D33" s="11"/>
      <c r="E33" s="11"/>
      <c r="F33" s="11"/>
      <c r="G33" s="11"/>
      <c r="J33" s="11"/>
      <c r="K33" s="8"/>
      <c r="L33" s="8"/>
      <c r="M33" s="8"/>
    </row>
    <row r="34" spans="4:7" ht="12.75">
      <c r="D34" s="8"/>
      <c r="E34" s="8"/>
      <c r="F34" s="8"/>
      <c r="G34" s="8"/>
    </row>
    <row r="35" spans="4:7" ht="12.75">
      <c r="D35" s="8"/>
      <c r="E35" s="8"/>
      <c r="F35" s="8"/>
      <c r="G35" s="8"/>
    </row>
    <row r="36" spans="3:13" ht="12.75">
      <c r="C36" s="8"/>
      <c r="D36" s="8"/>
      <c r="E36" s="8"/>
      <c r="F36" s="8"/>
      <c r="G36" s="8"/>
      <c r="H36" s="8"/>
      <c r="I36" s="8"/>
      <c r="J36" s="8"/>
      <c r="K36" s="8"/>
      <c r="L36" s="8"/>
      <c r="M36" s="8"/>
    </row>
    <row r="37" spans="3:13" ht="12.75">
      <c r="C37" s="8"/>
      <c r="D37" s="8"/>
      <c r="E37" s="8"/>
      <c r="F37" s="8"/>
      <c r="G37" s="8"/>
      <c r="H37" s="8"/>
      <c r="I37" s="8"/>
      <c r="J37" s="8" t="s">
        <v>153</v>
      </c>
      <c r="K37" s="11">
        <v>36720</v>
      </c>
      <c r="L37" s="8"/>
      <c r="M37" s="8"/>
    </row>
    <row r="38" spans="10:13" ht="12.75">
      <c r="J38" s="8" t="s">
        <v>154</v>
      </c>
      <c r="K38" s="11">
        <v>38313</v>
      </c>
      <c r="L38" s="8"/>
      <c r="M38" s="8"/>
    </row>
    <row r="39" spans="10:16" ht="12.75">
      <c r="J39" s="8" t="s">
        <v>479</v>
      </c>
      <c r="K39" s="13">
        <f>+K37/K38</f>
        <v>0.9584214235377027</v>
      </c>
      <c r="L39" s="8"/>
      <c r="M39" s="8"/>
      <c r="P39" s="4">
        <f>SUM(L24,K38,L27,L28)</f>
        <v>82780.16300000002</v>
      </c>
    </row>
    <row r="40" spans="10:13" ht="12.75">
      <c r="J40" s="8" t="s">
        <v>157</v>
      </c>
      <c r="K40" s="11">
        <f>+K38-K37</f>
        <v>1593</v>
      </c>
      <c r="L40" s="8"/>
      <c r="M40" s="8"/>
    </row>
  </sheetData>
  <printOptions/>
  <pageMargins left="0.75" right="0.75" top="1" bottom="1" header="0.5" footer="0.5"/>
  <pageSetup fitToHeight="1" fitToWidth="1" horizontalDpi="600" verticalDpi="600" orientation="portrait" scale="88" r:id="rId1"/>
</worksheet>
</file>

<file path=xl/worksheets/sheet8.xml><?xml version="1.0" encoding="utf-8"?>
<worksheet xmlns="http://schemas.openxmlformats.org/spreadsheetml/2006/main" xmlns:r="http://schemas.openxmlformats.org/officeDocument/2006/relationships">
  <dimension ref="B1:BC44"/>
  <sheetViews>
    <sheetView zoomScale="75" zoomScaleNormal="75" workbookViewId="0" topLeftCell="A36">
      <selection activeCell="P76" sqref="P76"/>
    </sheetView>
  </sheetViews>
  <sheetFormatPr defaultColWidth="9.140625" defaultRowHeight="12.75"/>
  <cols>
    <col min="1" max="16384" width="9.140625" style="376" customWidth="1"/>
  </cols>
  <sheetData>
    <row r="1" spans="3:55" ht="12.75">
      <c r="C1" s="376" t="s">
        <v>164</v>
      </c>
      <c r="D1" s="376" t="s">
        <v>113</v>
      </c>
      <c r="E1" s="376" t="s">
        <v>412</v>
      </c>
      <c r="F1" s="376" t="s">
        <v>413</v>
      </c>
      <c r="G1" s="376" t="s">
        <v>414</v>
      </c>
      <c r="H1" s="376" t="s">
        <v>415</v>
      </c>
      <c r="I1" s="376" t="s">
        <v>416</v>
      </c>
      <c r="J1" s="376" t="s">
        <v>417</v>
      </c>
      <c r="K1" s="376" t="s">
        <v>418</v>
      </c>
      <c r="L1" s="376" t="s">
        <v>419</v>
      </c>
      <c r="M1" s="376" t="s">
        <v>420</v>
      </c>
      <c r="N1" s="376" t="s">
        <v>421</v>
      </c>
      <c r="O1" s="376" t="s">
        <v>422</v>
      </c>
      <c r="P1" s="376" t="s">
        <v>423</v>
      </c>
      <c r="Q1" s="376" t="s">
        <v>424</v>
      </c>
      <c r="R1" s="376" t="s">
        <v>425</v>
      </c>
      <c r="S1" s="376" t="s">
        <v>426</v>
      </c>
      <c r="T1" s="376" t="s">
        <v>427</v>
      </c>
      <c r="U1" s="376" t="s">
        <v>428</v>
      </c>
      <c r="V1" s="376" t="s">
        <v>429</v>
      </c>
      <c r="W1" s="376" t="s">
        <v>430</v>
      </c>
      <c r="X1" s="376" t="s">
        <v>431</v>
      </c>
      <c r="Y1" s="376" t="s">
        <v>432</v>
      </c>
      <c r="Z1" s="376" t="s">
        <v>433</v>
      </c>
      <c r="AA1" s="376" t="s">
        <v>434</v>
      </c>
      <c r="AB1" s="376" t="s">
        <v>435</v>
      </c>
      <c r="AC1" s="376" t="s">
        <v>436</v>
      </c>
      <c r="AD1" s="376" t="s">
        <v>437</v>
      </c>
      <c r="AE1" s="376" t="s">
        <v>438</v>
      </c>
      <c r="AF1" s="376" t="s">
        <v>439</v>
      </c>
      <c r="AG1" s="376" t="s">
        <v>440</v>
      </c>
      <c r="AH1" s="376" t="s">
        <v>441</v>
      </c>
      <c r="AI1" s="376" t="s">
        <v>442</v>
      </c>
      <c r="AJ1" s="376" t="s">
        <v>443</v>
      </c>
      <c r="AK1" s="376" t="s">
        <v>444</v>
      </c>
      <c r="AL1" s="376" t="s">
        <v>445</v>
      </c>
      <c r="AM1" s="376" t="s">
        <v>446</v>
      </c>
      <c r="AN1" s="376" t="s">
        <v>447</v>
      </c>
      <c r="AO1" s="376" t="s">
        <v>448</v>
      </c>
      <c r="AP1" s="376" t="s">
        <v>449</v>
      </c>
      <c r="AQ1" s="376" t="s">
        <v>450</v>
      </c>
      <c r="AR1" s="376" t="s">
        <v>451</v>
      </c>
      <c r="AS1" s="376" t="s">
        <v>452</v>
      </c>
      <c r="AT1" s="376" t="s">
        <v>453</v>
      </c>
      <c r="AU1" s="376" t="s">
        <v>454</v>
      </c>
      <c r="AV1" s="376" t="s">
        <v>455</v>
      </c>
      <c r="AW1" s="376" t="s">
        <v>456</v>
      </c>
      <c r="AX1" s="376" t="s">
        <v>457</v>
      </c>
      <c r="AY1" s="376" t="s">
        <v>458</v>
      </c>
      <c r="AZ1" s="376" t="s">
        <v>459</v>
      </c>
      <c r="BA1" s="376" t="s">
        <v>460</v>
      </c>
      <c r="BB1" s="376" t="s">
        <v>461</v>
      </c>
      <c r="BC1" s="376" t="s">
        <v>462</v>
      </c>
    </row>
    <row r="2" spans="3:28" ht="12.75">
      <c r="C2" s="376">
        <v>6.3</v>
      </c>
      <c r="D2" s="376">
        <v>1408</v>
      </c>
      <c r="E2" s="376">
        <v>0.3</v>
      </c>
      <c r="F2" s="376">
        <v>0.2</v>
      </c>
      <c r="G2" s="376">
        <v>0.2</v>
      </c>
      <c r="H2" s="376">
        <v>0.3</v>
      </c>
      <c r="I2" s="376">
        <v>0.2</v>
      </c>
      <c r="J2" s="376">
        <v>0.3</v>
      </c>
      <c r="K2" s="376">
        <v>0.2</v>
      </c>
      <c r="L2" s="376">
        <v>0.3</v>
      </c>
      <c r="M2" s="376">
        <v>0.3</v>
      </c>
      <c r="N2" s="376">
        <v>0.2</v>
      </c>
      <c r="O2" s="376">
        <v>0.3</v>
      </c>
      <c r="P2" s="376">
        <v>0.3</v>
      </c>
      <c r="Q2" s="376">
        <v>0.3</v>
      </c>
      <c r="R2" s="376">
        <v>0.2</v>
      </c>
      <c r="S2" s="376">
        <v>0.2</v>
      </c>
      <c r="T2" s="376">
        <v>0.3</v>
      </c>
      <c r="U2" s="376">
        <v>0.2</v>
      </c>
      <c r="V2" s="376">
        <v>0.3</v>
      </c>
      <c r="W2" s="376">
        <v>0.3</v>
      </c>
      <c r="X2" s="376">
        <v>0.3</v>
      </c>
      <c r="Y2" s="376">
        <v>0.3</v>
      </c>
      <c r="Z2" s="376">
        <v>0.3</v>
      </c>
      <c r="AA2" s="376">
        <v>0.3</v>
      </c>
      <c r="AB2" s="376">
        <v>0.2</v>
      </c>
    </row>
    <row r="3" spans="3:31" ht="12.75">
      <c r="C3" s="376">
        <v>273.2</v>
      </c>
      <c r="D3" s="376">
        <v>1451</v>
      </c>
      <c r="E3" s="376">
        <v>8.7</v>
      </c>
      <c r="F3" s="376">
        <v>11.4</v>
      </c>
      <c r="G3" s="376">
        <v>9.5</v>
      </c>
      <c r="H3" s="376">
        <v>11.9</v>
      </c>
      <c r="I3" s="376">
        <v>14.7</v>
      </c>
      <c r="J3" s="376">
        <v>9.9</v>
      </c>
      <c r="K3" s="376">
        <v>13.2</v>
      </c>
      <c r="L3" s="376">
        <v>15.2</v>
      </c>
      <c r="M3" s="376">
        <v>14.4</v>
      </c>
      <c r="N3" s="376">
        <v>16</v>
      </c>
      <c r="O3" s="376">
        <v>13.5</v>
      </c>
      <c r="P3" s="376">
        <v>13.3</v>
      </c>
      <c r="Q3" s="376">
        <v>11.2</v>
      </c>
      <c r="R3" s="376">
        <v>12.4</v>
      </c>
      <c r="S3" s="376">
        <v>7.1</v>
      </c>
      <c r="T3" s="376">
        <v>13.2</v>
      </c>
      <c r="U3" s="376">
        <v>8.5</v>
      </c>
      <c r="V3" s="376">
        <v>9.4</v>
      </c>
      <c r="W3" s="376">
        <v>9.5</v>
      </c>
      <c r="X3" s="376">
        <v>7.9</v>
      </c>
      <c r="Y3" s="376">
        <v>8.1</v>
      </c>
      <c r="Z3" s="376">
        <v>9.3</v>
      </c>
      <c r="AA3" s="376">
        <v>9</v>
      </c>
      <c r="AB3" s="376">
        <v>6.6</v>
      </c>
      <c r="AC3" s="376">
        <v>5.5</v>
      </c>
      <c r="AD3" s="376">
        <v>3.1</v>
      </c>
      <c r="AE3" s="376">
        <v>0.7</v>
      </c>
    </row>
    <row r="4" spans="2:32" ht="12.75">
      <c r="B4" s="376">
        <v>53.3</v>
      </c>
      <c r="C4" s="376">
        <v>52.999200000000016</v>
      </c>
      <c r="D4" s="376" t="s">
        <v>467</v>
      </c>
      <c r="I4" s="376">
        <v>2.2083</v>
      </c>
      <c r="J4" s="376">
        <v>2.2083</v>
      </c>
      <c r="K4" s="376">
        <v>2.2083</v>
      </c>
      <c r="L4" s="376">
        <v>2.2083</v>
      </c>
      <c r="M4" s="376">
        <v>2.2083</v>
      </c>
      <c r="N4" s="376">
        <v>2.2083</v>
      </c>
      <c r="O4" s="376">
        <v>2.2083</v>
      </c>
      <c r="P4" s="376">
        <v>2.2083</v>
      </c>
      <c r="Q4" s="376">
        <v>2.2083</v>
      </c>
      <c r="R4" s="376">
        <v>2.2083</v>
      </c>
      <c r="S4" s="376">
        <v>2.2083</v>
      </c>
      <c r="T4" s="376">
        <v>2.2083</v>
      </c>
      <c r="U4" s="376">
        <v>2.2083</v>
      </c>
      <c r="V4" s="376">
        <v>2.2083</v>
      </c>
      <c r="W4" s="376">
        <v>2.2083</v>
      </c>
      <c r="X4" s="376">
        <v>2.2083</v>
      </c>
      <c r="Y4" s="376">
        <v>2.2083</v>
      </c>
      <c r="Z4" s="376">
        <v>2.2083</v>
      </c>
      <c r="AA4" s="376">
        <v>2.2083</v>
      </c>
      <c r="AB4" s="376">
        <v>2.2083</v>
      </c>
      <c r="AC4" s="376">
        <v>2.2083</v>
      </c>
      <c r="AD4" s="376">
        <v>2.2083</v>
      </c>
      <c r="AE4" s="376">
        <v>2.2083</v>
      </c>
      <c r="AF4" s="376">
        <v>2.2083</v>
      </c>
    </row>
    <row r="5" spans="3:6" ht="12.75">
      <c r="C5" s="376">
        <v>0.5</v>
      </c>
      <c r="D5" s="376">
        <v>1204</v>
      </c>
      <c r="E5" s="376">
        <v>0.5</v>
      </c>
      <c r="F5" s="376">
        <v>0</v>
      </c>
    </row>
    <row r="6" spans="3:6" ht="12.75">
      <c r="C6" s="376">
        <v>0.5</v>
      </c>
      <c r="D6" s="376">
        <v>1350</v>
      </c>
      <c r="E6" s="376">
        <v>0.5</v>
      </c>
      <c r="F6" s="376">
        <v>0</v>
      </c>
    </row>
    <row r="7" spans="3:25" ht="12.75">
      <c r="C7" s="376">
        <v>34.8</v>
      </c>
      <c r="D7" s="376">
        <v>1351</v>
      </c>
      <c r="E7" s="376">
        <v>0.7</v>
      </c>
      <c r="F7" s="376">
        <v>1.4</v>
      </c>
      <c r="G7" s="376">
        <v>2.6</v>
      </c>
      <c r="H7" s="376">
        <v>2.7</v>
      </c>
      <c r="I7" s="376">
        <v>2.5</v>
      </c>
      <c r="J7" s="376">
        <v>0.4</v>
      </c>
      <c r="K7" s="376">
        <v>1.5</v>
      </c>
      <c r="M7" s="376">
        <v>0.5</v>
      </c>
      <c r="Q7" s="376">
        <v>1.7</v>
      </c>
      <c r="R7" s="376">
        <v>3.6</v>
      </c>
      <c r="S7" s="376">
        <v>1.8</v>
      </c>
      <c r="T7" s="376">
        <v>3.8</v>
      </c>
      <c r="U7" s="376">
        <v>2.3</v>
      </c>
      <c r="V7" s="376">
        <v>4.3</v>
      </c>
      <c r="W7" s="376">
        <v>1.9</v>
      </c>
      <c r="X7" s="376">
        <v>2.8</v>
      </c>
      <c r="Y7" s="376">
        <v>0.3</v>
      </c>
    </row>
    <row r="8" spans="3:32" ht="12.75">
      <c r="C8" s="376">
        <v>36</v>
      </c>
      <c r="D8" s="376" t="s">
        <v>467</v>
      </c>
      <c r="Q8" s="376">
        <v>2.4</v>
      </c>
      <c r="R8" s="376">
        <v>2.2</v>
      </c>
      <c r="S8" s="376">
        <v>1.7</v>
      </c>
      <c r="T8" s="376">
        <v>2.4</v>
      </c>
      <c r="U8" s="376">
        <v>2.2</v>
      </c>
      <c r="V8" s="376">
        <v>2.4</v>
      </c>
      <c r="W8" s="376">
        <v>2.3</v>
      </c>
      <c r="X8" s="376">
        <v>2.4</v>
      </c>
      <c r="Y8" s="376">
        <v>2.3</v>
      </c>
      <c r="Z8" s="376">
        <v>2.3</v>
      </c>
      <c r="AA8" s="376">
        <v>2.5</v>
      </c>
      <c r="AB8" s="376">
        <v>2.1</v>
      </c>
      <c r="AC8" s="376">
        <v>2.5</v>
      </c>
      <c r="AD8" s="376">
        <v>2.2</v>
      </c>
      <c r="AE8" s="376">
        <v>1.6</v>
      </c>
      <c r="AF8" s="376">
        <v>2.5</v>
      </c>
    </row>
    <row r="9" spans="3:39" ht="12.75">
      <c r="C9" s="376">
        <v>1.4</v>
      </c>
      <c r="D9" s="376">
        <v>1352</v>
      </c>
      <c r="AG9" s="376">
        <v>0.1</v>
      </c>
      <c r="AH9" s="376">
        <v>0.2</v>
      </c>
      <c r="AI9" s="376">
        <v>0.3</v>
      </c>
      <c r="AJ9" s="376">
        <v>0.2</v>
      </c>
      <c r="AK9" s="376">
        <v>0.2</v>
      </c>
      <c r="AL9" s="376">
        <v>0.3</v>
      </c>
      <c r="AM9" s="376">
        <v>0.1</v>
      </c>
    </row>
    <row r="10" spans="3:40" ht="12.75">
      <c r="C10" s="376">
        <v>5</v>
      </c>
      <c r="D10" s="376">
        <v>1355</v>
      </c>
      <c r="Q10" s="376">
        <v>0.6</v>
      </c>
      <c r="R10" s="376">
        <v>0.5</v>
      </c>
      <c r="S10" s="376">
        <v>0.4</v>
      </c>
      <c r="T10" s="376">
        <v>0.6</v>
      </c>
      <c r="U10" s="376">
        <v>0.5</v>
      </c>
      <c r="V10" s="376">
        <v>0.6</v>
      </c>
      <c r="W10" s="376">
        <v>0.2</v>
      </c>
      <c r="AM10" s="376">
        <v>1</v>
      </c>
      <c r="AN10" s="376">
        <v>0.6</v>
      </c>
    </row>
    <row r="11" spans="3:15" ht="12.75">
      <c r="C11" s="376">
        <v>3.6</v>
      </c>
      <c r="D11" s="376">
        <v>1414</v>
      </c>
      <c r="F11" s="376">
        <v>1.2</v>
      </c>
      <c r="J11" s="376">
        <v>1.2</v>
      </c>
      <c r="N11" s="376">
        <v>0.2</v>
      </c>
      <c r="O11" s="376">
        <v>1</v>
      </c>
    </row>
    <row r="12" spans="3:32" ht="12.75">
      <c r="C12" s="376">
        <v>2.5</v>
      </c>
      <c r="D12" s="376">
        <v>1601</v>
      </c>
      <c r="AC12" s="376">
        <v>0.7</v>
      </c>
      <c r="AD12" s="376">
        <v>0.8</v>
      </c>
      <c r="AE12" s="376">
        <v>0.6</v>
      </c>
      <c r="AF12" s="376">
        <v>0.4</v>
      </c>
    </row>
    <row r="13" spans="3:20" ht="12.75">
      <c r="C13" s="376">
        <v>1.6</v>
      </c>
      <c r="D13" s="376">
        <v>1803</v>
      </c>
      <c r="Q13" s="376">
        <v>0.5</v>
      </c>
      <c r="R13" s="376">
        <v>0.5</v>
      </c>
      <c r="S13" s="376">
        <v>0.4</v>
      </c>
      <c r="T13" s="376">
        <v>0.2</v>
      </c>
    </row>
    <row r="14" spans="3:9" ht="12.75">
      <c r="C14" s="376">
        <v>2.7</v>
      </c>
      <c r="D14" s="376">
        <v>1804</v>
      </c>
      <c r="E14" s="376">
        <v>0.6</v>
      </c>
      <c r="F14" s="376">
        <v>0.6</v>
      </c>
      <c r="G14" s="376">
        <v>0.5</v>
      </c>
      <c r="H14" s="376">
        <v>0.6</v>
      </c>
      <c r="I14" s="376">
        <v>0.4</v>
      </c>
    </row>
    <row r="15" spans="3:37" ht="12.75">
      <c r="C15" s="376">
        <v>165.6</v>
      </c>
      <c r="D15" s="376">
        <v>1810</v>
      </c>
      <c r="E15" s="376">
        <v>0.5</v>
      </c>
      <c r="F15" s="376">
        <v>0.5</v>
      </c>
      <c r="G15" s="376">
        <v>0.5</v>
      </c>
      <c r="H15" s="376">
        <v>3.3</v>
      </c>
      <c r="I15" s="376">
        <v>3.1</v>
      </c>
      <c r="J15" s="376">
        <v>3.6</v>
      </c>
      <c r="K15" s="376">
        <v>3</v>
      </c>
      <c r="L15" s="376">
        <v>2.5</v>
      </c>
      <c r="M15" s="376">
        <v>4</v>
      </c>
      <c r="N15" s="376">
        <v>1.4</v>
      </c>
      <c r="O15" s="376">
        <v>0.5</v>
      </c>
      <c r="P15" s="376">
        <v>0.5</v>
      </c>
      <c r="Q15" s="376">
        <v>2.9</v>
      </c>
      <c r="R15" s="376">
        <v>3.7</v>
      </c>
      <c r="S15" s="376">
        <v>3</v>
      </c>
      <c r="T15" s="376">
        <v>8.4</v>
      </c>
      <c r="U15" s="376">
        <v>9.3</v>
      </c>
      <c r="V15" s="376">
        <v>7.2</v>
      </c>
      <c r="W15" s="376">
        <v>11.9</v>
      </c>
      <c r="X15" s="376">
        <v>13.1</v>
      </c>
      <c r="Y15" s="376">
        <v>9.7</v>
      </c>
      <c r="Z15" s="376">
        <v>2.7</v>
      </c>
      <c r="AA15" s="376">
        <v>9.8</v>
      </c>
      <c r="AB15" s="376">
        <v>4.5</v>
      </c>
      <c r="AC15" s="376">
        <v>8.7</v>
      </c>
      <c r="AD15" s="376">
        <v>9.1</v>
      </c>
      <c r="AE15" s="376">
        <v>7.6</v>
      </c>
      <c r="AF15" s="376">
        <v>9.7</v>
      </c>
      <c r="AG15" s="376">
        <v>8.9</v>
      </c>
      <c r="AH15" s="376">
        <v>4.4</v>
      </c>
      <c r="AI15" s="376">
        <v>6.7</v>
      </c>
      <c r="AJ15" s="376">
        <v>6.2</v>
      </c>
      <c r="AK15" s="376">
        <v>1.8</v>
      </c>
    </row>
    <row r="16" spans="3:32" ht="12.75">
      <c r="C16" s="376">
        <v>0.6</v>
      </c>
      <c r="D16" s="376">
        <v>2101</v>
      </c>
      <c r="AC16" s="376">
        <v>0.2</v>
      </c>
      <c r="AD16" s="376">
        <v>0.2</v>
      </c>
      <c r="AE16" s="376">
        <v>0.1</v>
      </c>
      <c r="AF16" s="376">
        <v>0.1</v>
      </c>
    </row>
    <row r="17" spans="3:34" ht="12.75">
      <c r="C17" s="376">
        <v>2.5</v>
      </c>
      <c r="D17" s="376">
        <v>2201</v>
      </c>
      <c r="AC17" s="376">
        <v>0</v>
      </c>
      <c r="AD17" s="376">
        <v>0.6</v>
      </c>
      <c r="AE17" s="376">
        <v>0.5</v>
      </c>
      <c r="AF17" s="376">
        <v>0.7</v>
      </c>
      <c r="AG17" s="376">
        <v>0.7</v>
      </c>
      <c r="AH17" s="376">
        <v>0</v>
      </c>
    </row>
    <row r="18" spans="3:32" ht="12.75">
      <c r="C18" s="376">
        <v>2.7</v>
      </c>
      <c r="D18" s="376">
        <v>3101</v>
      </c>
      <c r="E18" s="376">
        <v>0</v>
      </c>
      <c r="F18" s="376">
        <v>0.4</v>
      </c>
      <c r="G18" s="376">
        <v>0</v>
      </c>
      <c r="H18" s="376">
        <v>0</v>
      </c>
      <c r="I18" s="376">
        <v>0</v>
      </c>
      <c r="J18" s="376">
        <v>0</v>
      </c>
      <c r="K18" s="376">
        <v>0</v>
      </c>
      <c r="L18" s="376">
        <v>0</v>
      </c>
      <c r="M18" s="376">
        <v>0.5</v>
      </c>
      <c r="N18" s="376">
        <v>0.6</v>
      </c>
      <c r="O18" s="376">
        <v>0.5</v>
      </c>
      <c r="P18" s="376">
        <v>0.1</v>
      </c>
      <c r="Q18" s="376">
        <v>0</v>
      </c>
      <c r="R18" s="376">
        <v>0</v>
      </c>
      <c r="S18" s="376">
        <v>0.1</v>
      </c>
      <c r="T18" s="376">
        <v>0</v>
      </c>
      <c r="U18" s="376">
        <v>0</v>
      </c>
      <c r="V18" s="376">
        <v>0</v>
      </c>
      <c r="W18" s="376">
        <v>0</v>
      </c>
      <c r="X18" s="376">
        <v>0</v>
      </c>
      <c r="Z18" s="376">
        <v>0</v>
      </c>
      <c r="AA18" s="376">
        <v>0.1</v>
      </c>
      <c r="AB18" s="376">
        <v>0.1</v>
      </c>
      <c r="AC18" s="376">
        <v>0.1</v>
      </c>
      <c r="AD18" s="376">
        <v>0.1</v>
      </c>
      <c r="AE18" s="376">
        <v>0.1</v>
      </c>
      <c r="AF18" s="376">
        <v>0</v>
      </c>
    </row>
    <row r="19" spans="3:34" ht="12.75">
      <c r="C19" s="376">
        <v>2</v>
      </c>
      <c r="D19" s="376">
        <v>6101</v>
      </c>
      <c r="AG19" s="376">
        <v>1</v>
      </c>
      <c r="AH19" s="376">
        <v>1</v>
      </c>
    </row>
    <row r="20" spans="3:37" ht="12.75">
      <c r="C20" s="376">
        <v>8.5</v>
      </c>
      <c r="D20" s="376">
        <v>6201</v>
      </c>
      <c r="AF20" s="376">
        <v>0.3</v>
      </c>
      <c r="AG20" s="376">
        <v>1</v>
      </c>
      <c r="AH20" s="376">
        <v>2.1</v>
      </c>
      <c r="AI20" s="376">
        <v>2.5</v>
      </c>
      <c r="AJ20" s="376">
        <v>2.2</v>
      </c>
      <c r="AK20" s="376">
        <v>0.4</v>
      </c>
    </row>
    <row r="21" spans="3:33" ht="12.75">
      <c r="C21" s="376">
        <v>3.1</v>
      </c>
      <c r="D21" s="376">
        <v>6301</v>
      </c>
      <c r="AF21" s="376">
        <v>1.7</v>
      </c>
      <c r="AG21" s="376">
        <v>1.4</v>
      </c>
    </row>
    <row r="22" spans="3:23" ht="12.75">
      <c r="C22" s="376">
        <v>3.4</v>
      </c>
      <c r="D22" s="376">
        <v>7301</v>
      </c>
      <c r="E22" s="376">
        <v>0.8</v>
      </c>
      <c r="F22" s="376">
        <v>0.7</v>
      </c>
      <c r="G22" s="376">
        <v>0.1</v>
      </c>
      <c r="Q22" s="376">
        <v>0.3</v>
      </c>
      <c r="R22" s="376">
        <v>0.3</v>
      </c>
      <c r="S22" s="376">
        <v>0.2</v>
      </c>
      <c r="T22" s="376">
        <v>0.3</v>
      </c>
      <c r="U22" s="376">
        <v>0.3</v>
      </c>
      <c r="V22" s="376">
        <v>0.3</v>
      </c>
      <c r="W22" s="376">
        <v>0.1</v>
      </c>
    </row>
    <row r="23" spans="3:46" ht="12.75">
      <c r="C23" s="376">
        <v>52.9</v>
      </c>
      <c r="D23" s="376">
        <v>7501</v>
      </c>
      <c r="AC23" s="376">
        <v>3.6</v>
      </c>
      <c r="AD23" s="376">
        <v>3.2</v>
      </c>
      <c r="AE23" s="376">
        <v>2.4</v>
      </c>
      <c r="AF23" s="376">
        <v>3.6</v>
      </c>
      <c r="AG23" s="376">
        <v>3.3</v>
      </c>
      <c r="AH23" s="376">
        <v>3.3</v>
      </c>
      <c r="AI23" s="376">
        <v>3.5</v>
      </c>
      <c r="AJ23" s="376">
        <v>3.3</v>
      </c>
      <c r="AK23" s="376">
        <v>3.3</v>
      </c>
      <c r="AL23" s="376">
        <v>3.5</v>
      </c>
      <c r="AM23" s="376">
        <v>3.3</v>
      </c>
      <c r="AN23" s="376">
        <v>3.3</v>
      </c>
      <c r="AO23" s="376">
        <v>1.4</v>
      </c>
      <c r="AP23" s="376">
        <v>2</v>
      </c>
      <c r="AQ23" s="376">
        <v>2.7</v>
      </c>
      <c r="AR23" s="376">
        <v>2.1</v>
      </c>
      <c r="AS23" s="376">
        <v>3.5</v>
      </c>
      <c r="AT23" s="376">
        <v>1.6</v>
      </c>
    </row>
    <row r="24" spans="3:44" ht="12.75">
      <c r="C24" s="376">
        <v>63.6</v>
      </c>
      <c r="D24" s="376">
        <v>7503</v>
      </c>
      <c r="AC24" s="376">
        <v>4.9</v>
      </c>
      <c r="AD24" s="376">
        <v>4.3</v>
      </c>
      <c r="AE24" s="376">
        <v>3.2</v>
      </c>
      <c r="AF24" s="376">
        <v>1.5</v>
      </c>
      <c r="AH24" s="376">
        <v>3.2</v>
      </c>
      <c r="AI24" s="376">
        <v>0.2</v>
      </c>
      <c r="AK24" s="376">
        <v>0.6</v>
      </c>
      <c r="AL24" s="376">
        <v>5.1</v>
      </c>
      <c r="AM24" s="376">
        <v>6.7</v>
      </c>
      <c r="AN24" s="376">
        <v>10.2</v>
      </c>
      <c r="AO24" s="376">
        <v>10.7</v>
      </c>
      <c r="AP24" s="376">
        <v>4.9</v>
      </c>
      <c r="AQ24" s="376">
        <v>4.9</v>
      </c>
      <c r="AR24" s="376">
        <v>3.2</v>
      </c>
    </row>
    <row r="25" spans="3:44" ht="12.75">
      <c r="C25" s="376">
        <v>1.5</v>
      </c>
      <c r="D25" s="376">
        <v>7601</v>
      </c>
      <c r="AC25" s="376">
        <v>0.1</v>
      </c>
      <c r="AD25" s="376">
        <v>0.1</v>
      </c>
      <c r="AE25" s="376">
        <v>0</v>
      </c>
      <c r="AF25" s="376">
        <v>0.1</v>
      </c>
      <c r="AG25" s="376">
        <v>0.1</v>
      </c>
      <c r="AH25" s="376">
        <v>0.1</v>
      </c>
      <c r="AI25" s="376">
        <v>0.1</v>
      </c>
      <c r="AJ25" s="376">
        <v>0.1</v>
      </c>
      <c r="AK25" s="376">
        <v>0.1</v>
      </c>
      <c r="AL25" s="376">
        <v>0.1</v>
      </c>
      <c r="AM25" s="376">
        <v>0.1</v>
      </c>
      <c r="AN25" s="376">
        <v>0.1</v>
      </c>
      <c r="AO25" s="376">
        <v>0.1</v>
      </c>
      <c r="AP25" s="376">
        <v>0.1</v>
      </c>
      <c r="AQ25" s="376">
        <v>0.1</v>
      </c>
      <c r="AR25" s="376">
        <v>0.1</v>
      </c>
    </row>
    <row r="26" spans="3:46" ht="12.75">
      <c r="C26" s="376">
        <v>2.9</v>
      </c>
      <c r="D26" s="376">
        <v>8501</v>
      </c>
      <c r="AP26" s="376">
        <v>0.2</v>
      </c>
      <c r="AQ26" s="376">
        <v>0.9</v>
      </c>
      <c r="AR26" s="376">
        <v>0.9</v>
      </c>
      <c r="AS26" s="376">
        <v>0.8</v>
      </c>
      <c r="AT26" s="376">
        <v>0.1</v>
      </c>
    </row>
    <row r="27" spans="3:25" ht="12.75">
      <c r="C27" s="376">
        <v>440.54110000000003</v>
      </c>
      <c r="E27" s="376">
        <v>12.1</v>
      </c>
      <c r="F27" s="376">
        <v>15.9</v>
      </c>
      <c r="G27" s="376">
        <v>12.9</v>
      </c>
      <c r="H27" s="376">
        <v>15.5</v>
      </c>
      <c r="I27" s="376">
        <v>20.0083</v>
      </c>
      <c r="J27" s="376">
        <v>14.0083</v>
      </c>
      <c r="K27" s="376">
        <v>20.0083</v>
      </c>
      <c r="L27" s="376">
        <v>21.6083</v>
      </c>
      <c r="M27" s="376">
        <v>21.508300000000002</v>
      </c>
      <c r="N27" s="376">
        <v>23.308300000000003</v>
      </c>
      <c r="O27" s="376">
        <v>19.108300000000003</v>
      </c>
      <c r="P27" s="376">
        <v>15.9083</v>
      </c>
      <c r="Q27" s="376">
        <v>22.308300000000003</v>
      </c>
      <c r="R27" s="376">
        <v>25.6083</v>
      </c>
      <c r="S27" s="376">
        <v>17.108300000000003</v>
      </c>
      <c r="T27" s="376">
        <v>31.4083</v>
      </c>
      <c r="U27" s="376">
        <v>25.5083</v>
      </c>
      <c r="V27" s="376">
        <v>26.7083</v>
      </c>
      <c r="W27" s="376">
        <v>28.408300000000004</v>
      </c>
      <c r="X27" s="376">
        <v>28.7083</v>
      </c>
      <c r="Y27" s="376">
        <v>22.9083</v>
      </c>
    </row>
    <row r="28" spans="2:46" ht="12.75">
      <c r="B28" s="376" t="s">
        <v>406</v>
      </c>
      <c r="C28" s="376" t="s">
        <v>407</v>
      </c>
      <c r="D28" s="376" t="s">
        <v>408</v>
      </c>
      <c r="E28" s="376" t="s">
        <v>397</v>
      </c>
      <c r="F28" s="376" t="s">
        <v>398</v>
      </c>
      <c r="G28" s="376" t="s">
        <v>399</v>
      </c>
      <c r="H28" s="376" t="s">
        <v>400</v>
      </c>
      <c r="I28" s="376" t="s">
        <v>401</v>
      </c>
      <c r="J28" s="376" t="s">
        <v>402</v>
      </c>
      <c r="K28" s="376" t="s">
        <v>403</v>
      </c>
      <c r="L28" s="376" t="s">
        <v>404</v>
      </c>
      <c r="M28" s="376" t="s">
        <v>405</v>
      </c>
      <c r="N28" s="376" t="s">
        <v>406</v>
      </c>
      <c r="O28" s="376" t="s">
        <v>407</v>
      </c>
      <c r="P28" s="376" t="s">
        <v>408</v>
      </c>
      <c r="Q28" s="376" t="s">
        <v>397</v>
      </c>
      <c r="R28" s="376" t="s">
        <v>398</v>
      </c>
      <c r="S28" s="376" t="s">
        <v>399</v>
      </c>
      <c r="T28" s="376" t="s">
        <v>400</v>
      </c>
      <c r="U28" s="376" t="s">
        <v>401</v>
      </c>
      <c r="V28" s="376" t="s">
        <v>402</v>
      </c>
      <c r="W28" s="376" t="s">
        <v>403</v>
      </c>
      <c r="X28" s="376" t="s">
        <v>404</v>
      </c>
      <c r="Y28" s="376" t="s">
        <v>405</v>
      </c>
      <c r="Z28" s="376" t="s">
        <v>406</v>
      </c>
      <c r="AA28" s="376" t="s">
        <v>407</v>
      </c>
      <c r="AB28" s="376" t="s">
        <v>408</v>
      </c>
      <c r="AC28" s="376" t="s">
        <v>397</v>
      </c>
      <c r="AD28" s="376" t="s">
        <v>398</v>
      </c>
      <c r="AE28" s="376" t="s">
        <v>399</v>
      </c>
      <c r="AF28" s="376" t="s">
        <v>400</v>
      </c>
      <c r="AG28" s="376" t="s">
        <v>401</v>
      </c>
      <c r="AH28" s="376" t="s">
        <v>402</v>
      </c>
      <c r="AI28" s="376" t="s">
        <v>403</v>
      </c>
      <c r="AJ28" s="376" t="s">
        <v>404</v>
      </c>
      <c r="AK28" s="376" t="s">
        <v>405</v>
      </c>
      <c r="AL28" s="376" t="s">
        <v>406</v>
      </c>
      <c r="AM28" s="376" t="s">
        <v>407</v>
      </c>
      <c r="AN28" s="376" t="s">
        <v>408</v>
      </c>
      <c r="AO28" s="376" t="s">
        <v>397</v>
      </c>
      <c r="AP28" s="376" t="s">
        <v>398</v>
      </c>
      <c r="AQ28" s="376" t="s">
        <v>399</v>
      </c>
      <c r="AR28" s="376" t="s">
        <v>400</v>
      </c>
      <c r="AS28" s="376" t="s">
        <v>401</v>
      </c>
      <c r="AT28" s="376" t="s">
        <v>402</v>
      </c>
    </row>
    <row r="29" spans="4:46" ht="12.75">
      <c r="D29" s="376" t="s">
        <v>463</v>
      </c>
      <c r="E29" s="376">
        <v>9</v>
      </c>
      <c r="F29" s="376">
        <v>11.6</v>
      </c>
      <c r="G29" s="376">
        <v>9.7</v>
      </c>
      <c r="H29" s="376">
        <v>12.2</v>
      </c>
      <c r="I29" s="376">
        <v>17.1083</v>
      </c>
      <c r="J29" s="376">
        <v>12.4083</v>
      </c>
      <c r="K29" s="376">
        <v>15.608299999999998</v>
      </c>
      <c r="L29" s="376">
        <v>17.7083</v>
      </c>
      <c r="M29" s="376">
        <v>16.9083</v>
      </c>
      <c r="N29" s="376">
        <v>18.4083</v>
      </c>
      <c r="O29" s="376">
        <v>16.008300000000002</v>
      </c>
      <c r="P29" s="376">
        <v>15.808300000000001</v>
      </c>
      <c r="Q29" s="376">
        <v>13.7083</v>
      </c>
      <c r="R29" s="376">
        <v>14.8083</v>
      </c>
      <c r="S29" s="376">
        <v>9.5083</v>
      </c>
      <c r="T29" s="376">
        <v>15.7083</v>
      </c>
      <c r="U29" s="376">
        <v>10.908299999999999</v>
      </c>
      <c r="V29" s="376">
        <v>11.9083</v>
      </c>
      <c r="W29" s="376">
        <v>12.0083</v>
      </c>
      <c r="X29" s="376">
        <v>10.4083</v>
      </c>
      <c r="Y29" s="376">
        <v>10.6083</v>
      </c>
      <c r="Z29" s="376">
        <v>11.808300000000001</v>
      </c>
      <c r="AA29" s="376">
        <v>11.5083</v>
      </c>
      <c r="AB29" s="376">
        <v>9.0083</v>
      </c>
      <c r="AC29" s="376">
        <v>7.7082999999999995</v>
      </c>
      <c r="AD29" s="376">
        <v>5.3083</v>
      </c>
      <c r="AE29" s="376">
        <v>2.9082999999999997</v>
      </c>
      <c r="AF29" s="376">
        <v>2.2083</v>
      </c>
      <c r="AG29" s="376">
        <v>0</v>
      </c>
      <c r="AH29" s="376">
        <v>0</v>
      </c>
      <c r="AI29" s="376">
        <v>0</v>
      </c>
      <c r="AJ29" s="376">
        <v>0</v>
      </c>
      <c r="AK29" s="376">
        <v>0</v>
      </c>
      <c r="AL29" s="376">
        <v>0</v>
      </c>
      <c r="AM29" s="376">
        <v>0</v>
      </c>
      <c r="AN29" s="376">
        <v>0</v>
      </c>
      <c r="AO29" s="376">
        <v>0</v>
      </c>
      <c r="AP29" s="376">
        <v>0</v>
      </c>
      <c r="AQ29" s="376">
        <v>0</v>
      </c>
      <c r="AR29" s="376">
        <v>0</v>
      </c>
      <c r="AS29" s="376">
        <v>0</v>
      </c>
      <c r="AT29" s="376">
        <v>0</v>
      </c>
    </row>
    <row r="30" spans="4:46" ht="12.75">
      <c r="D30" s="376" t="s">
        <v>464</v>
      </c>
      <c r="E30" s="376">
        <v>1.2</v>
      </c>
      <c r="F30" s="376">
        <v>1.4</v>
      </c>
      <c r="G30" s="376">
        <v>2.6</v>
      </c>
      <c r="H30" s="376">
        <v>2.7</v>
      </c>
      <c r="I30" s="376">
        <v>2.5</v>
      </c>
      <c r="J30" s="376">
        <v>0.4</v>
      </c>
      <c r="K30" s="376">
        <v>1.5</v>
      </c>
      <c r="L30" s="376">
        <v>0</v>
      </c>
      <c r="M30" s="376">
        <v>0.5</v>
      </c>
      <c r="N30" s="376">
        <v>0</v>
      </c>
      <c r="O30" s="376">
        <v>0</v>
      </c>
      <c r="P30" s="376">
        <v>0</v>
      </c>
      <c r="Q30" s="376">
        <v>4.1</v>
      </c>
      <c r="R30" s="376">
        <v>5.8</v>
      </c>
      <c r="S30" s="376">
        <v>3.5</v>
      </c>
      <c r="T30" s="376">
        <v>6.2</v>
      </c>
      <c r="U30" s="376">
        <v>4.5</v>
      </c>
      <c r="V30" s="376">
        <v>6.7</v>
      </c>
      <c r="W30" s="376">
        <v>4.2</v>
      </c>
      <c r="X30" s="376">
        <v>5.2</v>
      </c>
      <c r="Y30" s="376">
        <v>2.6</v>
      </c>
      <c r="Z30" s="376">
        <v>2.3</v>
      </c>
      <c r="AA30" s="376">
        <v>2.5</v>
      </c>
      <c r="AB30" s="376">
        <v>2.1</v>
      </c>
      <c r="AC30" s="376">
        <v>2.5</v>
      </c>
      <c r="AD30" s="376">
        <v>2.2</v>
      </c>
      <c r="AE30" s="376">
        <v>1.6</v>
      </c>
      <c r="AF30" s="376">
        <v>2.5</v>
      </c>
      <c r="AG30" s="376">
        <v>0</v>
      </c>
      <c r="AH30" s="376">
        <v>0</v>
      </c>
      <c r="AI30" s="376">
        <v>0</v>
      </c>
      <c r="AJ30" s="376">
        <v>0</v>
      </c>
      <c r="AK30" s="376">
        <v>0</v>
      </c>
      <c r="AL30" s="376">
        <v>0</v>
      </c>
      <c r="AM30" s="376">
        <v>0</v>
      </c>
      <c r="AN30" s="376">
        <v>0</v>
      </c>
      <c r="AO30" s="376">
        <v>0</v>
      </c>
      <c r="AP30" s="376">
        <v>0</v>
      </c>
      <c r="AQ30" s="376">
        <v>0</v>
      </c>
      <c r="AR30" s="376">
        <v>0</v>
      </c>
      <c r="AS30" s="376">
        <v>0</v>
      </c>
      <c r="AT30" s="376">
        <v>0</v>
      </c>
    </row>
    <row r="31" spans="4:46" ht="12.75">
      <c r="D31" s="376" t="s">
        <v>465</v>
      </c>
      <c r="E31" s="376">
        <v>0.6</v>
      </c>
      <c r="F31" s="376">
        <v>0.6</v>
      </c>
      <c r="G31" s="376">
        <v>0.5</v>
      </c>
      <c r="H31" s="376">
        <v>0.6</v>
      </c>
      <c r="I31" s="376">
        <v>0.4</v>
      </c>
      <c r="J31" s="376">
        <v>0</v>
      </c>
      <c r="K31" s="376">
        <v>2.9</v>
      </c>
      <c r="L31" s="376">
        <v>3.9</v>
      </c>
      <c r="M31" s="376">
        <v>3.6</v>
      </c>
      <c r="N31" s="376">
        <v>4.1</v>
      </c>
      <c r="O31" s="376">
        <v>1.6</v>
      </c>
      <c r="P31" s="376">
        <v>0</v>
      </c>
      <c r="Q31" s="376">
        <v>3.6</v>
      </c>
      <c r="R31" s="376">
        <v>4.2</v>
      </c>
      <c r="S31" s="376">
        <v>3.4</v>
      </c>
      <c r="T31" s="376">
        <v>8.6</v>
      </c>
      <c r="U31" s="376">
        <v>9.3</v>
      </c>
      <c r="V31" s="376">
        <v>7.2</v>
      </c>
      <c r="W31" s="376">
        <v>11.9</v>
      </c>
      <c r="X31" s="376">
        <v>13.1</v>
      </c>
      <c r="Y31" s="376">
        <v>9.7</v>
      </c>
      <c r="Z31" s="376">
        <v>2.7</v>
      </c>
      <c r="AA31" s="376">
        <v>9.8</v>
      </c>
      <c r="AB31" s="376">
        <v>4.5</v>
      </c>
      <c r="AC31" s="376">
        <v>8.7</v>
      </c>
      <c r="AD31" s="376">
        <v>9.1</v>
      </c>
      <c r="AE31" s="376">
        <v>7.6</v>
      </c>
      <c r="AF31" s="376">
        <v>9.7</v>
      </c>
      <c r="AG31" s="376">
        <v>8.9</v>
      </c>
      <c r="AH31" s="376">
        <v>4.4</v>
      </c>
      <c r="AI31" s="376">
        <v>6.7</v>
      </c>
      <c r="AJ31" s="376">
        <v>6.2</v>
      </c>
      <c r="AK31" s="376">
        <v>1.8</v>
      </c>
      <c r="AL31" s="376">
        <v>0</v>
      </c>
      <c r="AM31" s="376">
        <v>0</v>
      </c>
      <c r="AN31" s="376">
        <v>0</v>
      </c>
      <c r="AO31" s="376">
        <v>0</v>
      </c>
      <c r="AP31" s="376">
        <v>0</v>
      </c>
      <c r="AQ31" s="376">
        <v>0</v>
      </c>
      <c r="AR31" s="376">
        <v>0</v>
      </c>
      <c r="AS31" s="376">
        <v>0</v>
      </c>
      <c r="AT31" s="376">
        <v>0</v>
      </c>
    </row>
    <row r="32" spans="4:46" ht="12.75">
      <c r="D32" s="376" t="s">
        <v>466</v>
      </c>
      <c r="E32" s="376">
        <v>0.8</v>
      </c>
      <c r="F32" s="376">
        <v>0.7</v>
      </c>
      <c r="G32" s="376">
        <v>0.1</v>
      </c>
      <c r="H32" s="376">
        <v>0</v>
      </c>
      <c r="I32" s="376">
        <v>0</v>
      </c>
      <c r="J32" s="376">
        <v>0</v>
      </c>
      <c r="K32" s="376">
        <v>0</v>
      </c>
      <c r="L32" s="376">
        <v>0</v>
      </c>
      <c r="M32" s="376">
        <v>0</v>
      </c>
      <c r="N32" s="376">
        <v>0</v>
      </c>
      <c r="O32" s="376">
        <v>0</v>
      </c>
      <c r="P32" s="376">
        <v>0</v>
      </c>
      <c r="Q32" s="376">
        <v>0.3</v>
      </c>
      <c r="R32" s="376">
        <v>0.3</v>
      </c>
      <c r="S32" s="376">
        <v>0.2</v>
      </c>
      <c r="T32" s="376">
        <v>0.3</v>
      </c>
      <c r="U32" s="376">
        <v>0.3</v>
      </c>
      <c r="V32" s="376">
        <v>0.3</v>
      </c>
      <c r="W32" s="376">
        <v>0.1</v>
      </c>
      <c r="X32" s="376">
        <v>0</v>
      </c>
      <c r="Y32" s="376">
        <v>0</v>
      </c>
      <c r="Z32" s="376">
        <v>0</v>
      </c>
      <c r="AA32" s="376">
        <v>0</v>
      </c>
      <c r="AB32" s="376">
        <v>0</v>
      </c>
      <c r="AC32" s="376">
        <v>8.6</v>
      </c>
      <c r="AD32" s="376">
        <v>7.6</v>
      </c>
      <c r="AE32" s="376">
        <v>5.6</v>
      </c>
      <c r="AF32" s="376">
        <v>5.2</v>
      </c>
      <c r="AG32" s="376">
        <v>3.4</v>
      </c>
      <c r="AH32" s="376">
        <v>6.6</v>
      </c>
      <c r="AI32" s="376">
        <v>3.8</v>
      </c>
      <c r="AJ32" s="376">
        <v>3.4</v>
      </c>
      <c r="AK32" s="376">
        <v>4</v>
      </c>
      <c r="AL32" s="376">
        <v>8.7</v>
      </c>
      <c r="AM32" s="376">
        <v>10.1</v>
      </c>
      <c r="AN32" s="376">
        <v>13.6</v>
      </c>
      <c r="AO32" s="376">
        <v>12.2</v>
      </c>
      <c r="AP32" s="376">
        <v>7</v>
      </c>
      <c r="AQ32" s="376">
        <v>7.7</v>
      </c>
      <c r="AR32" s="376">
        <v>5.4</v>
      </c>
      <c r="AS32" s="376">
        <v>3.5</v>
      </c>
      <c r="AT32" s="376">
        <v>1.6</v>
      </c>
    </row>
    <row r="33" spans="4:46" ht="12.75">
      <c r="D33" s="376" t="s">
        <v>160</v>
      </c>
      <c r="E33" s="376">
        <v>0.5</v>
      </c>
      <c r="F33" s="376">
        <v>1.6</v>
      </c>
      <c r="G33" s="376">
        <v>0</v>
      </c>
      <c r="H33" s="376">
        <v>0</v>
      </c>
      <c r="I33" s="376">
        <v>0</v>
      </c>
      <c r="J33" s="376">
        <v>1.2</v>
      </c>
      <c r="K33" s="376">
        <v>0</v>
      </c>
      <c r="L33" s="376">
        <v>0</v>
      </c>
      <c r="M33" s="376">
        <v>0.5</v>
      </c>
      <c r="N33" s="376">
        <v>0.8</v>
      </c>
      <c r="O33" s="376">
        <v>1.5</v>
      </c>
      <c r="P33" s="376">
        <v>0.1</v>
      </c>
      <c r="Q33" s="376">
        <v>0.6</v>
      </c>
      <c r="R33" s="376">
        <v>0.5</v>
      </c>
      <c r="S33" s="376">
        <v>0.5</v>
      </c>
      <c r="T33" s="376">
        <v>0.6</v>
      </c>
      <c r="U33" s="376">
        <v>0.5</v>
      </c>
      <c r="V33" s="376">
        <v>0.6</v>
      </c>
      <c r="W33" s="376">
        <v>0.2</v>
      </c>
      <c r="X33" s="376">
        <v>0</v>
      </c>
      <c r="Y33" s="376">
        <v>0</v>
      </c>
      <c r="Z33" s="376">
        <v>0</v>
      </c>
      <c r="AA33" s="376">
        <v>0.1</v>
      </c>
      <c r="AB33" s="376">
        <v>0.1</v>
      </c>
      <c r="AC33" s="376">
        <v>1</v>
      </c>
      <c r="AD33" s="376">
        <v>1.7</v>
      </c>
      <c r="AE33" s="376">
        <v>1.3</v>
      </c>
      <c r="AF33" s="376">
        <v>3.2</v>
      </c>
      <c r="AG33" s="376">
        <v>4.2</v>
      </c>
      <c r="AH33" s="376">
        <v>3.3</v>
      </c>
      <c r="AI33" s="376">
        <v>2.8</v>
      </c>
      <c r="AJ33" s="376">
        <v>2.4</v>
      </c>
      <c r="AK33" s="376">
        <v>0.6</v>
      </c>
      <c r="AL33" s="376">
        <v>0.3</v>
      </c>
      <c r="AM33" s="376">
        <v>1.1</v>
      </c>
      <c r="AN33" s="376">
        <v>0.6</v>
      </c>
      <c r="AO33" s="376">
        <v>0</v>
      </c>
      <c r="AP33" s="376">
        <v>0.2</v>
      </c>
      <c r="AQ33" s="376">
        <v>0.9</v>
      </c>
      <c r="AR33" s="376">
        <v>0.9</v>
      </c>
      <c r="AS33" s="376">
        <v>0.8</v>
      </c>
      <c r="AT33" s="376">
        <v>0.1</v>
      </c>
    </row>
    <row r="34" spans="3:46" ht="12.75">
      <c r="C34" s="376">
        <v>730.3992000000001</v>
      </c>
      <c r="E34" s="376">
        <v>12.1</v>
      </c>
      <c r="F34" s="376">
        <v>15.9</v>
      </c>
      <c r="G34" s="376">
        <v>12.9</v>
      </c>
      <c r="H34" s="376">
        <v>15.5</v>
      </c>
      <c r="I34" s="376">
        <v>20.0083</v>
      </c>
      <c r="J34" s="376">
        <v>14.0083</v>
      </c>
      <c r="K34" s="376">
        <v>20.0083</v>
      </c>
      <c r="L34" s="376">
        <v>21.6083</v>
      </c>
      <c r="M34" s="376">
        <v>21.508300000000002</v>
      </c>
      <c r="N34" s="376">
        <v>23.3083</v>
      </c>
      <c r="O34" s="376">
        <v>19.108300000000003</v>
      </c>
      <c r="P34" s="376">
        <v>15.9083</v>
      </c>
      <c r="Q34" s="376">
        <v>22.308300000000003</v>
      </c>
      <c r="R34" s="376">
        <v>25.6083</v>
      </c>
      <c r="S34" s="376">
        <v>17.1083</v>
      </c>
      <c r="T34" s="376">
        <v>31.4083</v>
      </c>
      <c r="U34" s="376">
        <v>25.508300000000002</v>
      </c>
      <c r="V34" s="376">
        <v>26.7083</v>
      </c>
      <c r="W34" s="376">
        <v>28.4083</v>
      </c>
      <c r="X34" s="376">
        <v>28.7083</v>
      </c>
      <c r="Y34" s="376">
        <v>22.908299999999997</v>
      </c>
      <c r="Z34" s="376">
        <v>16.8083</v>
      </c>
      <c r="AA34" s="376">
        <v>23.908300000000004</v>
      </c>
      <c r="AB34" s="376">
        <v>15.7083</v>
      </c>
      <c r="AC34" s="376">
        <v>28.5083</v>
      </c>
      <c r="AD34" s="376">
        <v>25.9083</v>
      </c>
      <c r="AE34" s="376">
        <v>19.008300000000002</v>
      </c>
      <c r="AF34" s="376">
        <v>22.8083</v>
      </c>
      <c r="AG34" s="376">
        <v>16.5</v>
      </c>
      <c r="AH34" s="376">
        <v>14.3</v>
      </c>
      <c r="AI34" s="376">
        <v>13.3</v>
      </c>
      <c r="AJ34" s="376">
        <v>12</v>
      </c>
      <c r="AK34" s="376">
        <v>6.4</v>
      </c>
      <c r="AL34" s="376">
        <v>9</v>
      </c>
      <c r="AM34" s="376">
        <v>11.2</v>
      </c>
      <c r="AN34" s="376">
        <v>14.2</v>
      </c>
      <c r="AO34" s="376">
        <v>12.2</v>
      </c>
      <c r="AP34" s="376">
        <v>7.2</v>
      </c>
      <c r="AQ34" s="376">
        <v>8.6</v>
      </c>
      <c r="AR34" s="376">
        <v>6.3</v>
      </c>
      <c r="AS34" s="376">
        <v>4.3</v>
      </c>
      <c r="AT34" s="376">
        <v>1.7</v>
      </c>
    </row>
    <row r="36" spans="5:52" ht="12.75">
      <c r="E36" s="376" t="s">
        <v>16</v>
      </c>
      <c r="F36" s="376" t="s">
        <v>17</v>
      </c>
      <c r="G36" s="376" t="s">
        <v>18</v>
      </c>
      <c r="H36" s="376" t="s">
        <v>13</v>
      </c>
      <c r="I36" s="376" t="s">
        <v>19</v>
      </c>
      <c r="J36" s="376" t="s">
        <v>12</v>
      </c>
      <c r="K36" s="376" t="s">
        <v>14</v>
      </c>
      <c r="L36" s="376" t="s">
        <v>12</v>
      </c>
      <c r="M36" s="376" t="s">
        <v>13</v>
      </c>
      <c r="N36" s="376" t="s">
        <v>13</v>
      </c>
      <c r="O36" s="376" t="s">
        <v>14</v>
      </c>
      <c r="P36" s="376" t="s">
        <v>15</v>
      </c>
      <c r="Q36" s="376" t="s">
        <v>16</v>
      </c>
      <c r="R36" s="376" t="s">
        <v>17</v>
      </c>
      <c r="S36" s="376" t="s">
        <v>18</v>
      </c>
      <c r="T36" s="376" t="s">
        <v>13</v>
      </c>
      <c r="U36" s="376" t="s">
        <v>19</v>
      </c>
      <c r="V36" s="376" t="s">
        <v>12</v>
      </c>
      <c r="W36" s="376" t="s">
        <v>14</v>
      </c>
      <c r="X36" s="376" t="s">
        <v>12</v>
      </c>
      <c r="Y36" s="376" t="s">
        <v>13</v>
      </c>
      <c r="Z36" s="376" t="s">
        <v>13</v>
      </c>
      <c r="AA36" s="376" t="s">
        <v>14</v>
      </c>
      <c r="AB36" s="376" t="s">
        <v>15</v>
      </c>
      <c r="AC36" s="376" t="s">
        <v>16</v>
      </c>
      <c r="AD36" s="376" t="s">
        <v>17</v>
      </c>
      <c r="AE36" s="376" t="s">
        <v>18</v>
      </c>
      <c r="AF36" s="376" t="s">
        <v>13</v>
      </c>
      <c r="AG36" s="376" t="s">
        <v>19</v>
      </c>
      <c r="AH36" s="376" t="s">
        <v>12</v>
      </c>
      <c r="AI36" s="376" t="s">
        <v>14</v>
      </c>
      <c r="AJ36" s="376" t="s">
        <v>12</v>
      </c>
      <c r="AK36" s="376" t="s">
        <v>13</v>
      </c>
      <c r="AL36" s="376" t="s">
        <v>13</v>
      </c>
      <c r="AM36" s="376" t="s">
        <v>14</v>
      </c>
      <c r="AN36" s="376" t="s">
        <v>15</v>
      </c>
      <c r="AO36" s="376" t="s">
        <v>16</v>
      </c>
      <c r="AP36" s="376" t="s">
        <v>17</v>
      </c>
      <c r="AQ36" s="376" t="s">
        <v>18</v>
      </c>
      <c r="AR36" s="376" t="s">
        <v>13</v>
      </c>
      <c r="AS36" s="376" t="s">
        <v>19</v>
      </c>
      <c r="AT36" s="376" t="s">
        <v>12</v>
      </c>
      <c r="AU36" s="376" t="s">
        <v>14</v>
      </c>
      <c r="AV36" s="376" t="s">
        <v>12</v>
      </c>
      <c r="AW36" s="376" t="s">
        <v>13</v>
      </c>
      <c r="AX36" s="376" t="s">
        <v>13</v>
      </c>
      <c r="AY36" s="376" t="s">
        <v>14</v>
      </c>
      <c r="AZ36" s="376" t="s">
        <v>15</v>
      </c>
    </row>
    <row r="37" spans="3:46" ht="12.75">
      <c r="C37" s="376">
        <v>9</v>
      </c>
      <c r="D37" s="376" t="s">
        <v>470</v>
      </c>
      <c r="E37" s="376">
        <v>9</v>
      </c>
      <c r="F37" s="376">
        <v>9.86666666666667</v>
      </c>
      <c r="G37" s="376">
        <v>10.1</v>
      </c>
      <c r="H37" s="376">
        <v>10.625</v>
      </c>
      <c r="I37" s="376">
        <v>12.652075</v>
      </c>
      <c r="J37" s="376">
        <v>12.85415</v>
      </c>
      <c r="K37" s="376">
        <v>14.331225</v>
      </c>
      <c r="L37" s="376">
        <v>15.7083</v>
      </c>
      <c r="M37" s="376">
        <v>15.6583</v>
      </c>
      <c r="N37" s="376">
        <v>17.1583</v>
      </c>
      <c r="O37" s="376">
        <v>17.258300000000002</v>
      </c>
      <c r="P37" s="376">
        <v>16.7833</v>
      </c>
      <c r="Q37" s="376">
        <v>15.983300000000002</v>
      </c>
      <c r="R37" s="376">
        <v>15.083300000000001</v>
      </c>
      <c r="S37" s="376">
        <v>13.4583</v>
      </c>
      <c r="T37" s="376">
        <v>13.4333</v>
      </c>
      <c r="U37" s="376">
        <v>12.7333</v>
      </c>
      <c r="V37" s="376">
        <v>12.008299999999998</v>
      </c>
      <c r="W37" s="376">
        <v>12.6333</v>
      </c>
      <c r="X37" s="376">
        <v>11.3083</v>
      </c>
      <c r="Y37" s="376">
        <v>11.2333</v>
      </c>
      <c r="Z37" s="376">
        <v>11.208300000000001</v>
      </c>
      <c r="AA37" s="376">
        <v>11.0833</v>
      </c>
      <c r="AB37" s="376">
        <v>10.7333</v>
      </c>
      <c r="AC37" s="376">
        <v>10.0083</v>
      </c>
      <c r="AD37" s="376">
        <v>8.3833</v>
      </c>
      <c r="AE37" s="376">
        <v>6.2333</v>
      </c>
      <c r="AF37" s="376">
        <v>4.5333000000000006</v>
      </c>
      <c r="AG37" s="376">
        <v>2.606225</v>
      </c>
      <c r="AH37" s="376">
        <v>1.27915</v>
      </c>
      <c r="AI37" s="376">
        <v>0.552075</v>
      </c>
      <c r="AJ37" s="376">
        <v>0</v>
      </c>
      <c r="AK37" s="376">
        <v>0</v>
      </c>
      <c r="AL37" s="376">
        <v>0</v>
      </c>
      <c r="AM37" s="376">
        <v>0</v>
      </c>
      <c r="AN37" s="376">
        <v>0</v>
      </c>
      <c r="AO37" s="376">
        <v>0</v>
      </c>
      <c r="AP37" s="376">
        <v>0</v>
      </c>
      <c r="AQ37" s="376">
        <v>0</v>
      </c>
      <c r="AR37" s="376">
        <v>0</v>
      </c>
      <c r="AS37" s="376">
        <v>0</v>
      </c>
      <c r="AT37" s="376">
        <v>0</v>
      </c>
    </row>
    <row r="38" spans="3:46" ht="12.75">
      <c r="C38" s="376">
        <v>1.2</v>
      </c>
      <c r="D38" s="376" t="s">
        <v>464</v>
      </c>
      <c r="E38" s="376">
        <v>1.2</v>
      </c>
      <c r="F38" s="376">
        <v>1.2666666666666666</v>
      </c>
      <c r="G38" s="376">
        <v>1.7333333333333332</v>
      </c>
      <c r="H38" s="376">
        <v>1.975</v>
      </c>
      <c r="I38" s="376">
        <v>2.3</v>
      </c>
      <c r="J38" s="376">
        <v>2.05</v>
      </c>
      <c r="K38" s="376">
        <v>1.775</v>
      </c>
      <c r="L38" s="376">
        <v>1.1</v>
      </c>
      <c r="M38" s="376">
        <v>0.6</v>
      </c>
      <c r="N38" s="376">
        <v>0.5</v>
      </c>
      <c r="O38" s="376">
        <v>0.125</v>
      </c>
      <c r="P38" s="376">
        <v>0.125</v>
      </c>
      <c r="Q38" s="376">
        <v>1.025</v>
      </c>
      <c r="R38" s="376">
        <v>2.475</v>
      </c>
      <c r="S38" s="376">
        <v>3.35</v>
      </c>
      <c r="T38" s="376">
        <v>4.9</v>
      </c>
      <c r="U38" s="376">
        <v>5</v>
      </c>
      <c r="V38" s="376">
        <v>5.225</v>
      </c>
      <c r="W38" s="376">
        <v>5.4</v>
      </c>
      <c r="X38" s="376">
        <v>5.15</v>
      </c>
      <c r="Y38" s="376">
        <v>4.675</v>
      </c>
      <c r="Z38" s="376">
        <v>3.575</v>
      </c>
      <c r="AA38" s="376">
        <v>3.15</v>
      </c>
      <c r="AB38" s="376">
        <v>2.375</v>
      </c>
      <c r="AC38" s="376">
        <v>2.35</v>
      </c>
      <c r="AD38" s="376">
        <v>2.325</v>
      </c>
      <c r="AE38" s="376">
        <v>2.1</v>
      </c>
      <c r="AF38" s="376">
        <v>2.2</v>
      </c>
      <c r="AG38" s="376">
        <v>1.575</v>
      </c>
      <c r="AH38" s="376">
        <v>1.025</v>
      </c>
      <c r="AI38" s="376">
        <v>0.625</v>
      </c>
      <c r="AJ38" s="376">
        <v>0</v>
      </c>
      <c r="AK38" s="376">
        <v>0</v>
      </c>
      <c r="AL38" s="376">
        <v>0</v>
      </c>
      <c r="AM38" s="376">
        <v>0</v>
      </c>
      <c r="AN38" s="376">
        <v>0</v>
      </c>
      <c r="AO38" s="376">
        <v>0</v>
      </c>
      <c r="AP38" s="376">
        <v>0</v>
      </c>
      <c r="AQ38" s="376">
        <v>0</v>
      </c>
      <c r="AR38" s="376">
        <v>0</v>
      </c>
      <c r="AS38" s="376">
        <v>0</v>
      </c>
      <c r="AT38" s="376">
        <v>0</v>
      </c>
    </row>
    <row r="39" spans="3:46" ht="12.75">
      <c r="C39" s="376">
        <v>0.6</v>
      </c>
      <c r="D39" s="376" t="s">
        <v>468</v>
      </c>
      <c r="E39" s="376">
        <f>SUM(E14:E15)</f>
        <v>1.1</v>
      </c>
      <c r="F39" s="376">
        <f aca="true" t="shared" si="0" ref="F39:P39">SUM(F14:F15)</f>
        <v>1.1</v>
      </c>
      <c r="G39" s="376">
        <f t="shared" si="0"/>
        <v>1</v>
      </c>
      <c r="H39" s="376">
        <f t="shared" si="0"/>
        <v>3.9</v>
      </c>
      <c r="I39" s="376">
        <f t="shared" si="0"/>
        <v>3.5</v>
      </c>
      <c r="J39" s="376">
        <f t="shared" si="0"/>
        <v>3.6</v>
      </c>
      <c r="K39" s="376">
        <f t="shared" si="0"/>
        <v>3</v>
      </c>
      <c r="L39" s="376">
        <f t="shared" si="0"/>
        <v>2.5</v>
      </c>
      <c r="M39" s="376">
        <f t="shared" si="0"/>
        <v>4</v>
      </c>
      <c r="N39" s="376">
        <f t="shared" si="0"/>
        <v>1.4</v>
      </c>
      <c r="O39" s="376">
        <f t="shared" si="0"/>
        <v>0.5</v>
      </c>
      <c r="P39" s="376">
        <f t="shared" si="0"/>
        <v>0.5</v>
      </c>
      <c r="Q39" s="376">
        <v>2.325</v>
      </c>
      <c r="R39" s="376">
        <v>2.35</v>
      </c>
      <c r="S39" s="376">
        <v>2.8</v>
      </c>
      <c r="T39" s="376">
        <v>4.95</v>
      </c>
      <c r="U39" s="376">
        <v>6.375</v>
      </c>
      <c r="V39" s="376">
        <v>7.125</v>
      </c>
      <c r="W39" s="376">
        <v>9.25</v>
      </c>
      <c r="X39" s="376">
        <v>10.375</v>
      </c>
      <c r="Y39" s="376">
        <v>10.475</v>
      </c>
      <c r="Z39" s="376">
        <v>9.35</v>
      </c>
      <c r="AA39" s="376">
        <v>8.825</v>
      </c>
      <c r="AB39" s="376">
        <v>6.675</v>
      </c>
      <c r="AC39" s="376">
        <v>6.425</v>
      </c>
      <c r="AD39" s="376">
        <v>8.025</v>
      </c>
      <c r="AE39" s="376">
        <v>7.475</v>
      </c>
      <c r="AF39" s="376">
        <v>8.775</v>
      </c>
      <c r="AG39" s="376">
        <v>8.825</v>
      </c>
      <c r="AH39" s="376">
        <v>7.65</v>
      </c>
      <c r="AI39" s="376">
        <v>7.425</v>
      </c>
      <c r="AJ39" s="376">
        <v>6.55</v>
      </c>
      <c r="AK39" s="376">
        <v>4.775</v>
      </c>
      <c r="AL39" s="376">
        <v>3.675</v>
      </c>
      <c r="AM39" s="376">
        <v>2</v>
      </c>
      <c r="AN39" s="376">
        <v>0.45</v>
      </c>
      <c r="AO39" s="376">
        <v>0</v>
      </c>
      <c r="AP39" s="376">
        <v>0</v>
      </c>
      <c r="AQ39" s="376">
        <v>0</v>
      </c>
      <c r="AR39" s="376">
        <v>0</v>
      </c>
      <c r="AS39" s="376">
        <v>0</v>
      </c>
      <c r="AT39" s="376">
        <v>0</v>
      </c>
    </row>
    <row r="40" spans="3:46" ht="12.75">
      <c r="C40" s="376">
        <v>0.8</v>
      </c>
      <c r="D40" s="376" t="s">
        <v>469</v>
      </c>
      <c r="E40" s="376">
        <v>0.8</v>
      </c>
      <c r="F40" s="376">
        <v>0.7666666666666666</v>
      </c>
      <c r="G40" s="376">
        <v>0.5333333333333333</v>
      </c>
      <c r="H40" s="376">
        <v>0.4</v>
      </c>
      <c r="I40" s="376">
        <v>0.2</v>
      </c>
      <c r="J40" s="376">
        <v>0.025</v>
      </c>
      <c r="K40" s="376">
        <v>0</v>
      </c>
      <c r="L40" s="376">
        <v>0</v>
      </c>
      <c r="M40" s="376">
        <v>0</v>
      </c>
      <c r="N40" s="376">
        <v>0</v>
      </c>
      <c r="O40" s="376">
        <v>0</v>
      </c>
      <c r="P40" s="376">
        <v>0</v>
      </c>
      <c r="Q40" s="376">
        <v>0.075</v>
      </c>
      <c r="R40" s="376">
        <v>0.15</v>
      </c>
      <c r="S40" s="376">
        <v>0.2</v>
      </c>
      <c r="T40" s="376">
        <v>0.275</v>
      </c>
      <c r="U40" s="376">
        <v>0.275</v>
      </c>
      <c r="V40" s="376">
        <v>0.275</v>
      </c>
      <c r="W40" s="376">
        <v>0.25</v>
      </c>
      <c r="X40" s="376">
        <v>0.175</v>
      </c>
      <c r="Y40" s="376">
        <v>0.1</v>
      </c>
      <c r="Z40" s="376">
        <v>0.025</v>
      </c>
      <c r="AA40" s="376">
        <v>0</v>
      </c>
      <c r="AB40" s="376">
        <v>0</v>
      </c>
      <c r="AC40" s="376">
        <v>2.15</v>
      </c>
      <c r="AD40" s="376">
        <v>4.05</v>
      </c>
      <c r="AE40" s="376">
        <v>5.45</v>
      </c>
      <c r="AF40" s="376">
        <v>6.75</v>
      </c>
      <c r="AG40" s="376">
        <v>5.45</v>
      </c>
      <c r="AH40" s="376">
        <v>5.2</v>
      </c>
      <c r="AI40" s="376">
        <v>4.75</v>
      </c>
      <c r="AJ40" s="376">
        <v>4.3</v>
      </c>
      <c r="AK40" s="376">
        <v>4.45</v>
      </c>
      <c r="AL40" s="376">
        <v>4.975</v>
      </c>
      <c r="AM40" s="376">
        <v>6.55</v>
      </c>
      <c r="AN40" s="376">
        <v>9.1</v>
      </c>
      <c r="AO40" s="376">
        <v>11.15</v>
      </c>
      <c r="AP40" s="376">
        <v>10.725</v>
      </c>
      <c r="AQ40" s="376">
        <v>10.125</v>
      </c>
      <c r="AR40" s="376">
        <v>8.075</v>
      </c>
      <c r="AS40" s="376">
        <v>5.9</v>
      </c>
      <c r="AT40" s="376">
        <v>3.5</v>
      </c>
    </row>
    <row r="41" spans="3:46" ht="12.75">
      <c r="C41" s="376">
        <v>0.5</v>
      </c>
      <c r="D41" s="376" t="s">
        <v>160</v>
      </c>
      <c r="E41" s="376">
        <v>0.5</v>
      </c>
      <c r="F41" s="376">
        <v>0.8666666666666667</v>
      </c>
      <c r="G41" s="376">
        <v>0.7</v>
      </c>
      <c r="H41" s="376">
        <v>0.525</v>
      </c>
      <c r="I41" s="376">
        <v>0.4</v>
      </c>
      <c r="J41" s="376">
        <v>0.3</v>
      </c>
      <c r="K41" s="376">
        <v>0.3</v>
      </c>
      <c r="L41" s="376">
        <v>0.3</v>
      </c>
      <c r="M41" s="376">
        <v>0.425</v>
      </c>
      <c r="N41" s="376">
        <v>0.325</v>
      </c>
      <c r="O41" s="376">
        <v>0.7</v>
      </c>
      <c r="P41" s="376">
        <v>0.725</v>
      </c>
      <c r="Q41" s="376">
        <v>0.75</v>
      </c>
      <c r="R41" s="376">
        <v>0.675</v>
      </c>
      <c r="S41" s="376">
        <v>0.425</v>
      </c>
      <c r="T41" s="376">
        <v>0.55</v>
      </c>
      <c r="U41" s="376">
        <v>0.525</v>
      </c>
      <c r="V41" s="376">
        <v>0.55</v>
      </c>
      <c r="W41" s="376">
        <v>0.475</v>
      </c>
      <c r="X41" s="376">
        <v>0.325</v>
      </c>
      <c r="Y41" s="376">
        <v>0.2</v>
      </c>
      <c r="Z41" s="376">
        <v>0.05</v>
      </c>
      <c r="AA41" s="376">
        <v>0.025</v>
      </c>
      <c r="AB41" s="376">
        <v>0.05</v>
      </c>
      <c r="AC41" s="376">
        <v>0.3</v>
      </c>
      <c r="AD41" s="376">
        <v>0.725</v>
      </c>
      <c r="AE41" s="376">
        <v>1.025</v>
      </c>
      <c r="AF41" s="376">
        <v>1.8</v>
      </c>
      <c r="AG41" s="376">
        <v>2.6</v>
      </c>
      <c r="AH41" s="376">
        <v>3</v>
      </c>
      <c r="AI41" s="376">
        <v>3.375</v>
      </c>
      <c r="AJ41" s="376">
        <v>3.175</v>
      </c>
      <c r="AK41" s="376">
        <v>2.275</v>
      </c>
      <c r="AL41" s="376">
        <v>1.525</v>
      </c>
      <c r="AM41" s="376">
        <v>1.1</v>
      </c>
      <c r="AN41" s="376">
        <v>0.65</v>
      </c>
      <c r="AO41" s="376">
        <v>0.5</v>
      </c>
      <c r="AP41" s="376">
        <v>0.475</v>
      </c>
      <c r="AQ41" s="376">
        <v>0.425</v>
      </c>
      <c r="AR41" s="376">
        <v>0.5</v>
      </c>
      <c r="AS41" s="376">
        <v>0.7</v>
      </c>
      <c r="AT41" s="376">
        <v>0.6</v>
      </c>
    </row>
    <row r="43" ht="12.75">
      <c r="D43" s="376">
        <f>SUM(E39:P39)</f>
        <v>26.099999999999998</v>
      </c>
    </row>
    <row r="44" spans="4:16" ht="12.75">
      <c r="D44" s="376">
        <f>SUM(E14:P15)</f>
        <v>26.099999999999998</v>
      </c>
      <c r="E44" s="376">
        <v>0.6</v>
      </c>
      <c r="F44" s="376">
        <v>0.6</v>
      </c>
      <c r="G44" s="376">
        <v>0.5666666666666667</v>
      </c>
      <c r="H44" s="376">
        <v>0.575</v>
      </c>
      <c r="I44" s="376">
        <v>0.525</v>
      </c>
      <c r="J44" s="376">
        <v>0.375</v>
      </c>
      <c r="K44" s="376">
        <v>0.975</v>
      </c>
      <c r="L44" s="376">
        <v>1.8</v>
      </c>
      <c r="M44" s="376">
        <v>2.6</v>
      </c>
      <c r="N44" s="376">
        <v>3.625</v>
      </c>
      <c r="O44" s="376">
        <v>3.3</v>
      </c>
      <c r="P44" s="376">
        <v>2.325</v>
      </c>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2:AX24"/>
  <sheetViews>
    <sheetView zoomScale="75" zoomScaleNormal="75" workbookViewId="0" topLeftCell="A1">
      <selection activeCell="T39" sqref="T39"/>
    </sheetView>
  </sheetViews>
  <sheetFormatPr defaultColWidth="9.140625" defaultRowHeight="12.75"/>
  <cols>
    <col min="1" max="1" width="13.00390625" style="376" customWidth="1"/>
    <col min="2" max="2" width="16.28125" style="376" customWidth="1"/>
    <col min="3" max="16384" width="9.140625" style="376" customWidth="1"/>
  </cols>
  <sheetData>
    <row r="2" spans="1:50" ht="12.75">
      <c r="A2" s="376" t="s">
        <v>332</v>
      </c>
      <c r="B2" s="376" t="s">
        <v>333</v>
      </c>
      <c r="C2" s="376" t="s">
        <v>334</v>
      </c>
      <c r="D2" s="376" t="s">
        <v>335</v>
      </c>
      <c r="E2" s="376" t="s">
        <v>336</v>
      </c>
      <c r="F2" s="376" t="s">
        <v>337</v>
      </c>
      <c r="G2" s="376" t="s">
        <v>338</v>
      </c>
      <c r="H2" s="376" t="s">
        <v>339</v>
      </c>
      <c r="I2" s="376" t="s">
        <v>340</v>
      </c>
      <c r="J2" s="376" t="s">
        <v>341</v>
      </c>
      <c r="K2" s="376" t="s">
        <v>342</v>
      </c>
      <c r="L2" s="376" t="s">
        <v>343</v>
      </c>
      <c r="M2" s="376" t="s">
        <v>344</v>
      </c>
      <c r="N2" s="376" t="s">
        <v>345</v>
      </c>
      <c r="O2" s="376" t="s">
        <v>346</v>
      </c>
      <c r="P2" s="376" t="s">
        <v>347</v>
      </c>
      <c r="Q2" s="376" t="s">
        <v>348</v>
      </c>
      <c r="R2" s="376" t="s">
        <v>349</v>
      </c>
      <c r="S2" s="376" t="s">
        <v>350</v>
      </c>
      <c r="T2" s="376" t="s">
        <v>351</v>
      </c>
      <c r="U2" s="376" t="s">
        <v>352</v>
      </c>
      <c r="V2" s="376" t="s">
        <v>353</v>
      </c>
      <c r="W2" s="376" t="s">
        <v>354</v>
      </c>
      <c r="X2" s="376" t="s">
        <v>355</v>
      </c>
      <c r="Y2" s="376" t="s">
        <v>356</v>
      </c>
      <c r="Z2" s="376" t="s">
        <v>357</v>
      </c>
      <c r="AA2" s="376" t="s">
        <v>358</v>
      </c>
      <c r="AB2" s="376" t="s">
        <v>359</v>
      </c>
      <c r="AC2" s="376" t="s">
        <v>360</v>
      </c>
      <c r="AD2" s="376" t="s">
        <v>361</v>
      </c>
      <c r="AE2" s="376" t="s">
        <v>362</v>
      </c>
      <c r="AF2" s="376" t="s">
        <v>363</v>
      </c>
      <c r="AG2" s="376" t="s">
        <v>364</v>
      </c>
      <c r="AH2" s="376" t="s">
        <v>365</v>
      </c>
      <c r="AI2" s="376" t="s">
        <v>366</v>
      </c>
      <c r="AJ2" s="376" t="s">
        <v>367</v>
      </c>
      <c r="AK2" s="376" t="s">
        <v>368</v>
      </c>
      <c r="AL2" s="376" t="s">
        <v>369</v>
      </c>
      <c r="AM2" s="376" t="s">
        <v>370</v>
      </c>
      <c r="AN2" s="376" t="s">
        <v>371</v>
      </c>
      <c r="AO2" s="376" t="s">
        <v>372</v>
      </c>
      <c r="AP2" s="376" t="s">
        <v>373</v>
      </c>
      <c r="AQ2" s="376" t="s">
        <v>374</v>
      </c>
      <c r="AR2" s="376" t="s">
        <v>375</v>
      </c>
      <c r="AS2" s="376" t="s">
        <v>376</v>
      </c>
      <c r="AT2" s="376" t="s">
        <v>377</v>
      </c>
      <c r="AU2" s="376" t="s">
        <v>378</v>
      </c>
      <c r="AV2" s="376" t="s">
        <v>379</v>
      </c>
      <c r="AW2" s="376" t="s">
        <v>380</v>
      </c>
      <c r="AX2" s="376" t="s">
        <v>381</v>
      </c>
    </row>
    <row r="3" spans="1:46" ht="12.75">
      <c r="A3" s="376" t="s">
        <v>161</v>
      </c>
      <c r="B3" s="376" t="s">
        <v>382</v>
      </c>
      <c r="C3" s="376">
        <v>6.1</v>
      </c>
      <c r="D3" s="376">
        <v>5.5</v>
      </c>
      <c r="E3" s="376">
        <v>4.1</v>
      </c>
      <c r="F3" s="376">
        <v>5.6</v>
      </c>
      <c r="G3" s="376">
        <v>6.5</v>
      </c>
      <c r="H3" s="376">
        <v>7.2</v>
      </c>
      <c r="I3" s="376">
        <v>5.8</v>
      </c>
      <c r="J3" s="376">
        <v>6.6</v>
      </c>
      <c r="K3" s="376">
        <v>6.1</v>
      </c>
      <c r="L3" s="376">
        <v>3.8</v>
      </c>
      <c r="M3" s="376">
        <v>4.4</v>
      </c>
      <c r="N3" s="376">
        <v>3.9</v>
      </c>
      <c r="O3" s="376">
        <v>5.1</v>
      </c>
      <c r="P3" s="376">
        <v>4.7</v>
      </c>
      <c r="Q3" s="376">
        <v>3.4</v>
      </c>
      <c r="R3" s="376">
        <v>5.3</v>
      </c>
      <c r="S3" s="376">
        <v>4.8</v>
      </c>
      <c r="T3" s="376">
        <v>5</v>
      </c>
      <c r="U3" s="376">
        <v>3.7</v>
      </c>
      <c r="V3" s="376">
        <v>3</v>
      </c>
      <c r="W3" s="376">
        <v>2.9</v>
      </c>
      <c r="X3" s="376">
        <v>2.9</v>
      </c>
      <c r="Y3" s="376">
        <v>3.1</v>
      </c>
      <c r="Z3" s="376">
        <v>2.8</v>
      </c>
      <c r="AA3" s="376">
        <v>3.1</v>
      </c>
      <c r="AB3" s="376">
        <v>1.8</v>
      </c>
      <c r="AC3" s="376">
        <v>1.3</v>
      </c>
      <c r="AD3" s="376">
        <v>1.6</v>
      </c>
      <c r="AE3" s="376">
        <v>1.7</v>
      </c>
      <c r="AF3" s="376">
        <v>1.3</v>
      </c>
      <c r="AG3" s="376">
        <v>1.4</v>
      </c>
      <c r="AH3" s="376">
        <v>1.3</v>
      </c>
      <c r="AI3" s="376">
        <v>1.5</v>
      </c>
      <c r="AJ3" s="376">
        <v>1.8</v>
      </c>
      <c r="AK3" s="376">
        <v>1.3</v>
      </c>
      <c r="AL3" s="376">
        <v>1.4</v>
      </c>
      <c r="AM3" s="376">
        <v>0.3</v>
      </c>
      <c r="AN3" s="376">
        <v>0.2</v>
      </c>
      <c r="AO3" s="376">
        <v>0.3</v>
      </c>
      <c r="AP3" s="376">
        <v>0.2</v>
      </c>
      <c r="AQ3" s="376">
        <v>0.2</v>
      </c>
      <c r="AR3" s="376">
        <v>0.2</v>
      </c>
      <c r="AS3" s="376">
        <v>0.2</v>
      </c>
      <c r="AT3" s="376">
        <v>0.2</v>
      </c>
    </row>
    <row r="4" spans="1:42" ht="12.75">
      <c r="A4" s="376" t="s">
        <v>410</v>
      </c>
      <c r="B4" s="376" t="s">
        <v>383</v>
      </c>
      <c r="C4" s="376">
        <v>3.1</v>
      </c>
      <c r="D4" s="376">
        <v>1.3</v>
      </c>
      <c r="E4" s="376">
        <v>0.9</v>
      </c>
      <c r="F4" s="376">
        <v>3</v>
      </c>
      <c r="G4" s="376">
        <v>1</v>
      </c>
      <c r="H4" s="376">
        <v>1.1</v>
      </c>
      <c r="I4" s="376">
        <v>1</v>
      </c>
      <c r="J4" s="376">
        <v>1.1</v>
      </c>
      <c r="K4" s="376">
        <v>1.1</v>
      </c>
      <c r="L4" s="376">
        <v>1</v>
      </c>
      <c r="M4" s="376">
        <v>1.1</v>
      </c>
      <c r="N4" s="376">
        <v>1</v>
      </c>
      <c r="O4" s="376">
        <v>4.4</v>
      </c>
      <c r="P4" s="376">
        <v>4.2</v>
      </c>
      <c r="Q4" s="376">
        <v>3.2</v>
      </c>
      <c r="R4" s="376">
        <v>3.9</v>
      </c>
      <c r="S4" s="376">
        <v>2.2</v>
      </c>
      <c r="T4" s="376">
        <v>1.8</v>
      </c>
      <c r="U4" s="376">
        <v>1.9</v>
      </c>
      <c r="V4" s="376">
        <v>1.8</v>
      </c>
      <c r="W4" s="376">
        <v>1.8</v>
      </c>
      <c r="X4" s="376">
        <v>2.2</v>
      </c>
      <c r="Y4" s="376">
        <v>2.3</v>
      </c>
      <c r="Z4" s="376">
        <v>1.1</v>
      </c>
      <c r="AA4" s="376">
        <v>1.4</v>
      </c>
      <c r="AB4" s="376">
        <v>1.5</v>
      </c>
      <c r="AC4" s="376">
        <v>0.9</v>
      </c>
      <c r="AD4" s="376">
        <v>0.9</v>
      </c>
      <c r="AE4" s="376">
        <v>0.7</v>
      </c>
      <c r="AF4" s="376">
        <v>0.6</v>
      </c>
      <c r="AG4" s="376">
        <v>0.7</v>
      </c>
      <c r="AH4" s="376">
        <v>0.6</v>
      </c>
      <c r="AI4" s="376">
        <v>0.6</v>
      </c>
      <c r="AJ4" s="376">
        <v>0.5</v>
      </c>
      <c r="AK4" s="376">
        <v>0.5</v>
      </c>
      <c r="AL4" s="376">
        <v>0.5</v>
      </c>
      <c r="AM4" s="376">
        <v>0.2</v>
      </c>
      <c r="AN4" s="376">
        <v>0.1</v>
      </c>
      <c r="AO4" s="376">
        <v>0.1</v>
      </c>
      <c r="AP4" s="376">
        <v>0.1</v>
      </c>
    </row>
    <row r="5" spans="1:43" ht="12.75">
      <c r="A5" s="440" t="s">
        <v>411</v>
      </c>
      <c r="B5" s="376" t="s">
        <v>384</v>
      </c>
      <c r="Z5" s="376">
        <v>0.9</v>
      </c>
      <c r="AA5" s="376">
        <v>2.1</v>
      </c>
      <c r="AB5" s="376">
        <v>2.1</v>
      </c>
      <c r="AC5" s="376">
        <v>1.8</v>
      </c>
      <c r="AD5" s="376">
        <v>2.9</v>
      </c>
      <c r="AE5" s="376">
        <v>2.8</v>
      </c>
      <c r="AF5" s="376">
        <v>3.2</v>
      </c>
      <c r="AG5" s="376">
        <v>3.8</v>
      </c>
      <c r="AH5" s="376">
        <v>3.8</v>
      </c>
      <c r="AI5" s="376">
        <v>3.8</v>
      </c>
      <c r="AJ5" s="376">
        <v>3.1</v>
      </c>
      <c r="AK5" s="376">
        <v>3</v>
      </c>
      <c r="AL5" s="376">
        <v>2.5</v>
      </c>
      <c r="AM5" s="376">
        <v>1.6</v>
      </c>
      <c r="AN5" s="376">
        <v>0.8</v>
      </c>
      <c r="AO5" s="376">
        <v>0.9</v>
      </c>
      <c r="AP5" s="376">
        <v>0.9</v>
      </c>
      <c r="AQ5" s="376">
        <v>0.8</v>
      </c>
    </row>
    <row r="6" spans="2:40" ht="12.75">
      <c r="B6" s="376" t="s">
        <v>385</v>
      </c>
      <c r="AD6" s="376">
        <v>0.4</v>
      </c>
      <c r="AE6" s="376">
        <v>0.6</v>
      </c>
      <c r="AF6" s="376">
        <v>1.2</v>
      </c>
      <c r="AG6" s="376">
        <v>1.9</v>
      </c>
      <c r="AH6" s="376">
        <v>1.8</v>
      </c>
      <c r="AI6" s="376">
        <v>1.8</v>
      </c>
      <c r="AJ6" s="376">
        <v>1.3</v>
      </c>
      <c r="AK6" s="376">
        <v>1.2</v>
      </c>
      <c r="AL6" s="376">
        <v>1</v>
      </c>
      <c r="AM6" s="376">
        <v>0.5</v>
      </c>
      <c r="AN6" s="376">
        <v>0.3</v>
      </c>
    </row>
    <row r="7" spans="2:38" ht="12.75">
      <c r="B7" s="376" t="s">
        <v>386</v>
      </c>
      <c r="C7" s="376">
        <v>0.2</v>
      </c>
      <c r="D7" s="376">
        <v>0.2</v>
      </c>
      <c r="E7" s="376">
        <v>0.2</v>
      </c>
      <c r="F7" s="376">
        <v>0.2</v>
      </c>
      <c r="G7" s="376">
        <v>0.2</v>
      </c>
      <c r="H7" s="376">
        <v>0.3</v>
      </c>
      <c r="I7" s="376">
        <v>0.2</v>
      </c>
      <c r="J7" s="376">
        <v>0.3</v>
      </c>
      <c r="K7" s="376">
        <v>0.3</v>
      </c>
      <c r="L7" s="376">
        <v>0.2</v>
      </c>
      <c r="M7" s="376">
        <v>0.3</v>
      </c>
      <c r="N7" s="376">
        <v>0.2</v>
      </c>
      <c r="O7" s="376">
        <v>0.1</v>
      </c>
      <c r="P7" s="376">
        <v>0.1</v>
      </c>
      <c r="Q7" s="376">
        <v>0.1</v>
      </c>
      <c r="R7" s="376">
        <v>0.1</v>
      </c>
      <c r="S7" s="376">
        <v>0.1</v>
      </c>
      <c r="T7" s="376">
        <v>0.1</v>
      </c>
      <c r="U7" s="376">
        <v>0.1</v>
      </c>
      <c r="V7" s="376">
        <v>0.1</v>
      </c>
      <c r="W7" s="376">
        <v>0.1</v>
      </c>
      <c r="X7" s="376">
        <v>0.1</v>
      </c>
      <c r="Y7" s="376">
        <v>0.1</v>
      </c>
      <c r="Z7" s="376">
        <v>0.1</v>
      </c>
      <c r="AA7" s="376">
        <v>0.1</v>
      </c>
      <c r="AB7" s="376">
        <v>0.1</v>
      </c>
      <c r="AC7" s="376">
        <v>0.1</v>
      </c>
      <c r="AD7" s="376">
        <v>0.1</v>
      </c>
      <c r="AE7" s="376">
        <v>0.1</v>
      </c>
      <c r="AF7" s="376">
        <v>0.1</v>
      </c>
      <c r="AG7" s="376">
        <v>0.1</v>
      </c>
      <c r="AH7" s="376">
        <v>0.1</v>
      </c>
      <c r="AI7" s="376">
        <v>0.1</v>
      </c>
      <c r="AJ7" s="376">
        <v>0.1</v>
      </c>
      <c r="AK7" s="376">
        <v>0.1</v>
      </c>
      <c r="AL7" s="376">
        <v>0.1</v>
      </c>
    </row>
    <row r="8" spans="2:43" ht="12.75">
      <c r="B8" s="376" t="s">
        <v>387</v>
      </c>
      <c r="C8" s="376">
        <v>1.7</v>
      </c>
      <c r="D8" s="376">
        <v>0.7</v>
      </c>
      <c r="E8" s="376">
        <v>0.3</v>
      </c>
      <c r="F8" s="376">
        <v>0.2</v>
      </c>
      <c r="G8" s="376">
        <v>0.2</v>
      </c>
      <c r="H8" s="376">
        <v>0.2</v>
      </c>
      <c r="I8" s="376">
        <v>0.2</v>
      </c>
      <c r="J8" s="376">
        <v>0.2</v>
      </c>
      <c r="K8" s="376">
        <v>0.2</v>
      </c>
      <c r="L8" s="376">
        <v>0.1</v>
      </c>
      <c r="M8" s="376">
        <v>0.2</v>
      </c>
      <c r="N8" s="376">
        <v>0.3</v>
      </c>
      <c r="O8" s="376">
        <v>1.9</v>
      </c>
      <c r="P8" s="376">
        <v>1.8</v>
      </c>
      <c r="Q8" s="376">
        <v>1.8</v>
      </c>
      <c r="R8" s="376">
        <v>2.5</v>
      </c>
      <c r="S8" s="376">
        <v>1.7</v>
      </c>
      <c r="T8" s="376">
        <v>1.2</v>
      </c>
      <c r="U8" s="376">
        <v>1.2</v>
      </c>
      <c r="V8" s="376">
        <v>1</v>
      </c>
      <c r="W8" s="376">
        <v>1.2</v>
      </c>
      <c r="X8" s="376">
        <v>1.4</v>
      </c>
      <c r="Y8" s="376">
        <v>1.6</v>
      </c>
      <c r="Z8" s="376">
        <v>1.5</v>
      </c>
      <c r="AA8" s="376">
        <v>2.2</v>
      </c>
      <c r="AB8" s="376">
        <v>2.2</v>
      </c>
      <c r="AC8" s="376">
        <v>1.5</v>
      </c>
      <c r="AD8" s="376">
        <v>1.9</v>
      </c>
      <c r="AE8" s="376">
        <v>1.5</v>
      </c>
      <c r="AF8" s="376">
        <v>1</v>
      </c>
      <c r="AG8" s="376">
        <v>0.4</v>
      </c>
      <c r="AH8" s="376">
        <v>0.2</v>
      </c>
      <c r="AI8" s="376">
        <v>0.2</v>
      </c>
      <c r="AJ8" s="376">
        <v>0.2</v>
      </c>
      <c r="AK8" s="376">
        <v>0.1</v>
      </c>
      <c r="AL8" s="376">
        <v>0.1</v>
      </c>
      <c r="AM8" s="376">
        <v>0.1</v>
      </c>
      <c r="AN8" s="376">
        <v>0.3</v>
      </c>
      <c r="AO8" s="376">
        <v>0.9</v>
      </c>
      <c r="AP8" s="376">
        <v>0.9</v>
      </c>
      <c r="AQ8" s="376">
        <v>0.8</v>
      </c>
    </row>
    <row r="9" spans="2:40" ht="12.75">
      <c r="B9" s="376" t="s">
        <v>388</v>
      </c>
      <c r="C9" s="376">
        <v>0</v>
      </c>
      <c r="D9" s="376">
        <v>0</v>
      </c>
      <c r="E9" s="376">
        <v>0</v>
      </c>
      <c r="F9" s="376">
        <v>0</v>
      </c>
      <c r="G9" s="376">
        <v>0</v>
      </c>
      <c r="H9" s="376">
        <v>0.1</v>
      </c>
      <c r="I9" s="376">
        <v>0.1</v>
      </c>
      <c r="J9" s="376">
        <v>0</v>
      </c>
      <c r="K9" s="376">
        <v>0</v>
      </c>
      <c r="N9" s="376">
        <v>0.1</v>
      </c>
      <c r="O9" s="376">
        <v>0.5</v>
      </c>
      <c r="P9" s="376">
        <v>0.6</v>
      </c>
      <c r="Q9" s="376">
        <v>0.4</v>
      </c>
      <c r="R9" s="376">
        <v>0.8</v>
      </c>
      <c r="S9" s="376">
        <v>0.6</v>
      </c>
      <c r="T9" s="376">
        <v>0.7</v>
      </c>
      <c r="U9" s="376">
        <v>0.9</v>
      </c>
      <c r="V9" s="376">
        <v>1.7</v>
      </c>
      <c r="W9" s="376">
        <v>2</v>
      </c>
      <c r="X9" s="376">
        <v>2.7</v>
      </c>
      <c r="Y9" s="376">
        <v>2.8</v>
      </c>
      <c r="Z9" s="376">
        <v>1.8</v>
      </c>
      <c r="AA9" s="376">
        <v>2.4</v>
      </c>
      <c r="AB9" s="376">
        <v>2</v>
      </c>
      <c r="AC9" s="376">
        <v>1.5</v>
      </c>
      <c r="AD9" s="376">
        <v>2.5</v>
      </c>
      <c r="AE9" s="376">
        <v>2.2</v>
      </c>
      <c r="AF9" s="376">
        <v>2</v>
      </c>
      <c r="AG9" s="376">
        <v>2.5</v>
      </c>
      <c r="AH9" s="376">
        <v>2.7</v>
      </c>
      <c r="AI9" s="376">
        <v>2.5</v>
      </c>
      <c r="AJ9" s="376">
        <v>1.7</v>
      </c>
      <c r="AK9" s="376">
        <v>1.6</v>
      </c>
      <c r="AL9" s="376">
        <v>0.9</v>
      </c>
      <c r="AM9" s="376">
        <v>0</v>
      </c>
      <c r="AN9" s="376">
        <v>0</v>
      </c>
    </row>
    <row r="10" spans="2:43" ht="12.75">
      <c r="B10" s="376" t="s">
        <v>389</v>
      </c>
      <c r="C10" s="376">
        <v>0.6</v>
      </c>
      <c r="D10" s="376">
        <v>0.1</v>
      </c>
      <c r="E10" s="376">
        <v>0.1</v>
      </c>
      <c r="F10" s="376">
        <v>0.1</v>
      </c>
      <c r="G10" s="376">
        <v>0.1</v>
      </c>
      <c r="H10" s="376">
        <v>0.2</v>
      </c>
      <c r="I10" s="376">
        <v>0.4</v>
      </c>
      <c r="J10" s="376">
        <v>0.1</v>
      </c>
      <c r="K10" s="376">
        <v>0.1</v>
      </c>
      <c r="N10" s="376">
        <v>0.5</v>
      </c>
      <c r="O10" s="376">
        <v>0.8</v>
      </c>
      <c r="P10" s="376">
        <v>0.7</v>
      </c>
      <c r="Q10" s="376">
        <v>0.7</v>
      </c>
      <c r="R10" s="376">
        <v>1.4</v>
      </c>
      <c r="S10" s="376">
        <v>0.8</v>
      </c>
      <c r="T10" s="376">
        <v>0.9</v>
      </c>
      <c r="U10" s="376">
        <v>0.3</v>
      </c>
      <c r="V10" s="376">
        <v>0.7</v>
      </c>
      <c r="W10" s="376">
        <v>1.1</v>
      </c>
      <c r="X10" s="376">
        <v>1.6</v>
      </c>
      <c r="Y10" s="376">
        <v>2.4</v>
      </c>
      <c r="Z10" s="376">
        <v>2</v>
      </c>
      <c r="AA10" s="376">
        <v>3.2</v>
      </c>
      <c r="AB10" s="376">
        <v>3.4</v>
      </c>
      <c r="AC10" s="376">
        <v>1.8</v>
      </c>
      <c r="AD10" s="376">
        <v>1.9</v>
      </c>
      <c r="AE10" s="376">
        <v>1.6</v>
      </c>
      <c r="AF10" s="376">
        <v>1</v>
      </c>
      <c r="AG10" s="376">
        <v>0.7</v>
      </c>
      <c r="AH10" s="376">
        <v>0.3</v>
      </c>
      <c r="AI10" s="376">
        <v>0.1</v>
      </c>
      <c r="AJ10" s="376">
        <v>0.1</v>
      </c>
      <c r="AK10" s="376">
        <v>0.1</v>
      </c>
      <c r="AL10" s="376">
        <v>0.1</v>
      </c>
      <c r="AM10" s="376">
        <v>0.1</v>
      </c>
      <c r="AN10" s="376">
        <v>0.6</v>
      </c>
      <c r="AO10" s="376">
        <v>1.8</v>
      </c>
      <c r="AP10" s="376">
        <v>1.8</v>
      </c>
      <c r="AQ10" s="376">
        <v>1.6</v>
      </c>
    </row>
    <row r="11" spans="2:44" ht="12.75">
      <c r="B11" s="376" t="s">
        <v>390</v>
      </c>
      <c r="C11" s="376">
        <v>2.8</v>
      </c>
      <c r="D11" s="376">
        <v>2.7</v>
      </c>
      <c r="E11" s="376">
        <v>2.4</v>
      </c>
      <c r="F11" s="376">
        <v>2.7</v>
      </c>
      <c r="G11" s="376">
        <v>1.5</v>
      </c>
      <c r="H11" s="376">
        <v>1.7</v>
      </c>
      <c r="I11" s="376">
        <v>1.5</v>
      </c>
      <c r="J11" s="376">
        <v>1.3</v>
      </c>
      <c r="K11" s="376">
        <v>1.4</v>
      </c>
      <c r="L11" s="376">
        <v>1.3</v>
      </c>
      <c r="M11" s="376">
        <v>1.5</v>
      </c>
      <c r="N11" s="376">
        <v>1.5</v>
      </c>
      <c r="O11" s="376">
        <v>2.8</v>
      </c>
      <c r="P11" s="376">
        <v>2.5</v>
      </c>
      <c r="Q11" s="376">
        <v>1.6</v>
      </c>
      <c r="R11" s="376">
        <v>2.3</v>
      </c>
      <c r="S11" s="376">
        <v>2</v>
      </c>
      <c r="T11" s="376">
        <v>2.1</v>
      </c>
      <c r="U11" s="376">
        <v>2</v>
      </c>
      <c r="V11" s="376">
        <v>2.3</v>
      </c>
      <c r="W11" s="376">
        <v>2</v>
      </c>
      <c r="X11" s="376">
        <v>2.5</v>
      </c>
      <c r="Y11" s="376">
        <v>2.7</v>
      </c>
      <c r="Z11" s="376">
        <v>2.6</v>
      </c>
      <c r="AA11" s="376">
        <v>3.6</v>
      </c>
      <c r="AB11" s="376">
        <v>3</v>
      </c>
      <c r="AC11" s="376">
        <v>2.1</v>
      </c>
      <c r="AD11" s="376">
        <v>3.6</v>
      </c>
      <c r="AE11" s="376">
        <v>3.5</v>
      </c>
      <c r="AF11" s="376">
        <v>3.8</v>
      </c>
      <c r="AG11" s="376">
        <v>3.4</v>
      </c>
      <c r="AH11" s="376">
        <v>3.1</v>
      </c>
      <c r="AI11" s="376">
        <v>2.7</v>
      </c>
      <c r="AJ11" s="376">
        <v>1.9</v>
      </c>
      <c r="AK11" s="376">
        <v>1.9</v>
      </c>
      <c r="AL11" s="376">
        <v>1.8</v>
      </c>
      <c r="AM11" s="376">
        <v>1.9</v>
      </c>
      <c r="AN11" s="376">
        <v>2.4</v>
      </c>
      <c r="AO11" s="376">
        <v>4.2</v>
      </c>
      <c r="AP11" s="376">
        <v>3.5</v>
      </c>
      <c r="AQ11" s="376">
        <v>2.8</v>
      </c>
      <c r="AR11" s="376">
        <v>0.9</v>
      </c>
    </row>
    <row r="12" spans="2:44" ht="12.75">
      <c r="B12" s="376" t="s">
        <v>391</v>
      </c>
      <c r="C12" s="376">
        <v>4</v>
      </c>
      <c r="D12" s="376">
        <v>3</v>
      </c>
      <c r="E12" s="376">
        <v>1.6</v>
      </c>
      <c r="F12" s="376">
        <v>1.7</v>
      </c>
      <c r="G12" s="376">
        <v>1</v>
      </c>
      <c r="H12" s="376">
        <v>0.9</v>
      </c>
      <c r="I12" s="376">
        <v>0.7</v>
      </c>
      <c r="J12" s="376">
        <v>1.3</v>
      </c>
      <c r="K12" s="376">
        <v>1.3</v>
      </c>
      <c r="L12" s="376">
        <v>0.7</v>
      </c>
      <c r="M12" s="376">
        <v>0.8</v>
      </c>
      <c r="N12" s="376">
        <v>0.7</v>
      </c>
      <c r="O12" s="376">
        <v>1.3</v>
      </c>
      <c r="P12" s="376">
        <v>1</v>
      </c>
      <c r="Q12" s="376">
        <v>0.8</v>
      </c>
      <c r="R12" s="376">
        <v>1.4</v>
      </c>
      <c r="S12" s="376">
        <v>1.4</v>
      </c>
      <c r="T12" s="376">
        <v>1.4</v>
      </c>
      <c r="U12" s="376">
        <v>1.7</v>
      </c>
      <c r="V12" s="376">
        <v>2.2</v>
      </c>
      <c r="W12" s="376">
        <v>1.9</v>
      </c>
      <c r="X12" s="376">
        <v>2.3</v>
      </c>
      <c r="Y12" s="376">
        <v>1.8</v>
      </c>
      <c r="Z12" s="376">
        <v>1.8</v>
      </c>
      <c r="AA12" s="376">
        <v>5.6</v>
      </c>
      <c r="AB12" s="376">
        <v>5</v>
      </c>
      <c r="AC12" s="376">
        <v>3.7</v>
      </c>
      <c r="AD12" s="376">
        <v>5.1</v>
      </c>
      <c r="AE12" s="376">
        <v>5</v>
      </c>
      <c r="AF12" s="376">
        <v>3.6</v>
      </c>
      <c r="AG12" s="376">
        <v>3.8</v>
      </c>
      <c r="AH12" s="376">
        <v>3.3</v>
      </c>
      <c r="AI12" s="376">
        <v>3.7</v>
      </c>
      <c r="AJ12" s="376">
        <v>4.5</v>
      </c>
      <c r="AK12" s="376">
        <v>4.5</v>
      </c>
      <c r="AL12" s="376">
        <v>4.4</v>
      </c>
      <c r="AM12" s="376">
        <v>5.3</v>
      </c>
      <c r="AN12" s="376">
        <v>4.3</v>
      </c>
      <c r="AO12" s="376">
        <v>6</v>
      </c>
      <c r="AP12" s="376">
        <v>3.3</v>
      </c>
      <c r="AQ12" s="376">
        <v>2.6</v>
      </c>
      <c r="AR12" s="376">
        <v>0.9</v>
      </c>
    </row>
    <row r="13" spans="2:44" ht="12.75">
      <c r="B13" s="376" t="s">
        <v>392</v>
      </c>
      <c r="C13" s="376">
        <v>9</v>
      </c>
      <c r="D13" s="376">
        <v>13.9</v>
      </c>
      <c r="E13" s="376">
        <v>12.3</v>
      </c>
      <c r="F13" s="376">
        <v>18.2</v>
      </c>
      <c r="G13" s="376">
        <v>16.9</v>
      </c>
      <c r="H13" s="376">
        <v>26.7</v>
      </c>
      <c r="I13" s="376">
        <v>23.9</v>
      </c>
      <c r="J13" s="376">
        <v>24.6</v>
      </c>
      <c r="K13" s="376">
        <v>24.5</v>
      </c>
      <c r="L13" s="376">
        <v>18.9</v>
      </c>
      <c r="M13" s="376">
        <v>22.5</v>
      </c>
      <c r="N13" s="376">
        <v>19</v>
      </c>
      <c r="O13" s="376">
        <v>30.9</v>
      </c>
      <c r="P13" s="376">
        <v>28.8</v>
      </c>
      <c r="Q13" s="376">
        <v>20.5</v>
      </c>
      <c r="R13" s="376">
        <v>34.3</v>
      </c>
      <c r="S13" s="376">
        <v>26.4</v>
      </c>
      <c r="T13" s="376">
        <v>25.3</v>
      </c>
      <c r="U13" s="376">
        <v>29.4</v>
      </c>
      <c r="V13" s="376">
        <v>29.6</v>
      </c>
      <c r="W13" s="376">
        <v>31.2</v>
      </c>
      <c r="X13" s="376">
        <v>34.4</v>
      </c>
      <c r="Y13" s="376">
        <v>35.5</v>
      </c>
      <c r="Z13" s="376">
        <v>17.9</v>
      </c>
      <c r="AA13" s="376">
        <v>25.9</v>
      </c>
      <c r="AB13" s="376">
        <v>22.2</v>
      </c>
      <c r="AC13" s="376">
        <v>16.4</v>
      </c>
      <c r="AD13" s="376">
        <v>17.1</v>
      </c>
      <c r="AE13" s="376">
        <v>14.1</v>
      </c>
      <c r="AF13" s="376">
        <v>12</v>
      </c>
      <c r="AG13" s="376">
        <v>12.6</v>
      </c>
      <c r="AH13" s="376">
        <v>9.1</v>
      </c>
      <c r="AI13" s="376">
        <v>6.9</v>
      </c>
      <c r="AJ13" s="376">
        <v>10.4</v>
      </c>
      <c r="AK13" s="376">
        <v>12.7</v>
      </c>
      <c r="AL13" s="376">
        <v>13.1</v>
      </c>
      <c r="AM13" s="376">
        <v>12.8</v>
      </c>
      <c r="AN13" s="376">
        <v>6.9</v>
      </c>
      <c r="AO13" s="376">
        <v>8.5</v>
      </c>
      <c r="AP13" s="376">
        <v>5.8</v>
      </c>
      <c r="AQ13" s="376">
        <v>4.3</v>
      </c>
      <c r="AR13" s="376">
        <v>1.1</v>
      </c>
    </row>
    <row r="14" spans="2:45" ht="12.75">
      <c r="B14" s="376" t="s">
        <v>393</v>
      </c>
      <c r="C14" s="376">
        <v>10.7</v>
      </c>
      <c r="D14" s="376">
        <v>8.5</v>
      </c>
      <c r="E14" s="376">
        <v>6.1</v>
      </c>
      <c r="F14" s="376">
        <v>6.8</v>
      </c>
      <c r="G14" s="376">
        <v>5.8</v>
      </c>
      <c r="H14" s="376">
        <v>4.7</v>
      </c>
      <c r="I14" s="376">
        <v>4.1</v>
      </c>
      <c r="J14" s="376">
        <v>3.1</v>
      </c>
      <c r="K14" s="376">
        <v>2.5</v>
      </c>
      <c r="L14" s="376">
        <v>2.2</v>
      </c>
      <c r="M14" s="376">
        <v>3</v>
      </c>
      <c r="N14" s="376">
        <v>2.4</v>
      </c>
      <c r="O14" s="376">
        <v>3.4</v>
      </c>
      <c r="P14" s="376">
        <v>3</v>
      </c>
      <c r="Q14" s="376">
        <v>2.3</v>
      </c>
      <c r="R14" s="376">
        <v>3.6</v>
      </c>
      <c r="S14" s="376">
        <v>3.5</v>
      </c>
      <c r="T14" s="376">
        <v>3.6</v>
      </c>
      <c r="U14" s="376">
        <v>2.4</v>
      </c>
      <c r="V14" s="376">
        <v>2.3</v>
      </c>
      <c r="W14" s="376">
        <v>2.2</v>
      </c>
      <c r="X14" s="376">
        <v>2.2</v>
      </c>
      <c r="Y14" s="376">
        <v>2.5</v>
      </c>
      <c r="Z14" s="376">
        <v>1.9</v>
      </c>
      <c r="AA14" s="376">
        <v>1.7</v>
      </c>
      <c r="AB14" s="376">
        <v>1</v>
      </c>
      <c r="AC14" s="376">
        <v>0.7</v>
      </c>
      <c r="AD14" s="376">
        <v>1</v>
      </c>
      <c r="AE14" s="376">
        <v>0.8</v>
      </c>
      <c r="AF14" s="376">
        <v>0.8</v>
      </c>
      <c r="AG14" s="376">
        <v>0.8</v>
      </c>
      <c r="AH14" s="376">
        <v>0.6</v>
      </c>
      <c r="AI14" s="376">
        <v>0.6</v>
      </c>
      <c r="AJ14" s="376">
        <v>0.7</v>
      </c>
      <c r="AK14" s="376">
        <v>0.6</v>
      </c>
      <c r="AL14" s="376">
        <v>0.5</v>
      </c>
      <c r="AM14" s="376">
        <v>0.7</v>
      </c>
      <c r="AN14" s="376">
        <v>0.7</v>
      </c>
      <c r="AO14" s="376">
        <v>0.8</v>
      </c>
      <c r="AP14" s="376">
        <v>0.7</v>
      </c>
      <c r="AQ14" s="376">
        <v>0.7</v>
      </c>
      <c r="AR14" s="376">
        <v>0.7</v>
      </c>
      <c r="AS14" s="376">
        <v>0</v>
      </c>
    </row>
    <row r="16" spans="3:50" ht="12.75">
      <c r="C16" s="441">
        <v>38626</v>
      </c>
      <c r="D16" s="441">
        <v>38657</v>
      </c>
      <c r="E16" s="441">
        <v>38687</v>
      </c>
      <c r="F16" s="441">
        <v>38718</v>
      </c>
      <c r="G16" s="441">
        <v>38749</v>
      </c>
      <c r="H16" s="441">
        <v>38777</v>
      </c>
      <c r="I16" s="441">
        <v>38808</v>
      </c>
      <c r="J16" s="441">
        <v>38838</v>
      </c>
      <c r="K16" s="441">
        <v>38869</v>
      </c>
      <c r="L16" s="441">
        <v>38899</v>
      </c>
      <c r="M16" s="441">
        <v>38930</v>
      </c>
      <c r="N16" s="441">
        <v>38961</v>
      </c>
      <c r="O16" s="441">
        <v>38991</v>
      </c>
      <c r="P16" s="441">
        <v>39022</v>
      </c>
      <c r="Q16" s="441">
        <v>39052</v>
      </c>
      <c r="R16" s="441">
        <v>39083</v>
      </c>
      <c r="S16" s="441">
        <v>39114</v>
      </c>
      <c r="T16" s="441">
        <v>39142</v>
      </c>
      <c r="U16" s="441">
        <v>39173</v>
      </c>
      <c r="V16" s="441">
        <v>39203</v>
      </c>
      <c r="W16" s="441">
        <v>39234</v>
      </c>
      <c r="X16" s="441">
        <v>39264</v>
      </c>
      <c r="Y16" s="441">
        <v>39295</v>
      </c>
      <c r="Z16" s="441">
        <v>39326</v>
      </c>
      <c r="AA16" s="441">
        <v>39356</v>
      </c>
      <c r="AB16" s="441">
        <v>39387</v>
      </c>
      <c r="AC16" s="441">
        <v>39417</v>
      </c>
      <c r="AD16" s="441">
        <v>39448</v>
      </c>
      <c r="AE16" s="441">
        <v>39479</v>
      </c>
      <c r="AF16" s="441">
        <v>39508</v>
      </c>
      <c r="AG16" s="441">
        <v>39539</v>
      </c>
      <c r="AH16" s="441">
        <v>39569</v>
      </c>
      <c r="AI16" s="441">
        <v>39600</v>
      </c>
      <c r="AJ16" s="441">
        <v>39630</v>
      </c>
      <c r="AK16" s="441">
        <v>39661</v>
      </c>
      <c r="AL16" s="441">
        <v>39692</v>
      </c>
      <c r="AM16" s="441">
        <v>39722</v>
      </c>
      <c r="AN16" s="441">
        <v>39753</v>
      </c>
      <c r="AO16" s="441">
        <v>39783</v>
      </c>
      <c r="AP16" s="441">
        <v>39814</v>
      </c>
      <c r="AQ16" s="441">
        <v>39845</v>
      </c>
      <c r="AR16" s="441">
        <v>39873</v>
      </c>
      <c r="AS16" s="441">
        <v>39904</v>
      </c>
      <c r="AT16" s="441">
        <v>39934</v>
      </c>
      <c r="AU16" s="441">
        <v>39965</v>
      </c>
      <c r="AV16" s="441">
        <v>39995</v>
      </c>
      <c r="AW16" s="441">
        <v>40026</v>
      </c>
      <c r="AX16" s="441">
        <v>40057</v>
      </c>
    </row>
    <row r="17" spans="2:50" ht="12.75">
      <c r="B17" s="376" t="s">
        <v>394</v>
      </c>
      <c r="C17" s="376">
        <f>SUM(C3,C5,C8,C11)</f>
        <v>10.6</v>
      </c>
      <c r="D17" s="376">
        <f aca="true" t="shared" si="0" ref="D17:AX17">SUM(D3,D5,D8,D11)</f>
        <v>8.9</v>
      </c>
      <c r="E17" s="376">
        <f t="shared" si="0"/>
        <v>6.799999999999999</v>
      </c>
      <c r="F17" s="376">
        <f t="shared" si="0"/>
        <v>8.5</v>
      </c>
      <c r="G17" s="376">
        <f t="shared" si="0"/>
        <v>8.2</v>
      </c>
      <c r="H17" s="376">
        <f t="shared" si="0"/>
        <v>9.1</v>
      </c>
      <c r="I17" s="376">
        <f t="shared" si="0"/>
        <v>7.5</v>
      </c>
      <c r="J17" s="376">
        <f t="shared" si="0"/>
        <v>8.1</v>
      </c>
      <c r="K17" s="376">
        <f t="shared" si="0"/>
        <v>7.699999999999999</v>
      </c>
      <c r="L17" s="376">
        <f t="shared" si="0"/>
        <v>5.2</v>
      </c>
      <c r="M17" s="376">
        <f t="shared" si="0"/>
        <v>6.1000000000000005</v>
      </c>
      <c r="N17" s="376">
        <f t="shared" si="0"/>
        <v>5.7</v>
      </c>
      <c r="O17" s="376">
        <f t="shared" si="0"/>
        <v>9.8</v>
      </c>
      <c r="P17" s="376">
        <f t="shared" si="0"/>
        <v>9</v>
      </c>
      <c r="Q17" s="376">
        <f t="shared" si="0"/>
        <v>6.800000000000001</v>
      </c>
      <c r="R17" s="376">
        <f t="shared" si="0"/>
        <v>10.1</v>
      </c>
      <c r="S17" s="376">
        <f t="shared" si="0"/>
        <v>8.5</v>
      </c>
      <c r="T17" s="376">
        <f t="shared" si="0"/>
        <v>8.3</v>
      </c>
      <c r="U17" s="376">
        <f t="shared" si="0"/>
        <v>6.9</v>
      </c>
      <c r="V17" s="376">
        <f t="shared" si="0"/>
        <v>6.3</v>
      </c>
      <c r="W17" s="376">
        <f t="shared" si="0"/>
        <v>6.1</v>
      </c>
      <c r="X17" s="376">
        <f t="shared" si="0"/>
        <v>6.8</v>
      </c>
      <c r="Y17" s="376">
        <f t="shared" si="0"/>
        <v>7.4</v>
      </c>
      <c r="Z17" s="376">
        <f t="shared" si="0"/>
        <v>7.799999999999999</v>
      </c>
      <c r="AA17" s="376">
        <f t="shared" si="0"/>
        <v>11</v>
      </c>
      <c r="AB17" s="376">
        <f t="shared" si="0"/>
        <v>9.100000000000001</v>
      </c>
      <c r="AC17" s="376">
        <f t="shared" si="0"/>
        <v>6.699999999999999</v>
      </c>
      <c r="AD17" s="376">
        <f t="shared" si="0"/>
        <v>10</v>
      </c>
      <c r="AE17" s="376">
        <f t="shared" si="0"/>
        <v>9.5</v>
      </c>
      <c r="AF17" s="376">
        <f t="shared" si="0"/>
        <v>9.3</v>
      </c>
      <c r="AG17" s="376">
        <f t="shared" si="0"/>
        <v>9</v>
      </c>
      <c r="AH17" s="376">
        <f t="shared" si="0"/>
        <v>8.4</v>
      </c>
      <c r="AI17" s="376">
        <f t="shared" si="0"/>
        <v>8.2</v>
      </c>
      <c r="AJ17" s="376">
        <f t="shared" si="0"/>
        <v>7</v>
      </c>
      <c r="AK17" s="376">
        <f t="shared" si="0"/>
        <v>6.299999999999999</v>
      </c>
      <c r="AL17" s="376">
        <f t="shared" si="0"/>
        <v>5.8</v>
      </c>
      <c r="AM17" s="376">
        <f t="shared" si="0"/>
        <v>3.9</v>
      </c>
      <c r="AN17" s="376">
        <f t="shared" si="0"/>
        <v>3.7</v>
      </c>
      <c r="AO17" s="376">
        <f t="shared" si="0"/>
        <v>6.300000000000001</v>
      </c>
      <c r="AP17" s="376">
        <f t="shared" si="0"/>
        <v>5.5</v>
      </c>
      <c r="AQ17" s="376">
        <f t="shared" si="0"/>
        <v>4.6</v>
      </c>
      <c r="AR17" s="376">
        <f t="shared" si="0"/>
        <v>1.1</v>
      </c>
      <c r="AS17" s="376">
        <f t="shared" si="0"/>
        <v>0.2</v>
      </c>
      <c r="AT17" s="376">
        <f t="shared" si="0"/>
        <v>0.2</v>
      </c>
      <c r="AU17" s="376">
        <f t="shared" si="0"/>
        <v>0</v>
      </c>
      <c r="AV17" s="376">
        <f t="shared" si="0"/>
        <v>0</v>
      </c>
      <c r="AW17" s="376">
        <f t="shared" si="0"/>
        <v>0</v>
      </c>
      <c r="AX17" s="376">
        <f t="shared" si="0"/>
        <v>0</v>
      </c>
    </row>
    <row r="18" spans="2:50" ht="12.75">
      <c r="B18" s="376" t="s">
        <v>395</v>
      </c>
      <c r="C18" s="376">
        <f>SUM(C6,C9:C10,C12:C13)</f>
        <v>13.6</v>
      </c>
      <c r="D18" s="376">
        <f aca="true" t="shared" si="1" ref="D18:AX18">SUM(D6,D9:D10,D12:D13)</f>
        <v>17</v>
      </c>
      <c r="E18" s="376">
        <f t="shared" si="1"/>
        <v>14</v>
      </c>
      <c r="F18" s="376">
        <f t="shared" si="1"/>
        <v>20</v>
      </c>
      <c r="G18" s="376">
        <f t="shared" si="1"/>
        <v>18</v>
      </c>
      <c r="H18" s="376">
        <f t="shared" si="1"/>
        <v>27.9</v>
      </c>
      <c r="I18" s="376">
        <f t="shared" si="1"/>
        <v>25.099999999999998</v>
      </c>
      <c r="J18" s="376">
        <f t="shared" si="1"/>
        <v>26</v>
      </c>
      <c r="K18" s="376">
        <f t="shared" si="1"/>
        <v>25.9</v>
      </c>
      <c r="L18" s="376">
        <f t="shared" si="1"/>
        <v>19.599999999999998</v>
      </c>
      <c r="M18" s="376">
        <f t="shared" si="1"/>
        <v>23.3</v>
      </c>
      <c r="N18" s="376">
        <f t="shared" si="1"/>
        <v>20.3</v>
      </c>
      <c r="O18" s="376">
        <f t="shared" si="1"/>
        <v>33.5</v>
      </c>
      <c r="P18" s="376">
        <f t="shared" si="1"/>
        <v>31.1</v>
      </c>
      <c r="Q18" s="376">
        <f t="shared" si="1"/>
        <v>22.4</v>
      </c>
      <c r="R18" s="376">
        <f t="shared" si="1"/>
        <v>37.9</v>
      </c>
      <c r="S18" s="376">
        <f t="shared" si="1"/>
        <v>29.2</v>
      </c>
      <c r="T18" s="376">
        <f t="shared" si="1"/>
        <v>28.3</v>
      </c>
      <c r="U18" s="376">
        <f t="shared" si="1"/>
        <v>32.3</v>
      </c>
      <c r="V18" s="376">
        <f t="shared" si="1"/>
        <v>34.2</v>
      </c>
      <c r="W18" s="376">
        <f t="shared" si="1"/>
        <v>36.2</v>
      </c>
      <c r="X18" s="376">
        <f t="shared" si="1"/>
        <v>41</v>
      </c>
      <c r="Y18" s="376">
        <f t="shared" si="1"/>
        <v>42.5</v>
      </c>
      <c r="Z18" s="376">
        <f t="shared" si="1"/>
        <v>23.5</v>
      </c>
      <c r="AA18" s="376">
        <f t="shared" si="1"/>
        <v>37.099999999999994</v>
      </c>
      <c r="AB18" s="376">
        <f t="shared" si="1"/>
        <v>32.6</v>
      </c>
      <c r="AC18" s="376">
        <f t="shared" si="1"/>
        <v>23.4</v>
      </c>
      <c r="AD18" s="376">
        <f t="shared" si="1"/>
        <v>27</v>
      </c>
      <c r="AE18" s="376">
        <f t="shared" si="1"/>
        <v>23.5</v>
      </c>
      <c r="AF18" s="376">
        <f t="shared" si="1"/>
        <v>19.8</v>
      </c>
      <c r="AG18" s="376">
        <f t="shared" si="1"/>
        <v>21.5</v>
      </c>
      <c r="AH18" s="376">
        <f t="shared" si="1"/>
        <v>17.2</v>
      </c>
      <c r="AI18" s="376">
        <f t="shared" si="1"/>
        <v>15</v>
      </c>
      <c r="AJ18" s="376">
        <f t="shared" si="1"/>
        <v>18</v>
      </c>
      <c r="AK18" s="376">
        <f t="shared" si="1"/>
        <v>20.1</v>
      </c>
      <c r="AL18" s="376">
        <f t="shared" si="1"/>
        <v>19.5</v>
      </c>
      <c r="AM18" s="376">
        <f t="shared" si="1"/>
        <v>18.7</v>
      </c>
      <c r="AN18" s="376">
        <f t="shared" si="1"/>
        <v>12.1</v>
      </c>
      <c r="AO18" s="376">
        <f t="shared" si="1"/>
        <v>16.3</v>
      </c>
      <c r="AP18" s="376">
        <f t="shared" si="1"/>
        <v>10.899999999999999</v>
      </c>
      <c r="AQ18" s="376">
        <f t="shared" si="1"/>
        <v>8.5</v>
      </c>
      <c r="AR18" s="376">
        <f t="shared" si="1"/>
        <v>2</v>
      </c>
      <c r="AS18" s="376">
        <f t="shared" si="1"/>
        <v>0</v>
      </c>
      <c r="AT18" s="376">
        <f t="shared" si="1"/>
        <v>0</v>
      </c>
      <c r="AU18" s="376">
        <f t="shared" si="1"/>
        <v>0</v>
      </c>
      <c r="AV18" s="376">
        <f t="shared" si="1"/>
        <v>0</v>
      </c>
      <c r="AW18" s="376">
        <f t="shared" si="1"/>
        <v>0</v>
      </c>
      <c r="AX18" s="376">
        <f t="shared" si="1"/>
        <v>0</v>
      </c>
    </row>
    <row r="19" spans="2:50" ht="12.75">
      <c r="B19" s="376" t="s">
        <v>396</v>
      </c>
      <c r="C19" s="376">
        <f>SUM(C14)</f>
        <v>10.7</v>
      </c>
      <c r="D19" s="376">
        <f aca="true" t="shared" si="2" ref="D19:AX19">SUM(D14)</f>
        <v>8.5</v>
      </c>
      <c r="E19" s="376">
        <f t="shared" si="2"/>
        <v>6.1</v>
      </c>
      <c r="F19" s="376">
        <f t="shared" si="2"/>
        <v>6.8</v>
      </c>
      <c r="G19" s="376">
        <f t="shared" si="2"/>
        <v>5.8</v>
      </c>
      <c r="H19" s="376">
        <f t="shared" si="2"/>
        <v>4.7</v>
      </c>
      <c r="I19" s="376">
        <f t="shared" si="2"/>
        <v>4.1</v>
      </c>
      <c r="J19" s="376">
        <f t="shared" si="2"/>
        <v>3.1</v>
      </c>
      <c r="K19" s="376">
        <f t="shared" si="2"/>
        <v>2.5</v>
      </c>
      <c r="L19" s="376">
        <f t="shared" si="2"/>
        <v>2.2</v>
      </c>
      <c r="M19" s="376">
        <f t="shared" si="2"/>
        <v>3</v>
      </c>
      <c r="N19" s="376">
        <f t="shared" si="2"/>
        <v>2.4</v>
      </c>
      <c r="O19" s="376">
        <f t="shared" si="2"/>
        <v>3.4</v>
      </c>
      <c r="P19" s="376">
        <f t="shared" si="2"/>
        <v>3</v>
      </c>
      <c r="Q19" s="376">
        <f t="shared" si="2"/>
        <v>2.3</v>
      </c>
      <c r="R19" s="376">
        <f t="shared" si="2"/>
        <v>3.6</v>
      </c>
      <c r="S19" s="376">
        <f t="shared" si="2"/>
        <v>3.5</v>
      </c>
      <c r="T19" s="376">
        <f t="shared" si="2"/>
        <v>3.6</v>
      </c>
      <c r="U19" s="376">
        <f t="shared" si="2"/>
        <v>2.4</v>
      </c>
      <c r="V19" s="376">
        <f t="shared" si="2"/>
        <v>2.3</v>
      </c>
      <c r="W19" s="376">
        <f t="shared" si="2"/>
        <v>2.2</v>
      </c>
      <c r="X19" s="376">
        <f t="shared" si="2"/>
        <v>2.2</v>
      </c>
      <c r="Y19" s="376">
        <f t="shared" si="2"/>
        <v>2.5</v>
      </c>
      <c r="Z19" s="376">
        <f t="shared" si="2"/>
        <v>1.9</v>
      </c>
      <c r="AA19" s="376">
        <f t="shared" si="2"/>
        <v>1.7</v>
      </c>
      <c r="AB19" s="376">
        <f t="shared" si="2"/>
        <v>1</v>
      </c>
      <c r="AC19" s="376">
        <f t="shared" si="2"/>
        <v>0.7</v>
      </c>
      <c r="AD19" s="376">
        <f t="shared" si="2"/>
        <v>1</v>
      </c>
      <c r="AE19" s="376">
        <f t="shared" si="2"/>
        <v>0.8</v>
      </c>
      <c r="AF19" s="376">
        <f t="shared" si="2"/>
        <v>0.8</v>
      </c>
      <c r="AG19" s="376">
        <f t="shared" si="2"/>
        <v>0.8</v>
      </c>
      <c r="AH19" s="376">
        <f t="shared" si="2"/>
        <v>0.6</v>
      </c>
      <c r="AI19" s="376">
        <f t="shared" si="2"/>
        <v>0.6</v>
      </c>
      <c r="AJ19" s="376">
        <f t="shared" si="2"/>
        <v>0.7</v>
      </c>
      <c r="AK19" s="376">
        <f t="shared" si="2"/>
        <v>0.6</v>
      </c>
      <c r="AL19" s="376">
        <f t="shared" si="2"/>
        <v>0.5</v>
      </c>
      <c r="AM19" s="376">
        <f t="shared" si="2"/>
        <v>0.7</v>
      </c>
      <c r="AN19" s="376">
        <f t="shared" si="2"/>
        <v>0.7</v>
      </c>
      <c r="AO19" s="376">
        <f t="shared" si="2"/>
        <v>0.8</v>
      </c>
      <c r="AP19" s="376">
        <f t="shared" si="2"/>
        <v>0.7</v>
      </c>
      <c r="AQ19" s="376">
        <f t="shared" si="2"/>
        <v>0.7</v>
      </c>
      <c r="AR19" s="376">
        <f t="shared" si="2"/>
        <v>0.7</v>
      </c>
      <c r="AS19" s="376">
        <f t="shared" si="2"/>
        <v>0</v>
      </c>
      <c r="AT19" s="376">
        <f t="shared" si="2"/>
        <v>0</v>
      </c>
      <c r="AU19" s="376">
        <f t="shared" si="2"/>
        <v>0</v>
      </c>
      <c r="AV19" s="376">
        <f t="shared" si="2"/>
        <v>0</v>
      </c>
      <c r="AW19" s="376">
        <f t="shared" si="2"/>
        <v>0</v>
      </c>
      <c r="AX19" s="376">
        <f t="shared" si="2"/>
        <v>0</v>
      </c>
    </row>
    <row r="23" spans="3:48" ht="12.75">
      <c r="C23" s="376" t="s">
        <v>397</v>
      </c>
      <c r="D23" s="376" t="s">
        <v>398</v>
      </c>
      <c r="E23" s="376" t="s">
        <v>399</v>
      </c>
      <c r="F23" s="376" t="s">
        <v>400</v>
      </c>
      <c r="G23" s="376" t="s">
        <v>401</v>
      </c>
      <c r="H23" s="376" t="s">
        <v>402</v>
      </c>
      <c r="I23" s="376" t="s">
        <v>403</v>
      </c>
      <c r="J23" s="376" t="s">
        <v>404</v>
      </c>
      <c r="K23" s="376" t="s">
        <v>405</v>
      </c>
      <c r="L23" s="376" t="s">
        <v>406</v>
      </c>
      <c r="M23" s="376" t="s">
        <v>407</v>
      </c>
      <c r="N23" s="376" t="s">
        <v>408</v>
      </c>
      <c r="O23" s="376" t="s">
        <v>397</v>
      </c>
      <c r="P23" s="376" t="s">
        <v>398</v>
      </c>
      <c r="Q23" s="376" t="s">
        <v>399</v>
      </c>
      <c r="R23" s="376" t="s">
        <v>400</v>
      </c>
      <c r="S23" s="376" t="s">
        <v>401</v>
      </c>
      <c r="T23" s="376" t="s">
        <v>402</v>
      </c>
      <c r="U23" s="376" t="s">
        <v>403</v>
      </c>
      <c r="V23" s="376" t="s">
        <v>404</v>
      </c>
      <c r="W23" s="376" t="s">
        <v>405</v>
      </c>
      <c r="X23" s="376" t="s">
        <v>406</v>
      </c>
      <c r="Y23" s="376" t="s">
        <v>407</v>
      </c>
      <c r="Z23" s="376" t="s">
        <v>408</v>
      </c>
      <c r="AA23" s="376" t="s">
        <v>397</v>
      </c>
      <c r="AB23" s="376" t="s">
        <v>398</v>
      </c>
      <c r="AC23" s="376" t="s">
        <v>399</v>
      </c>
      <c r="AD23" s="376" t="s">
        <v>400</v>
      </c>
      <c r="AE23" s="376" t="s">
        <v>401</v>
      </c>
      <c r="AF23" s="376" t="s">
        <v>402</v>
      </c>
      <c r="AG23" s="376" t="s">
        <v>403</v>
      </c>
      <c r="AH23" s="376" t="s">
        <v>404</v>
      </c>
      <c r="AI23" s="376" t="s">
        <v>405</v>
      </c>
      <c r="AJ23" s="376" t="s">
        <v>406</v>
      </c>
      <c r="AK23" s="376" t="s">
        <v>407</v>
      </c>
      <c r="AL23" s="376" t="s">
        <v>408</v>
      </c>
      <c r="AM23" s="376" t="s">
        <v>397</v>
      </c>
      <c r="AN23" s="376" t="s">
        <v>398</v>
      </c>
      <c r="AO23" s="376" t="s">
        <v>399</v>
      </c>
      <c r="AP23" s="376" t="s">
        <v>400</v>
      </c>
      <c r="AQ23" s="376" t="s">
        <v>401</v>
      </c>
      <c r="AR23" s="376" t="s">
        <v>402</v>
      </c>
      <c r="AS23" s="376" t="s">
        <v>403</v>
      </c>
      <c r="AT23" s="376" t="s">
        <v>404</v>
      </c>
      <c r="AU23" s="376" t="s">
        <v>405</v>
      </c>
      <c r="AV23" s="376" t="s">
        <v>406</v>
      </c>
    </row>
    <row r="24" spans="2:48" ht="12.75">
      <c r="B24" s="376" t="s">
        <v>409</v>
      </c>
      <c r="C24" s="376">
        <v>16</v>
      </c>
      <c r="D24" s="376">
        <v>19.1</v>
      </c>
      <c r="E24" s="376">
        <v>14.3</v>
      </c>
      <c r="F24" s="376">
        <v>19.1</v>
      </c>
      <c r="G24" s="376">
        <v>19.5</v>
      </c>
      <c r="H24" s="376">
        <v>15.3</v>
      </c>
      <c r="I24" s="376">
        <v>20.3</v>
      </c>
      <c r="J24" s="376">
        <v>21.3</v>
      </c>
      <c r="K24" s="376">
        <v>22.5</v>
      </c>
      <c r="L24" s="376">
        <v>22.7</v>
      </c>
      <c r="M24" s="376">
        <v>20.6</v>
      </c>
      <c r="N24" s="376">
        <v>15.8</v>
      </c>
      <c r="O24" s="376">
        <v>23.5</v>
      </c>
      <c r="P24" s="376">
        <v>25.7</v>
      </c>
      <c r="Q24" s="376">
        <v>16.8</v>
      </c>
      <c r="R24" s="376">
        <v>30.2</v>
      </c>
      <c r="S24" s="376">
        <v>24.7</v>
      </c>
      <c r="T24" s="376">
        <v>25.8</v>
      </c>
      <c r="U24" s="376">
        <v>26.9</v>
      </c>
      <c r="V24" s="376">
        <v>29.3</v>
      </c>
      <c r="W24" s="376">
        <v>23.4</v>
      </c>
      <c r="X24" s="376">
        <v>16.8</v>
      </c>
      <c r="Y24" s="376">
        <v>25.7</v>
      </c>
      <c r="Z24" s="376">
        <v>16.2</v>
      </c>
      <c r="AA24" s="376">
        <v>34.9</v>
      </c>
      <c r="AB24" s="376">
        <v>31.8</v>
      </c>
      <c r="AC24" s="376">
        <v>22.3</v>
      </c>
      <c r="AD24" s="376">
        <v>28.5</v>
      </c>
      <c r="AE24" s="376">
        <v>25.5</v>
      </c>
      <c r="AF24" s="376">
        <v>22.8</v>
      </c>
      <c r="AG24" s="376">
        <v>22.1</v>
      </c>
      <c r="AH24" s="376">
        <v>20.1</v>
      </c>
      <c r="AI24" s="376">
        <v>14.2</v>
      </c>
      <c r="AJ24" s="376">
        <v>16.4</v>
      </c>
      <c r="AK24" s="376">
        <v>18.3</v>
      </c>
      <c r="AL24" s="376">
        <v>21.3</v>
      </c>
      <c r="AM24" s="376">
        <v>17.9</v>
      </c>
      <c r="AN24" s="376">
        <v>11.8</v>
      </c>
      <c r="AO24" s="376">
        <v>16.6</v>
      </c>
      <c r="AP24" s="376">
        <v>11.5</v>
      </c>
      <c r="AQ24" s="376">
        <v>8.5</v>
      </c>
      <c r="AR24" s="376">
        <v>3.1</v>
      </c>
      <c r="AS24" s="376">
        <v>0</v>
      </c>
      <c r="AT24" s="376">
        <v>0</v>
      </c>
      <c r="AU24" s="376">
        <v>0</v>
      </c>
      <c r="AV24" s="376">
        <v>0</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rstrykowsky</cp:lastModifiedBy>
  <cp:lastPrinted>2006-05-04T19:28:26Z</cp:lastPrinted>
  <dcterms:created xsi:type="dcterms:W3CDTF">2005-10-17T18:42:25Z</dcterms:created>
  <dcterms:modified xsi:type="dcterms:W3CDTF">2006-05-04T20:33:52Z</dcterms:modified>
  <cp:category/>
  <cp:version/>
  <cp:contentType/>
  <cp:contentStatus/>
</cp:coreProperties>
</file>