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6500" windowHeight="12465" tabRatio="888" firstSheet="1" activeTab="1"/>
  </bookViews>
  <sheets>
    <sheet name="Stretchout calculation" sheetId="1" r:id="rId1"/>
    <sheet name="ECP-036 Reconciliation" sheetId="2" r:id="rId2"/>
  </sheets>
  <externalReferences>
    <externalReference r:id="rId5"/>
  </externalReferences>
  <definedNames>
    <definedName name="_xlnm.Print_Area" localSheetId="1">'ECP-036 Reconciliation'!$A$1:$Z$125</definedName>
    <definedName name="_xlnm.Print_Area" localSheetId="0">'Stretchout calculation'!$B$1:$P$42</definedName>
    <definedName name="_xlnm.Print_Titles" localSheetId="1">'ECP-036 Reconciliation'!$1:$2</definedName>
  </definedNames>
  <calcPr fullCalcOnLoad="1"/>
</workbook>
</file>

<file path=xl/sharedStrings.xml><?xml version="1.0" encoding="utf-8"?>
<sst xmlns="http://schemas.openxmlformats.org/spreadsheetml/2006/main" count="250" uniqueCount="224">
  <si>
    <t>WBS 142 MC winding</t>
  </si>
  <si>
    <t>Management</t>
  </si>
  <si>
    <t>Field Oversight &amp; Supervision</t>
  </si>
  <si>
    <t>Overhead &amp; Escalation</t>
  </si>
  <si>
    <t xml:space="preserve">contingency </t>
  </si>
  <si>
    <t>TOTAL  IMPACT =</t>
  </si>
  <si>
    <t xml:space="preserve">451 - System Design and Interfaces              </t>
  </si>
  <si>
    <t xml:space="preserve">452 - Electrical Systems Support                </t>
  </si>
  <si>
    <t>453 - System Testing (PTP's)</t>
  </si>
  <si>
    <t>611 - C-Site Cooling System</t>
  </si>
  <si>
    <t xml:space="preserve">612 - NB Water Cooling Systems                  </t>
  </si>
  <si>
    <t>613 - Vacuum Pumping System</t>
  </si>
  <si>
    <t>614 - Bakeout Water System</t>
  </si>
  <si>
    <t>621 - LN2-LHe Supply System</t>
  </si>
  <si>
    <t>622 - LN2 Coil Cooling Supply</t>
  </si>
  <si>
    <t xml:space="preserve">623 - GN2 Cryostat Cooling System               </t>
  </si>
  <si>
    <t xml:space="preserve">650 - Facility Systems Integration              </t>
  </si>
  <si>
    <t xml:space="preserve">740 - Machine Assembly Planning and Oversight   </t>
  </si>
  <si>
    <t>-</t>
  </si>
  <si>
    <t>Changes</t>
  </si>
  <si>
    <t>ECP 30 (adjusted)</t>
  </si>
  <si>
    <t>39 - Diagnostics Integration</t>
  </si>
  <si>
    <t>41 - AC Power</t>
  </si>
  <si>
    <t>43 - DC Systems</t>
  </si>
  <si>
    <t>44 - Control and protection Systems</t>
  </si>
  <si>
    <t>45 - Power System Design and Integration</t>
  </si>
  <si>
    <t>46 - FCPC Building Modifications</t>
  </si>
  <si>
    <t>51 - TCP/IP Infrastructure Systems</t>
  </si>
  <si>
    <t>52 - Central Instrumentation &amp; Control</t>
  </si>
  <si>
    <t>53 - Data Acquisition &amp; Facility Computing</t>
  </si>
  <si>
    <t>54 - Facility Timing &amp; Synchronization</t>
  </si>
  <si>
    <t>55 - Real Time Plasma &amp; Power Supply Control Sys</t>
  </si>
  <si>
    <t>56 - Central Safety Interlock Systems</t>
  </si>
  <si>
    <t>58 - Central I&amp;C management and Integration</t>
  </si>
  <si>
    <t>61 - Water Systems</t>
  </si>
  <si>
    <t>62 - Cryogenic Systems</t>
  </si>
  <si>
    <t>63 - Utility Systems</t>
  </si>
  <si>
    <t>65 - Facility Systems Integration</t>
  </si>
  <si>
    <t>71 - Shield Wall Seismic Modifications</t>
  </si>
  <si>
    <t>72 - Control Room Refurbishment</t>
  </si>
  <si>
    <t>73 - Platform Design &amp; Fabrication</t>
  </si>
  <si>
    <t>74 - Machine Assembly Planning and Oversight</t>
  </si>
  <si>
    <t>75 - Test Cell and Basement Assembly Operations</t>
  </si>
  <si>
    <t>76 - Tooling Design &amp; Fabrication</t>
  </si>
  <si>
    <t>81 - Project Management and Control</t>
  </si>
  <si>
    <t>82 - Project Engineering</t>
  </si>
  <si>
    <t>84 - Project Physics</t>
  </si>
  <si>
    <t>85 - Integrated Systems Testing</t>
  </si>
  <si>
    <t>change</t>
  </si>
  <si>
    <t>ECP 16 simplification of trim coli sys -200k</t>
  </si>
  <si>
    <t>ECP 16 reclassification to non MIE</t>
  </si>
  <si>
    <t>ECP 16 simplification offueling sys</t>
  </si>
  <si>
    <t>ECP 16 not req'd for CD-4.</t>
  </si>
  <si>
    <t>.Lateral supports +22k</t>
  </si>
  <si>
    <t>ECP 16 FY04 cost variance +93</t>
  </si>
  <si>
    <t>ECP 16 FY04 cost variance +507</t>
  </si>
  <si>
    <t>ECP 16 FY04 cost variance +30</t>
  </si>
  <si>
    <t>ECP 16 FY04 cost variance +193</t>
  </si>
  <si>
    <t>Kalish re-estimate</t>
  </si>
  <si>
    <t>Demo method for determining current center +88.Moved Brooks to WBS 82 -158</t>
  </si>
  <si>
    <t>Increased scope from Raki</t>
  </si>
  <si>
    <t>Adjusted based upon FY04 allocation costs and estimated out year mapping</t>
  </si>
  <si>
    <t>ECP 14</t>
  </si>
  <si>
    <t>ECP 16</t>
  </si>
  <si>
    <t xml:space="preserve">ECP 16 FY04 cost variance +14.6k </t>
  </si>
  <si>
    <t>ECP 16 FY04 cost variance +139.</t>
  </si>
  <si>
    <t>description</t>
  </si>
  <si>
    <t>.Increased Viola to 2  days /week oversight +$63k; Increased field weld joint full size sample =+$96k</t>
  </si>
  <si>
    <t>part of FP assy</t>
  </si>
  <si>
    <t xml:space="preserve">+202k increased cost for stud instl, cooling tubes, magnetics instl, </t>
  </si>
  <si>
    <t>+$129 MC sub-assy,</t>
  </si>
  <si>
    <t>Reduced Viola to .7 fte during FP assy.-$175k. $190 trabsferred to wbs185</t>
  </si>
  <si>
    <t>Deleted $41k for install of sensors and mag diag. Alreadyy incl in wbs 184</t>
  </si>
  <si>
    <t>re-estimted out year needs. Cost share with res prep</t>
  </si>
  <si>
    <t>+$52k MCWF analysis, +85 EIO s/c,+54 JPP s/c,+79 title III MCWF fab</t>
  </si>
  <si>
    <t xml:space="preserve"> Chrzanowski/Meighan oversight of TRC +202k</t>
  </si>
  <si>
    <t>subtotal</t>
  </si>
  <si>
    <t>SUBTOTAL WBS 1</t>
  </si>
  <si>
    <t>SUBTOTAL WBS 2</t>
  </si>
  <si>
    <t>SUBTOTAL WBS 3</t>
  </si>
  <si>
    <t>SUBTOTAL WBS 4</t>
  </si>
  <si>
    <t>SUBTOTAL WBS 5</t>
  </si>
  <si>
    <t>SUBTOTAL WBS 6</t>
  </si>
  <si>
    <t>SUBTOTAL WBS 7</t>
  </si>
  <si>
    <t>SUBTOTAL WBS 8</t>
  </si>
  <si>
    <t>eliminated outlets on 2nd level</t>
  </si>
  <si>
    <t>Kalish re-estimate of new design</t>
  </si>
  <si>
    <t>ECP 18</t>
  </si>
  <si>
    <t>ECP 21</t>
  </si>
  <si>
    <t>Completion of Prelim design and the re-estimate of final design tasks.</t>
  </si>
  <si>
    <t>Prior year scope retirement fore FY04</t>
  </si>
  <si>
    <t>New scope for FY05. Dimensional control coordinator.</t>
  </si>
  <si>
    <t>NCSX rebaseline reconciliation</t>
  </si>
  <si>
    <t>173-Spacer manipulator</t>
  </si>
  <si>
    <t xml:space="preserve">Winding ops strecthout from 391 days to 663 days. added 272 days </t>
  </si>
  <si>
    <t xml:space="preserve"> Raftopolous 50%</t>
  </si>
  <si>
    <t>272days x 6.64(avg hrs/day)*50% *$179.78$/hr=</t>
  </si>
  <si>
    <t>Title III Dave Williamson added 272days @ 29%*6.64 h/d * $154$/h=</t>
  </si>
  <si>
    <t xml:space="preserve">338 day atretchout of TF Fab effort </t>
  </si>
  <si>
    <t xml:space="preserve">Health Physics support </t>
  </si>
  <si>
    <t>added 14mos of HP support of FP assy in TFTR TC year  @75% @$117.07$/h</t>
  </si>
  <si>
    <t>Mike Viola filed supervision added 14 months @ 73% coverage @ $179.34$/h=</t>
  </si>
  <si>
    <t>Strykowsky $$159.62$/h *1768*14/12 *90%$=</t>
  </si>
  <si>
    <t>Neilson @ $250.53$/h *1768*14/12*85%=</t>
  </si>
  <si>
    <t>Pam Hampton @  $50.47$/h*2080*14/12 *40%</t>
  </si>
  <si>
    <t>Lyon 12 months @10%@ 188.94$/h</t>
  </si>
  <si>
    <t>Wayne Reiersen @ 12 months @ 60%@ 179.34$/h</t>
  </si>
  <si>
    <t>Larry Dudek @ 12 months @ 10% @179.34 $/h=</t>
  </si>
  <si>
    <t>Cheryl Such @ 12 months @ 10% @89$/h=</t>
  </si>
  <si>
    <t>WBS 8 Allocations added 12 months @ $187.9/yr unloaded =</t>
  </si>
  <si>
    <t>ALL WBS Elements-Escalation due to Annual BA limitations =</t>
  </si>
  <si>
    <t>ALL WBS Elements-Rates differential. (old rates applied to new estimates delta to new rates)=</t>
  </si>
  <si>
    <t>272days x 6.64(avg hrs/day)*86% *$179.78$/hr=</t>
  </si>
  <si>
    <t>272days x 6.64(avg hrs/day)*86% *$116.55$/hr=</t>
  </si>
  <si>
    <t xml:space="preserve"> Chrzanowski 86%</t>
  </si>
  <si>
    <t>Meighan 86%</t>
  </si>
  <si>
    <t>use 25%</t>
  </si>
  <si>
    <t>332 days * 6.64h/d*27%*179.78$/h</t>
  </si>
  <si>
    <t>NCSX Stretchout Contingency Analysis</t>
  </si>
  <si>
    <t>WBS 13 TF fab oversight</t>
  </si>
  <si>
    <t>WBS 14 MC winding</t>
  </si>
  <si>
    <t>WBS 18 FP assy oversight</t>
  </si>
  <si>
    <t>WBS 19</t>
  </si>
  <si>
    <t>Labor and Overhead Rates (across all WBS elements)</t>
  </si>
  <si>
    <t>(old rates used)</t>
  </si>
  <si>
    <t>WBS 131 TF fab oversight</t>
  </si>
  <si>
    <t>Mike Kalish</t>
  </si>
  <si>
    <t>WBS 181 FP assy oversight</t>
  </si>
  <si>
    <t>WBS 191</t>
  </si>
  <si>
    <t>Brad Nelson</t>
  </si>
  <si>
    <t>added 10 months @ 30% coverage = 10/12*1726 *.3*$154$/h=</t>
  </si>
  <si>
    <t>WBS 192</t>
  </si>
  <si>
    <t>Mike Cole</t>
  </si>
  <si>
    <t>added 10 months @  37% = 10/12*1726*.37*$154$/h=</t>
  </si>
  <si>
    <t>WBS 81</t>
  </si>
  <si>
    <t>14 month stretch</t>
  </si>
  <si>
    <t>WBS 82</t>
  </si>
  <si>
    <t>NCSX Stretchout Impact analysis</t>
  </si>
  <si>
    <t>Stellarator core managemnt</t>
  </si>
  <si>
    <t>Stellarator core Integration</t>
  </si>
  <si>
    <t>Project Management</t>
  </si>
  <si>
    <t>Project Engineering and Intrgration</t>
  </si>
  <si>
    <t>Escalation</t>
  </si>
  <si>
    <t>Direct Allocations (overhead)</t>
  </si>
  <si>
    <t>ECP 29</t>
  </si>
  <si>
    <t>Total =</t>
  </si>
  <si>
    <t>111 - Limiters</t>
  </si>
  <si>
    <t>121 - Vacuum Vessel Assembly</t>
  </si>
  <si>
    <t xml:space="preserve">122 - Vacuum Vessel Thermal Insulation          </t>
  </si>
  <si>
    <t xml:space="preserve">123 - Vacuum Vessel Heating and Cooling Distrib </t>
  </si>
  <si>
    <t>124 - Vacuum Vessel Supports</t>
  </si>
  <si>
    <t>125 - Vacuum Vessel Local I&amp;C</t>
  </si>
  <si>
    <t xml:space="preserve">130 - Conventional Coil Design                  </t>
  </si>
  <si>
    <t>131 - TF Coils</t>
  </si>
  <si>
    <t>132 - PF Coils</t>
  </si>
  <si>
    <t>133 - External Trim Coils</t>
  </si>
  <si>
    <t>134 - Conventional Coil Local</t>
  </si>
  <si>
    <t xml:space="preserve">141 - Modular Coil Winding Form                 </t>
  </si>
  <si>
    <t xml:space="preserve">142 - Modular Coil Windings and Assembly        </t>
  </si>
  <si>
    <t>143 - Modular Coil Local I&amp;C</t>
  </si>
  <si>
    <t xml:space="preserve">144 - Modular Coil Winding Facility &amp; Fixtures  </t>
  </si>
  <si>
    <t>151 - Coil Support Structure</t>
  </si>
  <si>
    <t>161 - LN2 Distribution</t>
  </si>
  <si>
    <t>162 - Electrical Leads</t>
  </si>
  <si>
    <t>163 - Coil Protection System</t>
  </si>
  <si>
    <t>171 -Cryostat</t>
  </si>
  <si>
    <t>172 - Base Support Structure</t>
  </si>
  <si>
    <t xml:space="preserve">181 - Field Period Assembly Planning/Oversight  </t>
  </si>
  <si>
    <t xml:space="preserve">182 - TFTR Test Cell Area preparations          </t>
  </si>
  <si>
    <t xml:space="preserve">183 - Receive Inspect  and Test Coils           </t>
  </si>
  <si>
    <t xml:space="preserve">184 - Receive  Inspect  and Test VV             </t>
  </si>
  <si>
    <t>185 - Assemble Field Periods</t>
  </si>
  <si>
    <t xml:space="preserve">186 - Tooling Design and Fabrication            </t>
  </si>
  <si>
    <t>187 - Measurement Systems</t>
  </si>
  <si>
    <t xml:space="preserve">191 - Stellarator Core Management &amp; Oversight   </t>
  </si>
  <si>
    <t xml:space="preserve">192 - Stellarator Core Integration &amp; Analysis   </t>
  </si>
  <si>
    <t xml:space="preserve">411 - Auxliary AC Power Systems                 </t>
  </si>
  <si>
    <t xml:space="preserve">412 - Experimental AC Power Systems             </t>
  </si>
  <si>
    <t>431 - C-Site DC Systems</t>
  </si>
  <si>
    <t>432 - D-to-C Site DC Systems</t>
  </si>
  <si>
    <t>433 - D-Site DC Systems</t>
  </si>
  <si>
    <t>441 - Electrical Interlocks</t>
  </si>
  <si>
    <t>442 - Kirk Key Interlocks</t>
  </si>
  <si>
    <t xml:space="preserve">443 - Real Time Control Systems                 </t>
  </si>
  <si>
    <t>444 - Instrument Systems</t>
  </si>
  <si>
    <t>445 - Coil protection Systems</t>
  </si>
  <si>
    <t xml:space="preserve">741 - Planning Prior to Machine Assembly        </t>
  </si>
  <si>
    <t>742 - Construction Management</t>
  </si>
  <si>
    <t xml:space="preserve">750 - Test Cell &amp; Basement Assembly Operations  </t>
  </si>
  <si>
    <t>PPPL Allocations</t>
  </si>
  <si>
    <t>Contingency</t>
  </si>
  <si>
    <t>12 - Vacuum Vessel Systems</t>
  </si>
  <si>
    <t>13 - Conventional Coils</t>
  </si>
  <si>
    <t>14 - Modular Coils</t>
  </si>
  <si>
    <t>15 - Structures</t>
  </si>
  <si>
    <t>16 - Coil Services</t>
  </si>
  <si>
    <t>17 - Cryostat and Base Support Structure</t>
  </si>
  <si>
    <t>18 - Field Period Assembly</t>
  </si>
  <si>
    <t>19 - Stellarator Core Management and Integration</t>
  </si>
  <si>
    <t>21 - Fueling Systems</t>
  </si>
  <si>
    <t>22 - Torus Vacuum Pumping Systems</t>
  </si>
  <si>
    <t>25 - Neutral Beam Injection System</t>
  </si>
  <si>
    <t>31 - Magnetic Diagnostics</t>
  </si>
  <si>
    <t>36 - Edge and Divertor Diagnostics</t>
  </si>
  <si>
    <t>38 - Electron Beam (EB) Mapping</t>
  </si>
  <si>
    <t>DCMA Support</t>
  </si>
  <si>
    <t>FIRST PLASMA July 2009</t>
  </si>
  <si>
    <t>Trinos Flanges (ECP-034)</t>
  </si>
  <si>
    <t>Addl Heat Treatment (ECP-033)</t>
  </si>
  <si>
    <t>Control Room Walls - GPP (ECP-034)</t>
  </si>
  <si>
    <t>Contingency Drawdown</t>
  </si>
  <si>
    <t>Description</t>
  </si>
  <si>
    <t>add'l dies</t>
  </si>
  <si>
    <t>TRC overrun to date</t>
  </si>
  <si>
    <t>ECP-031</t>
  </si>
  <si>
    <t>ECP-033 and 034</t>
  </si>
  <si>
    <t>ECP-036</t>
  </si>
  <si>
    <t>ECP-38</t>
  </si>
  <si>
    <t>AAA</t>
  </si>
  <si>
    <t>CCC</t>
  </si>
  <si>
    <t>DDD</t>
  </si>
  <si>
    <t>etc</t>
  </si>
  <si>
    <t>cv</t>
  </si>
  <si>
    <t>ETC/rates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</si>
</sst>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\ 0.00;\-\ 0.00"/>
    <numFmt numFmtId="165" formatCode="[Red]\+\ 0.00;[Blue]\-\ 0.00"/>
    <numFmt numFmtId="166" formatCode="[Red]\+\ 0.0;[Blue]\-\ 0.0"/>
    <numFmt numFmtId="167" formatCode="[Red]\+\ 0;[Blue]\-\ 0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0.0000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00_);_(* \(#,##0.000\);_(* &quot;-&quot;???_);_(@_)"/>
    <numFmt numFmtId="179" formatCode="0.0%"/>
    <numFmt numFmtId="180" formatCode="_(&quot;$&quot;* #,##0_);_(&quot;$&quot;* \(#,##0\);_(&quot;$&quot;* &quot;-&quot;??_);_(@_)"/>
    <numFmt numFmtId="181" formatCode="_(&quot;$&quot;* #,##0.0_);_(&quot;$&quot;* \(#,##0.0\);_(&quot;$&quot;* &quot;-&quot;??_);_(@_)"/>
    <numFmt numFmtId="182" formatCode="[$-409]mmm\-yy;@"/>
    <numFmt numFmtId="183" formatCode="0.00_)"/>
    <numFmt numFmtId="184" formatCode="0.00000"/>
    <numFmt numFmtId="185" formatCode="_(&quot;$&quot;* #,##0.000_);_(&quot;$&quot;* \(#,##0.000\);_(&quot;$&quot;* &quot;-&quot;??_);_(@_)"/>
    <numFmt numFmtId="186" formatCode="0.000%"/>
    <numFmt numFmtId="187" formatCode="0.0000%"/>
    <numFmt numFmtId="188" formatCode="_(&quot;$&quot;* #,##0.0000_);_(&quot;$&quot;* \(#,##0.0000\);_(&quot;$&quot;* &quot;-&quot;??_);_(@_)"/>
    <numFmt numFmtId="189" formatCode="0.00000000"/>
    <numFmt numFmtId="190" formatCode="0.0000000"/>
    <numFmt numFmtId="191" formatCode="0.000000"/>
    <numFmt numFmtId="192" formatCode="_(* #,##0.000_);_(* \(#,##0.000\);_(* &quot;-&quot;??_);_(@_)"/>
    <numFmt numFmtId="193" formatCode="mmm\-yyyy"/>
    <numFmt numFmtId="194" formatCode="dd\-mmm\-yy_)"/>
    <numFmt numFmtId="195" formatCode="m/d/yy;@"/>
    <numFmt numFmtId="196" formatCode="_(* #,##0.0000_);_(* \(#,##0.0000\);_(* &quot;-&quot;??_);_(@_)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u val="singleAccounting"/>
      <sz val="10"/>
      <name val="Arial"/>
      <family val="0"/>
    </font>
    <font>
      <b/>
      <i/>
      <sz val="10"/>
      <name val="Arial"/>
      <family val="2"/>
    </font>
    <font>
      <b/>
      <i/>
      <u val="singleAccounting"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u val="single"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u val="singleAccounting"/>
      <sz val="11"/>
      <name val="Arial"/>
      <family val="2"/>
    </font>
    <font>
      <b/>
      <u val="single"/>
      <sz val="14"/>
      <name val="Arial"/>
      <family val="2"/>
    </font>
    <font>
      <b/>
      <u val="singleAccounting"/>
      <sz val="14"/>
      <name val="Arial"/>
      <family val="2"/>
    </font>
    <font>
      <b/>
      <u val="single"/>
      <sz val="10"/>
      <name val="Arial"/>
      <family val="2"/>
    </font>
    <font>
      <sz val="1"/>
      <name val="Arial"/>
      <family val="2"/>
    </font>
    <font>
      <sz val="1.25"/>
      <name val="Arial"/>
      <family val="2"/>
    </font>
    <font>
      <sz val="1.5"/>
      <name val="Arial"/>
      <family val="2"/>
    </font>
    <font>
      <b/>
      <sz val="1.25"/>
      <name val="Arial"/>
      <family val="2"/>
    </font>
    <font>
      <b/>
      <sz val="1.5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.75"/>
      <name val="Arial"/>
      <family val="2"/>
    </font>
    <font>
      <b/>
      <u val="singleAccounting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169" fontId="5" fillId="0" borderId="6" xfId="15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69" fontId="12" fillId="0" borderId="7" xfId="15" applyNumberFormat="1" applyFont="1" applyFill="1" applyBorder="1" applyAlignment="1">
      <alignment/>
    </xf>
    <xf numFmtId="169" fontId="12" fillId="0" borderId="0" xfId="15" applyNumberFormat="1" applyFont="1" applyFill="1" applyBorder="1" applyAlignment="1">
      <alignment/>
    </xf>
    <xf numFmtId="169" fontId="12" fillId="0" borderId="0" xfId="0" applyNumberFormat="1" applyFont="1" applyFill="1" applyBorder="1" applyAlignment="1">
      <alignment/>
    </xf>
    <xf numFmtId="169" fontId="0" fillId="0" borderId="7" xfId="15" applyNumberFormat="1" applyFill="1" applyBorder="1" applyAlignment="1">
      <alignment/>
    </xf>
    <xf numFmtId="169" fontId="0" fillId="0" borderId="0" xfId="15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0" fillId="0" borderId="8" xfId="15" applyNumberFormat="1" applyFill="1" applyBorder="1" applyAlignment="1">
      <alignment/>
    </xf>
    <xf numFmtId="169" fontId="0" fillId="0" borderId="9" xfId="15" applyNumberFormat="1" applyFill="1" applyBorder="1" applyAlignment="1">
      <alignment/>
    </xf>
    <xf numFmtId="169" fontId="0" fillId="0" borderId="9" xfId="0" applyNumberFormat="1" applyFill="1" applyBorder="1" applyAlignment="1">
      <alignment/>
    </xf>
    <xf numFmtId="169" fontId="0" fillId="0" borderId="0" xfId="15" applyNumberFormat="1" applyFont="1" applyFill="1" applyBorder="1" applyAlignment="1">
      <alignment/>
    </xf>
    <xf numFmtId="169" fontId="8" fillId="0" borderId="7" xfId="15" applyNumberFormat="1" applyFont="1" applyFill="1" applyBorder="1" applyAlignment="1">
      <alignment/>
    </xf>
    <xf numFmtId="169" fontId="8" fillId="0" borderId="0" xfId="15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9" fillId="0" borderId="7" xfId="15" applyNumberFormat="1" applyFont="1" applyFill="1" applyBorder="1" applyAlignment="1">
      <alignment/>
    </xf>
    <xf numFmtId="169" fontId="9" fillId="0" borderId="0" xfId="15" applyNumberFormat="1" applyFont="1" applyFill="1" applyBorder="1" applyAlignment="1">
      <alignment/>
    </xf>
    <xf numFmtId="169" fontId="2" fillId="0" borderId="7" xfId="15" applyNumberFormat="1" applyFont="1" applyFill="1" applyBorder="1" applyAlignment="1">
      <alignment/>
    </xf>
    <xf numFmtId="169" fontId="8" fillId="0" borderId="0" xfId="15" applyNumberFormat="1" applyFont="1" applyFill="1" applyBorder="1" applyAlignment="1">
      <alignment/>
    </xf>
    <xf numFmtId="169" fontId="0" fillId="0" borderId="7" xfId="15" applyNumberFormat="1" applyFont="1" applyFill="1" applyBorder="1" applyAlignment="1">
      <alignment vertical="top"/>
    </xf>
    <xf numFmtId="169" fontId="0" fillId="0" borderId="7" xfId="15" applyNumberFormat="1" applyFont="1" applyFill="1" applyBorder="1" applyAlignment="1">
      <alignment/>
    </xf>
    <xf numFmtId="169" fontId="0" fillId="0" borderId="0" xfId="15" applyNumberFormat="1" applyFont="1" applyFill="1" applyBorder="1" applyAlignment="1">
      <alignment vertical="top"/>
    </xf>
    <xf numFmtId="169" fontId="8" fillId="0" borderId="7" xfId="15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169" fontId="2" fillId="0" borderId="0" xfId="15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15" applyNumberFormat="1" applyFont="1" applyFill="1" applyAlignment="1">
      <alignment/>
    </xf>
    <xf numFmtId="169" fontId="0" fillId="0" borderId="0" xfId="15" applyNumberFormat="1" applyFill="1" applyAlignment="1">
      <alignment/>
    </xf>
    <xf numFmtId="169" fontId="0" fillId="0" borderId="0" xfId="0" applyNumberFormat="1" applyFont="1" applyFill="1" applyBorder="1" applyAlignment="1">
      <alignment wrapText="1"/>
    </xf>
    <xf numFmtId="169" fontId="0" fillId="0" borderId="0" xfId="0" applyNumberFormat="1" applyFill="1" applyBorder="1" applyAlignment="1">
      <alignment wrapText="1"/>
    </xf>
    <xf numFmtId="169" fontId="5" fillId="0" borderId="10" xfId="15" applyNumberFormat="1" applyFont="1" applyFill="1" applyBorder="1" applyAlignment="1">
      <alignment/>
    </xf>
    <xf numFmtId="169" fontId="6" fillId="0" borderId="8" xfId="15" applyNumberFormat="1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169" fontId="0" fillId="0" borderId="7" xfId="15" applyNumberFormat="1" applyBorder="1" applyAlignment="1">
      <alignment/>
    </xf>
    <xf numFmtId="169" fontId="8" fillId="0" borderId="7" xfId="15" applyNumberFormat="1" applyFont="1" applyBorder="1" applyAlignment="1">
      <alignment/>
    </xf>
    <xf numFmtId="169" fontId="17" fillId="0" borderId="7" xfId="15" applyNumberFormat="1" applyFont="1" applyBorder="1" applyAlignment="1">
      <alignment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167" fontId="0" fillId="0" borderId="0" xfId="0" applyNumberFormat="1" applyFill="1" applyBorder="1" applyAlignment="1">
      <alignment wrapText="1"/>
    </xf>
    <xf numFmtId="0" fontId="0" fillId="0" borderId="0" xfId="0" applyFill="1" applyBorder="1" applyAlignment="1" quotePrefix="1">
      <alignment wrapText="1"/>
    </xf>
    <xf numFmtId="0" fontId="11" fillId="0" borderId="0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169" fontId="6" fillId="0" borderId="11" xfId="15" applyNumberFormat="1" applyFont="1" applyFill="1" applyBorder="1" applyAlignment="1">
      <alignment wrapText="1"/>
    </xf>
    <xf numFmtId="169" fontId="0" fillId="0" borderId="11" xfId="15" applyNumberFormat="1" applyFill="1" applyBorder="1" applyAlignment="1">
      <alignment/>
    </xf>
    <xf numFmtId="169" fontId="0" fillId="0" borderId="12" xfId="15" applyNumberFormat="1" applyFill="1" applyBorder="1" applyAlignment="1">
      <alignment/>
    </xf>
    <xf numFmtId="169" fontId="0" fillId="0" borderId="12" xfId="15" applyNumberFormat="1" applyBorder="1" applyAlignment="1">
      <alignment/>
    </xf>
    <xf numFmtId="169" fontId="8" fillId="0" borderId="12" xfId="15" applyNumberFormat="1" applyFont="1" applyBorder="1" applyAlignment="1">
      <alignment/>
    </xf>
    <xf numFmtId="169" fontId="9" fillId="0" borderId="12" xfId="15" applyNumberFormat="1" applyFont="1" applyFill="1" applyBorder="1" applyAlignment="1">
      <alignment/>
    </xf>
    <xf numFmtId="16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9" fontId="8" fillId="0" borderId="12" xfId="15" applyNumberFormat="1" applyFont="1" applyFill="1" applyBorder="1" applyAlignment="1">
      <alignment/>
    </xf>
    <xf numFmtId="169" fontId="17" fillId="0" borderId="12" xfId="15" applyNumberFormat="1" applyFont="1" applyBorder="1" applyAlignment="1">
      <alignment/>
    </xf>
    <xf numFmtId="1" fontId="0" fillId="0" borderId="12" xfId="0" applyNumberFormat="1" applyBorder="1" applyAlignment="1">
      <alignment/>
    </xf>
    <xf numFmtId="169" fontId="5" fillId="0" borderId="13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6" fillId="0" borderId="9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69" fontId="0" fillId="0" borderId="9" xfId="0" applyNumberFormat="1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169" fontId="0" fillId="0" borderId="0" xfId="15" applyNumberFormat="1" applyFont="1" applyFill="1" applyAlignment="1">
      <alignment/>
    </xf>
    <xf numFmtId="169" fontId="0" fillId="0" borderId="12" xfId="15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169" fontId="2" fillId="0" borderId="12" xfId="15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 quotePrefix="1">
      <alignment wrapText="1"/>
    </xf>
    <xf numFmtId="0" fontId="11" fillId="0" borderId="1" xfId="0" applyFont="1" applyFill="1" applyBorder="1" applyAlignment="1">
      <alignment wrapText="1"/>
    </xf>
    <xf numFmtId="169" fontId="0" fillId="0" borderId="0" xfId="0" applyNumberFormat="1" applyFont="1" applyFill="1" applyAlignment="1">
      <alignment/>
    </xf>
    <xf numFmtId="169" fontId="0" fillId="0" borderId="1" xfId="0" applyNumberFormat="1" applyFont="1" applyFill="1" applyBorder="1" applyAlignment="1">
      <alignment wrapText="1"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179" fontId="0" fillId="0" borderId="0" xfId="21" applyNumberFormat="1" applyFont="1" applyFill="1" applyAlignment="1">
      <alignment/>
    </xf>
    <xf numFmtId="169" fontId="20" fillId="0" borderId="0" xfId="15" applyNumberFormat="1" applyFont="1" applyFill="1" applyAlignment="1">
      <alignment/>
    </xf>
    <xf numFmtId="9" fontId="0" fillId="0" borderId="0" xfId="21" applyAlignment="1">
      <alignment/>
    </xf>
    <xf numFmtId="0" fontId="0" fillId="2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9" fontId="0" fillId="0" borderId="0" xfId="2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180" fontId="0" fillId="0" borderId="0" xfId="17" applyNumberFormat="1" applyAlignment="1">
      <alignment/>
    </xf>
    <xf numFmtId="180" fontId="0" fillId="0" borderId="0" xfId="17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9" fontId="0" fillId="0" borderId="0" xfId="21" applyFill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0" fontId="29" fillId="0" borderId="0" xfId="0" applyFont="1" applyFill="1" applyAlignment="1">
      <alignment/>
    </xf>
    <xf numFmtId="180" fontId="29" fillId="0" borderId="0" xfId="0" applyNumberFormat="1" applyFont="1" applyFill="1" applyAlignment="1">
      <alignment/>
    </xf>
    <xf numFmtId="180" fontId="8" fillId="0" borderId="0" xfId="17" applyNumberFormat="1" applyFont="1" applyFill="1" applyAlignment="1">
      <alignment/>
    </xf>
    <xf numFmtId="0" fontId="6" fillId="0" borderId="8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9" fontId="29" fillId="0" borderId="9" xfId="21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0" fillId="0" borderId="7" xfId="0" applyFill="1" applyBorder="1" applyAlignment="1">
      <alignment/>
    </xf>
    <xf numFmtId="9" fontId="29" fillId="0" borderId="0" xfId="21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1" fillId="0" borderId="7" xfId="0" applyFont="1" applyFill="1" applyBorder="1" applyAlignment="1">
      <alignment/>
    </xf>
    <xf numFmtId="9" fontId="29" fillId="0" borderId="0" xfId="21" applyFont="1" applyFill="1" applyBorder="1" applyAlignment="1">
      <alignment horizontal="centerContinuous"/>
    </xf>
    <xf numFmtId="0" fontId="29" fillId="0" borderId="1" xfId="0" applyFont="1" applyFill="1" applyBorder="1" applyAlignment="1">
      <alignment horizontal="centerContinuous"/>
    </xf>
    <xf numFmtId="0" fontId="0" fillId="0" borderId="7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29" fillId="0" borderId="1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9" fontId="30" fillId="0" borderId="0" xfId="2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10" fontId="29" fillId="0" borderId="0" xfId="21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9" fontId="0" fillId="0" borderId="0" xfId="2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180" fontId="5" fillId="0" borderId="10" xfId="0" applyNumberFormat="1" applyFont="1" applyFill="1" applyBorder="1" applyAlignment="1">
      <alignment/>
    </xf>
    <xf numFmtId="9" fontId="0" fillId="0" borderId="10" xfId="21" applyFill="1" applyBorder="1" applyAlignment="1">
      <alignment/>
    </xf>
    <xf numFmtId="0" fontId="0" fillId="0" borderId="15" xfId="0" applyFill="1" applyBorder="1" applyAlignment="1">
      <alignment/>
    </xf>
    <xf numFmtId="0" fontId="19" fillId="0" borderId="8" xfId="0" applyFont="1" applyBorder="1" applyAlignment="1">
      <alignment/>
    </xf>
    <xf numFmtId="0" fontId="21" fillId="0" borderId="9" xfId="0" applyFont="1" applyBorder="1" applyAlignment="1">
      <alignment/>
    </xf>
    <xf numFmtId="180" fontId="0" fillId="0" borderId="14" xfId="17" applyNumberFormat="1" applyBorder="1" applyAlignment="1">
      <alignment/>
    </xf>
    <xf numFmtId="180" fontId="0" fillId="0" borderId="1" xfId="17" applyNumberFormat="1" applyFill="1" applyBorder="1" applyAlignment="1">
      <alignment/>
    </xf>
    <xf numFmtId="180" fontId="0" fillId="0" borderId="1" xfId="17" applyNumberFormat="1" applyBorder="1" applyAlignment="1">
      <alignment/>
    </xf>
    <xf numFmtId="180" fontId="8" fillId="0" borderId="1" xfId="17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80" fontId="0" fillId="0" borderId="1" xfId="17" applyNumberFormat="1" applyFont="1" applyFill="1" applyBorder="1" applyAlignment="1">
      <alignment/>
    </xf>
    <xf numFmtId="180" fontId="0" fillId="0" borderId="15" xfId="17" applyNumberFormat="1" applyBorder="1" applyAlignment="1">
      <alignment/>
    </xf>
    <xf numFmtId="0" fontId="7" fillId="0" borderId="7" xfId="0" applyFont="1" applyBorder="1" applyAlignment="1">
      <alignment/>
    </xf>
    <xf numFmtId="180" fontId="2" fillId="0" borderId="0" xfId="17" applyNumberFormat="1" applyFont="1" applyFill="1" applyBorder="1" applyAlignment="1">
      <alignment/>
    </xf>
    <xf numFmtId="180" fontId="31" fillId="0" borderId="1" xfId="17" applyNumberFormat="1" applyFont="1" applyFill="1" applyBorder="1" applyAlignment="1">
      <alignment/>
    </xf>
    <xf numFmtId="169" fontId="11" fillId="0" borderId="7" xfId="0" applyNumberFormat="1" applyFont="1" applyFill="1" applyBorder="1" applyAlignment="1">
      <alignment/>
    </xf>
    <xf numFmtId="169" fontId="6" fillId="0" borderId="11" xfId="15" applyNumberFormat="1" applyFont="1" applyFill="1" applyBorder="1" applyAlignment="1">
      <alignment wrapText="1"/>
    </xf>
    <xf numFmtId="169" fontId="0" fillId="0" borderId="11" xfId="15" applyNumberFormat="1" applyFont="1" applyFill="1" applyBorder="1" applyAlignment="1">
      <alignment/>
    </xf>
    <xf numFmtId="169" fontId="0" fillId="0" borderId="16" xfId="15" applyNumberFormat="1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12" fillId="3" borderId="0" xfId="0" applyFont="1" applyFill="1" applyAlignment="1">
      <alignment/>
    </xf>
    <xf numFmtId="0" fontId="12" fillId="3" borderId="2" xfId="0" applyFont="1" applyFill="1" applyBorder="1" applyAlignment="1">
      <alignment horizontal="center"/>
    </xf>
    <xf numFmtId="169" fontId="12" fillId="3" borderId="12" xfId="15" applyNumberFormat="1" applyFont="1" applyFill="1" applyBorder="1" applyAlignment="1">
      <alignment/>
    </xf>
    <xf numFmtId="0" fontId="12" fillId="3" borderId="7" xfId="0" applyFont="1" applyFill="1" applyBorder="1" applyAlignment="1">
      <alignment/>
    </xf>
    <xf numFmtId="169" fontId="12" fillId="3" borderId="7" xfId="15" applyNumberFormat="1" applyFont="1" applyFill="1" applyBorder="1" applyAlignment="1">
      <alignment/>
    </xf>
    <xf numFmtId="0" fontId="0" fillId="0" borderId="19" xfId="0" applyFill="1" applyBorder="1" applyAlignment="1">
      <alignment wrapText="1"/>
    </xf>
    <xf numFmtId="169" fontId="18" fillId="3" borderId="7" xfId="15" applyNumberFormat="1" applyFont="1" applyFill="1" applyBorder="1" applyAlignment="1">
      <alignment/>
    </xf>
    <xf numFmtId="169" fontId="18" fillId="3" borderId="0" xfId="15" applyNumberFormat="1" applyFont="1" applyFill="1" applyBorder="1" applyAlignment="1">
      <alignment/>
    </xf>
    <xf numFmtId="169" fontId="12" fillId="3" borderId="0" xfId="15" applyNumberFormat="1" applyFont="1" applyFill="1" applyBorder="1" applyAlignment="1">
      <alignment/>
    </xf>
    <xf numFmtId="0" fontId="12" fillId="3" borderId="0" xfId="0" applyFont="1" applyFill="1" applyBorder="1" applyAlignment="1">
      <alignment/>
    </xf>
    <xf numFmtId="43" fontId="5" fillId="3" borderId="13" xfId="15" applyNumberFormat="1" applyFont="1" applyFill="1" applyBorder="1" applyAlignment="1">
      <alignment/>
    </xf>
    <xf numFmtId="0" fontId="19" fillId="0" borderId="2" xfId="0" applyFont="1" applyFill="1" applyBorder="1" applyAlignment="1">
      <alignment wrapText="1"/>
    </xf>
    <xf numFmtId="0" fontId="0" fillId="4" borderId="0" xfId="0" applyFont="1" applyFill="1" applyAlignment="1">
      <alignment/>
    </xf>
    <xf numFmtId="0" fontId="19" fillId="4" borderId="2" xfId="0" applyFont="1" applyFill="1" applyBorder="1" applyAlignment="1">
      <alignment/>
    </xf>
    <xf numFmtId="169" fontId="0" fillId="4" borderId="12" xfId="15" applyNumberFormat="1" applyFont="1" applyFill="1" applyBorder="1" applyAlignment="1">
      <alignment/>
    </xf>
    <xf numFmtId="0" fontId="0" fillId="4" borderId="12" xfId="0" applyFont="1" applyFill="1" applyBorder="1" applyAlignment="1">
      <alignment/>
    </xf>
    <xf numFmtId="169" fontId="2" fillId="4" borderId="12" xfId="15" applyNumberFormat="1" applyFont="1" applyFill="1" applyBorder="1" applyAlignment="1">
      <alignment/>
    </xf>
    <xf numFmtId="169" fontId="11" fillId="4" borderId="12" xfId="0" applyNumberFormat="1" applyFont="1" applyFill="1" applyBorder="1" applyAlignment="1">
      <alignment/>
    </xf>
    <xf numFmtId="169" fontId="0" fillId="4" borderId="16" xfId="15" applyNumberFormat="1" applyFont="1" applyFill="1" applyBorder="1" applyAlignment="1">
      <alignment/>
    </xf>
    <xf numFmtId="169" fontId="5" fillId="4" borderId="13" xfId="15" applyNumberFormat="1" applyFont="1" applyFill="1" applyBorder="1" applyAlignment="1">
      <alignment/>
    </xf>
    <xf numFmtId="169" fontId="0" fillId="4" borderId="0" xfId="15" applyNumberFormat="1" applyFont="1" applyFill="1" applyAlignment="1">
      <alignment/>
    </xf>
    <xf numFmtId="179" fontId="0" fillId="4" borderId="0" xfId="21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7" xfId="0" applyFont="1" applyFill="1" applyBorder="1" applyAlignment="1">
      <alignment/>
    </xf>
    <xf numFmtId="169" fontId="0" fillId="5" borderId="7" xfId="15" applyNumberFormat="1" applyFont="1" applyFill="1" applyBorder="1" applyAlignment="1">
      <alignment/>
    </xf>
    <xf numFmtId="169" fontId="2" fillId="5" borderId="7" xfId="15" applyNumberFormat="1" applyFont="1" applyFill="1" applyBorder="1" applyAlignment="1">
      <alignment/>
    </xf>
    <xf numFmtId="169" fontId="11" fillId="5" borderId="7" xfId="0" applyNumberFormat="1" applyFont="1" applyFill="1" applyBorder="1" applyAlignment="1">
      <alignment/>
    </xf>
    <xf numFmtId="169" fontId="0" fillId="5" borderId="0" xfId="15" applyNumberFormat="1" applyFont="1" applyFill="1" applyAlignment="1">
      <alignment/>
    </xf>
    <xf numFmtId="169" fontId="12" fillId="3" borderId="20" xfId="15" applyNumberFormat="1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0" fontId="11" fillId="0" borderId="19" xfId="0" applyFont="1" applyFill="1" applyBorder="1" applyAlignment="1">
      <alignment/>
    </xf>
    <xf numFmtId="0" fontId="19" fillId="5" borderId="3" xfId="0" applyFont="1" applyFill="1" applyBorder="1" applyAlignment="1">
      <alignment/>
    </xf>
    <xf numFmtId="169" fontId="0" fillId="5" borderId="20" xfId="15" applyNumberFormat="1" applyFont="1" applyFill="1" applyBorder="1" applyAlignment="1">
      <alignment/>
    </xf>
    <xf numFmtId="169" fontId="5" fillId="5" borderId="6" xfId="15" applyNumberFormat="1" applyFont="1" applyFill="1" applyBorder="1" applyAlignment="1">
      <alignment/>
    </xf>
    <xf numFmtId="169" fontId="5" fillId="0" borderId="15" xfId="15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2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11" fillId="0" borderId="12" xfId="0" applyFont="1" applyFill="1" applyBorder="1" applyAlignment="1">
      <alignment/>
    </xf>
    <xf numFmtId="169" fontId="0" fillId="0" borderId="16" xfId="0" applyNumberFormat="1" applyBorder="1" applyAlignment="1">
      <alignment/>
    </xf>
    <xf numFmtId="43" fontId="0" fillId="5" borderId="0" xfId="15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9" fontId="5" fillId="0" borderId="0" xfId="15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5" fillId="4" borderId="0" xfId="0" applyFont="1" applyFill="1" applyAlignment="1">
      <alignment/>
    </xf>
    <xf numFmtId="43" fontId="5" fillId="5" borderId="0" xfId="15" applyFont="1" applyFill="1" applyAlignment="1">
      <alignment/>
    </xf>
    <xf numFmtId="10" fontId="5" fillId="5" borderId="0" xfId="21" applyNumberFormat="1" applyFont="1" applyFill="1" applyAlignment="1">
      <alignment/>
    </xf>
    <xf numFmtId="0" fontId="19" fillId="0" borderId="2" xfId="0" applyFont="1" applyFill="1" applyBorder="1" applyAlignment="1">
      <alignment horizontal="center" wrapText="1"/>
    </xf>
    <xf numFmtId="169" fontId="0" fillId="0" borderId="0" xfId="0" applyNumberFormat="1" applyBorder="1" applyAlignment="1">
      <alignment/>
    </xf>
    <xf numFmtId="0" fontId="12" fillId="0" borderId="2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169" fontId="0" fillId="0" borderId="0" xfId="15" applyNumberFormat="1" applyFont="1" applyFill="1" applyBorder="1" applyAlignment="1">
      <alignment/>
    </xf>
    <xf numFmtId="0" fontId="3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11" fillId="6" borderId="0" xfId="0" applyFont="1" applyFill="1" applyAlignment="1">
      <alignment/>
    </xf>
    <xf numFmtId="169" fontId="1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169" fontId="0" fillId="3" borderId="0" xfId="0" applyNumberFormat="1" applyFill="1" applyAlignment="1">
      <alignment/>
    </xf>
    <xf numFmtId="0" fontId="11" fillId="3" borderId="0" xfId="0" applyFont="1" applyFill="1" applyAlignment="1">
      <alignment/>
    </xf>
    <xf numFmtId="169" fontId="2" fillId="3" borderId="0" xfId="0" applyNumberFormat="1" applyFont="1" applyFill="1" applyAlignment="1">
      <alignment/>
    </xf>
    <xf numFmtId="169" fontId="2" fillId="0" borderId="12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12" fillId="0" borderId="3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169" fontId="12" fillId="0" borderId="3" xfId="15" applyNumberFormat="1" applyFont="1" applyFill="1" applyBorder="1" applyAlignment="1">
      <alignment/>
    </xf>
    <xf numFmtId="169" fontId="12" fillId="0" borderId="4" xfId="15" applyNumberFormat="1" applyFont="1" applyFill="1" applyBorder="1" applyAlignment="1">
      <alignment/>
    </xf>
    <xf numFmtId="169" fontId="12" fillId="0" borderId="4" xfId="0" applyNumberFormat="1" applyFont="1" applyFill="1" applyBorder="1" applyAlignment="1">
      <alignment/>
    </xf>
    <xf numFmtId="0" fontId="11" fillId="0" borderId="4" xfId="0" applyFont="1" applyFill="1" applyBorder="1" applyAlignment="1">
      <alignment wrapText="1"/>
    </xf>
    <xf numFmtId="169" fontId="12" fillId="0" borderId="2" xfId="15" applyNumberFormat="1" applyFont="1" applyFill="1" applyBorder="1" applyAlignment="1">
      <alignment/>
    </xf>
    <xf numFmtId="169" fontId="0" fillId="0" borderId="2" xfId="15" applyNumberFormat="1" applyFont="1" applyFill="1" applyBorder="1" applyAlignment="1">
      <alignment/>
    </xf>
    <xf numFmtId="169" fontId="0" fillId="0" borderId="4" xfId="0" applyNumberFormat="1" applyFont="1" applyFill="1" applyBorder="1" applyAlignment="1">
      <alignment/>
    </xf>
    <xf numFmtId="0" fontId="11" fillId="0" borderId="5" xfId="0" applyFont="1" applyFill="1" applyBorder="1" applyAlignment="1">
      <alignment wrapText="1"/>
    </xf>
    <xf numFmtId="169" fontId="0" fillId="4" borderId="2" xfId="15" applyNumberFormat="1" applyFont="1" applyFill="1" applyBorder="1" applyAlignment="1">
      <alignment/>
    </xf>
    <xf numFmtId="169" fontId="0" fillId="5" borderId="3" xfId="15" applyNumberFormat="1" applyFont="1" applyFill="1" applyBorder="1" applyAlignment="1">
      <alignment/>
    </xf>
    <xf numFmtId="169" fontId="0" fillId="0" borderId="3" xfId="15" applyNumberFormat="1" applyFont="1" applyFill="1" applyBorder="1" applyAlignment="1">
      <alignment/>
    </xf>
    <xf numFmtId="169" fontId="12" fillId="3" borderId="3" xfId="15" applyNumberFormat="1" applyFont="1" applyFill="1" applyBorder="1" applyAlignment="1">
      <alignment/>
    </xf>
    <xf numFmtId="0" fontId="0" fillId="0" borderId="4" xfId="0" applyFill="1" applyBorder="1" applyAlignment="1">
      <alignment wrapText="1"/>
    </xf>
    <xf numFmtId="169" fontId="0" fillId="0" borderId="2" xfId="0" applyNumberFormat="1" applyBorder="1" applyAlignment="1">
      <alignment/>
    </xf>
    <xf numFmtId="169" fontId="0" fillId="0" borderId="4" xfId="0" applyNumberFormat="1" applyBorder="1" applyAlignment="1">
      <alignment/>
    </xf>
    <xf numFmtId="169" fontId="0" fillId="0" borderId="4" xfId="15" applyNumberFormat="1" applyFill="1" applyBorder="1" applyAlignment="1">
      <alignment/>
    </xf>
    <xf numFmtId="0" fontId="0" fillId="0" borderId="4" xfId="0" applyBorder="1" applyAlignment="1">
      <alignment/>
    </xf>
    <xf numFmtId="169" fontId="2" fillId="3" borderId="4" xfId="0" applyNumberFormat="1" applyFont="1" applyFill="1" applyBorder="1" applyAlignment="1">
      <alignment/>
    </xf>
    <xf numFmtId="0" fontId="0" fillId="6" borderId="5" xfId="0" applyFill="1" applyBorder="1" applyAlignment="1">
      <alignment/>
    </xf>
    <xf numFmtId="0" fontId="13" fillId="0" borderId="4" xfId="0" applyFont="1" applyFill="1" applyBorder="1" applyAlignment="1">
      <alignment horizontal="right"/>
    </xf>
    <xf numFmtId="169" fontId="13" fillId="0" borderId="3" xfId="15" applyNumberFormat="1" applyFont="1" applyFill="1" applyBorder="1" applyAlignment="1">
      <alignment/>
    </xf>
    <xf numFmtId="169" fontId="13" fillId="0" borderId="4" xfId="15" applyNumberFormat="1" applyFont="1" applyFill="1" applyBorder="1" applyAlignment="1">
      <alignment/>
    </xf>
    <xf numFmtId="169" fontId="11" fillId="0" borderId="4" xfId="15" applyNumberFormat="1" applyFont="1" applyFill="1" applyBorder="1" applyAlignment="1">
      <alignment/>
    </xf>
    <xf numFmtId="169" fontId="13" fillId="0" borderId="4" xfId="0" applyNumberFormat="1" applyFont="1" applyFill="1" applyBorder="1" applyAlignment="1">
      <alignment/>
    </xf>
    <xf numFmtId="169" fontId="13" fillId="0" borderId="2" xfId="15" applyNumberFormat="1" applyFont="1" applyFill="1" applyBorder="1" applyAlignment="1">
      <alignment/>
    </xf>
    <xf numFmtId="169" fontId="12" fillId="0" borderId="2" xfId="15" applyNumberFormat="1" applyFont="1" applyFill="1" applyBorder="1" applyAlignment="1">
      <alignment/>
    </xf>
    <xf numFmtId="168" fontId="12" fillId="0" borderId="4" xfId="15" applyNumberFormat="1" applyFont="1" applyFill="1" applyBorder="1" applyAlignment="1">
      <alignment/>
    </xf>
    <xf numFmtId="169" fontId="12" fillId="4" borderId="2" xfId="15" applyNumberFormat="1" applyFont="1" applyFill="1" applyBorder="1" applyAlignment="1">
      <alignment/>
    </xf>
    <xf numFmtId="169" fontId="12" fillId="5" borderId="3" xfId="15" applyNumberFormat="1" applyFont="1" applyFill="1" applyBorder="1" applyAlignment="1">
      <alignment/>
    </xf>
    <xf numFmtId="169" fontId="12" fillId="0" borderId="4" xfId="15" applyNumberFormat="1" applyFont="1" applyFill="1" applyBorder="1" applyAlignment="1">
      <alignment/>
    </xf>
    <xf numFmtId="169" fontId="2" fillId="3" borderId="5" xfId="0" applyNumberFormat="1" applyFont="1" applyFill="1" applyBorder="1" applyAlignment="1">
      <alignment/>
    </xf>
    <xf numFmtId="169" fontId="12" fillId="0" borderId="4" xfId="0" applyNumberFormat="1" applyFont="1" applyFill="1" applyBorder="1" applyAlignment="1">
      <alignment/>
    </xf>
    <xf numFmtId="169" fontId="12" fillId="0" borderId="3" xfId="15" applyNumberFormat="1" applyFont="1" applyFill="1" applyBorder="1" applyAlignment="1">
      <alignment/>
    </xf>
    <xf numFmtId="169" fontId="12" fillId="3" borderId="4" xfId="15" applyNumberFormat="1" applyFont="1" applyFill="1" applyBorder="1" applyAlignment="1">
      <alignment/>
    </xf>
    <xf numFmtId="0" fontId="9" fillId="0" borderId="3" xfId="0" applyFont="1" applyFill="1" applyBorder="1" applyAlignment="1">
      <alignment horizontal="right"/>
    </xf>
    <xf numFmtId="169" fontId="10" fillId="0" borderId="3" xfId="15" applyNumberFormat="1" applyFont="1" applyFill="1" applyBorder="1" applyAlignment="1">
      <alignment/>
    </xf>
    <xf numFmtId="169" fontId="10" fillId="0" borderId="4" xfId="15" applyNumberFormat="1" applyFont="1" applyFill="1" applyBorder="1" applyAlignment="1">
      <alignment/>
    </xf>
    <xf numFmtId="169" fontId="8" fillId="0" borderId="4" xfId="15" applyNumberFormat="1" applyFont="1" applyFill="1" applyBorder="1" applyAlignment="1">
      <alignment/>
    </xf>
    <xf numFmtId="169" fontId="10" fillId="0" borderId="4" xfId="0" applyNumberFormat="1" applyFont="1" applyFill="1" applyBorder="1" applyAlignment="1">
      <alignment/>
    </xf>
    <xf numFmtId="169" fontId="10" fillId="0" borderId="2" xfId="15" applyNumberFormat="1" applyFont="1" applyFill="1" applyBorder="1" applyAlignment="1">
      <alignment/>
    </xf>
    <xf numFmtId="169" fontId="2" fillId="0" borderId="2" xfId="15" applyNumberFormat="1" applyFont="1" applyFill="1" applyBorder="1" applyAlignment="1">
      <alignment/>
    </xf>
    <xf numFmtId="169" fontId="2" fillId="0" borderId="4" xfId="15" applyNumberFormat="1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169" fontId="2" fillId="4" borderId="2" xfId="15" applyNumberFormat="1" applyFont="1" applyFill="1" applyBorder="1" applyAlignment="1">
      <alignment/>
    </xf>
    <xf numFmtId="169" fontId="2" fillId="5" borderId="3" xfId="15" applyNumberFormat="1" applyFont="1" applyFill="1" applyBorder="1" applyAlignment="1">
      <alignment/>
    </xf>
    <xf numFmtId="169" fontId="33" fillId="3" borderId="3" xfId="15" applyNumberFormat="1" applyFont="1" applyFill="1" applyBorder="1" applyAlignment="1">
      <alignment/>
    </xf>
    <xf numFmtId="169" fontId="33" fillId="0" borderId="4" xfId="15" applyNumberFormat="1" applyFont="1" applyFill="1" applyBorder="1" applyAlignment="1">
      <alignment/>
    </xf>
    <xf numFmtId="169" fontId="9" fillId="0" borderId="3" xfId="15" applyNumberFormat="1" applyFont="1" applyFill="1" applyBorder="1" applyAlignment="1">
      <alignment/>
    </xf>
    <xf numFmtId="169" fontId="9" fillId="0" borderId="4" xfId="15" applyNumberFormat="1" applyFont="1" applyFill="1" applyBorder="1" applyAlignment="1">
      <alignment/>
    </xf>
    <xf numFmtId="169" fontId="9" fillId="0" borderId="2" xfId="15" applyNumberFormat="1" applyFont="1" applyFill="1" applyBorder="1" applyAlignment="1">
      <alignment/>
    </xf>
    <xf numFmtId="169" fontId="2" fillId="0" borderId="3" xfId="15" applyNumberFormat="1" applyFont="1" applyFill="1" applyBorder="1" applyAlignment="1">
      <alignment/>
    </xf>
    <xf numFmtId="169" fontId="2" fillId="3" borderId="3" xfId="15" applyNumberFormat="1" applyFont="1" applyFill="1" applyBorder="1" applyAlignment="1">
      <alignment/>
    </xf>
    <xf numFmtId="169" fontId="9" fillId="0" borderId="4" xfId="0" applyNumberFormat="1" applyFont="1" applyFill="1" applyBorder="1" applyAlignment="1">
      <alignment/>
    </xf>
    <xf numFmtId="169" fontId="0" fillId="0" borderId="4" xfId="0" applyNumberForma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168" fontId="2" fillId="0" borderId="4" xfId="15" applyNumberFormat="1" applyFont="1" applyFill="1" applyBorder="1" applyAlignment="1">
      <alignment/>
    </xf>
    <xf numFmtId="0" fontId="2" fillId="0" borderId="5" xfId="0" applyFont="1" applyFill="1" applyBorder="1" applyAlignment="1">
      <alignment wrapText="1"/>
    </xf>
    <xf numFmtId="169" fontId="7" fillId="0" borderId="4" xfId="15" applyNumberFormat="1" applyFont="1" applyFill="1" applyBorder="1" applyAlignment="1">
      <alignment/>
    </xf>
    <xf numFmtId="169" fontId="0" fillId="0" borderId="4" xfId="15" applyNumberFormat="1" applyFont="1" applyFill="1" applyBorder="1" applyAlignment="1">
      <alignment/>
    </xf>
    <xf numFmtId="0" fontId="2" fillId="6" borderId="5" xfId="0" applyFont="1" applyFill="1" applyBorder="1" applyAlignment="1">
      <alignment/>
    </xf>
    <xf numFmtId="0" fontId="12" fillId="6" borderId="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'ECP-036 Reconciliation'!#REF!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'ECP-036 Reconciliation'!#REF!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'ECP-036 Reconciliation'!#REF!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'ECP-036 Reconciliation'!#REF!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'ECP-036 Reconciliation'!#REF!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'ECP-036 Reconciliation'!#REF!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65463370"/>
        <c:axId val="52299419"/>
      </c:barChart>
      <c:lineChart>
        <c:grouping val="standard"/>
        <c:varyColors val="0"/>
        <c:ser>
          <c:idx val="0"/>
          <c:order val="0"/>
          <c:tx>
            <c:strRef>
              <c:f>'ECP-036 Reconciliation'!#REF!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'ECP-036 Reconciliation'!#REF!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'ECP-036 Reconciliation'!#REF!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'ECP-036 Reconciliation'!#REF!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'ECP-036 Reconciliation'!#REF!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'ECP-036 Reconciliation'!#REF!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32724"/>
        <c:axId val="8394517"/>
      </c:lineChart>
      <c:catAx>
        <c:axId val="654633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299419"/>
        <c:crosses val="autoZero"/>
        <c:auto val="1"/>
        <c:lblOffset val="100"/>
        <c:noMultiLvlLbl val="0"/>
      </c:catAx>
      <c:valAx>
        <c:axId val="52299419"/>
        <c:scaling>
          <c:orientation val="minMax"/>
          <c:max val="19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63370"/>
        <c:crossesAt val="1"/>
        <c:crossBetween val="between"/>
        <c:dispUnits/>
        <c:majorUnit val="1000"/>
      </c:valAx>
      <c:catAx>
        <c:axId val="932724"/>
        <c:scaling>
          <c:orientation val="minMax"/>
        </c:scaling>
        <c:axPos val="b"/>
        <c:delete val="1"/>
        <c:majorTickMark val="out"/>
        <c:minorTickMark val="none"/>
        <c:tickLblPos val="nextTo"/>
        <c:crossAx val="8394517"/>
        <c:crosses val="autoZero"/>
        <c:auto val="1"/>
        <c:lblOffset val="100"/>
        <c:noMultiLvlLbl val="0"/>
      </c:catAx>
      <c:valAx>
        <c:axId val="8394517"/>
        <c:scaling>
          <c:orientation val="minMax"/>
          <c:max val="9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932724"/>
        <c:crosses val="max"/>
        <c:crossBetween val="between"/>
        <c:dispUnits/>
        <c:majorUnit val="5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Cost Profile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'ECP-036 Reconciliation'!#REF!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'ECP-036 Reconciliation'!#REF!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'ECP-036 Reconciliation'!#REF!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441790"/>
        <c:axId val="8867247"/>
      </c:lineChart>
      <c:catAx>
        <c:axId val="84417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867247"/>
        <c:crosses val="autoZero"/>
        <c:auto val="1"/>
        <c:lblOffset val="100"/>
        <c:noMultiLvlLbl val="0"/>
      </c:catAx>
      <c:valAx>
        <c:axId val="8867247"/>
        <c:scaling>
          <c:orientation val="minMax"/>
          <c:max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$M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41790"/>
        <c:crossesAt val="1"/>
        <c:crossBetween val="midCat"/>
        <c:dispUnits/>
        <c:majorUnit val="5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'[1]ECP31 ECP33-34Reconciliation'!#REF!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'[1]ECP31 ECP33-34Reconciliation'!#REF!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5400000" scaled="1"/>
    </a:gradFill>
  </c:spPr>
  <c:txPr>
    <a:bodyPr vert="horz" rot="0"/>
    <a:lstStyle/>
    <a:p>
      <a:pPr>
        <a:defRPr lang="en-US" cap="none" sz="17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'[1]ECP31 ECP33-34Reconciliation'!#REF!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'[1]ECP31 ECP33-34Reconciliation'!#REF!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'[1]ECP31 ECP33-34Reconciliation'!#REF!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'[1]ECP31 ECP33-34Reconciliation'!#REF!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'[1]ECP31 ECP33-34Reconciliation'!#REF!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'[1]ECP31 ECP33-34Reconciliation'!#REF!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12696360"/>
        <c:axId val="47158377"/>
      </c:barChart>
      <c:lineChart>
        <c:grouping val="standard"/>
        <c:varyColors val="0"/>
        <c:ser>
          <c:idx val="0"/>
          <c:order val="0"/>
          <c:tx>
            <c:strRef>
              <c:f>'[1]ECP31 ECP33-34Reconciliation'!#REF!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'[1]ECP31 ECP33-34Reconciliation'!#REF!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'[1]ECP31 ECP33-34Reconciliation'!#REF!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'[1]ECP31 ECP33-34Reconciliation'!#REF!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'[1]ECP31 ECP33-34Reconciliation'!#REF!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'[1]ECP31 ECP33-34Reconciliation'!#REF!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1772210"/>
        <c:axId val="61732163"/>
      </c:lineChart>
      <c:catAx>
        <c:axId val="126963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158377"/>
        <c:crosses val="autoZero"/>
        <c:auto val="1"/>
        <c:lblOffset val="100"/>
        <c:noMultiLvlLbl val="0"/>
      </c:catAx>
      <c:valAx>
        <c:axId val="47158377"/>
        <c:scaling>
          <c:orientation val="minMax"/>
          <c:max val="19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96360"/>
        <c:crossesAt val="1"/>
        <c:crossBetween val="between"/>
        <c:dispUnits/>
        <c:majorUnit val="1000"/>
      </c:valAx>
      <c:catAx>
        <c:axId val="21772210"/>
        <c:scaling>
          <c:orientation val="minMax"/>
        </c:scaling>
        <c:axPos val="b"/>
        <c:delete val="1"/>
        <c:majorTickMark val="out"/>
        <c:minorTickMark val="none"/>
        <c:tickLblPos val="nextTo"/>
        <c:crossAx val="61732163"/>
        <c:crosses val="autoZero"/>
        <c:auto val="1"/>
        <c:lblOffset val="100"/>
        <c:noMultiLvlLbl val="0"/>
      </c:catAx>
      <c:valAx>
        <c:axId val="61732163"/>
        <c:scaling>
          <c:orientation val="minMax"/>
          <c:max val="9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1772210"/>
        <c:crosses val="max"/>
        <c:crossBetween val="between"/>
        <c:dispUnits/>
        <c:majorUnit val="5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0.3395</cdr:y>
    </cdr:from>
    <cdr:to>
      <cdr:x>0.76025</cdr:x>
      <cdr:y>0.585</cdr:y>
    </cdr:to>
    <cdr:sp>
      <cdr:nvSpPr>
        <cdr:cNvPr id="1" name="Polygon 8"/>
        <cdr:cNvSpPr>
          <a:spLocks/>
        </cdr:cNvSpPr>
      </cdr:nvSpPr>
      <cdr:spPr>
        <a:xfrm>
          <a:off x="0" y="0"/>
          <a:ext cx="0" cy="0"/>
        </a:xfrm>
        <a:custGeom>
          <a:pathLst>
            <a:path h="4314825" w="7753350">
              <a:moveTo>
                <a:pt x="0" y="4314825"/>
              </a:moveTo>
              <a:lnTo>
                <a:pt x="1285875" y="4305300"/>
              </a:lnTo>
              <a:lnTo>
                <a:pt x="1285875" y="3238500"/>
              </a:lnTo>
              <a:lnTo>
                <a:pt x="2571750" y="3238500"/>
              </a:lnTo>
              <a:lnTo>
                <a:pt x="2571750" y="2219325"/>
              </a:lnTo>
              <a:lnTo>
                <a:pt x="3876675" y="2219325"/>
              </a:lnTo>
              <a:lnTo>
                <a:pt x="3876675" y="1219200"/>
              </a:lnTo>
              <a:lnTo>
                <a:pt x="5181600" y="1219200"/>
              </a:lnTo>
              <a:lnTo>
                <a:pt x="5181600" y="219075"/>
              </a:lnTo>
              <a:lnTo>
                <a:pt x="6457950" y="219075"/>
              </a:lnTo>
              <a:lnTo>
                <a:pt x="6457950" y="0"/>
              </a:lnTo>
              <a:lnTo>
                <a:pt x="7753350" y="0"/>
              </a:lnTo>
            </a:path>
          </a:pathLst>
        </a:custGeom>
        <a:noFill/>
        <a:ln w="412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129</xdr:row>
      <xdr:rowOff>0</xdr:rowOff>
    </xdr:from>
    <xdr:to>
      <xdr:col>17</xdr:col>
      <xdr:colOff>0</xdr:colOff>
      <xdr:row>129</xdr:row>
      <xdr:rowOff>0</xdr:rowOff>
    </xdr:to>
    <xdr:graphicFrame>
      <xdr:nvGraphicFramePr>
        <xdr:cNvPr id="1" name="Chart 6"/>
        <xdr:cNvGraphicFramePr/>
      </xdr:nvGraphicFramePr>
      <xdr:xfrm>
        <a:off x="3581400" y="2599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129</xdr:row>
      <xdr:rowOff>0</xdr:rowOff>
    </xdr:from>
    <xdr:to>
      <xdr:col>21</xdr:col>
      <xdr:colOff>0</xdr:colOff>
      <xdr:row>129</xdr:row>
      <xdr:rowOff>0</xdr:rowOff>
    </xdr:to>
    <xdr:graphicFrame>
      <xdr:nvGraphicFramePr>
        <xdr:cNvPr id="2" name="Chart 10"/>
        <xdr:cNvGraphicFramePr/>
      </xdr:nvGraphicFramePr>
      <xdr:xfrm>
        <a:off x="5857875" y="25993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129</xdr:row>
      <xdr:rowOff>0</xdr:rowOff>
    </xdr:from>
    <xdr:to>
      <xdr:col>21</xdr:col>
      <xdr:colOff>0</xdr:colOff>
      <xdr:row>129</xdr:row>
      <xdr:rowOff>0</xdr:rowOff>
    </xdr:to>
    <xdr:sp>
      <xdr:nvSpPr>
        <xdr:cNvPr id="3" name="TextBox 18"/>
        <xdr:cNvSpPr txBox="1">
          <a:spLocks noChangeArrowheads="1"/>
        </xdr:cNvSpPr>
      </xdr:nvSpPr>
      <xdr:spPr>
        <a:xfrm>
          <a:off x="5857875" y="2599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FY04            FY05          FY06           FY07           FY08          FY09</a:t>
          </a:r>
        </a:p>
      </xdr:txBody>
    </xdr:sp>
    <xdr:clientData/>
  </xdr:twoCellAnchor>
  <xdr:twoCellAnchor>
    <xdr:from>
      <xdr:col>21</xdr:col>
      <xdr:colOff>0</xdr:colOff>
      <xdr:row>129</xdr:row>
      <xdr:rowOff>0</xdr:rowOff>
    </xdr:from>
    <xdr:to>
      <xdr:col>21</xdr:col>
      <xdr:colOff>0</xdr:colOff>
      <xdr:row>129</xdr:row>
      <xdr:rowOff>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5857875" y="2599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$23.7</a:t>
          </a:r>
        </a:p>
      </xdr:txBody>
    </xdr:sp>
    <xdr:clientData/>
  </xdr:twoCellAnchor>
  <xdr:twoCellAnchor>
    <xdr:from>
      <xdr:col>21</xdr:col>
      <xdr:colOff>0</xdr:colOff>
      <xdr:row>129</xdr:row>
      <xdr:rowOff>0</xdr:rowOff>
    </xdr:from>
    <xdr:to>
      <xdr:col>21</xdr:col>
      <xdr:colOff>0</xdr:colOff>
      <xdr:row>129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5857875" y="2599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$73.0</a:t>
          </a:r>
        </a:p>
      </xdr:txBody>
    </xdr:sp>
    <xdr:clientData/>
  </xdr:twoCellAnchor>
  <xdr:twoCellAnchor>
    <xdr:from>
      <xdr:col>21</xdr:col>
      <xdr:colOff>0</xdr:colOff>
      <xdr:row>129</xdr:row>
      <xdr:rowOff>0</xdr:rowOff>
    </xdr:from>
    <xdr:to>
      <xdr:col>21</xdr:col>
      <xdr:colOff>0</xdr:colOff>
      <xdr:row>129</xdr:row>
      <xdr:rowOff>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5857875" y="2599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$57.1</a:t>
          </a:r>
        </a:p>
      </xdr:txBody>
    </xdr:sp>
    <xdr:clientData/>
  </xdr:twoCellAnchor>
  <xdr:twoCellAnchor>
    <xdr:from>
      <xdr:col>21</xdr:col>
      <xdr:colOff>0</xdr:colOff>
      <xdr:row>129</xdr:row>
      <xdr:rowOff>0</xdr:rowOff>
    </xdr:from>
    <xdr:to>
      <xdr:col>21</xdr:col>
      <xdr:colOff>0</xdr:colOff>
      <xdr:row>129</xdr:row>
      <xdr:rowOff>0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5857875" y="2599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41.2</a:t>
          </a:r>
        </a:p>
      </xdr:txBody>
    </xdr:sp>
    <xdr:clientData/>
  </xdr:twoCellAnchor>
  <xdr:twoCellAnchor>
    <xdr:from>
      <xdr:col>21</xdr:col>
      <xdr:colOff>0</xdr:colOff>
      <xdr:row>129</xdr:row>
      <xdr:rowOff>0</xdr:rowOff>
    </xdr:from>
    <xdr:to>
      <xdr:col>21</xdr:col>
      <xdr:colOff>0</xdr:colOff>
      <xdr:row>129</xdr:row>
      <xdr:rowOff>0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5857875" y="2599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$88.9</a:t>
          </a:r>
        </a:p>
      </xdr:txBody>
    </xdr:sp>
    <xdr:clientData/>
  </xdr:twoCellAnchor>
  <xdr:twoCellAnchor>
    <xdr:from>
      <xdr:col>21</xdr:col>
      <xdr:colOff>0</xdr:colOff>
      <xdr:row>129</xdr:row>
      <xdr:rowOff>0</xdr:rowOff>
    </xdr:from>
    <xdr:to>
      <xdr:col>21</xdr:col>
      <xdr:colOff>0</xdr:colOff>
      <xdr:row>129</xdr:row>
      <xdr:rowOff>0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5857875" y="2599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$92.3</a:t>
          </a:r>
        </a:p>
      </xdr:txBody>
    </xdr:sp>
    <xdr:clientData/>
  </xdr:twoCellAnchor>
  <xdr:twoCellAnchor>
    <xdr:from>
      <xdr:col>21</xdr:col>
      <xdr:colOff>0</xdr:colOff>
      <xdr:row>129</xdr:row>
      <xdr:rowOff>0</xdr:rowOff>
    </xdr:from>
    <xdr:to>
      <xdr:col>21</xdr:col>
      <xdr:colOff>0</xdr:colOff>
      <xdr:row>129</xdr:row>
      <xdr:rowOff>0</xdr:rowOff>
    </xdr:to>
    <xdr:sp>
      <xdr:nvSpPr>
        <xdr:cNvPr id="10" name="TextBox 25"/>
        <xdr:cNvSpPr txBox="1">
          <a:spLocks noChangeArrowheads="1"/>
        </xdr:cNvSpPr>
      </xdr:nvSpPr>
      <xdr:spPr>
        <a:xfrm>
          <a:off x="5857875" y="25993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$88.9</a:t>
          </a:r>
        </a:p>
      </xdr:txBody>
    </xdr:sp>
    <xdr:clientData/>
  </xdr:twoCellAnchor>
  <xdr:twoCellAnchor>
    <xdr:from>
      <xdr:col>17</xdr:col>
      <xdr:colOff>1581150</xdr:colOff>
      <xdr:row>125</xdr:row>
      <xdr:rowOff>0</xdr:rowOff>
    </xdr:from>
    <xdr:to>
      <xdr:col>18</xdr:col>
      <xdr:colOff>0</xdr:colOff>
      <xdr:row>125</xdr:row>
      <xdr:rowOff>0</xdr:rowOff>
    </xdr:to>
    <xdr:graphicFrame>
      <xdr:nvGraphicFramePr>
        <xdr:cNvPr id="11" name="Chart 36"/>
        <xdr:cNvGraphicFramePr/>
      </xdr:nvGraphicFramePr>
      <xdr:xfrm>
        <a:off x="3581400" y="253460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1466850</xdr:colOff>
      <xdr:row>125</xdr:row>
      <xdr:rowOff>0</xdr:rowOff>
    </xdr:from>
    <xdr:to>
      <xdr:col>18</xdr:col>
      <xdr:colOff>0</xdr:colOff>
      <xdr:row>125</xdr:row>
      <xdr:rowOff>0</xdr:rowOff>
    </xdr:to>
    <xdr:graphicFrame>
      <xdr:nvGraphicFramePr>
        <xdr:cNvPr id="12" name="Chart 37"/>
        <xdr:cNvGraphicFramePr/>
      </xdr:nvGraphicFramePr>
      <xdr:xfrm>
        <a:off x="3581400" y="253460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csx.pppl.gov/Documents%20and%20Settings\rstrykowsky\Local%20Settings\Temporary%20Internet%20Files\OLK4\ECP031-ECP-033-034Reconcili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P31 ECP33-34Reconcili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zoomScale="75" zoomScaleNormal="75" workbookViewId="0" topLeftCell="A1">
      <selection activeCell="B1" sqref="B1:P42"/>
    </sheetView>
  </sheetViews>
  <sheetFormatPr defaultColWidth="9.140625" defaultRowHeight="12.75"/>
  <cols>
    <col min="1" max="1" width="3.57421875" style="0" customWidth="1"/>
    <col min="2" max="2" width="24.421875" style="0" customWidth="1"/>
    <col min="3" max="3" width="20.140625" style="0" customWidth="1"/>
    <col min="9" max="9" width="16.57421875" style="0" customWidth="1"/>
    <col min="10" max="10" width="12.140625" style="105" customWidth="1"/>
    <col min="11" max="11" width="3.00390625" style="105" customWidth="1"/>
    <col min="12" max="12" width="8.421875" style="0" customWidth="1"/>
    <col min="13" max="13" width="34.8515625" style="0" customWidth="1"/>
    <col min="14" max="14" width="14.8515625" style="0" customWidth="1"/>
    <col min="15" max="15" width="7.57421875" style="95" customWidth="1"/>
    <col min="16" max="16" width="12.7109375" style="0" customWidth="1"/>
    <col min="22" max="22" width="11.28125" style="0" customWidth="1"/>
  </cols>
  <sheetData>
    <row r="1" spans="2:16" ht="18">
      <c r="B1" s="143" t="s">
        <v>137</v>
      </c>
      <c r="C1" s="144"/>
      <c r="D1" s="99"/>
      <c r="E1" s="99"/>
      <c r="F1" s="99"/>
      <c r="G1" s="99"/>
      <c r="H1" s="99"/>
      <c r="I1" s="99"/>
      <c r="J1" s="145"/>
      <c r="L1" s="115" t="s">
        <v>118</v>
      </c>
      <c r="M1" s="116"/>
      <c r="N1" s="116"/>
      <c r="O1" s="117"/>
      <c r="P1" s="118"/>
    </row>
    <row r="2" spans="2:16" ht="12.75">
      <c r="B2" s="119"/>
      <c r="C2" s="108"/>
      <c r="D2" s="108"/>
      <c r="E2" s="108"/>
      <c r="F2" s="108"/>
      <c r="G2" s="108"/>
      <c r="H2" s="108"/>
      <c r="I2" s="108"/>
      <c r="J2" s="146"/>
      <c r="L2" s="119"/>
      <c r="M2" s="97"/>
      <c r="N2" s="97"/>
      <c r="O2" s="120"/>
      <c r="P2" s="121"/>
    </row>
    <row r="3" spans="2:17" ht="12.75">
      <c r="B3" s="135" t="s">
        <v>122</v>
      </c>
      <c r="C3" s="134"/>
      <c r="D3" s="108"/>
      <c r="E3" s="108"/>
      <c r="F3" s="108"/>
      <c r="G3" s="108"/>
      <c r="H3" s="108"/>
      <c r="I3" s="108"/>
      <c r="J3" s="146"/>
      <c r="K3" s="106"/>
      <c r="L3" s="122" t="s">
        <v>1</v>
      </c>
      <c r="M3" s="97"/>
      <c r="N3" s="97"/>
      <c r="O3" s="123" t="s">
        <v>190</v>
      </c>
      <c r="P3" s="124"/>
      <c r="Q3" s="1"/>
    </row>
    <row r="4" spans="2:17" ht="12.75">
      <c r="B4" s="152" t="s">
        <v>124</v>
      </c>
      <c r="C4" s="108" t="s">
        <v>129</v>
      </c>
      <c r="D4" s="108" t="s">
        <v>130</v>
      </c>
      <c r="E4" s="108"/>
      <c r="F4" s="108"/>
      <c r="G4" s="108"/>
      <c r="H4" s="108"/>
      <c r="I4" s="108"/>
      <c r="J4" s="146">
        <f>10/12*0.3*1726*154</f>
        <v>66451</v>
      </c>
      <c r="K4" s="106"/>
      <c r="L4" s="125" t="s">
        <v>128</v>
      </c>
      <c r="M4" s="97" t="s">
        <v>138</v>
      </c>
      <c r="N4" s="126">
        <f>SUM(J4)</f>
        <v>66451</v>
      </c>
      <c r="O4" s="120">
        <v>0.1</v>
      </c>
      <c r="P4" s="127">
        <f>+O4*N4</f>
        <v>6645.1</v>
      </c>
      <c r="Q4" s="1"/>
    </row>
    <row r="5" spans="2:17" ht="12.75">
      <c r="B5" s="135"/>
      <c r="C5" s="108" t="s">
        <v>132</v>
      </c>
      <c r="D5" s="108" t="s">
        <v>133</v>
      </c>
      <c r="E5" s="108"/>
      <c r="F5" s="108"/>
      <c r="G5" s="108"/>
      <c r="H5" s="108"/>
      <c r="I5" s="108"/>
      <c r="J5" s="146">
        <f>10/12*1726*0.37*154</f>
        <v>81956.23333333334</v>
      </c>
      <c r="K5" s="106"/>
      <c r="L5" s="125" t="s">
        <v>131</v>
      </c>
      <c r="M5" s="97" t="s">
        <v>139</v>
      </c>
      <c r="N5" s="126">
        <f>SUM(J5)</f>
        <v>81956.23333333334</v>
      </c>
      <c r="O5" s="120">
        <v>0.1</v>
      </c>
      <c r="P5" s="127">
        <f>+O5*N5</f>
        <v>8195.623333333335</v>
      </c>
      <c r="Q5" s="1"/>
    </row>
    <row r="6" spans="2:17" ht="12.75">
      <c r="B6" s="135"/>
      <c r="C6" s="111"/>
      <c r="D6" s="111"/>
      <c r="E6" s="111"/>
      <c r="F6" s="111"/>
      <c r="G6" s="111"/>
      <c r="H6" s="111"/>
      <c r="I6" s="111"/>
      <c r="J6" s="147"/>
      <c r="K6" s="106"/>
      <c r="L6" s="125" t="s">
        <v>134</v>
      </c>
      <c r="M6" s="97" t="s">
        <v>140</v>
      </c>
      <c r="N6" s="126">
        <f>SUM(J7:J10)</f>
        <v>817958.6046666666</v>
      </c>
      <c r="O6" s="120">
        <v>0.17</v>
      </c>
      <c r="P6" s="127">
        <f>+O6*N6</f>
        <v>139052.96279333334</v>
      </c>
      <c r="Q6" s="112"/>
    </row>
    <row r="7" spans="2:17" ht="15">
      <c r="B7" s="135" t="s">
        <v>134</v>
      </c>
      <c r="C7" s="108" t="s">
        <v>135</v>
      </c>
      <c r="D7" s="108" t="s">
        <v>102</v>
      </c>
      <c r="E7" s="111"/>
      <c r="F7" s="108"/>
      <c r="G7" s="108"/>
      <c r="H7" s="108"/>
      <c r="I7" s="108"/>
      <c r="J7" s="146">
        <f>159.62*1768*14/12*0.9</f>
        <v>296318.568</v>
      </c>
      <c r="K7" s="106"/>
      <c r="L7" s="125" t="s">
        <v>136</v>
      </c>
      <c r="M7" s="97" t="s">
        <v>141</v>
      </c>
      <c r="N7" s="128">
        <f>SUM(J11:J13)</f>
        <v>232495.65199999997</v>
      </c>
      <c r="O7" s="120">
        <v>0.17</v>
      </c>
      <c r="P7" s="127">
        <f>+O7*N7</f>
        <v>39524.260839999995</v>
      </c>
      <c r="Q7" s="112"/>
    </row>
    <row r="8" spans="2:17" ht="12.75">
      <c r="B8" s="152" t="s">
        <v>124</v>
      </c>
      <c r="C8" s="134"/>
      <c r="D8" s="108" t="s">
        <v>103</v>
      </c>
      <c r="E8" s="111"/>
      <c r="F8" s="108"/>
      <c r="G8" s="108"/>
      <c r="H8" s="108"/>
      <c r="I8" s="108"/>
      <c r="J8" s="146">
        <f>250.53*1768*14/12*0.85</f>
        <v>439245.8979999999</v>
      </c>
      <c r="K8" s="106"/>
      <c r="L8" s="125"/>
      <c r="M8" s="97"/>
      <c r="N8" s="126">
        <f>SUM(N4:N7)</f>
        <v>1198861.49</v>
      </c>
      <c r="O8" s="120"/>
      <c r="P8" s="127"/>
      <c r="Q8" s="112"/>
    </row>
    <row r="9" spans="2:17" ht="12.75">
      <c r="B9" s="135"/>
      <c r="C9" s="134"/>
      <c r="D9" s="108" t="s">
        <v>104</v>
      </c>
      <c r="E9" s="111"/>
      <c r="F9" s="108"/>
      <c r="G9" s="108"/>
      <c r="H9" s="108"/>
      <c r="I9" s="108"/>
      <c r="J9" s="146">
        <f>50.47*2080*14/12*0.4</f>
        <v>48989.54666666666</v>
      </c>
      <c r="K9" s="106"/>
      <c r="L9" s="100"/>
      <c r="M9" s="111"/>
      <c r="N9" s="111"/>
      <c r="O9" s="101"/>
      <c r="P9" s="102"/>
      <c r="Q9" s="112"/>
    </row>
    <row r="10" spans="2:17" ht="12.75">
      <c r="B10" s="135"/>
      <c r="C10" s="134"/>
      <c r="D10" s="108" t="s">
        <v>105</v>
      </c>
      <c r="E10" s="111"/>
      <c r="F10" s="108"/>
      <c r="G10" s="108"/>
      <c r="H10" s="108"/>
      <c r="I10" s="108"/>
      <c r="J10" s="146">
        <f>1768*0.1*188.94</f>
        <v>33404.592000000004</v>
      </c>
      <c r="K10" s="106"/>
      <c r="L10" s="100"/>
      <c r="M10" s="111"/>
      <c r="N10" s="111"/>
      <c r="O10" s="101"/>
      <c r="P10" s="102"/>
      <c r="Q10" s="112"/>
    </row>
    <row r="11" spans="2:17" ht="12.75">
      <c r="B11" s="135" t="s">
        <v>136</v>
      </c>
      <c r="C11" s="108" t="s">
        <v>106</v>
      </c>
      <c r="D11" s="111"/>
      <c r="E11" s="108"/>
      <c r="F11" s="108"/>
      <c r="G11" s="108"/>
      <c r="H11" s="108"/>
      <c r="I11" s="108"/>
      <c r="J11" s="146">
        <f>1726*0.6*179.78</f>
        <v>186180.16799999998</v>
      </c>
      <c r="K11" s="106"/>
      <c r="L11" s="100"/>
      <c r="M11" s="111"/>
      <c r="N11" s="111"/>
      <c r="O11" s="101"/>
      <c r="P11" s="102"/>
      <c r="Q11" s="112"/>
    </row>
    <row r="12" spans="2:17" ht="12.75">
      <c r="B12" s="152" t="s">
        <v>124</v>
      </c>
      <c r="C12" s="108" t="s">
        <v>107</v>
      </c>
      <c r="D12" s="111"/>
      <c r="E12" s="108"/>
      <c r="F12" s="108"/>
      <c r="G12" s="108"/>
      <c r="H12" s="108"/>
      <c r="I12" s="108"/>
      <c r="J12" s="146">
        <f>1726*0.1*179.34</f>
        <v>30954.084000000006</v>
      </c>
      <c r="K12" s="106"/>
      <c r="L12" s="100"/>
      <c r="M12" s="111"/>
      <c r="N12" s="111"/>
      <c r="O12" s="101"/>
      <c r="P12" s="102"/>
      <c r="Q12" s="112"/>
    </row>
    <row r="13" spans="2:17" ht="15">
      <c r="B13" s="135"/>
      <c r="C13" s="108" t="s">
        <v>108</v>
      </c>
      <c r="D13" s="111"/>
      <c r="E13" s="108"/>
      <c r="F13" s="108"/>
      <c r="G13" s="108"/>
      <c r="H13" s="108"/>
      <c r="I13" s="108"/>
      <c r="J13" s="148">
        <f>1726*0.1*89</f>
        <v>15361.400000000001</v>
      </c>
      <c r="K13" s="106"/>
      <c r="L13" s="100"/>
      <c r="M13" s="111"/>
      <c r="N13" s="111"/>
      <c r="O13" s="101"/>
      <c r="P13" s="102"/>
      <c r="Q13" s="112"/>
    </row>
    <row r="14" spans="2:17" ht="12.75">
      <c r="B14" s="100"/>
      <c r="C14" s="111"/>
      <c r="D14" s="111"/>
      <c r="E14" s="111"/>
      <c r="F14" s="111"/>
      <c r="G14" s="111"/>
      <c r="H14" s="111"/>
      <c r="I14" s="111"/>
      <c r="J14" s="147">
        <f>SUM(J4:J13)</f>
        <v>1198861.49</v>
      </c>
      <c r="K14" s="106"/>
      <c r="L14" s="100"/>
      <c r="M14" s="111"/>
      <c r="N14" s="111"/>
      <c r="O14" s="101"/>
      <c r="P14" s="102"/>
      <c r="Q14" s="112"/>
    </row>
    <row r="15" spans="2:17" ht="12.75">
      <c r="B15" s="100"/>
      <c r="C15" s="111"/>
      <c r="D15" s="111"/>
      <c r="E15" s="111"/>
      <c r="F15" s="111"/>
      <c r="G15" s="111"/>
      <c r="H15" s="111"/>
      <c r="I15" s="111"/>
      <c r="J15" s="147"/>
      <c r="K15" s="106"/>
      <c r="L15" s="100"/>
      <c r="M15" s="111"/>
      <c r="N15" s="111"/>
      <c r="O15" s="101"/>
      <c r="P15" s="102"/>
      <c r="Q15" s="112"/>
    </row>
    <row r="16" spans="2:18" ht="12.75">
      <c r="B16" s="135" t="s">
        <v>119</v>
      </c>
      <c r="C16" s="149" t="s">
        <v>98</v>
      </c>
      <c r="D16" s="111"/>
      <c r="E16" s="108"/>
      <c r="F16" s="108"/>
      <c r="G16" s="108"/>
      <c r="H16" s="108"/>
      <c r="I16" s="108"/>
      <c r="J16" s="146"/>
      <c r="K16" s="106"/>
      <c r="L16" s="100"/>
      <c r="M16" s="111"/>
      <c r="N16" s="111"/>
      <c r="O16" s="101"/>
      <c r="P16" s="102"/>
      <c r="Q16" s="113"/>
      <c r="R16" s="110"/>
    </row>
    <row r="17" spans="2:17" ht="12.75">
      <c r="B17" s="152" t="s">
        <v>124</v>
      </c>
      <c r="C17" s="134"/>
      <c r="D17" s="108" t="s">
        <v>126</v>
      </c>
      <c r="E17" s="108"/>
      <c r="F17" s="108" t="s">
        <v>117</v>
      </c>
      <c r="G17" s="108"/>
      <c r="H17" s="108"/>
      <c r="I17" s="108"/>
      <c r="J17" s="146">
        <f>332*0.27*6.64*179.78</f>
        <v>107006.781888</v>
      </c>
      <c r="K17" s="106"/>
      <c r="L17" s="122" t="s">
        <v>2</v>
      </c>
      <c r="M17" s="97"/>
      <c r="N17" s="97"/>
      <c r="O17" s="120"/>
      <c r="P17" s="127"/>
      <c r="Q17" s="112"/>
    </row>
    <row r="18" spans="2:17" ht="12.75">
      <c r="B18" s="135" t="s">
        <v>120</v>
      </c>
      <c r="C18" s="149" t="s">
        <v>94</v>
      </c>
      <c r="D18" s="108"/>
      <c r="E18" s="108"/>
      <c r="F18" s="108"/>
      <c r="G18" s="108"/>
      <c r="H18" s="108"/>
      <c r="I18" s="108"/>
      <c r="J18" s="146"/>
      <c r="K18" s="106"/>
      <c r="L18" s="125" t="s">
        <v>125</v>
      </c>
      <c r="M18" s="97"/>
      <c r="N18" s="126">
        <f>SUM(J17)</f>
        <v>107006.781888</v>
      </c>
      <c r="O18" s="120">
        <v>0.4</v>
      </c>
      <c r="P18" s="127">
        <f>+O18*N18</f>
        <v>42802.7127552</v>
      </c>
      <c r="Q18" s="112"/>
    </row>
    <row r="19" spans="2:17" ht="12.75">
      <c r="B19" s="152" t="s">
        <v>124</v>
      </c>
      <c r="C19" s="134"/>
      <c r="D19" s="108" t="s">
        <v>114</v>
      </c>
      <c r="E19" s="108"/>
      <c r="F19" s="108"/>
      <c r="G19" s="108"/>
      <c r="H19" s="108"/>
      <c r="I19" s="108"/>
      <c r="J19" s="146"/>
      <c r="K19" s="106"/>
      <c r="L19" s="125" t="s">
        <v>0</v>
      </c>
      <c r="M19" s="97"/>
      <c r="N19" s="126">
        <f>SUM(J20:J25)</f>
        <v>703276.354304</v>
      </c>
      <c r="O19" s="120">
        <v>0.4</v>
      </c>
      <c r="P19" s="127">
        <f>+O19*N19</f>
        <v>281310.54172160005</v>
      </c>
      <c r="Q19" s="112"/>
    </row>
    <row r="20" spans="2:20" ht="15">
      <c r="B20" s="135"/>
      <c r="C20" s="134"/>
      <c r="D20" s="108"/>
      <c r="E20" s="108" t="s">
        <v>112</v>
      </c>
      <c r="F20" s="108"/>
      <c r="G20" s="108"/>
      <c r="H20" s="108"/>
      <c r="I20" s="108"/>
      <c r="J20" s="146">
        <f>272*6.64*0.86*179.78</f>
        <v>279239.473664</v>
      </c>
      <c r="K20" s="106"/>
      <c r="L20" s="125" t="s">
        <v>127</v>
      </c>
      <c r="M20" s="97"/>
      <c r="N20" s="128">
        <f>SUM(J26:J27)</f>
        <v>441181.78206666664</v>
      </c>
      <c r="O20" s="120">
        <v>0.24</v>
      </c>
      <c r="P20" s="127">
        <f>+O20*N20</f>
        <v>105883.627696</v>
      </c>
      <c r="Q20" s="112"/>
      <c r="R20" s="107"/>
      <c r="S20" s="107"/>
      <c r="T20" s="110"/>
    </row>
    <row r="21" spans="2:17" ht="12.75">
      <c r="B21" s="135"/>
      <c r="C21" s="134"/>
      <c r="D21" s="108" t="s">
        <v>95</v>
      </c>
      <c r="E21" s="108"/>
      <c r="F21" s="108"/>
      <c r="G21" s="108"/>
      <c r="H21" s="108"/>
      <c r="I21" s="108"/>
      <c r="J21" s="146"/>
      <c r="K21" s="106"/>
      <c r="L21" s="119"/>
      <c r="M21" s="97"/>
      <c r="N21" s="126">
        <f>SUM(N18:N20)</f>
        <v>1251464.9182586665</v>
      </c>
      <c r="O21" s="120"/>
      <c r="P21" s="127"/>
      <c r="Q21" s="112"/>
    </row>
    <row r="22" spans="2:17" ht="12.75">
      <c r="B22" s="135"/>
      <c r="C22" s="134"/>
      <c r="D22" s="108"/>
      <c r="E22" s="108" t="s">
        <v>96</v>
      </c>
      <c r="F22" s="108"/>
      <c r="G22" s="108"/>
      <c r="H22" s="108"/>
      <c r="I22" s="108"/>
      <c r="J22" s="146">
        <f>272*6.64*0.5*179.78</f>
        <v>162348.5312</v>
      </c>
      <c r="K22" s="106"/>
      <c r="L22" s="100"/>
      <c r="M22" s="111"/>
      <c r="N22" s="111"/>
      <c r="O22" s="101"/>
      <c r="P22" s="102"/>
      <c r="Q22" s="112"/>
    </row>
    <row r="23" spans="2:17" ht="12.75">
      <c r="B23" s="135"/>
      <c r="C23" s="134"/>
      <c r="D23" s="108" t="s">
        <v>115</v>
      </c>
      <c r="E23" s="108"/>
      <c r="F23" s="108"/>
      <c r="G23" s="108"/>
      <c r="H23" s="108"/>
      <c r="I23" s="108"/>
      <c r="J23" s="146"/>
      <c r="K23" s="106"/>
      <c r="L23" s="100"/>
      <c r="M23" s="111"/>
      <c r="N23" s="111"/>
      <c r="O23" s="101"/>
      <c r="P23" s="102"/>
      <c r="Q23" s="112"/>
    </row>
    <row r="24" spans="2:17" ht="12.75">
      <c r="B24" s="135"/>
      <c r="C24" s="134"/>
      <c r="D24" s="108"/>
      <c r="E24" s="108" t="s">
        <v>113</v>
      </c>
      <c r="F24" s="108"/>
      <c r="G24" s="108"/>
      <c r="H24" s="108"/>
      <c r="I24" s="108"/>
      <c r="J24" s="146">
        <f>272*6.64*0.86*116.55</f>
        <v>181028.81663999998</v>
      </c>
      <c r="K24" s="106"/>
      <c r="L24" s="100"/>
      <c r="M24" s="111"/>
      <c r="N24" s="111"/>
      <c r="O24" s="101"/>
      <c r="P24" s="102"/>
      <c r="Q24" s="112"/>
    </row>
    <row r="25" spans="2:17" ht="12.75">
      <c r="B25" s="135"/>
      <c r="C25" s="134"/>
      <c r="D25" s="108" t="s">
        <v>97</v>
      </c>
      <c r="E25" s="108"/>
      <c r="F25" s="108"/>
      <c r="G25" s="108"/>
      <c r="H25" s="108"/>
      <c r="I25" s="108"/>
      <c r="J25" s="150">
        <f>272*6.64*0.29*154</f>
        <v>80659.5328</v>
      </c>
      <c r="K25" s="106"/>
      <c r="L25" s="100"/>
      <c r="M25" s="111"/>
      <c r="N25" s="111"/>
      <c r="O25" s="101"/>
      <c r="P25" s="102"/>
      <c r="Q25" s="112"/>
    </row>
    <row r="26" spans="2:17" ht="12.75">
      <c r="B26" s="135" t="s">
        <v>121</v>
      </c>
      <c r="C26" s="108" t="s">
        <v>99</v>
      </c>
      <c r="D26" s="108" t="s">
        <v>100</v>
      </c>
      <c r="E26" s="111"/>
      <c r="F26" s="108"/>
      <c r="G26" s="108"/>
      <c r="H26" s="108"/>
      <c r="I26" s="108"/>
      <c r="J26" s="146">
        <f>14/12*1300*117.07</f>
        <v>177556.16666666666</v>
      </c>
      <c r="K26" s="106"/>
      <c r="L26" s="100"/>
      <c r="M26" s="111"/>
      <c r="N26" s="111"/>
      <c r="O26" s="101"/>
      <c r="P26" s="102"/>
      <c r="Q26" s="112"/>
    </row>
    <row r="27" spans="2:17" ht="15">
      <c r="B27" s="152" t="s">
        <v>124</v>
      </c>
      <c r="C27" s="108" t="s">
        <v>101</v>
      </c>
      <c r="D27" s="108"/>
      <c r="E27" s="111"/>
      <c r="F27" s="108"/>
      <c r="G27" s="108"/>
      <c r="H27" s="108"/>
      <c r="I27" s="108"/>
      <c r="J27" s="148">
        <f>14/12*1726*0.73*179.34</f>
        <v>263625.6154</v>
      </c>
      <c r="K27" s="106"/>
      <c r="L27" s="100"/>
      <c r="M27" s="111"/>
      <c r="N27" s="111"/>
      <c r="O27" s="101"/>
      <c r="P27" s="102"/>
      <c r="Q27" s="112"/>
    </row>
    <row r="28" spans="2:17" ht="12.75">
      <c r="B28" s="100"/>
      <c r="C28" s="111"/>
      <c r="D28" s="111"/>
      <c r="E28" s="111"/>
      <c r="F28" s="111"/>
      <c r="G28" s="111"/>
      <c r="H28" s="111"/>
      <c r="I28" s="111"/>
      <c r="J28" s="147">
        <f>SUM(J17:J27)</f>
        <v>1251464.9182586665</v>
      </c>
      <c r="K28" s="106"/>
      <c r="L28" s="100"/>
      <c r="M28" s="111"/>
      <c r="N28" s="111"/>
      <c r="O28" s="101"/>
      <c r="P28" s="102"/>
      <c r="Q28" s="112"/>
    </row>
    <row r="29" spans="2:35" ht="12.75">
      <c r="B29" s="135"/>
      <c r="C29" s="134"/>
      <c r="D29" s="111"/>
      <c r="E29" s="111"/>
      <c r="F29" s="111"/>
      <c r="G29" s="111"/>
      <c r="H29" s="111"/>
      <c r="I29" s="111"/>
      <c r="J29" s="147"/>
      <c r="K29" s="106"/>
      <c r="L29" s="100"/>
      <c r="M29" s="111"/>
      <c r="N29" s="111"/>
      <c r="O29" s="101"/>
      <c r="P29" s="10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ht="12.75">
      <c r="B30" s="100"/>
      <c r="C30" s="134"/>
      <c r="D30" s="108"/>
      <c r="E30" s="108"/>
      <c r="F30" s="108"/>
      <c r="G30" s="108"/>
      <c r="H30" s="108"/>
      <c r="I30" s="108"/>
      <c r="J30" s="146"/>
      <c r="K30" s="106"/>
      <c r="L30" s="100"/>
      <c r="M30" s="111"/>
      <c r="N30" s="111"/>
      <c r="O30" s="101"/>
      <c r="P30" s="10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ht="12.75">
      <c r="B31" s="100"/>
      <c r="C31" s="111"/>
      <c r="D31" s="111"/>
      <c r="E31" s="111"/>
      <c r="F31" s="111"/>
      <c r="G31" s="111"/>
      <c r="H31" s="111"/>
      <c r="I31" s="111"/>
      <c r="J31" s="147"/>
      <c r="K31" s="106"/>
      <c r="L31" s="122" t="s">
        <v>3</v>
      </c>
      <c r="M31" s="108"/>
      <c r="N31" s="108"/>
      <c r="O31" s="120"/>
      <c r="P31" s="127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ht="12.75">
      <c r="B32" s="135" t="s">
        <v>111</v>
      </c>
      <c r="C32" s="134"/>
      <c r="D32" s="108"/>
      <c r="E32" s="108"/>
      <c r="F32" s="108"/>
      <c r="G32" s="108"/>
      <c r="H32" s="108"/>
      <c r="I32" s="108"/>
      <c r="J32" s="150">
        <v>1590290</v>
      </c>
      <c r="K32" s="106"/>
      <c r="L32" s="125" t="s">
        <v>123</v>
      </c>
      <c r="M32" s="97"/>
      <c r="N32" s="126">
        <f>SUM(J32)</f>
        <v>1590290</v>
      </c>
      <c r="O32" s="120">
        <v>0.25</v>
      </c>
      <c r="P32" s="127">
        <f>+O32*N32</f>
        <v>397572.5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2.75">
      <c r="B33" s="135" t="s">
        <v>109</v>
      </c>
      <c r="C33" s="134"/>
      <c r="D33" s="108"/>
      <c r="E33" s="108"/>
      <c r="F33" s="108"/>
      <c r="G33" s="108"/>
      <c r="H33" s="108"/>
      <c r="I33" s="108"/>
      <c r="J33" s="146">
        <v>345000</v>
      </c>
      <c r="K33" s="106"/>
      <c r="L33" s="125" t="s">
        <v>143</v>
      </c>
      <c r="M33" s="108"/>
      <c r="N33" s="129">
        <f>SUM(J33)</f>
        <v>345000</v>
      </c>
      <c r="O33" s="120">
        <v>0.1</v>
      </c>
      <c r="P33" s="127">
        <f>+O33*N33</f>
        <v>34500</v>
      </c>
      <c r="Q33" s="1"/>
      <c r="R33" s="1"/>
      <c r="S33" s="1"/>
      <c r="T33" s="1"/>
      <c r="U33" s="1"/>
      <c r="V33" s="106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2:35" ht="15">
      <c r="B34" s="135" t="s">
        <v>110</v>
      </c>
      <c r="C34" s="134"/>
      <c r="D34" s="108"/>
      <c r="E34" s="108"/>
      <c r="F34" s="108"/>
      <c r="G34" s="108"/>
      <c r="H34" s="108"/>
      <c r="I34" s="108"/>
      <c r="J34" s="148">
        <v>399251</v>
      </c>
      <c r="K34" s="106"/>
      <c r="L34" s="125" t="s">
        <v>142</v>
      </c>
      <c r="M34" s="97"/>
      <c r="N34" s="128">
        <f>SUM(J34)</f>
        <v>399251</v>
      </c>
      <c r="O34" s="120">
        <v>0.25</v>
      </c>
      <c r="P34" s="127">
        <f>+O34*N34</f>
        <v>99812.75</v>
      </c>
      <c r="Q34" s="1"/>
      <c r="R34" s="1"/>
      <c r="S34" s="1"/>
      <c r="T34" s="1"/>
      <c r="U34" s="1"/>
      <c r="V34" s="106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2:35" ht="13.5" thickBot="1">
      <c r="B35" s="103"/>
      <c r="C35" s="104"/>
      <c r="D35" s="104"/>
      <c r="E35" s="104"/>
      <c r="F35" s="104"/>
      <c r="G35" s="104"/>
      <c r="H35" s="104"/>
      <c r="I35" s="104"/>
      <c r="J35" s="151">
        <f>SUM(J32:J34)</f>
        <v>2334541</v>
      </c>
      <c r="K35" s="106"/>
      <c r="L35" s="119"/>
      <c r="M35" s="108"/>
      <c r="N35" s="129">
        <f>SUM(N32:N34)</f>
        <v>2334541</v>
      </c>
      <c r="O35" s="130" t="s">
        <v>4</v>
      </c>
      <c r="P35" s="124"/>
      <c r="Q35" s="1"/>
      <c r="R35" s="1"/>
      <c r="S35" s="1"/>
      <c r="T35" s="1"/>
      <c r="U35" s="1"/>
      <c r="V35" s="106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1:35" ht="12.75">
      <c r="K36" s="106"/>
      <c r="L36" s="125"/>
      <c r="M36" s="111"/>
      <c r="N36" s="111"/>
      <c r="O36" s="101"/>
      <c r="P36" s="102"/>
      <c r="Q36" s="1"/>
      <c r="R36" s="1"/>
      <c r="S36" s="1"/>
      <c r="T36" s="1"/>
      <c r="U36" s="1"/>
      <c r="V36" s="106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4:35" ht="12.75">
      <c r="D37" s="1"/>
      <c r="E37" s="1"/>
      <c r="F37" s="1"/>
      <c r="G37" s="1"/>
      <c r="H37" s="1"/>
      <c r="I37" s="1"/>
      <c r="J37" s="106"/>
      <c r="K37" s="106"/>
      <c r="L37" s="125"/>
      <c r="M37" s="131" t="s">
        <v>145</v>
      </c>
      <c r="N37" s="126">
        <f>SUM(N35,N21,N8)</f>
        <v>4784867.408258666</v>
      </c>
      <c r="O37" s="132">
        <f>+P37/N37</f>
        <v>0.24144871332179915</v>
      </c>
      <c r="P37" s="127">
        <f>SUM(P4:P34)</f>
        <v>1155300.0791394669</v>
      </c>
      <c r="Q37" s="1"/>
      <c r="R37" s="1"/>
      <c r="S37" s="1"/>
      <c r="T37" s="1"/>
      <c r="U37" s="1"/>
      <c r="V37" s="106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1:35" ht="12.75">
      <c r="K38" s="106"/>
      <c r="L38" s="119"/>
      <c r="M38" s="97"/>
      <c r="N38" s="108"/>
      <c r="O38" s="120"/>
      <c r="P38" s="121"/>
      <c r="Q38" s="1"/>
      <c r="R38" s="1"/>
      <c r="S38" s="1"/>
      <c r="T38" s="1"/>
      <c r="U38" s="1"/>
      <c r="V38" s="106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1:35" ht="12.75">
      <c r="K39" s="106"/>
      <c r="L39" s="119"/>
      <c r="M39" s="133" t="s">
        <v>145</v>
      </c>
      <c r="N39" s="153">
        <f>SUM(N37)</f>
        <v>4784867.408258666</v>
      </c>
      <c r="O39" s="134" t="s">
        <v>116</v>
      </c>
      <c r="P39" s="154">
        <f>+N39*0.25</f>
        <v>1196216.8520646666</v>
      </c>
      <c r="Q39" s="1"/>
      <c r="R39" s="1"/>
      <c r="S39" s="1"/>
      <c r="T39" s="1"/>
      <c r="U39" s="1"/>
      <c r="V39" s="106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3:35" ht="12.75">
      <c r="C40" s="4"/>
      <c r="D40" s="1"/>
      <c r="E40" s="1"/>
      <c r="F40" s="1"/>
      <c r="G40" s="1"/>
      <c r="H40" s="1"/>
      <c r="I40" s="1"/>
      <c r="J40" s="106"/>
      <c r="K40" s="106"/>
      <c r="L40" s="119"/>
      <c r="M40" s="108"/>
      <c r="N40" s="108"/>
      <c r="O40" s="120"/>
      <c r="P40" s="127"/>
      <c r="Q40" s="1"/>
      <c r="R40" s="1"/>
      <c r="S40" s="1"/>
      <c r="T40" s="1"/>
      <c r="U40" s="1"/>
      <c r="V40" s="106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5:35" ht="12.75">
      <c r="E41" s="1"/>
      <c r="F41" s="1"/>
      <c r="G41" s="1"/>
      <c r="H41" s="1"/>
      <c r="I41" s="1"/>
      <c r="J41" s="106"/>
      <c r="K41" s="106"/>
      <c r="L41" s="135"/>
      <c r="M41" s="108"/>
      <c r="N41" s="108"/>
      <c r="O41" s="136"/>
      <c r="P41" s="137"/>
      <c r="Q41" s="1"/>
      <c r="R41" s="1"/>
      <c r="S41" s="1"/>
      <c r="T41" s="1"/>
      <c r="U41" s="1"/>
      <c r="V41" s="106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1:35" ht="16.5" thickBot="1">
      <c r="K42" s="106"/>
      <c r="L42" s="138"/>
      <c r="M42" s="139" t="s">
        <v>5</v>
      </c>
      <c r="N42" s="140">
        <f>SUM(N39,P39)</f>
        <v>5981084.260323333</v>
      </c>
      <c r="O42" s="141"/>
      <c r="P42" s="142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7:35" ht="12.75"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1:17" ht="12.75">
      <c r="K44" s="106"/>
      <c r="Q44" s="1"/>
    </row>
    <row r="45" spans="11:17" ht="12.75">
      <c r="K45" s="106"/>
      <c r="L45" s="4"/>
      <c r="M45" s="1"/>
      <c r="N45" s="4"/>
      <c r="O45" s="1"/>
      <c r="P45" s="1"/>
      <c r="Q45" s="1"/>
    </row>
    <row r="46" spans="11:17" ht="12.75">
      <c r="K46" s="106"/>
      <c r="L46" s="1"/>
      <c r="M46" s="1"/>
      <c r="N46" s="1"/>
      <c r="O46" s="109"/>
      <c r="P46" s="1"/>
      <c r="Q46" s="1"/>
    </row>
    <row r="47" spans="1:17" ht="12.75">
      <c r="A47" s="96"/>
      <c r="C47" s="4"/>
      <c r="D47" s="1"/>
      <c r="E47" s="1"/>
      <c r="F47" s="1"/>
      <c r="G47" s="1"/>
      <c r="H47" s="1"/>
      <c r="I47" s="1"/>
      <c r="J47" s="106"/>
      <c r="K47" s="106"/>
      <c r="L47" s="1"/>
      <c r="M47" s="1"/>
      <c r="N47" s="1"/>
      <c r="O47" s="109"/>
      <c r="P47" s="1"/>
      <c r="Q47" s="1"/>
    </row>
    <row r="48" spans="11:17" ht="12.75">
      <c r="K48" s="106"/>
      <c r="L48" s="1"/>
      <c r="M48" s="1"/>
      <c r="N48" s="1"/>
      <c r="O48" s="109"/>
      <c r="P48" s="1"/>
      <c r="Q48" s="1"/>
    </row>
    <row r="49" spans="11:17" ht="12.75">
      <c r="K49" s="106"/>
      <c r="L49" s="1"/>
      <c r="M49" s="1"/>
      <c r="N49" s="1"/>
      <c r="O49" s="109"/>
      <c r="P49" s="1"/>
      <c r="Q49" s="1"/>
    </row>
    <row r="50" spans="11:17" ht="15">
      <c r="K50" s="114"/>
      <c r="L50" s="1"/>
      <c r="M50" s="1"/>
      <c r="N50" s="1"/>
      <c r="O50" s="109"/>
      <c r="P50" s="1"/>
      <c r="Q50" s="1"/>
    </row>
    <row r="51" spans="2:17" ht="12.75">
      <c r="B51" s="4"/>
      <c r="C51" s="4"/>
      <c r="D51" s="1"/>
      <c r="E51" s="1"/>
      <c r="F51" s="1"/>
      <c r="G51" s="1"/>
      <c r="H51" s="1"/>
      <c r="I51" s="1"/>
      <c r="J51" s="106"/>
      <c r="K51" s="106"/>
      <c r="L51" s="1"/>
      <c r="M51" s="1"/>
      <c r="N51" s="1"/>
      <c r="O51" s="109"/>
      <c r="P51" s="1"/>
      <c r="Q51" s="1"/>
    </row>
    <row r="52" spans="2:10" ht="12.75">
      <c r="B52" s="4"/>
      <c r="C52" s="4"/>
      <c r="D52" s="1"/>
      <c r="E52" s="1"/>
      <c r="F52" s="1"/>
      <c r="G52" s="1"/>
      <c r="H52" s="1"/>
      <c r="I52" s="1"/>
      <c r="J52" s="106"/>
    </row>
    <row r="54" spans="2:10" ht="12.75">
      <c r="B54" s="4"/>
      <c r="C54" s="4"/>
      <c r="D54" s="1"/>
      <c r="E54" s="1"/>
      <c r="F54" s="1"/>
      <c r="G54" s="1"/>
      <c r="H54" s="1"/>
      <c r="I54" s="1"/>
      <c r="J54" s="106"/>
    </row>
    <row r="56" spans="2:10" ht="12.75">
      <c r="B56" s="4"/>
      <c r="C56" s="4"/>
      <c r="D56" s="1"/>
      <c r="E56" s="1"/>
      <c r="F56" s="1"/>
      <c r="G56" s="1"/>
      <c r="H56" s="1"/>
      <c r="I56" s="1"/>
      <c r="J56" s="106"/>
    </row>
    <row r="58" spans="2:10" ht="12.75">
      <c r="B58" s="1"/>
      <c r="C58" s="1"/>
      <c r="D58" s="1"/>
      <c r="E58" s="1"/>
      <c r="F58" s="1"/>
      <c r="G58" s="1"/>
      <c r="H58" s="1"/>
      <c r="I58" s="1"/>
      <c r="J58" s="106"/>
    </row>
    <row r="59" spans="2:10" ht="12.75">
      <c r="B59" s="1"/>
      <c r="C59" s="1"/>
      <c r="D59" s="1"/>
      <c r="E59" s="1"/>
      <c r="F59" s="1"/>
      <c r="G59" s="1"/>
      <c r="H59" s="1"/>
      <c r="I59" s="1"/>
      <c r="J59" s="106">
        <f>SUM(J3:J56)</f>
        <v>9569734.816517334</v>
      </c>
    </row>
  </sheetData>
  <printOptions gridLines="1"/>
  <pageMargins left="0.34" right="0.3" top="0.75" bottom="1" header="0.5" footer="0.5"/>
  <pageSetup fitToHeight="1" fitToWidth="1" horizontalDpi="600" verticalDpi="600" orientation="landscape" scale="67" r:id="rId1"/>
  <headerFooter alignWithMargins="0">
    <oddFooter>&amp;R&amp;F        &amp;A      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8"/>
  <sheetViews>
    <sheetView tabSelected="1" workbookViewId="0" topLeftCell="A1">
      <selection activeCell="Z79" sqref="Z79"/>
    </sheetView>
  </sheetViews>
  <sheetFormatPr defaultColWidth="9.140625" defaultRowHeight="12.75"/>
  <cols>
    <col min="1" max="1" width="8.57421875" style="4" customWidth="1"/>
    <col min="2" max="2" width="45.140625" style="1" bestFit="1" customWidth="1"/>
    <col min="3" max="4" width="9.7109375" style="1" hidden="1" customWidth="1"/>
    <col min="5" max="5" width="9.421875" style="1" hidden="1" customWidth="1"/>
    <col min="6" max="6" width="38.140625" style="1" hidden="1" customWidth="1"/>
    <col min="7" max="7" width="9.8515625" style="46" hidden="1" customWidth="1"/>
    <col min="8" max="8" width="9.421875" style="1" hidden="1" customWidth="1"/>
    <col min="9" max="9" width="73.28125" style="3" hidden="1" customWidth="1"/>
    <col min="10" max="10" width="9.8515625" style="46" hidden="1" customWidth="1"/>
    <col min="11" max="11" width="9.8515625" style="81" hidden="1" customWidth="1"/>
    <col min="12" max="12" width="9.421875" style="76" hidden="1" customWidth="1"/>
    <col min="13" max="13" width="60.00390625" style="92" hidden="1" customWidth="1"/>
    <col min="14" max="14" width="25.140625" style="173" hidden="1" customWidth="1"/>
    <col min="15" max="15" width="12.57421875" style="183" hidden="1" customWidth="1"/>
    <col min="16" max="16" width="37.421875" style="76" hidden="1" customWidth="1"/>
    <col min="17" max="17" width="10.00390625" style="161" hidden="1" customWidth="1"/>
    <col min="18" max="18" width="33.140625" style="3" hidden="1" customWidth="1"/>
    <col min="19" max="19" width="9.7109375" style="1" bestFit="1" customWidth="1"/>
    <col min="20" max="20" width="12.00390625" style="1" customWidth="1"/>
    <col min="21" max="21" width="12.421875" style="1" bestFit="1" customWidth="1"/>
    <col min="22" max="24" width="9.140625" style="1" customWidth="1"/>
    <col min="25" max="25" width="9.140625" style="225" customWidth="1"/>
    <col min="26" max="26" width="9.140625" style="218" customWidth="1"/>
    <col min="27" max="16384" width="9.140625" style="1" customWidth="1"/>
  </cols>
  <sheetData>
    <row r="1" spans="1:26" s="7" customFormat="1" ht="24.75" thickBot="1">
      <c r="A1" s="43" t="s">
        <v>92</v>
      </c>
      <c r="G1" s="45"/>
      <c r="I1" s="8"/>
      <c r="J1" s="45"/>
      <c r="K1" s="94"/>
      <c r="L1" s="74"/>
      <c r="M1" s="75"/>
      <c r="N1" s="173"/>
      <c r="O1" s="183"/>
      <c r="P1" s="94" t="s">
        <v>206</v>
      </c>
      <c r="Q1" s="161"/>
      <c r="R1" s="3"/>
      <c r="Y1" s="223"/>
      <c r="Z1" s="216"/>
    </row>
    <row r="2" spans="1:26" s="9" customFormat="1" ht="36.75" thickBot="1">
      <c r="A2" s="10"/>
      <c r="C2" s="11" t="s">
        <v>62</v>
      </c>
      <c r="D2" s="12" t="s">
        <v>63</v>
      </c>
      <c r="E2" s="13" t="s">
        <v>48</v>
      </c>
      <c r="F2" s="14" t="s">
        <v>66</v>
      </c>
      <c r="G2" s="50" t="s">
        <v>87</v>
      </c>
      <c r="H2" s="51" t="s">
        <v>48</v>
      </c>
      <c r="I2" s="51" t="s">
        <v>66</v>
      </c>
      <c r="J2" s="62" t="s">
        <v>88</v>
      </c>
      <c r="K2" s="156" t="s">
        <v>144</v>
      </c>
      <c r="L2" s="77" t="s">
        <v>48</v>
      </c>
      <c r="M2" s="78" t="s">
        <v>66</v>
      </c>
      <c r="N2" s="174" t="s">
        <v>20</v>
      </c>
      <c r="O2" s="192" t="s">
        <v>214</v>
      </c>
      <c r="P2" s="211" t="s">
        <v>215</v>
      </c>
      <c r="Q2" s="162" t="s">
        <v>19</v>
      </c>
      <c r="R2" s="197" t="s">
        <v>211</v>
      </c>
      <c r="S2" s="172" t="s">
        <v>216</v>
      </c>
      <c r="T2" s="172" t="s">
        <v>217</v>
      </c>
      <c r="U2" s="213" t="s">
        <v>19</v>
      </c>
      <c r="Y2" s="224"/>
      <c r="Z2" s="217"/>
    </row>
    <row r="3" spans="2:24" ht="15">
      <c r="B3" s="1" t="s">
        <v>146</v>
      </c>
      <c r="C3" s="25">
        <v>0.1</v>
      </c>
      <c r="D3" s="25">
        <v>0.1</v>
      </c>
      <c r="E3" s="26"/>
      <c r="F3" s="26"/>
      <c r="G3" s="25">
        <v>0.1</v>
      </c>
      <c r="H3" s="27">
        <v>0</v>
      </c>
      <c r="I3" s="60"/>
      <c r="J3" s="63">
        <v>0.1</v>
      </c>
      <c r="K3" s="157"/>
      <c r="L3" s="79">
        <v>0</v>
      </c>
      <c r="M3" s="80"/>
      <c r="N3" s="175"/>
      <c r="O3" s="185"/>
      <c r="P3" s="82"/>
      <c r="Q3" s="165"/>
      <c r="R3" s="55"/>
      <c r="S3" s="199"/>
      <c r="T3" s="99"/>
      <c r="U3" s="214"/>
      <c r="V3"/>
      <c r="W3"/>
      <c r="X3"/>
    </row>
    <row r="4" spans="1:26" ht="15">
      <c r="A4" s="4" t="s">
        <v>191</v>
      </c>
      <c r="C4" s="22"/>
      <c r="D4" s="22">
        <v>0</v>
      </c>
      <c r="E4" s="23"/>
      <c r="F4" s="23"/>
      <c r="G4" s="22"/>
      <c r="H4" s="24">
        <v>0</v>
      </c>
      <c r="I4" s="55"/>
      <c r="J4" s="64"/>
      <c r="K4" s="82"/>
      <c r="L4" s="83">
        <v>0</v>
      </c>
      <c r="M4" s="84"/>
      <c r="N4" s="176"/>
      <c r="O4" s="184"/>
      <c r="P4" s="125"/>
      <c r="Q4" s="164"/>
      <c r="R4" s="55"/>
      <c r="S4" s="69"/>
      <c r="T4" s="111"/>
      <c r="U4" s="108"/>
      <c r="V4"/>
      <c r="W4"/>
      <c r="X4" t="s">
        <v>221</v>
      </c>
      <c r="Y4" s="225" t="s">
        <v>223</v>
      </c>
      <c r="Z4" s="218" t="s">
        <v>222</v>
      </c>
    </row>
    <row r="5" spans="2:26" ht="26.25">
      <c r="B5" s="1" t="s">
        <v>147</v>
      </c>
      <c r="C5" s="22">
        <v>7891.7</v>
      </c>
      <c r="D5" s="22">
        <v>7906.3</v>
      </c>
      <c r="E5" s="23">
        <v>14.6</v>
      </c>
      <c r="F5" s="23" t="s">
        <v>64</v>
      </c>
      <c r="G5" s="52">
        <v>8061.3</v>
      </c>
      <c r="H5" s="24">
        <v>155</v>
      </c>
      <c r="I5" s="55" t="s">
        <v>67</v>
      </c>
      <c r="J5" s="65">
        <v>8061.3</v>
      </c>
      <c r="K5" s="82">
        <v>8492.3</v>
      </c>
      <c r="L5" s="83">
        <v>430.9999999999991</v>
      </c>
      <c r="M5" s="84" t="s">
        <v>212</v>
      </c>
      <c r="N5" s="175"/>
      <c r="O5" s="185">
        <v>8680.52</v>
      </c>
      <c r="P5" s="37">
        <v>8719.52</v>
      </c>
      <c r="Q5" s="165">
        <v>39</v>
      </c>
      <c r="R5" s="55" t="s">
        <v>207</v>
      </c>
      <c r="S5" s="68">
        <v>8548.22</v>
      </c>
      <c r="T5" s="212">
        <f>+W5</f>
        <v>8630</v>
      </c>
      <c r="U5" s="23">
        <f>+T5-S5</f>
        <v>81.78000000000065</v>
      </c>
      <c r="V5">
        <v>121</v>
      </c>
      <c r="W5">
        <f>+X5+Z5</f>
        <v>8630</v>
      </c>
      <c r="X5">
        <v>8698</v>
      </c>
      <c r="Y5" s="226">
        <f>+X5-S5</f>
        <v>149.78000000000065</v>
      </c>
      <c r="Z5" s="218">
        <v>-68</v>
      </c>
    </row>
    <row r="6" spans="2:25" ht="15">
      <c r="B6" s="1" t="s">
        <v>148</v>
      </c>
      <c r="C6" s="22">
        <v>174.7</v>
      </c>
      <c r="D6" s="22">
        <v>174.7</v>
      </c>
      <c r="E6" s="23"/>
      <c r="F6" s="23"/>
      <c r="G6" s="52">
        <v>176.03</v>
      </c>
      <c r="H6" s="24">
        <v>1.3300000000000125</v>
      </c>
      <c r="I6" s="55"/>
      <c r="J6" s="65">
        <v>176.03</v>
      </c>
      <c r="K6" s="82">
        <v>176.03</v>
      </c>
      <c r="L6" s="83">
        <v>0</v>
      </c>
      <c r="M6" s="84"/>
      <c r="N6" s="175"/>
      <c r="O6" s="185">
        <v>191.89</v>
      </c>
      <c r="P6" s="37">
        <v>191.89</v>
      </c>
      <c r="Q6" s="165">
        <v>0</v>
      </c>
      <c r="R6" s="55"/>
      <c r="S6" s="68">
        <v>191.89</v>
      </c>
      <c r="T6" s="212">
        <f>+W6</f>
        <v>172.3</v>
      </c>
      <c r="U6" s="23">
        <f>+T6-S6</f>
        <v>-19.589999999999975</v>
      </c>
      <c r="V6">
        <v>122</v>
      </c>
      <c r="W6">
        <f aca="true" t="shared" si="0" ref="W6:W69">+X6+Z6</f>
        <v>172.3</v>
      </c>
      <c r="X6">
        <v>172.3</v>
      </c>
      <c r="Y6" s="226">
        <f aca="true" t="shared" si="1" ref="Y6:Y69">+X6-S6</f>
        <v>-19.589999999999975</v>
      </c>
    </row>
    <row r="7" spans="2:25" ht="15">
      <c r="B7" s="1" t="s">
        <v>149</v>
      </c>
      <c r="C7" s="22">
        <v>375.7</v>
      </c>
      <c r="D7" s="22">
        <v>375.7</v>
      </c>
      <c r="E7" s="28"/>
      <c r="F7" s="28"/>
      <c r="G7" s="52">
        <v>373.37</v>
      </c>
      <c r="H7" s="24">
        <v>-2.329999999999984</v>
      </c>
      <c r="I7" s="55"/>
      <c r="J7" s="65">
        <v>373.37</v>
      </c>
      <c r="K7" s="82">
        <v>373.37</v>
      </c>
      <c r="L7" s="83">
        <v>0</v>
      </c>
      <c r="M7" s="84"/>
      <c r="N7" s="175"/>
      <c r="O7" s="185">
        <v>535.98</v>
      </c>
      <c r="P7" s="37">
        <v>535.98</v>
      </c>
      <c r="Q7" s="165">
        <v>0</v>
      </c>
      <c r="R7" s="55"/>
      <c r="S7" s="68">
        <v>535.98</v>
      </c>
      <c r="T7" s="212">
        <f>+W7</f>
        <v>364.9</v>
      </c>
      <c r="U7" s="23">
        <f>+T7-S7</f>
        <v>-171.08000000000004</v>
      </c>
      <c r="V7">
        <v>123</v>
      </c>
      <c r="W7">
        <f t="shared" si="0"/>
        <v>364.9</v>
      </c>
      <c r="X7">
        <v>364.9</v>
      </c>
      <c r="Y7" s="226">
        <f t="shared" si="1"/>
        <v>-171.08000000000004</v>
      </c>
    </row>
    <row r="8" spans="2:25" ht="15">
      <c r="B8" s="1" t="s">
        <v>150</v>
      </c>
      <c r="C8" s="22">
        <v>62</v>
      </c>
      <c r="D8" s="22">
        <v>62</v>
      </c>
      <c r="E8" s="28"/>
      <c r="F8" s="28"/>
      <c r="G8" s="52">
        <v>97.63</v>
      </c>
      <c r="H8" s="24">
        <v>35.63</v>
      </c>
      <c r="I8" s="55" t="s">
        <v>53</v>
      </c>
      <c r="J8" s="65">
        <v>97.63</v>
      </c>
      <c r="K8" s="82">
        <v>97.63</v>
      </c>
      <c r="L8" s="83">
        <v>0</v>
      </c>
      <c r="M8" s="84"/>
      <c r="N8" s="175"/>
      <c r="O8" s="185">
        <v>106.1</v>
      </c>
      <c r="P8" s="37">
        <v>106.1</v>
      </c>
      <c r="Q8" s="165">
        <v>0</v>
      </c>
      <c r="R8" s="55"/>
      <c r="S8" s="68">
        <v>106.1</v>
      </c>
      <c r="T8" s="212">
        <f>+W8</f>
        <v>247.5</v>
      </c>
      <c r="U8" s="23">
        <f>+T8-S8</f>
        <v>141.4</v>
      </c>
      <c r="V8">
        <v>124</v>
      </c>
      <c r="W8">
        <f t="shared" si="0"/>
        <v>247.5</v>
      </c>
      <c r="X8">
        <v>247.5</v>
      </c>
      <c r="Y8" s="226">
        <f t="shared" si="1"/>
        <v>141.4</v>
      </c>
    </row>
    <row r="9" spans="2:25" ht="20.25" thickBot="1">
      <c r="B9" s="1" t="s">
        <v>151</v>
      </c>
      <c r="C9" s="29">
        <v>27.3</v>
      </c>
      <c r="D9" s="29">
        <v>27.3</v>
      </c>
      <c r="E9" s="30"/>
      <c r="F9" s="30"/>
      <c r="G9" s="53">
        <v>29.04</v>
      </c>
      <c r="H9" s="31">
        <v>1.74</v>
      </c>
      <c r="I9" s="55"/>
      <c r="J9" s="66">
        <v>29.04</v>
      </c>
      <c r="K9" s="82">
        <v>29.04</v>
      </c>
      <c r="L9" s="83">
        <v>0</v>
      </c>
      <c r="M9" s="84"/>
      <c r="N9" s="175"/>
      <c r="O9" s="185">
        <v>17.64</v>
      </c>
      <c r="P9" s="82">
        <v>17.64</v>
      </c>
      <c r="Q9" s="167">
        <v>0</v>
      </c>
      <c r="R9" s="55"/>
      <c r="S9" s="68">
        <v>17.64</v>
      </c>
      <c r="T9" s="212">
        <f>+W9</f>
        <v>24.6</v>
      </c>
      <c r="U9" s="215">
        <f>+T9-S9</f>
        <v>6.960000000000001</v>
      </c>
      <c r="V9">
        <v>125</v>
      </c>
      <c r="W9">
        <f t="shared" si="0"/>
        <v>24.6</v>
      </c>
      <c r="X9">
        <v>24.6</v>
      </c>
      <c r="Y9" s="226">
        <f t="shared" si="1"/>
        <v>6.960000000000001</v>
      </c>
    </row>
    <row r="10" spans="2:26" ht="13.5" thickBot="1">
      <c r="B10" s="269" t="s">
        <v>76</v>
      </c>
      <c r="C10" s="282">
        <v>8531.4</v>
      </c>
      <c r="D10" s="282">
        <v>8546</v>
      </c>
      <c r="E10" s="292">
        <v>14.6</v>
      </c>
      <c r="F10" s="293"/>
      <c r="G10" s="282">
        <v>8737.37</v>
      </c>
      <c r="H10" s="283">
        <v>191.37</v>
      </c>
      <c r="I10" s="247"/>
      <c r="J10" s="284">
        <v>8737.37</v>
      </c>
      <c r="K10" s="275">
        <v>9168.37</v>
      </c>
      <c r="L10" s="276">
        <v>430.9999999999991</v>
      </c>
      <c r="M10" s="277"/>
      <c r="N10" s="278">
        <v>9495.2</v>
      </c>
      <c r="O10" s="279">
        <v>9532.13</v>
      </c>
      <c r="P10" s="285">
        <v>9571.13</v>
      </c>
      <c r="Q10" s="286">
        <v>39</v>
      </c>
      <c r="R10" s="247"/>
      <c r="S10" s="275">
        <v>9399.83</v>
      </c>
      <c r="T10" s="276">
        <f>SUM(T5:T9)</f>
        <v>9439.3</v>
      </c>
      <c r="U10" s="276">
        <f>SUM(U5:U9)</f>
        <v>39.470000000000645</v>
      </c>
      <c r="V10" s="251"/>
      <c r="W10" s="251">
        <f t="shared" si="0"/>
        <v>-68</v>
      </c>
      <c r="X10" s="251"/>
      <c r="Y10" s="252">
        <f>SUM(Y5:Y9)</f>
        <v>107.47000000000065</v>
      </c>
      <c r="Z10" s="294">
        <f>SUM(Z5:Z9)</f>
        <v>-68</v>
      </c>
    </row>
    <row r="11" spans="1:25" ht="15">
      <c r="A11" s="4" t="s">
        <v>192</v>
      </c>
      <c r="C11" s="22"/>
      <c r="D11" s="22">
        <v>0</v>
      </c>
      <c r="E11" s="28"/>
      <c r="F11" s="28"/>
      <c r="G11" s="22"/>
      <c r="H11" s="24">
        <v>0</v>
      </c>
      <c r="I11" s="55"/>
      <c r="J11" s="64"/>
      <c r="K11" s="82"/>
      <c r="L11" s="83">
        <v>0</v>
      </c>
      <c r="M11" s="84"/>
      <c r="N11" s="176"/>
      <c r="O11" s="184"/>
      <c r="P11" s="125"/>
      <c r="Q11" s="164"/>
      <c r="R11" s="55"/>
      <c r="S11" s="69"/>
      <c r="T11" s="111"/>
      <c r="U11" s="108"/>
      <c r="V11"/>
      <c r="W11">
        <f t="shared" si="0"/>
        <v>0</v>
      </c>
      <c r="X11"/>
      <c r="Y11" s="226">
        <f t="shared" si="1"/>
        <v>0</v>
      </c>
    </row>
    <row r="12" spans="2:25" ht="15">
      <c r="B12" s="1" t="s">
        <v>152</v>
      </c>
      <c r="C12" s="22">
        <v>613.1</v>
      </c>
      <c r="D12" s="22">
        <v>613.1</v>
      </c>
      <c r="E12" s="28"/>
      <c r="F12" s="28"/>
      <c r="G12" s="52">
        <v>737.81</v>
      </c>
      <c r="H12" s="44">
        <v>124.71</v>
      </c>
      <c r="I12" s="56" t="s">
        <v>86</v>
      </c>
      <c r="J12" s="65">
        <v>737.81</v>
      </c>
      <c r="K12" s="82">
        <v>849</v>
      </c>
      <c r="L12" s="91">
        <v>111.19</v>
      </c>
      <c r="M12" s="84" t="s">
        <v>89</v>
      </c>
      <c r="N12" s="175"/>
      <c r="O12" s="185">
        <v>837.4</v>
      </c>
      <c r="P12" s="37">
        <v>837.4</v>
      </c>
      <c r="Q12" s="165">
        <v>0</v>
      </c>
      <c r="R12" s="55"/>
      <c r="S12" s="68">
        <v>837.4</v>
      </c>
      <c r="T12" s="212">
        <f>+W12</f>
        <v>837.4</v>
      </c>
      <c r="U12" s="23">
        <f>+T12-S12</f>
        <v>0</v>
      </c>
      <c r="V12">
        <v>130</v>
      </c>
      <c r="W12">
        <f>+X12+Z12</f>
        <v>837.4</v>
      </c>
      <c r="X12">
        <f>837.4</f>
        <v>837.4</v>
      </c>
      <c r="Y12" s="226">
        <f t="shared" si="1"/>
        <v>0</v>
      </c>
    </row>
    <row r="13" spans="2:26" ht="15">
      <c r="B13" s="1" t="s">
        <v>153</v>
      </c>
      <c r="C13" s="22">
        <v>1458.8</v>
      </c>
      <c r="D13" s="22">
        <v>1458.8</v>
      </c>
      <c r="E13" s="28"/>
      <c r="F13" s="28"/>
      <c r="G13" s="52">
        <v>1594.58</v>
      </c>
      <c r="H13" s="44">
        <v>135.78</v>
      </c>
      <c r="I13" s="56" t="s">
        <v>86</v>
      </c>
      <c r="J13" s="65">
        <v>1594.58</v>
      </c>
      <c r="K13" s="82">
        <v>1594.58</v>
      </c>
      <c r="L13" s="83">
        <v>0</v>
      </c>
      <c r="M13" s="6"/>
      <c r="N13" s="175"/>
      <c r="O13" s="185">
        <v>1717.83</v>
      </c>
      <c r="P13" s="37">
        <v>1717.83</v>
      </c>
      <c r="Q13" s="165">
        <v>0</v>
      </c>
      <c r="R13" s="55"/>
      <c r="S13" s="68">
        <v>1717.83</v>
      </c>
      <c r="T13" s="212">
        <f>+W13</f>
        <v>2399</v>
      </c>
      <c r="U13" s="23">
        <f>+T13-S13</f>
        <v>681.1700000000001</v>
      </c>
      <c r="V13">
        <v>131</v>
      </c>
      <c r="W13">
        <f t="shared" si="0"/>
        <v>2399</v>
      </c>
      <c r="X13">
        <f>2151+2</f>
        <v>2153</v>
      </c>
      <c r="Y13" s="226">
        <f t="shared" si="1"/>
        <v>435.1700000000001</v>
      </c>
      <c r="Z13" s="218">
        <v>246</v>
      </c>
    </row>
    <row r="14" spans="2:25" ht="15">
      <c r="B14" s="1" t="s">
        <v>154</v>
      </c>
      <c r="C14" s="22">
        <v>1777.3</v>
      </c>
      <c r="D14" s="22">
        <v>1777.3</v>
      </c>
      <c r="E14" s="28"/>
      <c r="F14" s="28"/>
      <c r="G14" s="52">
        <v>1870.43</v>
      </c>
      <c r="H14" s="24">
        <v>93.13000000000011</v>
      </c>
      <c r="I14" s="55" t="s">
        <v>58</v>
      </c>
      <c r="J14" s="65">
        <v>1870.43</v>
      </c>
      <c r="K14" s="82">
        <v>1771</v>
      </c>
      <c r="L14" s="83">
        <v>-99.43000000000006</v>
      </c>
      <c r="M14" s="84"/>
      <c r="N14" s="175"/>
      <c r="O14" s="185">
        <v>1885.36</v>
      </c>
      <c r="P14" s="37">
        <v>1885.36</v>
      </c>
      <c r="Q14" s="165">
        <v>0</v>
      </c>
      <c r="R14" s="55"/>
      <c r="S14" s="68">
        <v>1885.36</v>
      </c>
      <c r="T14" s="212">
        <f>+W14</f>
        <v>1400</v>
      </c>
      <c r="U14" s="23">
        <f>+T14-S14</f>
        <v>-485.3599999999999</v>
      </c>
      <c r="V14">
        <v>132</v>
      </c>
      <c r="W14">
        <f t="shared" si="0"/>
        <v>1400</v>
      </c>
      <c r="X14">
        <v>1400</v>
      </c>
      <c r="Y14" s="226">
        <f t="shared" si="1"/>
        <v>-485.3599999999999</v>
      </c>
    </row>
    <row r="15" spans="2:26" s="4" customFormat="1" ht="15">
      <c r="B15" s="4" t="s">
        <v>155</v>
      </c>
      <c r="C15" s="34">
        <v>381.1</v>
      </c>
      <c r="D15" s="22">
        <v>181.1</v>
      </c>
      <c r="E15" s="28">
        <v>-200</v>
      </c>
      <c r="F15" s="47" t="s">
        <v>49</v>
      </c>
      <c r="G15" s="52">
        <v>145.64</v>
      </c>
      <c r="H15" s="24">
        <v>-35.46</v>
      </c>
      <c r="I15" s="55" t="s">
        <v>58</v>
      </c>
      <c r="J15" s="65">
        <v>145.64</v>
      </c>
      <c r="K15" s="82">
        <v>245</v>
      </c>
      <c r="L15" s="83">
        <v>99.36</v>
      </c>
      <c r="M15" s="84"/>
      <c r="N15" s="175"/>
      <c r="O15" s="185">
        <v>257.67</v>
      </c>
      <c r="P15" s="37">
        <v>257.67</v>
      </c>
      <c r="Q15" s="165">
        <v>0</v>
      </c>
      <c r="R15" s="55"/>
      <c r="S15" s="68">
        <v>257.67</v>
      </c>
      <c r="T15" s="212">
        <f>+W15</f>
        <v>103.4</v>
      </c>
      <c r="U15" s="23">
        <f>+T15-S15</f>
        <v>-154.27</v>
      </c>
      <c r="V15">
        <v>133</v>
      </c>
      <c r="W15">
        <f t="shared" si="0"/>
        <v>103.4</v>
      </c>
      <c r="X15">
        <v>103.4</v>
      </c>
      <c r="Y15" s="226">
        <f t="shared" si="1"/>
        <v>-154.27</v>
      </c>
      <c r="Z15" s="219"/>
    </row>
    <row r="16" spans="2:25" ht="20.25" thickBot="1">
      <c r="B16" s="1" t="s">
        <v>156</v>
      </c>
      <c r="C16" s="29">
        <v>73.4</v>
      </c>
      <c r="D16" s="29">
        <v>73.4</v>
      </c>
      <c r="E16" s="35"/>
      <c r="F16" s="35"/>
      <c r="G16" s="53">
        <v>92.63</v>
      </c>
      <c r="H16" s="31">
        <v>19.23</v>
      </c>
      <c r="I16" s="55" t="s">
        <v>58</v>
      </c>
      <c r="J16" s="66">
        <v>92.63</v>
      </c>
      <c r="K16" s="82">
        <v>92.63</v>
      </c>
      <c r="L16" s="83">
        <v>0</v>
      </c>
      <c r="M16" s="84"/>
      <c r="N16" s="175"/>
      <c r="O16" s="185">
        <v>91.87</v>
      </c>
      <c r="P16" s="82">
        <v>91.87</v>
      </c>
      <c r="Q16" s="167">
        <v>0</v>
      </c>
      <c r="R16" s="55"/>
      <c r="S16" s="68">
        <v>91.87</v>
      </c>
      <c r="T16" s="212">
        <f>+W16</f>
        <v>91.2</v>
      </c>
      <c r="U16" s="35">
        <f>+T16-S16</f>
        <v>-0.6700000000000017</v>
      </c>
      <c r="V16">
        <v>134</v>
      </c>
      <c r="W16">
        <f t="shared" si="0"/>
        <v>91.2</v>
      </c>
      <c r="X16">
        <v>91.2</v>
      </c>
      <c r="Y16" s="226">
        <f t="shared" si="1"/>
        <v>-0.6700000000000017</v>
      </c>
    </row>
    <row r="17" spans="2:26" ht="13.5" thickBot="1">
      <c r="B17" s="269" t="s">
        <v>76</v>
      </c>
      <c r="C17" s="282">
        <v>4303.7</v>
      </c>
      <c r="D17" s="282">
        <v>4103.7</v>
      </c>
      <c r="E17" s="283">
        <v>-200</v>
      </c>
      <c r="F17" s="276"/>
      <c r="G17" s="282">
        <v>4441.09</v>
      </c>
      <c r="H17" s="283">
        <v>337.39</v>
      </c>
      <c r="I17" s="289"/>
      <c r="J17" s="284">
        <v>4441.09</v>
      </c>
      <c r="K17" s="275">
        <v>4552.21</v>
      </c>
      <c r="L17" s="290">
        <v>111.12</v>
      </c>
      <c r="M17" s="291"/>
      <c r="N17" s="278">
        <v>4790.13</v>
      </c>
      <c r="O17" s="279">
        <v>4790.13</v>
      </c>
      <c r="P17" s="285">
        <v>4790.13</v>
      </c>
      <c r="Q17" s="286">
        <v>0</v>
      </c>
      <c r="R17" s="247"/>
      <c r="S17" s="275">
        <v>4790.13</v>
      </c>
      <c r="T17" s="250">
        <f>SUM(T12:T16)</f>
        <v>4830.999999999999</v>
      </c>
      <c r="U17" s="250">
        <f>SUM(U12:U16)</f>
        <v>40.87000000000016</v>
      </c>
      <c r="V17" s="251"/>
      <c r="W17" s="251">
        <f t="shared" si="0"/>
        <v>246</v>
      </c>
      <c r="X17" s="251"/>
      <c r="Y17" s="252">
        <f>SUM(Y11:Y16)</f>
        <v>-205.12999999999982</v>
      </c>
      <c r="Z17" s="294">
        <f>SUM(Z13:Z16)</f>
        <v>246</v>
      </c>
    </row>
    <row r="18" spans="1:25" ht="15">
      <c r="A18" s="4" t="s">
        <v>193</v>
      </c>
      <c r="C18" s="22"/>
      <c r="D18" s="22">
        <v>0</v>
      </c>
      <c r="E18" s="23"/>
      <c r="F18" s="23"/>
      <c r="G18" s="22"/>
      <c r="H18" s="24">
        <v>0</v>
      </c>
      <c r="I18" s="57"/>
      <c r="J18" s="64"/>
      <c r="K18" s="82"/>
      <c r="L18" s="83">
        <v>0</v>
      </c>
      <c r="M18" s="86"/>
      <c r="N18" s="176"/>
      <c r="O18" s="184"/>
      <c r="P18" s="125"/>
      <c r="Q18" s="164"/>
      <c r="R18" s="55"/>
      <c r="S18" s="69"/>
      <c r="T18" s="111"/>
      <c r="U18" s="23"/>
      <c r="V18"/>
      <c r="W18">
        <f t="shared" si="0"/>
        <v>0</v>
      </c>
      <c r="X18"/>
      <c r="Y18" s="226">
        <f t="shared" si="1"/>
        <v>0</v>
      </c>
    </row>
    <row r="19" spans="2:26" ht="15">
      <c r="B19" s="1" t="s">
        <v>157</v>
      </c>
      <c r="C19" s="22">
        <v>12788.6</v>
      </c>
      <c r="D19" s="22">
        <v>12881.6</v>
      </c>
      <c r="E19" s="23">
        <v>93</v>
      </c>
      <c r="F19" s="48" t="s">
        <v>54</v>
      </c>
      <c r="G19" s="52">
        <v>13180.68</v>
      </c>
      <c r="H19" s="24">
        <v>299.08</v>
      </c>
      <c r="I19" s="58" t="s">
        <v>74</v>
      </c>
      <c r="J19" s="68">
        <v>13180.68</v>
      </c>
      <c r="K19" s="82">
        <v>13180.68</v>
      </c>
      <c r="L19" s="83">
        <v>0</v>
      </c>
      <c r="M19" s="84"/>
      <c r="N19" s="175"/>
      <c r="O19" s="185">
        <v>13219.27</v>
      </c>
      <c r="P19" s="37">
        <v>13257.17</v>
      </c>
      <c r="Q19" s="165">
        <v>37.899999999999636</v>
      </c>
      <c r="R19" s="55" t="s">
        <v>208</v>
      </c>
      <c r="S19" s="68">
        <v>13271.57</v>
      </c>
      <c r="T19" s="212">
        <f>+W19</f>
        <v>12727</v>
      </c>
      <c r="U19" s="23">
        <f>+T19-S19</f>
        <v>-544.5699999999997</v>
      </c>
      <c r="V19">
        <v>141</v>
      </c>
      <c r="W19">
        <f t="shared" si="0"/>
        <v>12727</v>
      </c>
      <c r="X19">
        <f>12436+1</f>
        <v>12437</v>
      </c>
      <c r="Y19" s="226">
        <f t="shared" si="1"/>
        <v>-834.5699999999997</v>
      </c>
      <c r="Z19" s="218">
        <f>1+10+274+5</f>
        <v>290</v>
      </c>
    </row>
    <row r="20" spans="1:26" ht="15">
      <c r="A20" s="5"/>
      <c r="B20" s="5" t="s">
        <v>158</v>
      </c>
      <c r="C20" s="36">
        <v>9438</v>
      </c>
      <c r="D20" s="37">
        <v>9577</v>
      </c>
      <c r="E20" s="38">
        <v>139</v>
      </c>
      <c r="F20" s="38" t="s">
        <v>65</v>
      </c>
      <c r="G20" s="52">
        <v>9614.03</v>
      </c>
      <c r="H20" s="24">
        <v>37.030000000000655</v>
      </c>
      <c r="I20" s="55" t="s">
        <v>75</v>
      </c>
      <c r="J20" s="69">
        <v>9853</v>
      </c>
      <c r="K20" s="82">
        <v>10253</v>
      </c>
      <c r="L20" s="83">
        <v>400</v>
      </c>
      <c r="M20" s="84" t="s">
        <v>213</v>
      </c>
      <c r="N20" s="175"/>
      <c r="O20" s="185">
        <v>11532.64</v>
      </c>
      <c r="P20" s="37">
        <v>11532.64</v>
      </c>
      <c r="Q20" s="165">
        <v>0</v>
      </c>
      <c r="R20" s="55"/>
      <c r="S20" s="68">
        <v>11978.769</v>
      </c>
      <c r="T20" s="212">
        <f>+W20</f>
        <v>14580.5</v>
      </c>
      <c r="U20" s="23">
        <f>+T20-S20</f>
        <v>2601.7309999999998</v>
      </c>
      <c r="V20">
        <v>142</v>
      </c>
      <c r="W20">
        <f>+X20+Z20</f>
        <v>14580.5</v>
      </c>
      <c r="X20">
        <f>13954.5+2</f>
        <v>13956.5</v>
      </c>
      <c r="Y20" s="226">
        <f t="shared" si="1"/>
        <v>1977.7309999999998</v>
      </c>
      <c r="Z20" s="218">
        <f>409+33-30+88+9+33+81+1</f>
        <v>624</v>
      </c>
    </row>
    <row r="21" spans="2:25" ht="15">
      <c r="B21" s="1" t="s">
        <v>159</v>
      </c>
      <c r="C21" s="37">
        <v>121.2</v>
      </c>
      <c r="D21" s="37">
        <v>121.2</v>
      </c>
      <c r="E21" s="28"/>
      <c r="F21" s="28"/>
      <c r="G21" s="52">
        <v>120.42</v>
      </c>
      <c r="H21" s="24">
        <v>-0.7800000000000011</v>
      </c>
      <c r="I21" s="55"/>
      <c r="J21" s="65">
        <v>120.42</v>
      </c>
      <c r="K21" s="82">
        <v>120.42</v>
      </c>
      <c r="L21" s="83">
        <v>0</v>
      </c>
      <c r="M21" s="84"/>
      <c r="N21" s="175"/>
      <c r="O21" s="185">
        <v>85.96</v>
      </c>
      <c r="P21" s="37">
        <v>85.96</v>
      </c>
      <c r="Q21" s="165">
        <v>0</v>
      </c>
      <c r="R21" s="55"/>
      <c r="S21" s="68">
        <v>0</v>
      </c>
      <c r="T21" s="212">
        <f>+W21</f>
        <v>0</v>
      </c>
      <c r="U21" s="23">
        <f>+T21-S21</f>
        <v>0</v>
      </c>
      <c r="V21"/>
      <c r="W21">
        <f t="shared" si="0"/>
        <v>0</v>
      </c>
      <c r="X21"/>
      <c r="Y21" s="226">
        <f t="shared" si="1"/>
        <v>0</v>
      </c>
    </row>
    <row r="22" spans="2:27" ht="20.25" thickBot="1">
      <c r="B22" s="4" t="s">
        <v>160</v>
      </c>
      <c r="C22" s="39">
        <v>2707.3</v>
      </c>
      <c r="D22" s="39">
        <v>3214.3</v>
      </c>
      <c r="E22" s="30">
        <v>507</v>
      </c>
      <c r="F22" s="47" t="s">
        <v>55</v>
      </c>
      <c r="G22" s="53">
        <v>3285.22</v>
      </c>
      <c r="H22" s="40">
        <v>70.91999999999962</v>
      </c>
      <c r="I22" s="55"/>
      <c r="J22" s="66">
        <v>3285.22</v>
      </c>
      <c r="K22" s="82">
        <v>3285.22</v>
      </c>
      <c r="L22" s="83">
        <v>0</v>
      </c>
      <c r="M22" s="84"/>
      <c r="N22" s="175"/>
      <c r="O22" s="185">
        <v>3255.17</v>
      </c>
      <c r="P22" s="82">
        <v>3255.17</v>
      </c>
      <c r="Q22" s="167">
        <v>0</v>
      </c>
      <c r="R22" s="55"/>
      <c r="S22" s="68">
        <v>3863.201</v>
      </c>
      <c r="T22" s="212">
        <f>+W22</f>
        <v>4048.4</v>
      </c>
      <c r="U22" s="215">
        <f>+T22-S22</f>
        <v>185.19900000000007</v>
      </c>
      <c r="V22">
        <v>144</v>
      </c>
      <c r="W22">
        <f t="shared" si="0"/>
        <v>4048.4</v>
      </c>
      <c r="X22">
        <f>3917.4+1</f>
        <v>3918.4</v>
      </c>
      <c r="Y22" s="226">
        <f t="shared" si="1"/>
        <v>55.19900000000007</v>
      </c>
      <c r="Z22" s="218">
        <f>23-3+48+62</f>
        <v>130</v>
      </c>
      <c r="AA22" s="1">
        <f>SUM(Z19:Z22)</f>
        <v>1044</v>
      </c>
    </row>
    <row r="23" spans="2:26" ht="13.5" thickBot="1">
      <c r="B23" s="269" t="s">
        <v>76</v>
      </c>
      <c r="C23" s="282">
        <v>25055.1</v>
      </c>
      <c r="D23" s="282">
        <v>25794.1</v>
      </c>
      <c r="E23" s="283">
        <v>739</v>
      </c>
      <c r="F23" s="288"/>
      <c r="G23" s="282">
        <v>26200.35</v>
      </c>
      <c r="H23" s="283">
        <v>406.25</v>
      </c>
      <c r="I23" s="247"/>
      <c r="J23" s="284">
        <v>26439.32</v>
      </c>
      <c r="K23" s="275">
        <v>26839.32</v>
      </c>
      <c r="L23" s="276">
        <v>400</v>
      </c>
      <c r="M23" s="277"/>
      <c r="N23" s="278">
        <v>27868.3</v>
      </c>
      <c r="O23" s="279">
        <v>28093.04</v>
      </c>
      <c r="P23" s="285">
        <v>28130.94</v>
      </c>
      <c r="Q23" s="286">
        <v>37.899999999999636</v>
      </c>
      <c r="R23" s="247"/>
      <c r="S23" s="275">
        <v>29113.54</v>
      </c>
      <c r="T23" s="276">
        <f>SUM(T19:T22)</f>
        <v>31355.9</v>
      </c>
      <c r="U23" s="276">
        <f>SUM(U19:U22)</f>
        <v>2242.36</v>
      </c>
      <c r="V23" s="251"/>
      <c r="W23" s="251">
        <f t="shared" si="0"/>
        <v>1044</v>
      </c>
      <c r="X23" s="251"/>
      <c r="Y23" s="252">
        <f>SUM(Y18:Y22)</f>
        <v>1198.3600000000001</v>
      </c>
      <c r="Z23" s="294">
        <f>SUM(Z19:Z22)</f>
        <v>1044</v>
      </c>
    </row>
    <row r="24" spans="1:25" ht="15">
      <c r="A24" s="4" t="s">
        <v>194</v>
      </c>
      <c r="C24" s="22"/>
      <c r="D24" s="22">
        <v>0</v>
      </c>
      <c r="E24" s="23"/>
      <c r="F24" s="23"/>
      <c r="G24" s="22"/>
      <c r="H24" s="24">
        <v>0</v>
      </c>
      <c r="I24" s="55"/>
      <c r="J24" s="64"/>
      <c r="K24" s="82"/>
      <c r="L24" s="83">
        <v>0</v>
      </c>
      <c r="M24" s="84"/>
      <c r="N24" s="176"/>
      <c r="O24" s="184"/>
      <c r="P24" s="125"/>
      <c r="Q24" s="164"/>
      <c r="R24" s="55"/>
      <c r="S24" s="69"/>
      <c r="T24" s="111"/>
      <c r="U24" s="108"/>
      <c r="V24"/>
      <c r="W24">
        <f t="shared" si="0"/>
        <v>0</v>
      </c>
      <c r="X24"/>
      <c r="Y24" s="226">
        <f t="shared" si="1"/>
        <v>0</v>
      </c>
    </row>
    <row r="25" spans="2:27" ht="15">
      <c r="B25" s="1" t="s">
        <v>161</v>
      </c>
      <c r="C25" s="22">
        <v>1447.8</v>
      </c>
      <c r="D25" s="22">
        <v>1447.8</v>
      </c>
      <c r="E25" s="23"/>
      <c r="F25" s="23"/>
      <c r="G25" s="22">
        <v>1380.71</v>
      </c>
      <c r="H25" s="24">
        <v>-67.08999999999992</v>
      </c>
      <c r="I25" s="55" t="s">
        <v>58</v>
      </c>
      <c r="J25" s="64">
        <v>1380.71</v>
      </c>
      <c r="K25" s="82">
        <v>1380.71</v>
      </c>
      <c r="L25" s="83">
        <v>0</v>
      </c>
      <c r="M25" s="84"/>
      <c r="N25" s="177">
        <v>1412.96</v>
      </c>
      <c r="O25" s="186">
        <v>1412.96</v>
      </c>
      <c r="P25" s="34">
        <v>1412.96</v>
      </c>
      <c r="Q25" s="165">
        <v>0</v>
      </c>
      <c r="R25" s="55"/>
      <c r="S25" s="229">
        <v>1412.96</v>
      </c>
      <c r="T25" s="230">
        <f>+W25</f>
        <v>1386.2</v>
      </c>
      <c r="U25" s="42">
        <f>+T25-S25</f>
        <v>-26.75999999999999</v>
      </c>
      <c r="V25" s="231">
        <v>151</v>
      </c>
      <c r="W25" s="231">
        <f t="shared" si="0"/>
        <v>1386.2</v>
      </c>
      <c r="X25" s="231">
        <f>1387.2</f>
        <v>1387.2</v>
      </c>
      <c r="Y25" s="228">
        <f t="shared" si="1"/>
        <v>-25.75999999999999</v>
      </c>
      <c r="Z25" s="219">
        <v>-1</v>
      </c>
      <c r="AA25" s="4"/>
    </row>
    <row r="26" spans="1:25" ht="15">
      <c r="A26" s="4" t="s">
        <v>195</v>
      </c>
      <c r="C26" s="22"/>
      <c r="D26" s="22">
        <v>0</v>
      </c>
      <c r="E26" s="23"/>
      <c r="F26" s="23"/>
      <c r="G26" s="22"/>
      <c r="H26" s="24">
        <v>0</v>
      </c>
      <c r="I26" s="55"/>
      <c r="J26" s="64"/>
      <c r="K26" s="82">
        <v>0</v>
      </c>
      <c r="L26" s="83">
        <v>0</v>
      </c>
      <c r="M26" s="84"/>
      <c r="N26" s="176"/>
      <c r="O26" s="184"/>
      <c r="P26" s="125"/>
      <c r="Q26" s="165">
        <v>0</v>
      </c>
      <c r="R26" s="55"/>
      <c r="S26" s="69"/>
      <c r="T26" s="111"/>
      <c r="U26" s="108"/>
      <c r="V26"/>
      <c r="W26">
        <f t="shared" si="0"/>
        <v>0</v>
      </c>
      <c r="X26"/>
      <c r="Y26" s="226">
        <f t="shared" si="1"/>
        <v>0</v>
      </c>
    </row>
    <row r="27" spans="2:25" ht="15">
      <c r="B27" s="1" t="s">
        <v>162</v>
      </c>
      <c r="C27" s="22">
        <v>337.5</v>
      </c>
      <c r="D27" s="22">
        <v>337.5</v>
      </c>
      <c r="E27" s="23"/>
      <c r="F27" s="23"/>
      <c r="G27" s="22">
        <v>338.11</v>
      </c>
      <c r="H27" s="24">
        <v>0.6100000000000136</v>
      </c>
      <c r="I27" s="55"/>
      <c r="J27" s="64">
        <v>338.11</v>
      </c>
      <c r="K27" s="82">
        <v>338.11</v>
      </c>
      <c r="L27" s="83">
        <v>0</v>
      </c>
      <c r="M27" s="84"/>
      <c r="N27" s="175"/>
      <c r="O27" s="185">
        <v>372.04</v>
      </c>
      <c r="P27" s="37">
        <v>372.04</v>
      </c>
      <c r="Q27" s="165">
        <v>0</v>
      </c>
      <c r="R27" s="55"/>
      <c r="S27" s="68">
        <v>372.04</v>
      </c>
      <c r="T27" s="212">
        <f>+W27</f>
        <v>368.5</v>
      </c>
      <c r="U27" s="23">
        <f>+T27-S27</f>
        <v>-3.5400000000000205</v>
      </c>
      <c r="V27">
        <v>161</v>
      </c>
      <c r="W27">
        <f t="shared" si="0"/>
        <v>368.5</v>
      </c>
      <c r="X27">
        <v>368.5</v>
      </c>
      <c r="Y27" s="226">
        <f t="shared" si="1"/>
        <v>-3.5400000000000205</v>
      </c>
    </row>
    <row r="28" spans="2:25" ht="15">
      <c r="B28" s="1" t="s">
        <v>163</v>
      </c>
      <c r="C28" s="22">
        <v>621.3</v>
      </c>
      <c r="D28" s="22">
        <v>621.3</v>
      </c>
      <c r="E28" s="23"/>
      <c r="F28" s="23"/>
      <c r="G28" s="22">
        <v>619.03</v>
      </c>
      <c r="H28" s="24">
        <v>-2.269999999999982</v>
      </c>
      <c r="I28" s="55"/>
      <c r="J28" s="64">
        <v>619.03</v>
      </c>
      <c r="K28" s="82">
        <v>619.03</v>
      </c>
      <c r="L28" s="83">
        <v>0</v>
      </c>
      <c r="M28" s="84"/>
      <c r="N28" s="175"/>
      <c r="O28" s="185">
        <v>681.64</v>
      </c>
      <c r="P28" s="37">
        <v>681.64</v>
      </c>
      <c r="Q28" s="165">
        <v>0</v>
      </c>
      <c r="R28" s="55"/>
      <c r="S28" s="68">
        <v>681.64</v>
      </c>
      <c r="T28" s="212">
        <f>+W28</f>
        <v>681</v>
      </c>
      <c r="U28" s="23">
        <f>+T28-S28</f>
        <v>-0.6399999999999864</v>
      </c>
      <c r="V28">
        <v>162</v>
      </c>
      <c r="W28">
        <f t="shared" si="0"/>
        <v>681</v>
      </c>
      <c r="X28">
        <v>681</v>
      </c>
      <c r="Y28" s="226">
        <f t="shared" si="1"/>
        <v>-0.6399999999999864</v>
      </c>
    </row>
    <row r="29" spans="2:25" ht="20.25" thickBot="1">
      <c r="B29" s="1" t="s">
        <v>164</v>
      </c>
      <c r="C29" s="29">
        <v>78.1</v>
      </c>
      <c r="D29" s="29">
        <v>78.1</v>
      </c>
      <c r="E29" s="35"/>
      <c r="F29" s="35"/>
      <c r="G29" s="29">
        <v>78.86</v>
      </c>
      <c r="H29" s="31">
        <v>0.7600000000000051</v>
      </c>
      <c r="I29" s="55"/>
      <c r="J29" s="70">
        <v>78.86</v>
      </c>
      <c r="K29" s="82">
        <v>78.86</v>
      </c>
      <c r="L29" s="83">
        <v>0</v>
      </c>
      <c r="M29" s="84"/>
      <c r="N29" s="175"/>
      <c r="O29" s="185">
        <v>86.3</v>
      </c>
      <c r="P29" s="82">
        <v>86.3</v>
      </c>
      <c r="Q29" s="167">
        <v>0</v>
      </c>
      <c r="R29" s="55"/>
      <c r="S29" s="68">
        <v>86.3</v>
      </c>
      <c r="T29" s="212">
        <f>+W29</f>
        <v>85.5</v>
      </c>
      <c r="U29" s="35">
        <f>+T29-S29</f>
        <v>-0.7999999999999972</v>
      </c>
      <c r="V29">
        <v>163</v>
      </c>
      <c r="W29">
        <f t="shared" si="0"/>
        <v>85.5</v>
      </c>
      <c r="X29">
        <v>85.5</v>
      </c>
      <c r="Y29" s="226">
        <f t="shared" si="1"/>
        <v>-0.7999999999999972</v>
      </c>
    </row>
    <row r="30" spans="2:26" ht="13.5" thickBot="1">
      <c r="B30" s="269" t="s">
        <v>76</v>
      </c>
      <c r="C30" s="282">
        <v>1036.9</v>
      </c>
      <c r="D30" s="282">
        <v>1036.9</v>
      </c>
      <c r="E30" s="250"/>
      <c r="F30" s="250"/>
      <c r="G30" s="282">
        <v>1036</v>
      </c>
      <c r="H30" s="287">
        <v>-0.899999999999963</v>
      </c>
      <c r="I30" s="247"/>
      <c r="J30" s="284">
        <v>1036</v>
      </c>
      <c r="K30" s="275">
        <v>1036</v>
      </c>
      <c r="L30" s="276">
        <v>0</v>
      </c>
      <c r="M30" s="277"/>
      <c r="N30" s="278">
        <v>1139.98</v>
      </c>
      <c r="O30" s="279">
        <v>1139.98</v>
      </c>
      <c r="P30" s="285">
        <v>1139.98</v>
      </c>
      <c r="Q30" s="286">
        <v>0</v>
      </c>
      <c r="R30" s="247"/>
      <c r="S30" s="275">
        <v>1139.98</v>
      </c>
      <c r="T30" s="276">
        <f>SUM(T27:T29)</f>
        <v>1135</v>
      </c>
      <c r="U30" s="276">
        <f>SUM(U27:U29)</f>
        <v>-4.980000000000004</v>
      </c>
      <c r="V30" s="251"/>
      <c r="W30" s="251">
        <f t="shared" si="0"/>
        <v>-1</v>
      </c>
      <c r="X30" s="251"/>
      <c r="Y30" s="252">
        <f>SUM(Y26:Y29)</f>
        <v>-4.980000000000004</v>
      </c>
      <c r="Z30" s="294">
        <f>SUM(Z25:Z29)</f>
        <v>-1</v>
      </c>
    </row>
    <row r="31" spans="1:25" ht="15">
      <c r="A31" s="4" t="s">
        <v>196</v>
      </c>
      <c r="C31" s="22"/>
      <c r="D31" s="22">
        <v>0</v>
      </c>
      <c r="E31" s="23"/>
      <c r="F31" s="23"/>
      <c r="G31" s="22"/>
      <c r="H31" s="24">
        <v>0</v>
      </c>
      <c r="I31" s="55"/>
      <c r="J31" s="64"/>
      <c r="K31" s="82"/>
      <c r="L31" s="83">
        <v>0</v>
      </c>
      <c r="M31" s="84"/>
      <c r="N31" s="176"/>
      <c r="O31" s="184"/>
      <c r="P31" s="125"/>
      <c r="Q31" s="164"/>
      <c r="R31" s="55"/>
      <c r="S31" s="69"/>
      <c r="T31" s="111"/>
      <c r="U31" s="108"/>
      <c r="V31"/>
      <c r="W31">
        <f t="shared" si="0"/>
        <v>0</v>
      </c>
      <c r="X31"/>
      <c r="Y31" s="226">
        <f t="shared" si="1"/>
        <v>0</v>
      </c>
    </row>
    <row r="32" spans="2:26" ht="15">
      <c r="B32" s="1" t="s">
        <v>165</v>
      </c>
      <c r="C32" s="22">
        <v>862.9</v>
      </c>
      <c r="D32" s="22">
        <v>862.9</v>
      </c>
      <c r="E32" s="23"/>
      <c r="F32" s="23"/>
      <c r="G32" s="22">
        <v>877.69</v>
      </c>
      <c r="H32" s="24">
        <v>14.790000000000077</v>
      </c>
      <c r="I32" s="55"/>
      <c r="J32" s="64">
        <v>877.69</v>
      </c>
      <c r="K32" s="82">
        <v>877.69</v>
      </c>
      <c r="L32" s="83">
        <v>0</v>
      </c>
      <c r="M32" s="84"/>
      <c r="N32" s="175"/>
      <c r="O32" s="185">
        <v>934.01</v>
      </c>
      <c r="P32" s="37">
        <v>934.01</v>
      </c>
      <c r="Q32" s="165">
        <v>0</v>
      </c>
      <c r="R32" s="55"/>
      <c r="S32" s="68">
        <v>934.01</v>
      </c>
      <c r="T32" s="212">
        <f>+W32</f>
        <v>1105.2</v>
      </c>
      <c r="U32" s="23">
        <f>+T32-S32</f>
        <v>171.19000000000005</v>
      </c>
      <c r="V32">
        <v>171</v>
      </c>
      <c r="W32">
        <f t="shared" si="0"/>
        <v>1105.2</v>
      </c>
      <c r="X32">
        <v>927.2</v>
      </c>
      <c r="Y32" s="226">
        <f t="shared" si="1"/>
        <v>-6.809999999999945</v>
      </c>
      <c r="Z32" s="218">
        <v>178</v>
      </c>
    </row>
    <row r="33" spans="2:25" ht="16.5">
      <c r="B33" s="1" t="s">
        <v>166</v>
      </c>
      <c r="C33" s="29">
        <v>438.2</v>
      </c>
      <c r="D33" s="29">
        <v>438.2</v>
      </c>
      <c r="E33" s="35"/>
      <c r="F33" s="35"/>
      <c r="G33" s="29">
        <v>443.45</v>
      </c>
      <c r="H33" s="31">
        <v>5.25</v>
      </c>
      <c r="I33" s="55"/>
      <c r="J33" s="70">
        <v>443.45</v>
      </c>
      <c r="K33" s="82">
        <v>443.45</v>
      </c>
      <c r="L33" s="83">
        <v>0</v>
      </c>
      <c r="M33" s="84"/>
      <c r="N33" s="175"/>
      <c r="O33" s="185">
        <v>426.93</v>
      </c>
      <c r="P33" s="37">
        <v>426.93</v>
      </c>
      <c r="Q33" s="165">
        <v>0</v>
      </c>
      <c r="R33" s="55"/>
      <c r="S33" s="68">
        <v>426.93</v>
      </c>
      <c r="T33" s="212">
        <f>+W33</f>
        <v>427.7</v>
      </c>
      <c r="U33" s="23">
        <f>+T33-S33</f>
        <v>0.7699999999999818</v>
      </c>
      <c r="V33">
        <v>172</v>
      </c>
      <c r="W33">
        <f t="shared" si="0"/>
        <v>427.7</v>
      </c>
      <c r="X33">
        <v>427.7</v>
      </c>
      <c r="Y33" s="226">
        <f t="shared" si="1"/>
        <v>0.7699999999999818</v>
      </c>
    </row>
    <row r="34" spans="2:25" ht="20.25" thickBot="1">
      <c r="B34" s="1" t="s">
        <v>93</v>
      </c>
      <c r="C34" s="29"/>
      <c r="D34" s="29"/>
      <c r="E34" s="35"/>
      <c r="F34" s="35"/>
      <c r="G34" s="29"/>
      <c r="H34" s="31"/>
      <c r="I34" s="55"/>
      <c r="J34" s="70"/>
      <c r="K34" s="82">
        <v>0</v>
      </c>
      <c r="L34" s="83"/>
      <c r="M34" s="84"/>
      <c r="N34" s="175"/>
      <c r="O34" s="185"/>
      <c r="P34" s="82">
        <v>0</v>
      </c>
      <c r="Q34" s="167">
        <v>0</v>
      </c>
      <c r="R34" s="55"/>
      <c r="S34" s="68">
        <v>0</v>
      </c>
      <c r="T34" s="212">
        <f>+W34</f>
        <v>0</v>
      </c>
      <c r="U34" s="35">
        <f>+T34-S34</f>
        <v>0</v>
      </c>
      <c r="V34"/>
      <c r="W34">
        <f t="shared" si="0"/>
        <v>0</v>
      </c>
      <c r="X34"/>
      <c r="Y34" s="226">
        <f t="shared" si="1"/>
        <v>0</v>
      </c>
    </row>
    <row r="35" spans="2:26" ht="13.5" thickBot="1">
      <c r="B35" s="269" t="s">
        <v>76</v>
      </c>
      <c r="C35" s="282">
        <v>1301.1</v>
      </c>
      <c r="D35" s="282">
        <v>1301.1</v>
      </c>
      <c r="E35" s="250"/>
      <c r="F35" s="250"/>
      <c r="G35" s="282">
        <v>1321.14</v>
      </c>
      <c r="H35" s="287">
        <v>20.040000000000077</v>
      </c>
      <c r="I35" s="247"/>
      <c r="J35" s="284">
        <v>1321.14</v>
      </c>
      <c r="K35" s="275">
        <v>1321.14</v>
      </c>
      <c r="L35" s="276">
        <v>0</v>
      </c>
      <c r="M35" s="277"/>
      <c r="N35" s="278">
        <v>1360.94</v>
      </c>
      <c r="O35" s="279">
        <v>1360.94</v>
      </c>
      <c r="P35" s="285">
        <v>1360.94</v>
      </c>
      <c r="Q35" s="286">
        <v>0</v>
      </c>
      <c r="R35" s="247"/>
      <c r="S35" s="275">
        <v>1360.94</v>
      </c>
      <c r="T35" s="276">
        <f>SUM(T32:T34)</f>
        <v>1532.9</v>
      </c>
      <c r="U35" s="276">
        <f>SUM(U32:U34)</f>
        <v>171.96000000000004</v>
      </c>
      <c r="V35" s="251"/>
      <c r="W35" s="251">
        <f t="shared" si="0"/>
        <v>178</v>
      </c>
      <c r="X35" s="251"/>
      <c r="Y35" s="252">
        <f>SUM(Y32:Y34)</f>
        <v>-6.039999999999964</v>
      </c>
      <c r="Z35" s="294">
        <f>SUM(Z32:Z34)</f>
        <v>178</v>
      </c>
    </row>
    <row r="36" spans="1:25" ht="15">
      <c r="A36" s="4" t="s">
        <v>197</v>
      </c>
      <c r="C36" s="22"/>
      <c r="D36" s="22">
        <v>0</v>
      </c>
      <c r="E36" s="23"/>
      <c r="F36" s="23"/>
      <c r="G36" s="22"/>
      <c r="H36" s="24">
        <v>0</v>
      </c>
      <c r="I36" s="57"/>
      <c r="J36" s="64"/>
      <c r="K36" s="82"/>
      <c r="L36" s="83">
        <v>0</v>
      </c>
      <c r="M36" s="86"/>
      <c r="N36" s="175"/>
      <c r="O36" s="185"/>
      <c r="P36" s="82"/>
      <c r="Q36" s="165"/>
      <c r="R36" s="55"/>
      <c r="S36" s="69"/>
      <c r="T36" s="111"/>
      <c r="U36" s="108"/>
      <c r="V36"/>
      <c r="W36">
        <f t="shared" si="0"/>
        <v>0</v>
      </c>
      <c r="X36"/>
      <c r="Y36" s="226">
        <f t="shared" si="1"/>
        <v>0</v>
      </c>
    </row>
    <row r="37" spans="2:26" ht="15">
      <c r="B37" s="1" t="s">
        <v>167</v>
      </c>
      <c r="C37" s="22">
        <v>1379.3</v>
      </c>
      <c r="D37" s="22">
        <v>1379.3</v>
      </c>
      <c r="E37" s="23"/>
      <c r="F37" s="23"/>
      <c r="G37" s="22">
        <v>1014.4</v>
      </c>
      <c r="H37" s="24">
        <v>-364.9</v>
      </c>
      <c r="I37" s="57" t="s">
        <v>71</v>
      </c>
      <c r="J37" s="64">
        <v>1014.4</v>
      </c>
      <c r="K37" s="82">
        <v>1014.4</v>
      </c>
      <c r="L37" s="83">
        <v>0</v>
      </c>
      <c r="M37" s="86"/>
      <c r="N37" s="175"/>
      <c r="O37" s="185">
        <v>1505.26</v>
      </c>
      <c r="P37" s="37">
        <v>1505.26</v>
      </c>
      <c r="Q37" s="165">
        <v>0</v>
      </c>
      <c r="R37" s="55"/>
      <c r="S37" s="68">
        <v>1505.26</v>
      </c>
      <c r="T37" s="212">
        <f aca="true" t="shared" si="2" ref="T37:T43">+W37</f>
        <v>1545.8</v>
      </c>
      <c r="U37" s="23">
        <f aca="true" t="shared" si="3" ref="U37:U43">+T37-S37</f>
        <v>40.539999999999964</v>
      </c>
      <c r="V37">
        <v>181</v>
      </c>
      <c r="W37">
        <f t="shared" si="0"/>
        <v>1545.8</v>
      </c>
      <c r="X37">
        <v>1488.8</v>
      </c>
      <c r="Y37" s="226">
        <f t="shared" si="1"/>
        <v>-16.460000000000036</v>
      </c>
      <c r="Z37" s="218">
        <v>57</v>
      </c>
    </row>
    <row r="38" spans="2:25" ht="15">
      <c r="B38" s="1" t="s">
        <v>168</v>
      </c>
      <c r="C38" s="22">
        <v>92.9</v>
      </c>
      <c r="D38" s="22">
        <v>92.9</v>
      </c>
      <c r="E38" s="23"/>
      <c r="F38" s="23"/>
      <c r="G38" s="22">
        <v>1E-05</v>
      </c>
      <c r="H38" s="24">
        <v>-92.89999</v>
      </c>
      <c r="I38" s="55" t="s">
        <v>68</v>
      </c>
      <c r="J38" s="64">
        <v>1E-05</v>
      </c>
      <c r="K38" s="82">
        <v>1E-05</v>
      </c>
      <c r="L38" s="83">
        <v>0</v>
      </c>
      <c r="M38" s="84"/>
      <c r="N38" s="175"/>
      <c r="O38" s="185"/>
      <c r="P38" s="37">
        <v>0</v>
      </c>
      <c r="Q38" s="165">
        <v>0</v>
      </c>
      <c r="R38" s="55"/>
      <c r="S38" s="68">
        <v>0</v>
      </c>
      <c r="T38" s="212">
        <f t="shared" si="2"/>
        <v>70.3</v>
      </c>
      <c r="U38" s="23">
        <f t="shared" si="3"/>
        <v>70.3</v>
      </c>
      <c r="V38">
        <v>182</v>
      </c>
      <c r="W38">
        <f t="shared" si="0"/>
        <v>70.3</v>
      </c>
      <c r="X38">
        <v>70.3</v>
      </c>
      <c r="Y38" s="226">
        <f t="shared" si="1"/>
        <v>70.3</v>
      </c>
    </row>
    <row r="39" spans="2:25" ht="15">
      <c r="B39" s="1" t="s">
        <v>169</v>
      </c>
      <c r="C39" s="22">
        <v>77.4</v>
      </c>
      <c r="D39" s="22">
        <v>77.4</v>
      </c>
      <c r="E39" s="23"/>
      <c r="F39" s="23"/>
      <c r="G39" s="52">
        <v>79.12</v>
      </c>
      <c r="H39" s="24">
        <v>1.72</v>
      </c>
      <c r="I39" s="55"/>
      <c r="J39" s="65">
        <v>79.12</v>
      </c>
      <c r="K39" s="82">
        <v>79.12</v>
      </c>
      <c r="L39" s="83">
        <v>0</v>
      </c>
      <c r="M39" s="84"/>
      <c r="N39" s="175"/>
      <c r="O39" s="185"/>
      <c r="P39" s="37">
        <v>0</v>
      </c>
      <c r="Q39" s="165">
        <v>0</v>
      </c>
      <c r="R39" s="55"/>
      <c r="S39" s="68">
        <v>0</v>
      </c>
      <c r="T39" s="212">
        <f t="shared" si="2"/>
        <v>0</v>
      </c>
      <c r="U39" s="23">
        <f t="shared" si="3"/>
        <v>0</v>
      </c>
      <c r="W39">
        <f t="shared" si="0"/>
        <v>0</v>
      </c>
      <c r="Y39" s="226">
        <f t="shared" si="1"/>
        <v>0</v>
      </c>
    </row>
    <row r="40" spans="2:25" ht="15">
      <c r="B40" s="1" t="s">
        <v>170</v>
      </c>
      <c r="C40" s="22">
        <v>326.3</v>
      </c>
      <c r="D40" s="22">
        <v>326.3</v>
      </c>
      <c r="E40" s="23"/>
      <c r="F40" s="23"/>
      <c r="G40" s="52">
        <v>530.14</v>
      </c>
      <c r="H40" s="24">
        <v>203.84</v>
      </c>
      <c r="I40" s="58" t="s">
        <v>69</v>
      </c>
      <c r="J40" s="65">
        <v>530.14</v>
      </c>
      <c r="K40" s="82">
        <v>530.14</v>
      </c>
      <c r="L40" s="83">
        <v>0</v>
      </c>
      <c r="M40" s="87"/>
      <c r="N40" s="175"/>
      <c r="O40" s="185"/>
      <c r="P40" s="37">
        <v>0</v>
      </c>
      <c r="Q40" s="165">
        <v>0</v>
      </c>
      <c r="R40" s="55"/>
      <c r="S40" s="68">
        <v>0</v>
      </c>
      <c r="T40" s="212">
        <f t="shared" si="2"/>
        <v>0</v>
      </c>
      <c r="U40" s="23">
        <f t="shared" si="3"/>
        <v>0</v>
      </c>
      <c r="W40">
        <f t="shared" si="0"/>
        <v>0</v>
      </c>
      <c r="Y40" s="226">
        <f t="shared" si="1"/>
        <v>0</v>
      </c>
    </row>
    <row r="41" spans="2:25" ht="15">
      <c r="B41" s="1" t="s">
        <v>171</v>
      </c>
      <c r="C41" s="22">
        <v>1509.4</v>
      </c>
      <c r="D41" s="22">
        <v>1509.4</v>
      </c>
      <c r="E41" s="23"/>
      <c r="F41" s="23"/>
      <c r="G41" s="52">
        <v>1818.56</v>
      </c>
      <c r="H41" s="24">
        <v>309.16</v>
      </c>
      <c r="I41" s="58" t="s">
        <v>70</v>
      </c>
      <c r="J41" s="65">
        <v>1818.56</v>
      </c>
      <c r="K41" s="82">
        <v>1818.56</v>
      </c>
      <c r="L41" s="83">
        <v>0</v>
      </c>
      <c r="M41" s="87"/>
      <c r="N41" s="175"/>
      <c r="O41" s="185">
        <v>2203.28</v>
      </c>
      <c r="P41" s="37">
        <v>2203.28</v>
      </c>
      <c r="Q41" s="165">
        <v>0</v>
      </c>
      <c r="R41" s="55"/>
      <c r="S41" s="68">
        <v>2203.28</v>
      </c>
      <c r="T41" s="212">
        <f t="shared" si="2"/>
        <v>2063.2</v>
      </c>
      <c r="U41" s="23">
        <f t="shared" si="3"/>
        <v>-140.08000000000038</v>
      </c>
      <c r="V41">
        <v>185</v>
      </c>
      <c r="W41">
        <f t="shared" si="0"/>
        <v>2063.2</v>
      </c>
      <c r="X41">
        <f>2062.2+1</f>
        <v>2063.2</v>
      </c>
      <c r="Y41" s="226">
        <f t="shared" si="1"/>
        <v>-140.08000000000038</v>
      </c>
    </row>
    <row r="42" spans="2:26" ht="15">
      <c r="B42" s="1" t="s">
        <v>172</v>
      </c>
      <c r="C42" s="22">
        <v>1217.2</v>
      </c>
      <c r="D42" s="22">
        <v>1217.2</v>
      </c>
      <c r="E42" s="23"/>
      <c r="F42" s="23"/>
      <c r="G42" s="52">
        <v>1200.04</v>
      </c>
      <c r="H42" s="24">
        <v>-17.160000000000082</v>
      </c>
      <c r="I42" s="55"/>
      <c r="J42" s="65">
        <v>1200.04</v>
      </c>
      <c r="K42" s="82">
        <v>1200.04</v>
      </c>
      <c r="L42" s="83">
        <v>0</v>
      </c>
      <c r="M42" s="84"/>
      <c r="N42" s="175"/>
      <c r="O42" s="185">
        <v>1219.66</v>
      </c>
      <c r="P42" s="37">
        <v>1219.66</v>
      </c>
      <c r="Q42" s="165">
        <v>0</v>
      </c>
      <c r="R42" s="55"/>
      <c r="S42" s="68">
        <v>1219.66</v>
      </c>
      <c r="T42" s="212">
        <f t="shared" si="2"/>
        <v>1051.1</v>
      </c>
      <c r="U42" s="23">
        <f t="shared" si="3"/>
        <v>-168.56000000000017</v>
      </c>
      <c r="V42">
        <v>186</v>
      </c>
      <c r="W42">
        <f t="shared" si="0"/>
        <v>1051.1</v>
      </c>
      <c r="X42">
        <f>1198.1+1</f>
        <v>1199.1</v>
      </c>
      <c r="Y42" s="226">
        <f t="shared" si="1"/>
        <v>-20.560000000000173</v>
      </c>
      <c r="Z42" s="218">
        <v>-148</v>
      </c>
    </row>
    <row r="43" spans="2:27" ht="20.25" thickBot="1">
      <c r="B43" s="1" t="s">
        <v>173</v>
      </c>
      <c r="C43" s="29">
        <v>463.2</v>
      </c>
      <c r="D43" s="29">
        <v>463.2</v>
      </c>
      <c r="E43" s="35"/>
      <c r="F43" s="35"/>
      <c r="G43" s="53">
        <v>475.83</v>
      </c>
      <c r="H43" s="31">
        <v>12.63</v>
      </c>
      <c r="I43" s="55"/>
      <c r="J43" s="66">
        <v>475.83</v>
      </c>
      <c r="K43" s="82">
        <v>475.83</v>
      </c>
      <c r="L43" s="83">
        <v>0</v>
      </c>
      <c r="M43" s="84"/>
      <c r="N43" s="175"/>
      <c r="O43" s="185">
        <v>501.77</v>
      </c>
      <c r="P43" s="82">
        <v>501.77</v>
      </c>
      <c r="Q43" s="167">
        <v>0</v>
      </c>
      <c r="R43" s="55"/>
      <c r="S43" s="68">
        <v>501.77</v>
      </c>
      <c r="T43" s="212">
        <f t="shared" si="2"/>
        <v>550.4</v>
      </c>
      <c r="U43" s="35">
        <f t="shared" si="3"/>
        <v>48.629999999999995</v>
      </c>
      <c r="V43">
        <v>187</v>
      </c>
      <c r="W43">
        <f t="shared" si="0"/>
        <v>550.4</v>
      </c>
      <c r="X43">
        <v>482.4</v>
      </c>
      <c r="Y43" s="226">
        <f t="shared" si="1"/>
        <v>-19.370000000000005</v>
      </c>
      <c r="Z43" s="218">
        <v>68</v>
      </c>
      <c r="AA43" s="1">
        <f>SUM(Z37:Z43)</f>
        <v>-23</v>
      </c>
    </row>
    <row r="44" spans="2:26" ht="13.5" thickBot="1">
      <c r="B44" s="269" t="s">
        <v>76</v>
      </c>
      <c r="C44" s="282">
        <v>5065.7</v>
      </c>
      <c r="D44" s="282">
        <v>5065.7</v>
      </c>
      <c r="E44" s="250"/>
      <c r="F44" s="250"/>
      <c r="G44" s="282">
        <v>5118.09001</v>
      </c>
      <c r="H44" s="283">
        <v>52.39000999999979</v>
      </c>
      <c r="I44" s="247"/>
      <c r="J44" s="284">
        <v>5118.09001</v>
      </c>
      <c r="K44" s="275">
        <v>5118.09001</v>
      </c>
      <c r="L44" s="276">
        <v>0</v>
      </c>
      <c r="M44" s="277"/>
      <c r="N44" s="278">
        <v>5429.97</v>
      </c>
      <c r="O44" s="279">
        <v>5429.97</v>
      </c>
      <c r="P44" s="285">
        <v>5429.97</v>
      </c>
      <c r="Q44" s="286">
        <v>0</v>
      </c>
      <c r="R44" s="247"/>
      <c r="S44" s="275">
        <v>5429.97</v>
      </c>
      <c r="T44" s="276">
        <f>SUM(T37:T43)</f>
        <v>5280.799999999999</v>
      </c>
      <c r="U44" s="276">
        <f>SUM(U37:U43)</f>
        <v>-149.17000000000058</v>
      </c>
      <c r="V44" s="251"/>
      <c r="W44" s="251">
        <f t="shared" si="0"/>
        <v>-23</v>
      </c>
      <c r="X44" s="251"/>
      <c r="Y44" s="252">
        <f>SUM(Y37:Y43)</f>
        <v>-126.1700000000006</v>
      </c>
      <c r="Z44" s="294">
        <f>SUM(Z37:Z43)</f>
        <v>-23</v>
      </c>
    </row>
    <row r="45" spans="1:25" ht="15">
      <c r="A45" s="4" t="s">
        <v>198</v>
      </c>
      <c r="C45" s="22"/>
      <c r="D45" s="22">
        <v>0</v>
      </c>
      <c r="E45" s="23"/>
      <c r="F45" s="23"/>
      <c r="G45" s="22"/>
      <c r="H45" s="24">
        <v>0</v>
      </c>
      <c r="I45" s="55"/>
      <c r="J45" s="64"/>
      <c r="K45" s="82"/>
      <c r="L45" s="83">
        <v>0</v>
      </c>
      <c r="M45" s="84"/>
      <c r="N45" s="176"/>
      <c r="O45" s="184"/>
      <c r="P45" s="125"/>
      <c r="Q45" s="164"/>
      <c r="R45" s="55"/>
      <c r="S45" s="69"/>
      <c r="T45" s="111"/>
      <c r="U45" s="108"/>
      <c r="V45"/>
      <c r="W45">
        <f t="shared" si="0"/>
        <v>0</v>
      </c>
      <c r="X45"/>
      <c r="Y45" s="226">
        <f t="shared" si="1"/>
        <v>0</v>
      </c>
    </row>
    <row r="46" spans="2:26" ht="15">
      <c r="B46" s="1" t="s">
        <v>174</v>
      </c>
      <c r="C46" s="22">
        <v>1083</v>
      </c>
      <c r="D46" s="22">
        <v>1113</v>
      </c>
      <c r="E46" s="23">
        <v>30</v>
      </c>
      <c r="F46" s="48" t="s">
        <v>56</v>
      </c>
      <c r="G46" s="22">
        <v>946.44</v>
      </c>
      <c r="H46" s="24">
        <v>-166.56</v>
      </c>
      <c r="I46" s="55"/>
      <c r="J46" s="64">
        <v>946.44</v>
      </c>
      <c r="K46" s="82">
        <v>946.44</v>
      </c>
      <c r="L46" s="83">
        <v>0</v>
      </c>
      <c r="M46" s="84"/>
      <c r="N46" s="175"/>
      <c r="O46" s="185">
        <v>1041.61</v>
      </c>
      <c r="P46" s="37">
        <v>1041.61</v>
      </c>
      <c r="Q46" s="165">
        <v>0</v>
      </c>
      <c r="R46" s="55"/>
      <c r="S46" s="68">
        <v>1041.61</v>
      </c>
      <c r="T46" s="212">
        <f>+W46</f>
        <v>1054.2</v>
      </c>
      <c r="U46" s="23">
        <f>+T46-S46</f>
        <v>12.590000000000146</v>
      </c>
      <c r="V46">
        <v>191</v>
      </c>
      <c r="W46">
        <f t="shared" si="0"/>
        <v>1054.2</v>
      </c>
      <c r="X46">
        <v>1045.2</v>
      </c>
      <c r="Y46" s="226">
        <f t="shared" si="1"/>
        <v>3.5900000000001455</v>
      </c>
      <c r="Z46" s="218">
        <v>9</v>
      </c>
    </row>
    <row r="47" spans="2:25" ht="20.25" thickBot="1">
      <c r="B47" s="1" t="s">
        <v>175</v>
      </c>
      <c r="C47" s="29">
        <v>1568.5</v>
      </c>
      <c r="D47" s="29">
        <v>1568.5</v>
      </c>
      <c r="E47" s="35">
        <v>0</v>
      </c>
      <c r="F47" s="35"/>
      <c r="G47" s="29">
        <v>1474.58</v>
      </c>
      <c r="H47" s="31">
        <v>-93.92000000000007</v>
      </c>
      <c r="I47" s="55" t="s">
        <v>59</v>
      </c>
      <c r="J47" s="70">
        <v>1474.58</v>
      </c>
      <c r="K47" s="82">
        <v>1474.58</v>
      </c>
      <c r="L47" s="83">
        <v>0</v>
      </c>
      <c r="M47" s="84"/>
      <c r="N47" s="175"/>
      <c r="O47" s="185">
        <v>1710.49</v>
      </c>
      <c r="P47" s="82">
        <v>1710.49</v>
      </c>
      <c r="Q47" s="167">
        <v>0</v>
      </c>
      <c r="R47" s="55"/>
      <c r="S47" s="68">
        <v>1696.49</v>
      </c>
      <c r="T47" s="212">
        <f>+W47</f>
        <v>1712.9</v>
      </c>
      <c r="U47" s="35">
        <f>+T47-S47</f>
        <v>16.410000000000082</v>
      </c>
      <c r="V47">
        <v>192</v>
      </c>
      <c r="W47">
        <f t="shared" si="0"/>
        <v>1712.9</v>
      </c>
      <c r="X47">
        <v>1712.9</v>
      </c>
      <c r="Y47" s="226">
        <f t="shared" si="1"/>
        <v>16.410000000000082</v>
      </c>
    </row>
    <row r="48" spans="1:26" s="17" customFormat="1" ht="17.25" thickBot="1">
      <c r="A48" s="4"/>
      <c r="B48" s="269" t="s">
        <v>76</v>
      </c>
      <c r="C48" s="270">
        <v>2651.5</v>
      </c>
      <c r="D48" s="270">
        <v>2681.5</v>
      </c>
      <c r="E48" s="271">
        <v>30</v>
      </c>
      <c r="F48" s="272"/>
      <c r="G48" s="270">
        <v>2421.02</v>
      </c>
      <c r="H48" s="273">
        <v>-260.48</v>
      </c>
      <c r="I48" s="247"/>
      <c r="J48" s="274">
        <v>2421.02</v>
      </c>
      <c r="K48" s="275">
        <v>2421.02</v>
      </c>
      <c r="L48" s="276">
        <v>0</v>
      </c>
      <c r="M48" s="277"/>
      <c r="N48" s="278">
        <v>2752</v>
      </c>
      <c r="O48" s="279">
        <v>2752.1</v>
      </c>
      <c r="P48" s="275">
        <v>2752.1</v>
      </c>
      <c r="Q48" s="280">
        <v>0</v>
      </c>
      <c r="R48" s="247"/>
      <c r="S48" s="275">
        <v>2738.1</v>
      </c>
      <c r="T48" s="276">
        <f>SUM(T46:T47)</f>
        <v>2767.1000000000004</v>
      </c>
      <c r="U48" s="281">
        <f>SUM(U46:U47)</f>
        <v>29.000000000000227</v>
      </c>
      <c r="V48" s="251"/>
      <c r="W48" s="251">
        <f t="shared" si="0"/>
        <v>9</v>
      </c>
      <c r="X48" s="251"/>
      <c r="Y48" s="252">
        <f>SUM(Y45:Y47)</f>
        <v>20.000000000000227</v>
      </c>
      <c r="Z48" s="295">
        <f>SUM(Z46:Z47)</f>
        <v>9</v>
      </c>
    </row>
    <row r="49" spans="1:26" ht="15.75" thickBot="1">
      <c r="A49" s="233"/>
      <c r="B49" s="254" t="s">
        <v>77</v>
      </c>
      <c r="C49" s="255">
        <v>49393.3</v>
      </c>
      <c r="D49" s="255">
        <v>49976.9</v>
      </c>
      <c r="E49" s="256">
        <v>583.6</v>
      </c>
      <c r="F49" s="257"/>
      <c r="G49" s="255">
        <v>50655.87001</v>
      </c>
      <c r="H49" s="258">
        <v>678.9700100000002</v>
      </c>
      <c r="I49" s="238"/>
      <c r="J49" s="259">
        <v>50894.84001</v>
      </c>
      <c r="K49" s="260">
        <v>51836.860010000004</v>
      </c>
      <c r="L49" s="264">
        <v>942.1199999999991</v>
      </c>
      <c r="M49" s="242"/>
      <c r="N49" s="262">
        <v>54249.48</v>
      </c>
      <c r="O49" s="263">
        <v>54511.25</v>
      </c>
      <c r="P49" s="260">
        <v>54588.15</v>
      </c>
      <c r="Q49" s="246">
        <v>76.89999999999964</v>
      </c>
      <c r="R49" s="247"/>
      <c r="S49" s="260">
        <v>55385.45</v>
      </c>
      <c r="T49" s="264">
        <f>SUM(T48,T44,T35,T30,T25,T23,T17,T10,T3)</f>
        <v>57728.2</v>
      </c>
      <c r="U49" s="264">
        <f>SUM(U48,U44,U35,U30,U25,U23,U17,U10,U3)</f>
        <v>2342.750000000001</v>
      </c>
      <c r="V49" s="251"/>
      <c r="W49" s="251">
        <f t="shared" si="0"/>
        <v>1384</v>
      </c>
      <c r="X49" s="251"/>
      <c r="Y49" s="252">
        <f>SUM(Y48,Y44,Y35,Y30,Y25,Y23,Y17,Y10)</f>
        <v>957.7500000000007</v>
      </c>
      <c r="Z49" s="265">
        <f>SUM(Z48,Z44,Z35,Z30,Z25,Z23,Z17,Z10)</f>
        <v>1384</v>
      </c>
    </row>
    <row r="50" spans="2:25" ht="15">
      <c r="B50" s="15"/>
      <c r="C50" s="32"/>
      <c r="D50" s="32"/>
      <c r="E50" s="33"/>
      <c r="F50" s="23"/>
      <c r="G50" s="32"/>
      <c r="H50" s="41"/>
      <c r="I50" s="55"/>
      <c r="J50" s="67"/>
      <c r="K50" s="85"/>
      <c r="L50" s="44"/>
      <c r="M50" s="84"/>
      <c r="N50" s="176"/>
      <c r="O50" s="184"/>
      <c r="P50" s="98"/>
      <c r="Q50" s="164"/>
      <c r="R50" s="55"/>
      <c r="S50" s="69"/>
      <c r="T50" s="111"/>
      <c r="U50" s="108"/>
      <c r="V50"/>
      <c r="W50">
        <f t="shared" si="0"/>
        <v>0</v>
      </c>
      <c r="X50"/>
      <c r="Y50" s="226">
        <f t="shared" si="1"/>
        <v>0</v>
      </c>
    </row>
    <row r="51" spans="1:25" ht="15">
      <c r="A51" s="4" t="s">
        <v>199</v>
      </c>
      <c r="C51" s="22">
        <v>140</v>
      </c>
      <c r="D51" s="22">
        <v>80</v>
      </c>
      <c r="E51" s="23">
        <v>-60</v>
      </c>
      <c r="F51" s="48" t="s">
        <v>51</v>
      </c>
      <c r="G51" s="22">
        <v>80.72</v>
      </c>
      <c r="H51" s="24">
        <v>0.7199999999999989</v>
      </c>
      <c r="I51" s="55"/>
      <c r="J51" s="64">
        <v>80.72</v>
      </c>
      <c r="K51" s="82">
        <v>80.72</v>
      </c>
      <c r="L51" s="83">
        <v>0</v>
      </c>
      <c r="M51" s="84"/>
      <c r="N51" s="175"/>
      <c r="O51" s="185">
        <v>86.54</v>
      </c>
      <c r="P51" s="37">
        <v>86.54</v>
      </c>
      <c r="Q51" s="165">
        <v>0</v>
      </c>
      <c r="R51" s="55"/>
      <c r="S51" s="68">
        <v>86.54</v>
      </c>
      <c r="T51" s="212">
        <f>+W51</f>
        <v>88.1</v>
      </c>
      <c r="U51" s="23">
        <f>+T51-S51</f>
        <v>1.559999999999988</v>
      </c>
      <c r="V51">
        <v>210</v>
      </c>
      <c r="W51">
        <f t="shared" si="0"/>
        <v>88.1</v>
      </c>
      <c r="X51">
        <v>88.1</v>
      </c>
      <c r="Y51" s="226">
        <f t="shared" si="1"/>
        <v>1.559999999999988</v>
      </c>
    </row>
    <row r="52" spans="1:25" ht="15">
      <c r="A52" s="4" t="s">
        <v>200</v>
      </c>
      <c r="C52" s="22">
        <v>388.1</v>
      </c>
      <c r="D52" s="22">
        <v>388.1</v>
      </c>
      <c r="E52" s="23"/>
      <c r="F52" s="23"/>
      <c r="G52" s="22">
        <v>388.7</v>
      </c>
      <c r="H52" s="24">
        <v>0.5999999999999659</v>
      </c>
      <c r="I52" s="55"/>
      <c r="J52" s="64">
        <v>388.7</v>
      </c>
      <c r="K52" s="82">
        <v>388.7</v>
      </c>
      <c r="L52" s="83">
        <v>0</v>
      </c>
      <c r="M52" s="84"/>
      <c r="N52" s="175"/>
      <c r="O52" s="185">
        <v>412.55</v>
      </c>
      <c r="P52" s="37">
        <v>412.55</v>
      </c>
      <c r="Q52" s="165">
        <v>0</v>
      </c>
      <c r="R52" s="55"/>
      <c r="S52" s="68">
        <v>412.55</v>
      </c>
      <c r="T52" s="212">
        <f>+W52</f>
        <v>418.8</v>
      </c>
      <c r="U52" s="23">
        <f>+T52-S52</f>
        <v>6.25</v>
      </c>
      <c r="V52">
        <v>220</v>
      </c>
      <c r="W52">
        <f t="shared" si="0"/>
        <v>418.8</v>
      </c>
      <c r="X52">
        <v>418.8</v>
      </c>
      <c r="Y52" s="226">
        <f t="shared" si="1"/>
        <v>6.25</v>
      </c>
    </row>
    <row r="53" spans="1:26" s="17" customFormat="1" ht="20.25" thickBot="1">
      <c r="A53" s="4" t="s">
        <v>201</v>
      </c>
      <c r="B53" s="1"/>
      <c r="C53" s="29">
        <v>308.9</v>
      </c>
      <c r="D53" s="29">
        <v>308.9</v>
      </c>
      <c r="E53" s="35">
        <v>0</v>
      </c>
      <c r="F53" s="35"/>
      <c r="G53" s="29">
        <v>308.9</v>
      </c>
      <c r="H53" s="31">
        <v>0</v>
      </c>
      <c r="I53" s="55"/>
      <c r="J53" s="70">
        <v>308.9</v>
      </c>
      <c r="K53" s="82">
        <v>308.9</v>
      </c>
      <c r="L53" s="83">
        <v>0</v>
      </c>
      <c r="M53" s="84"/>
      <c r="N53" s="175"/>
      <c r="O53" s="185">
        <v>284.37</v>
      </c>
      <c r="P53" s="82">
        <v>284.37</v>
      </c>
      <c r="Q53" s="167">
        <v>0</v>
      </c>
      <c r="R53" s="55"/>
      <c r="S53" s="68">
        <v>284.37</v>
      </c>
      <c r="T53" s="212">
        <f>+W53</f>
        <v>284.4</v>
      </c>
      <c r="U53" s="35">
        <f>+T53-S53</f>
        <v>0.029999999999972715</v>
      </c>
      <c r="V53">
        <v>250</v>
      </c>
      <c r="W53">
        <f t="shared" si="0"/>
        <v>284.4</v>
      </c>
      <c r="X53">
        <v>284.4</v>
      </c>
      <c r="Y53" s="226">
        <f t="shared" si="1"/>
        <v>0.029999999999972715</v>
      </c>
      <c r="Z53" s="220"/>
    </row>
    <row r="54" spans="1:26" ht="15.75" thickBot="1">
      <c r="A54" s="233"/>
      <c r="B54" s="254" t="s">
        <v>78</v>
      </c>
      <c r="C54" s="255">
        <v>837</v>
      </c>
      <c r="D54" s="255">
        <v>777</v>
      </c>
      <c r="E54" s="256">
        <v>-60</v>
      </c>
      <c r="F54" s="257"/>
      <c r="G54" s="255">
        <v>778.32</v>
      </c>
      <c r="H54" s="258">
        <v>1.3199999999999648</v>
      </c>
      <c r="I54" s="238"/>
      <c r="J54" s="259">
        <v>778.32</v>
      </c>
      <c r="K54" s="260">
        <v>778.32</v>
      </c>
      <c r="L54" s="264">
        <v>0</v>
      </c>
      <c r="M54" s="242"/>
      <c r="N54" s="262">
        <v>783.46</v>
      </c>
      <c r="O54" s="263">
        <v>783.46</v>
      </c>
      <c r="P54" s="267">
        <v>783.46</v>
      </c>
      <c r="Q54" s="246">
        <v>0</v>
      </c>
      <c r="R54" s="247"/>
      <c r="S54" s="260">
        <v>783.46</v>
      </c>
      <c r="T54" s="264">
        <f>SUM(T51:T53)</f>
        <v>791.3</v>
      </c>
      <c r="U54" s="264">
        <f>SUM(U51:U53)</f>
        <v>7.839999999999961</v>
      </c>
      <c r="V54" s="251"/>
      <c r="W54" s="251">
        <f t="shared" si="0"/>
        <v>0</v>
      </c>
      <c r="X54" s="251"/>
      <c r="Y54" s="252">
        <f>SUM(Y50:Y53)</f>
        <v>7.839999999999961</v>
      </c>
      <c r="Z54" s="252">
        <f>SUM(Z50:Z53)</f>
        <v>0</v>
      </c>
    </row>
    <row r="55" spans="1:26" ht="15">
      <c r="A55" s="4" t="s">
        <v>202</v>
      </c>
      <c r="C55" s="22">
        <v>455.6</v>
      </c>
      <c r="D55" s="22">
        <v>455.6</v>
      </c>
      <c r="E55" s="23"/>
      <c r="F55" s="23"/>
      <c r="G55" s="22">
        <v>413.8</v>
      </c>
      <c r="H55" s="24">
        <v>-41.8</v>
      </c>
      <c r="I55" s="55" t="s">
        <v>72</v>
      </c>
      <c r="J55" s="64">
        <v>413.8</v>
      </c>
      <c r="K55" s="82">
        <v>413.8</v>
      </c>
      <c r="L55" s="83">
        <v>0</v>
      </c>
      <c r="M55" s="84"/>
      <c r="N55" s="175"/>
      <c r="O55" s="185">
        <v>426.35</v>
      </c>
      <c r="P55" s="37">
        <v>426.35</v>
      </c>
      <c r="Q55" s="165">
        <v>0</v>
      </c>
      <c r="R55" s="55"/>
      <c r="S55" s="68">
        <v>426.35</v>
      </c>
      <c r="T55" s="212">
        <f>+W55</f>
        <v>551.6</v>
      </c>
      <c r="U55" s="23">
        <f>+T55-S55</f>
        <v>125.25</v>
      </c>
      <c r="V55">
        <v>310</v>
      </c>
      <c r="W55">
        <f t="shared" si="0"/>
        <v>551.6</v>
      </c>
      <c r="X55">
        <f>521.6</f>
        <v>521.6</v>
      </c>
      <c r="Y55" s="226">
        <f t="shared" si="1"/>
        <v>95.25</v>
      </c>
      <c r="Z55" s="218">
        <v>30</v>
      </c>
    </row>
    <row r="56" spans="1:25" ht="15">
      <c r="A56" s="4" t="s">
        <v>203</v>
      </c>
      <c r="C56" s="22">
        <v>43.3</v>
      </c>
      <c r="D56" s="22">
        <v>43.3</v>
      </c>
      <c r="E56" s="23"/>
      <c r="F56" s="23"/>
      <c r="G56" s="22">
        <v>42.9</v>
      </c>
      <c r="H56" s="24">
        <v>-0.3999999999999986</v>
      </c>
      <c r="I56" s="55"/>
      <c r="J56" s="64">
        <v>42.9</v>
      </c>
      <c r="K56" s="82">
        <v>42.9</v>
      </c>
      <c r="L56" s="83">
        <v>0</v>
      </c>
      <c r="M56" s="84"/>
      <c r="N56" s="175"/>
      <c r="O56" s="185">
        <v>45.96</v>
      </c>
      <c r="P56" s="37">
        <v>45.96</v>
      </c>
      <c r="Q56" s="165">
        <v>0</v>
      </c>
      <c r="R56" s="55"/>
      <c r="S56" s="68">
        <v>45.96</v>
      </c>
      <c r="T56" s="212">
        <f>+W56</f>
        <v>45.6</v>
      </c>
      <c r="U56" s="23">
        <f>+T56-S56</f>
        <v>-0.35999999999999943</v>
      </c>
      <c r="V56">
        <v>360</v>
      </c>
      <c r="W56">
        <f t="shared" si="0"/>
        <v>45.6</v>
      </c>
      <c r="X56">
        <v>45.6</v>
      </c>
      <c r="Y56" s="226">
        <f t="shared" si="1"/>
        <v>-0.35999999999999943</v>
      </c>
    </row>
    <row r="57" spans="1:25" ht="15">
      <c r="A57" s="4" t="s">
        <v>204</v>
      </c>
      <c r="C57" s="22">
        <v>295.3</v>
      </c>
      <c r="D57" s="22">
        <v>295.3</v>
      </c>
      <c r="E57" s="23"/>
      <c r="F57" s="23"/>
      <c r="G57" s="22">
        <v>290.6</v>
      </c>
      <c r="H57" s="24">
        <v>-4.699999999999989</v>
      </c>
      <c r="I57" s="55"/>
      <c r="J57" s="64">
        <v>290.6</v>
      </c>
      <c r="K57" s="82">
        <v>290.6</v>
      </c>
      <c r="L57" s="83">
        <v>0</v>
      </c>
      <c r="M57" s="84"/>
      <c r="N57" s="175"/>
      <c r="O57" s="185">
        <v>310.09</v>
      </c>
      <c r="P57" s="37">
        <v>310.09</v>
      </c>
      <c r="Q57" s="165">
        <v>0</v>
      </c>
      <c r="R57" s="55"/>
      <c r="S57" s="68">
        <v>310.09</v>
      </c>
      <c r="T57" s="212">
        <f>+W57</f>
        <v>206.2</v>
      </c>
      <c r="U57" s="23">
        <f>+T57-S57</f>
        <v>-103.88999999999999</v>
      </c>
      <c r="V57">
        <v>380</v>
      </c>
      <c r="W57">
        <f t="shared" si="0"/>
        <v>206.2</v>
      </c>
      <c r="X57">
        <v>206.2</v>
      </c>
      <c r="Y57" s="226">
        <f t="shared" si="1"/>
        <v>-103.88999999999999</v>
      </c>
    </row>
    <row r="58" spans="1:26" s="17" customFormat="1" ht="20.25" thickBot="1">
      <c r="A58" s="4" t="s">
        <v>21</v>
      </c>
      <c r="B58" s="1"/>
      <c r="C58" s="29">
        <v>366.7</v>
      </c>
      <c r="D58" s="29">
        <v>366.7</v>
      </c>
      <c r="E58" s="35"/>
      <c r="F58" s="35"/>
      <c r="G58" s="29">
        <v>369.4</v>
      </c>
      <c r="H58" s="31">
        <v>2.6999999999999886</v>
      </c>
      <c r="I58" s="55"/>
      <c r="J58" s="70">
        <v>369.4</v>
      </c>
      <c r="K58" s="82">
        <v>369.4</v>
      </c>
      <c r="L58" s="83">
        <v>0</v>
      </c>
      <c r="M58" s="84"/>
      <c r="N58" s="175"/>
      <c r="O58" s="185">
        <v>360.52</v>
      </c>
      <c r="P58" s="37">
        <v>360.52</v>
      </c>
      <c r="Q58" s="168">
        <v>0</v>
      </c>
      <c r="R58" s="55"/>
      <c r="S58" s="68">
        <v>360.52</v>
      </c>
      <c r="T58" s="212">
        <f>+W58</f>
        <v>345.3</v>
      </c>
      <c r="U58" s="35">
        <f>+T58-S58</f>
        <v>-15.21999999999997</v>
      </c>
      <c r="V58">
        <v>390</v>
      </c>
      <c r="W58">
        <f t="shared" si="0"/>
        <v>345.3</v>
      </c>
      <c r="X58">
        <f>357.3</f>
        <v>357.3</v>
      </c>
      <c r="Y58" s="226">
        <f t="shared" si="1"/>
        <v>-3.2199999999999704</v>
      </c>
      <c r="Z58" s="220">
        <v>-12</v>
      </c>
    </row>
    <row r="59" spans="1:26" ht="15.75" thickBot="1">
      <c r="A59" s="233"/>
      <c r="B59" s="254" t="s">
        <v>79</v>
      </c>
      <c r="C59" s="255">
        <v>1160.9</v>
      </c>
      <c r="D59" s="255">
        <v>1160.9</v>
      </c>
      <c r="E59" s="257"/>
      <c r="F59" s="257"/>
      <c r="G59" s="255">
        <v>1116.7</v>
      </c>
      <c r="H59" s="258">
        <v>-44.2</v>
      </c>
      <c r="I59" s="238"/>
      <c r="J59" s="259">
        <v>1116.7</v>
      </c>
      <c r="K59" s="260">
        <v>1116.7</v>
      </c>
      <c r="L59" s="266">
        <v>0</v>
      </c>
      <c r="M59" s="242"/>
      <c r="N59" s="262">
        <v>1142.92</v>
      </c>
      <c r="O59" s="263">
        <v>1142.92</v>
      </c>
      <c r="P59" s="267">
        <v>1142.92</v>
      </c>
      <c r="Q59" s="268">
        <v>0</v>
      </c>
      <c r="R59" s="247"/>
      <c r="S59" s="260">
        <v>1142.92</v>
      </c>
      <c r="T59" s="264">
        <f>SUM(T55:T58)</f>
        <v>1148.7</v>
      </c>
      <c r="U59" s="264">
        <f>SUM(U55:U58)</f>
        <v>5.780000000000044</v>
      </c>
      <c r="V59" s="251"/>
      <c r="W59" s="251">
        <f t="shared" si="0"/>
        <v>18</v>
      </c>
      <c r="X59" s="251"/>
      <c r="Y59" s="252">
        <f>SUM(Y55:Y58)</f>
        <v>-12.219999999999956</v>
      </c>
      <c r="Z59" s="252">
        <f>SUM(Z55:Z58)</f>
        <v>18</v>
      </c>
    </row>
    <row r="60" spans="1:25" ht="15">
      <c r="A60" s="4" t="s">
        <v>22</v>
      </c>
      <c r="C60" s="22"/>
      <c r="D60" s="22">
        <v>0</v>
      </c>
      <c r="E60" s="23"/>
      <c r="F60" s="23"/>
      <c r="G60" s="22"/>
      <c r="H60" s="24">
        <v>0</v>
      </c>
      <c r="I60" s="48"/>
      <c r="J60" s="64"/>
      <c r="K60" s="82"/>
      <c r="L60" s="83">
        <v>0</v>
      </c>
      <c r="M60" s="90"/>
      <c r="N60" s="176"/>
      <c r="O60" s="184"/>
      <c r="P60" s="125"/>
      <c r="Q60" s="170"/>
      <c r="R60" s="55"/>
      <c r="S60" s="69"/>
      <c r="T60" s="111"/>
      <c r="U60" s="108"/>
      <c r="V60"/>
      <c r="W60">
        <f t="shared" si="0"/>
        <v>0</v>
      </c>
      <c r="X60"/>
      <c r="Y60" s="226">
        <f t="shared" si="1"/>
        <v>0</v>
      </c>
    </row>
    <row r="61" spans="2:26" ht="15">
      <c r="B61" s="1" t="s">
        <v>176</v>
      </c>
      <c r="C61" s="22">
        <v>471.1</v>
      </c>
      <c r="D61" s="22">
        <v>471.1</v>
      </c>
      <c r="E61" s="23"/>
      <c r="F61" s="23"/>
      <c r="G61" s="22">
        <v>439.83</v>
      </c>
      <c r="H61" s="24">
        <v>-31.27</v>
      </c>
      <c r="I61" s="55" t="s">
        <v>85</v>
      </c>
      <c r="J61" s="64">
        <v>439.83</v>
      </c>
      <c r="K61" s="82">
        <v>439.83</v>
      </c>
      <c r="L61" s="83">
        <v>0</v>
      </c>
      <c r="M61" s="84"/>
      <c r="N61" s="175"/>
      <c r="O61" s="185">
        <v>382.03</v>
      </c>
      <c r="P61" s="37">
        <v>382.03</v>
      </c>
      <c r="Q61" s="169">
        <v>0</v>
      </c>
      <c r="R61" s="55"/>
      <c r="S61" s="68">
        <v>382.03</v>
      </c>
      <c r="T61" s="212">
        <f>+W61</f>
        <v>376.4</v>
      </c>
      <c r="U61" s="23">
        <f>+T61-S61</f>
        <v>-5.6299999999999955</v>
      </c>
      <c r="V61">
        <v>411</v>
      </c>
      <c r="W61">
        <f t="shared" si="0"/>
        <v>376.4</v>
      </c>
      <c r="X61">
        <v>374.4</v>
      </c>
      <c r="Y61" s="226">
        <f t="shared" si="1"/>
        <v>-7.6299999999999955</v>
      </c>
      <c r="Z61" s="218">
        <v>2</v>
      </c>
    </row>
    <row r="62" spans="2:25" ht="15">
      <c r="B62" s="1" t="s">
        <v>177</v>
      </c>
      <c r="C62" s="22">
        <v>42.7</v>
      </c>
      <c r="D62" s="22">
        <v>42.7</v>
      </c>
      <c r="E62" s="23"/>
      <c r="F62" s="23"/>
      <c r="G62" s="22">
        <v>45</v>
      </c>
      <c r="H62" s="24">
        <v>2.3</v>
      </c>
      <c r="I62" s="55"/>
      <c r="J62" s="64">
        <v>45</v>
      </c>
      <c r="K62" s="82">
        <v>45</v>
      </c>
      <c r="L62" s="83">
        <v>0</v>
      </c>
      <c r="M62" s="84"/>
      <c r="N62" s="175"/>
      <c r="O62" s="185">
        <v>48.14</v>
      </c>
      <c r="P62" s="37">
        <v>48.14</v>
      </c>
      <c r="Q62" s="169">
        <v>0</v>
      </c>
      <c r="R62" s="55"/>
      <c r="S62" s="68">
        <v>48.14</v>
      </c>
      <c r="T62" s="212">
        <f>+W62</f>
        <v>47.5</v>
      </c>
      <c r="U62" s="23">
        <f>+T62-S62</f>
        <v>-0.6400000000000006</v>
      </c>
      <c r="V62">
        <v>412</v>
      </c>
      <c r="W62">
        <f t="shared" si="0"/>
        <v>47.5</v>
      </c>
      <c r="X62">
        <v>47.5</v>
      </c>
      <c r="Y62" s="226">
        <f t="shared" si="1"/>
        <v>-0.6400000000000006</v>
      </c>
    </row>
    <row r="63" spans="1:25" ht="15">
      <c r="A63" s="4" t="s">
        <v>23</v>
      </c>
      <c r="C63" s="22"/>
      <c r="D63" s="22">
        <v>0</v>
      </c>
      <c r="E63" s="23"/>
      <c r="F63" s="23"/>
      <c r="G63" s="22"/>
      <c r="H63" s="24">
        <v>0</v>
      </c>
      <c r="I63" s="55"/>
      <c r="J63" s="64"/>
      <c r="K63" s="82"/>
      <c r="L63" s="83">
        <v>0</v>
      </c>
      <c r="M63" s="84"/>
      <c r="N63" s="175"/>
      <c r="O63" s="185"/>
      <c r="P63" s="37"/>
      <c r="Q63" s="165"/>
      <c r="R63" s="55"/>
      <c r="S63" s="69"/>
      <c r="T63" s="111"/>
      <c r="U63" s="108"/>
      <c r="V63"/>
      <c r="W63">
        <f t="shared" si="0"/>
        <v>0</v>
      </c>
      <c r="X63"/>
      <c r="Y63" s="226">
        <f t="shared" si="1"/>
        <v>0</v>
      </c>
    </row>
    <row r="64" spans="2:26" ht="15">
      <c r="B64" s="1" t="s">
        <v>178</v>
      </c>
      <c r="C64" s="22">
        <v>523.6</v>
      </c>
      <c r="D64" s="22">
        <v>523.6</v>
      </c>
      <c r="E64" s="23"/>
      <c r="F64" s="23"/>
      <c r="G64" s="22">
        <v>445.5</v>
      </c>
      <c r="H64" s="24">
        <v>-78.1</v>
      </c>
      <c r="I64" s="55"/>
      <c r="J64" s="64">
        <v>445.5</v>
      </c>
      <c r="K64" s="82">
        <v>445.5</v>
      </c>
      <c r="L64" s="83">
        <v>0</v>
      </c>
      <c r="M64" s="84"/>
      <c r="N64" s="175"/>
      <c r="O64" s="185">
        <v>453.94</v>
      </c>
      <c r="P64" s="37">
        <v>453.94</v>
      </c>
      <c r="Q64" s="165">
        <v>0</v>
      </c>
      <c r="R64" s="55"/>
      <c r="S64" s="68">
        <v>453.94</v>
      </c>
      <c r="T64" s="212">
        <f>+W64</f>
        <v>478.8</v>
      </c>
      <c r="U64" s="23">
        <f>+T64-S64</f>
        <v>24.860000000000014</v>
      </c>
      <c r="V64">
        <v>431</v>
      </c>
      <c r="W64">
        <f t="shared" si="0"/>
        <v>478.8</v>
      </c>
      <c r="X64">
        <v>409.8</v>
      </c>
      <c r="Y64" s="226">
        <f t="shared" si="1"/>
        <v>-44.139999999999986</v>
      </c>
      <c r="Z64" s="218">
        <v>69</v>
      </c>
    </row>
    <row r="65" spans="2:25" ht="15">
      <c r="B65" s="4" t="s">
        <v>179</v>
      </c>
      <c r="C65" s="34">
        <v>453.1</v>
      </c>
      <c r="D65" s="22">
        <v>14</v>
      </c>
      <c r="E65" s="42">
        <v>-439.1</v>
      </c>
      <c r="F65" s="48" t="s">
        <v>50</v>
      </c>
      <c r="G65" s="22"/>
      <c r="H65" s="24">
        <v>-14</v>
      </c>
      <c r="I65" s="55"/>
      <c r="J65" s="64"/>
      <c r="K65" s="82">
        <v>0</v>
      </c>
      <c r="L65" s="83">
        <v>0</v>
      </c>
      <c r="M65" s="84"/>
      <c r="N65" s="175"/>
      <c r="O65" s="185"/>
      <c r="P65" s="37"/>
      <c r="Q65" s="165">
        <v>0</v>
      </c>
      <c r="R65" s="55"/>
      <c r="S65" s="68">
        <v>0</v>
      </c>
      <c r="T65" s="212">
        <f>+W65</f>
        <v>0</v>
      </c>
      <c r="U65" s="23">
        <f>+T65-S65</f>
        <v>0</v>
      </c>
      <c r="V65"/>
      <c r="W65">
        <f t="shared" si="0"/>
        <v>0</v>
      </c>
      <c r="X65"/>
      <c r="Y65" s="226">
        <f t="shared" si="1"/>
        <v>0</v>
      </c>
    </row>
    <row r="66" spans="2:25" ht="15">
      <c r="B66" s="1" t="s">
        <v>180</v>
      </c>
      <c r="C66" s="22">
        <v>13.4</v>
      </c>
      <c r="D66" s="22">
        <v>13.4</v>
      </c>
      <c r="E66" s="23"/>
      <c r="F66" s="23"/>
      <c r="G66" s="22"/>
      <c r="H66" s="24">
        <v>-13.4</v>
      </c>
      <c r="I66" s="55"/>
      <c r="J66" s="64"/>
      <c r="K66" s="82">
        <v>0</v>
      </c>
      <c r="L66" s="83">
        <v>0</v>
      </c>
      <c r="M66" s="84"/>
      <c r="N66" s="175"/>
      <c r="O66" s="185"/>
      <c r="P66" s="37"/>
      <c r="Q66" s="165">
        <v>0</v>
      </c>
      <c r="R66" s="55"/>
      <c r="S66" s="68">
        <v>0</v>
      </c>
      <c r="T66" s="212">
        <f>+W66</f>
        <v>0</v>
      </c>
      <c r="U66" s="23">
        <f>+T66-S66</f>
        <v>0</v>
      </c>
      <c r="V66"/>
      <c r="W66">
        <f t="shared" si="0"/>
        <v>0</v>
      </c>
      <c r="X66"/>
      <c r="Y66" s="226">
        <f t="shared" si="1"/>
        <v>0</v>
      </c>
    </row>
    <row r="67" spans="1:25" ht="15">
      <c r="A67" s="4" t="s">
        <v>24</v>
      </c>
      <c r="C67" s="22"/>
      <c r="D67" s="22">
        <v>0</v>
      </c>
      <c r="E67" s="23"/>
      <c r="F67" s="23"/>
      <c r="G67" s="22"/>
      <c r="H67" s="24">
        <v>0</v>
      </c>
      <c r="I67" s="55"/>
      <c r="J67" s="64"/>
      <c r="K67" s="82">
        <v>0</v>
      </c>
      <c r="L67" s="83">
        <v>0</v>
      </c>
      <c r="M67" s="84"/>
      <c r="N67" s="175"/>
      <c r="O67" s="185"/>
      <c r="P67" s="37"/>
      <c r="Q67" s="165"/>
      <c r="R67" s="55"/>
      <c r="S67" s="69"/>
      <c r="T67" s="111"/>
      <c r="U67" s="108"/>
      <c r="V67"/>
      <c r="W67">
        <f t="shared" si="0"/>
        <v>0</v>
      </c>
      <c r="X67"/>
      <c r="Y67" s="226">
        <f t="shared" si="1"/>
        <v>0</v>
      </c>
    </row>
    <row r="68" spans="2:25" ht="15">
      <c r="B68" s="1" t="s">
        <v>181</v>
      </c>
      <c r="C68" s="22">
        <v>330.4</v>
      </c>
      <c r="D68" s="22">
        <v>330.4</v>
      </c>
      <c r="E68" s="23"/>
      <c r="F68" s="23"/>
      <c r="G68" s="22">
        <v>343.5</v>
      </c>
      <c r="H68" s="24">
        <v>13.1</v>
      </c>
      <c r="I68" s="55"/>
      <c r="J68" s="64">
        <v>343.5</v>
      </c>
      <c r="K68" s="82">
        <v>343.5</v>
      </c>
      <c r="L68" s="83">
        <v>0</v>
      </c>
      <c r="M68" s="84"/>
      <c r="N68" s="175"/>
      <c r="O68" s="185">
        <v>377.66</v>
      </c>
      <c r="P68" s="37">
        <v>377.66</v>
      </c>
      <c r="Q68" s="165">
        <v>0</v>
      </c>
      <c r="R68" s="55"/>
      <c r="S68" s="68">
        <v>377.66</v>
      </c>
      <c r="T68" s="212">
        <f>+W68</f>
        <v>377</v>
      </c>
      <c r="U68" s="23">
        <f>+T68-S68</f>
        <v>-0.660000000000025</v>
      </c>
      <c r="V68">
        <v>441</v>
      </c>
      <c r="W68">
        <f t="shared" si="0"/>
        <v>377</v>
      </c>
      <c r="X68">
        <v>377</v>
      </c>
      <c r="Y68" s="226">
        <f t="shared" si="1"/>
        <v>-0.660000000000025</v>
      </c>
    </row>
    <row r="69" spans="2:25" ht="15">
      <c r="B69" s="1" t="s">
        <v>182</v>
      </c>
      <c r="C69" s="22">
        <v>90.2</v>
      </c>
      <c r="D69" s="22">
        <v>90.2</v>
      </c>
      <c r="E69" s="23"/>
      <c r="F69" s="23"/>
      <c r="G69" s="22">
        <v>77.8</v>
      </c>
      <c r="H69" s="24">
        <v>-12.4</v>
      </c>
      <c r="I69" s="55"/>
      <c r="J69" s="64">
        <v>77.8</v>
      </c>
      <c r="K69" s="82">
        <v>77.8</v>
      </c>
      <c r="L69" s="83">
        <v>0</v>
      </c>
      <c r="M69" s="84"/>
      <c r="N69" s="175"/>
      <c r="O69" s="185">
        <v>82.18</v>
      </c>
      <c r="P69" s="37">
        <v>82.18</v>
      </c>
      <c r="Q69" s="165">
        <v>0</v>
      </c>
      <c r="R69" s="55"/>
      <c r="S69" s="68">
        <v>82.18</v>
      </c>
      <c r="T69" s="212">
        <f>+W69</f>
        <v>81.4</v>
      </c>
      <c r="U69" s="23">
        <f>+T69-S69</f>
        <v>-0.7800000000000011</v>
      </c>
      <c r="V69">
        <v>442</v>
      </c>
      <c r="W69">
        <f t="shared" si="0"/>
        <v>81.4</v>
      </c>
      <c r="X69">
        <v>81.4</v>
      </c>
      <c r="Y69" s="226">
        <f t="shared" si="1"/>
        <v>-0.7800000000000011</v>
      </c>
    </row>
    <row r="70" spans="2:25" ht="15">
      <c r="B70" s="1" t="s">
        <v>183</v>
      </c>
      <c r="C70" s="22">
        <v>12.8</v>
      </c>
      <c r="D70" s="22">
        <v>12.8</v>
      </c>
      <c r="E70" s="23"/>
      <c r="F70" s="23"/>
      <c r="G70" s="22">
        <v>13.3</v>
      </c>
      <c r="H70" s="24">
        <v>0.5</v>
      </c>
      <c r="I70" s="55"/>
      <c r="J70" s="64">
        <v>13.3</v>
      </c>
      <c r="K70" s="82">
        <v>13.3</v>
      </c>
      <c r="L70" s="83">
        <v>0</v>
      </c>
      <c r="M70" s="84"/>
      <c r="N70" s="175"/>
      <c r="O70" s="185">
        <v>14.27</v>
      </c>
      <c r="P70" s="37">
        <v>14.27</v>
      </c>
      <c r="Q70" s="165">
        <v>0</v>
      </c>
      <c r="R70" s="55"/>
      <c r="S70" s="68">
        <v>14.27</v>
      </c>
      <c r="T70" s="212">
        <f>+W70</f>
        <v>13.8</v>
      </c>
      <c r="U70" s="23">
        <f>+T70-S70</f>
        <v>-0.46999999999999886</v>
      </c>
      <c r="V70">
        <v>443</v>
      </c>
      <c r="W70">
        <f aca="true" t="shared" si="4" ref="W70:W124">+X70+Z70</f>
        <v>13.8</v>
      </c>
      <c r="X70">
        <v>13.8</v>
      </c>
      <c r="Y70" s="226">
        <f>+X70-S70</f>
        <v>-0.46999999999999886</v>
      </c>
    </row>
    <row r="71" spans="2:25" ht="15">
      <c r="B71" s="1" t="s">
        <v>184</v>
      </c>
      <c r="C71" s="22">
        <v>349.1</v>
      </c>
      <c r="D71" s="22">
        <v>349.1</v>
      </c>
      <c r="E71" s="23"/>
      <c r="F71" s="23"/>
      <c r="G71" s="22">
        <v>294.2</v>
      </c>
      <c r="H71" s="24">
        <v>-54.9</v>
      </c>
      <c r="I71" s="55"/>
      <c r="J71" s="64">
        <v>294.2</v>
      </c>
      <c r="K71" s="82">
        <v>294.2</v>
      </c>
      <c r="L71" s="83">
        <v>0</v>
      </c>
      <c r="M71" s="84"/>
      <c r="N71" s="175"/>
      <c r="O71" s="185">
        <v>312.65</v>
      </c>
      <c r="P71" s="37">
        <v>312.65</v>
      </c>
      <c r="Q71" s="165">
        <v>0</v>
      </c>
      <c r="R71" s="55"/>
      <c r="S71" s="68">
        <v>312.65</v>
      </c>
      <c r="T71" s="212">
        <f>+W71</f>
        <v>307.5</v>
      </c>
      <c r="U71" s="23">
        <f>+T71-S71</f>
        <v>-5.149999999999977</v>
      </c>
      <c r="V71">
        <v>444</v>
      </c>
      <c r="W71">
        <f t="shared" si="4"/>
        <v>307.5</v>
      </c>
      <c r="X71">
        <v>307.5</v>
      </c>
      <c r="Y71" s="226">
        <f>+X71-S71</f>
        <v>-5.149999999999977</v>
      </c>
    </row>
    <row r="72" spans="2:26" ht="15">
      <c r="B72" s="1" t="s">
        <v>185</v>
      </c>
      <c r="C72" s="22">
        <v>366.9</v>
      </c>
      <c r="D72" s="22">
        <v>366.9</v>
      </c>
      <c r="E72" s="23"/>
      <c r="F72" s="23"/>
      <c r="G72" s="22">
        <v>485.9</v>
      </c>
      <c r="H72" s="24">
        <v>119</v>
      </c>
      <c r="I72" s="55" t="s">
        <v>60</v>
      </c>
      <c r="J72" s="64">
        <v>485.9</v>
      </c>
      <c r="K72" s="82">
        <v>485.9</v>
      </c>
      <c r="L72" s="83">
        <v>0</v>
      </c>
      <c r="M72" s="84"/>
      <c r="N72" s="175"/>
      <c r="O72" s="185">
        <v>522.1</v>
      </c>
      <c r="P72" s="37">
        <v>522.1</v>
      </c>
      <c r="Q72" s="165">
        <v>0</v>
      </c>
      <c r="R72" s="55"/>
      <c r="S72" s="68">
        <v>522.1</v>
      </c>
      <c r="T72" s="212">
        <f>+W72</f>
        <v>566.3</v>
      </c>
      <c r="U72" s="23">
        <f>+T72-S72</f>
        <v>44.19999999999993</v>
      </c>
      <c r="V72">
        <v>445</v>
      </c>
      <c r="W72">
        <f t="shared" si="4"/>
        <v>566.3</v>
      </c>
      <c r="X72">
        <v>517.3</v>
      </c>
      <c r="Y72" s="226">
        <f>+X72-S72</f>
        <v>-4.800000000000068</v>
      </c>
      <c r="Z72" s="218">
        <v>49</v>
      </c>
    </row>
    <row r="73" spans="1:25" ht="15">
      <c r="A73" s="4" t="s">
        <v>25</v>
      </c>
      <c r="C73" s="22"/>
      <c r="D73" s="22">
        <v>0</v>
      </c>
      <c r="E73" s="23"/>
      <c r="F73" s="23"/>
      <c r="G73" s="22"/>
      <c r="H73" s="24">
        <v>0</v>
      </c>
      <c r="I73" s="55"/>
      <c r="J73" s="64"/>
      <c r="K73" s="82"/>
      <c r="L73" s="83">
        <v>0</v>
      </c>
      <c r="M73" s="84"/>
      <c r="N73" s="175"/>
      <c r="O73" s="185"/>
      <c r="P73" s="37"/>
      <c r="Q73" s="165"/>
      <c r="R73" s="55"/>
      <c r="S73" s="69"/>
      <c r="T73" s="111"/>
      <c r="U73" s="108"/>
      <c r="V73"/>
      <c r="W73">
        <f t="shared" si="4"/>
        <v>0</v>
      </c>
      <c r="X73"/>
      <c r="Y73" s="226">
        <f>+X73-S73</f>
        <v>0</v>
      </c>
    </row>
    <row r="74" spans="2:26" ht="15">
      <c r="B74" s="1" t="s">
        <v>6</v>
      </c>
      <c r="C74" s="22">
        <v>510</v>
      </c>
      <c r="D74" s="22">
        <v>510</v>
      </c>
      <c r="E74" s="23"/>
      <c r="F74" s="23"/>
      <c r="G74" s="22">
        <v>518.34</v>
      </c>
      <c r="H74" s="24">
        <v>8.340000000000032</v>
      </c>
      <c r="I74" s="55"/>
      <c r="J74" s="64">
        <v>518.34</v>
      </c>
      <c r="K74" s="82">
        <v>518.34</v>
      </c>
      <c r="L74" s="83">
        <v>0</v>
      </c>
      <c r="M74" s="84"/>
      <c r="N74" s="175"/>
      <c r="O74" s="185">
        <v>520.33</v>
      </c>
      <c r="P74" s="37">
        <v>520.33</v>
      </c>
      <c r="Q74" s="165">
        <v>0</v>
      </c>
      <c r="R74" s="55"/>
      <c r="S74" s="68">
        <v>520.33</v>
      </c>
      <c r="T74" s="212">
        <f>+W74</f>
        <v>478.1</v>
      </c>
      <c r="U74" s="23">
        <f>+T74-S74</f>
        <v>-42.23000000000002</v>
      </c>
      <c r="V74">
        <v>451</v>
      </c>
      <c r="W74">
        <f t="shared" si="4"/>
        <v>478.1</v>
      </c>
      <c r="X74">
        <v>530.1</v>
      </c>
      <c r="Y74" s="226">
        <f>+X74-S74</f>
        <v>9.769999999999982</v>
      </c>
      <c r="Z74" s="218">
        <v>-52</v>
      </c>
    </row>
    <row r="75" spans="2:25" ht="15">
      <c r="B75" s="1" t="s">
        <v>7</v>
      </c>
      <c r="C75" s="22">
        <v>240.2</v>
      </c>
      <c r="D75" s="22">
        <v>240.2</v>
      </c>
      <c r="E75" s="23"/>
      <c r="F75" s="23"/>
      <c r="G75" s="22">
        <v>243.96</v>
      </c>
      <c r="H75" s="24">
        <v>3.7600000000000193</v>
      </c>
      <c r="I75" s="55"/>
      <c r="J75" s="64">
        <v>243.96</v>
      </c>
      <c r="K75" s="82">
        <v>243.96</v>
      </c>
      <c r="L75" s="83">
        <v>0</v>
      </c>
      <c r="M75" s="84"/>
      <c r="N75" s="175"/>
      <c r="O75" s="185">
        <v>261.74</v>
      </c>
      <c r="P75" s="37">
        <v>261.74</v>
      </c>
      <c r="Q75" s="165">
        <v>0</v>
      </c>
      <c r="R75" s="55"/>
      <c r="S75" s="68">
        <v>261.74</v>
      </c>
      <c r="T75" s="212">
        <f>+W75</f>
        <v>259.3</v>
      </c>
      <c r="U75" s="23">
        <f>+T75-S75</f>
        <v>-2.4399999999999977</v>
      </c>
      <c r="V75">
        <v>452</v>
      </c>
      <c r="W75">
        <f t="shared" si="4"/>
        <v>259.3</v>
      </c>
      <c r="X75">
        <v>259.3</v>
      </c>
      <c r="Y75" s="226">
        <f>+X75-S75</f>
        <v>-2.4399999999999977</v>
      </c>
    </row>
    <row r="76" spans="2:25" ht="15">
      <c r="B76" s="1" t="s">
        <v>8</v>
      </c>
      <c r="C76" s="22">
        <v>302.4</v>
      </c>
      <c r="D76" s="22">
        <v>302.4</v>
      </c>
      <c r="E76" s="23"/>
      <c r="F76" s="23"/>
      <c r="G76" s="22">
        <v>305.49</v>
      </c>
      <c r="H76" s="24">
        <v>3.090000000000032</v>
      </c>
      <c r="I76" s="55"/>
      <c r="J76" s="64">
        <v>305.49</v>
      </c>
      <c r="K76" s="82">
        <v>305.49</v>
      </c>
      <c r="L76" s="83">
        <v>0</v>
      </c>
      <c r="M76" s="84"/>
      <c r="N76" s="175"/>
      <c r="O76" s="185">
        <v>324.72</v>
      </c>
      <c r="P76" s="37">
        <v>324.72</v>
      </c>
      <c r="Q76" s="165">
        <v>0</v>
      </c>
      <c r="R76" s="55"/>
      <c r="S76" s="68">
        <v>324.72</v>
      </c>
      <c r="T76" s="212">
        <f>+W76</f>
        <v>317.7</v>
      </c>
      <c r="U76" s="23">
        <f>+T76-S76</f>
        <v>-7.020000000000039</v>
      </c>
      <c r="V76">
        <v>453</v>
      </c>
      <c r="W76">
        <f t="shared" si="4"/>
        <v>317.7</v>
      </c>
      <c r="X76">
        <v>317.7</v>
      </c>
      <c r="Y76" s="226">
        <f>+X76-S76</f>
        <v>-7.020000000000039</v>
      </c>
    </row>
    <row r="77" spans="3:25" ht="15">
      <c r="C77" s="22"/>
      <c r="D77" s="22">
        <v>0</v>
      </c>
      <c r="E77" s="23"/>
      <c r="F77" s="23"/>
      <c r="G77" s="22"/>
      <c r="H77" s="24">
        <v>0</v>
      </c>
      <c r="I77" s="55"/>
      <c r="J77" s="64"/>
      <c r="K77" s="82"/>
      <c r="L77" s="83">
        <v>0</v>
      </c>
      <c r="M77" s="84"/>
      <c r="N77" s="176"/>
      <c r="O77" s="184"/>
      <c r="P77" s="125"/>
      <c r="Q77" s="164"/>
      <c r="R77" s="55"/>
      <c r="S77" s="69"/>
      <c r="T77" s="111"/>
      <c r="U77" s="108"/>
      <c r="V77"/>
      <c r="W77">
        <f t="shared" si="4"/>
        <v>0</v>
      </c>
      <c r="X77"/>
      <c r="Y77" s="226">
        <f>+X77-S77</f>
        <v>0</v>
      </c>
    </row>
    <row r="78" spans="1:26" s="17" customFormat="1" ht="20.25" thickBot="1">
      <c r="A78" s="4" t="s">
        <v>26</v>
      </c>
      <c r="B78" s="1"/>
      <c r="C78" s="29">
        <v>1.3</v>
      </c>
      <c r="D78" s="29">
        <v>1.3</v>
      </c>
      <c r="E78" s="35">
        <v>0</v>
      </c>
      <c r="F78" s="35"/>
      <c r="G78" s="29">
        <v>1.3</v>
      </c>
      <c r="H78" s="31">
        <v>0</v>
      </c>
      <c r="I78" s="55"/>
      <c r="J78" s="70">
        <v>1.3</v>
      </c>
      <c r="K78" s="82">
        <v>1.3</v>
      </c>
      <c r="L78" s="83">
        <v>0</v>
      </c>
      <c r="M78" s="84"/>
      <c r="N78" s="175"/>
      <c r="O78" s="185">
        <v>1.3</v>
      </c>
      <c r="P78" s="82">
        <v>1.3</v>
      </c>
      <c r="Q78" s="167">
        <v>0</v>
      </c>
      <c r="R78" s="55"/>
      <c r="S78" s="68">
        <v>1.3</v>
      </c>
      <c r="T78" s="212">
        <f>+W78</f>
        <v>1.3</v>
      </c>
      <c r="U78" s="232"/>
      <c r="V78">
        <v>460</v>
      </c>
      <c r="W78">
        <f t="shared" si="4"/>
        <v>1.3</v>
      </c>
      <c r="X78">
        <v>1.3</v>
      </c>
      <c r="Y78" s="226">
        <f>+X78-S78</f>
        <v>0</v>
      </c>
      <c r="Z78" s="220"/>
    </row>
    <row r="79" spans="1:26" ht="15.75" thickBot="1">
      <c r="A79" s="233"/>
      <c r="B79" s="254" t="s">
        <v>80</v>
      </c>
      <c r="C79" s="255">
        <v>3707.2</v>
      </c>
      <c r="D79" s="255">
        <v>3268.1</v>
      </c>
      <c r="E79" s="256">
        <v>-439.1</v>
      </c>
      <c r="F79" s="257"/>
      <c r="G79" s="255">
        <v>3214.12</v>
      </c>
      <c r="H79" s="258">
        <v>-53.98</v>
      </c>
      <c r="I79" s="238"/>
      <c r="J79" s="259">
        <v>3214.12</v>
      </c>
      <c r="K79" s="260">
        <v>3214.12</v>
      </c>
      <c r="L79" s="266">
        <v>0</v>
      </c>
      <c r="M79" s="242"/>
      <c r="N79" s="262">
        <v>3301.06</v>
      </c>
      <c r="O79" s="263">
        <v>3301.06</v>
      </c>
      <c r="P79" s="267">
        <v>3301.06</v>
      </c>
      <c r="Q79" s="246">
        <v>0</v>
      </c>
      <c r="R79" s="247"/>
      <c r="S79" s="260">
        <v>3301.06</v>
      </c>
      <c r="T79" s="264">
        <f>SUM(T61:T78)</f>
        <v>3305.1</v>
      </c>
      <c r="U79" s="264">
        <f>SUM(U61:U78)</f>
        <v>4.039999999999893</v>
      </c>
      <c r="V79" s="251"/>
      <c r="W79" s="251">
        <f t="shared" si="4"/>
        <v>68</v>
      </c>
      <c r="X79" s="251"/>
      <c r="Y79" s="252">
        <f>SUM(Y60:Y78)</f>
        <v>-63.96000000000011</v>
      </c>
      <c r="Z79" s="252">
        <f>SUM(Z60:Z78)</f>
        <v>68</v>
      </c>
    </row>
    <row r="80" spans="3:25" ht="15">
      <c r="C80" s="22"/>
      <c r="D80" s="22">
        <v>0</v>
      </c>
      <c r="E80" s="23"/>
      <c r="F80" s="23"/>
      <c r="G80" s="22"/>
      <c r="H80" s="24">
        <v>0</v>
      </c>
      <c r="I80" s="55"/>
      <c r="J80" s="64"/>
      <c r="K80" s="82"/>
      <c r="L80" s="83">
        <v>0</v>
      </c>
      <c r="M80" s="84"/>
      <c r="N80" s="176"/>
      <c r="O80" s="184"/>
      <c r="P80" s="125"/>
      <c r="Q80" s="164"/>
      <c r="R80" s="55"/>
      <c r="S80" s="200"/>
      <c r="T80" s="108"/>
      <c r="U80" s="108"/>
      <c r="V80"/>
      <c r="W80">
        <f t="shared" si="4"/>
        <v>0</v>
      </c>
      <c r="X80"/>
      <c r="Y80" s="226">
        <f>+X80-S80</f>
        <v>0</v>
      </c>
    </row>
    <row r="81" spans="1:25" ht="15">
      <c r="A81" s="4" t="s">
        <v>27</v>
      </c>
      <c r="C81" s="22">
        <v>292.9</v>
      </c>
      <c r="D81" s="22">
        <v>292.9</v>
      </c>
      <c r="E81" s="23"/>
      <c r="F81" s="23"/>
      <c r="G81" s="22">
        <v>288.9</v>
      </c>
      <c r="H81" s="24">
        <v>-4</v>
      </c>
      <c r="I81" s="55"/>
      <c r="J81" s="64">
        <v>288.9</v>
      </c>
      <c r="K81" s="82">
        <v>288.9</v>
      </c>
      <c r="L81" s="83">
        <v>0</v>
      </c>
      <c r="M81" s="84"/>
      <c r="N81" s="175"/>
      <c r="O81" s="185">
        <v>310.59</v>
      </c>
      <c r="P81" s="37">
        <v>310.59</v>
      </c>
      <c r="Q81" s="165">
        <v>0</v>
      </c>
      <c r="R81" s="55"/>
      <c r="S81" s="68">
        <v>310.59</v>
      </c>
      <c r="T81" s="212">
        <f aca="true" t="shared" si="5" ref="T81:T87">+W81</f>
        <v>308.3</v>
      </c>
      <c r="U81" s="23">
        <f aca="true" t="shared" si="6" ref="U81:U87">+T81-S81</f>
        <v>-2.2899999999999636</v>
      </c>
      <c r="V81">
        <v>510</v>
      </c>
      <c r="W81">
        <f t="shared" si="4"/>
        <v>308.3</v>
      </c>
      <c r="X81">
        <v>308.3</v>
      </c>
      <c r="Y81" s="226">
        <f>+X81-S81</f>
        <v>-2.2899999999999636</v>
      </c>
    </row>
    <row r="82" spans="1:25" ht="15">
      <c r="A82" s="4" t="s">
        <v>28</v>
      </c>
      <c r="C82" s="22">
        <v>660.7</v>
      </c>
      <c r="D82" s="22">
        <v>660.7</v>
      </c>
      <c r="E82" s="23"/>
      <c r="F82" s="23"/>
      <c r="G82" s="22">
        <v>569.3</v>
      </c>
      <c r="H82" s="24">
        <v>-91.40000000000009</v>
      </c>
      <c r="I82" s="55"/>
      <c r="J82" s="64">
        <v>569.3</v>
      </c>
      <c r="K82" s="82">
        <v>569.3</v>
      </c>
      <c r="L82" s="83">
        <v>0</v>
      </c>
      <c r="M82" s="84"/>
      <c r="N82" s="175"/>
      <c r="O82" s="185">
        <v>610.92</v>
      </c>
      <c r="P82" s="37">
        <v>610.92</v>
      </c>
      <c r="Q82" s="165">
        <v>0</v>
      </c>
      <c r="R82" s="55"/>
      <c r="S82" s="68">
        <v>610.92</v>
      </c>
      <c r="T82" s="212">
        <f t="shared" si="5"/>
        <v>530.1</v>
      </c>
      <c r="U82" s="23">
        <f t="shared" si="6"/>
        <v>-80.81999999999994</v>
      </c>
      <c r="V82">
        <v>520</v>
      </c>
      <c r="W82">
        <f t="shared" si="4"/>
        <v>530.1</v>
      </c>
      <c r="X82">
        <v>530.1</v>
      </c>
      <c r="Y82" s="226">
        <f>+X82-S82</f>
        <v>-80.81999999999994</v>
      </c>
    </row>
    <row r="83" spans="1:25" ht="15">
      <c r="A83" s="4" t="s">
        <v>29</v>
      </c>
      <c r="C83" s="22">
        <v>414.9</v>
      </c>
      <c r="D83" s="22">
        <v>414.9</v>
      </c>
      <c r="E83" s="23"/>
      <c r="F83" s="23"/>
      <c r="G83" s="22">
        <v>328.4</v>
      </c>
      <c r="H83" s="24">
        <v>-86.5</v>
      </c>
      <c r="I83" s="55"/>
      <c r="J83" s="64">
        <v>328.4</v>
      </c>
      <c r="K83" s="82">
        <v>328.4</v>
      </c>
      <c r="L83" s="83">
        <v>0</v>
      </c>
      <c r="M83" s="84"/>
      <c r="N83" s="175"/>
      <c r="O83" s="185">
        <v>351.01</v>
      </c>
      <c r="P83" s="37">
        <v>351.01</v>
      </c>
      <c r="Q83" s="165">
        <v>0</v>
      </c>
      <c r="R83" s="55"/>
      <c r="S83" s="68">
        <v>351.01</v>
      </c>
      <c r="T83" s="212">
        <f t="shared" si="5"/>
        <v>329.1</v>
      </c>
      <c r="U83" s="23">
        <f t="shared" si="6"/>
        <v>-21.909999999999968</v>
      </c>
      <c r="V83">
        <v>530</v>
      </c>
      <c r="W83">
        <f t="shared" si="4"/>
        <v>329.1</v>
      </c>
      <c r="X83">
        <v>329.1</v>
      </c>
      <c r="Y83" s="226">
        <f>+X83-S83</f>
        <v>-21.909999999999968</v>
      </c>
    </row>
    <row r="84" spans="1:25" ht="15">
      <c r="A84" s="4" t="s">
        <v>30</v>
      </c>
      <c r="C84" s="22">
        <v>292</v>
      </c>
      <c r="D84" s="22">
        <v>292</v>
      </c>
      <c r="E84" s="23"/>
      <c r="F84" s="23"/>
      <c r="G84" s="22">
        <v>206.8</v>
      </c>
      <c r="H84" s="24">
        <v>-85.2</v>
      </c>
      <c r="I84" s="55"/>
      <c r="J84" s="64">
        <v>206.8</v>
      </c>
      <c r="K84" s="82">
        <v>206.8</v>
      </c>
      <c r="L84" s="83">
        <v>0</v>
      </c>
      <c r="M84" s="84"/>
      <c r="N84" s="175"/>
      <c r="O84" s="185">
        <v>220.96</v>
      </c>
      <c r="P84" s="37">
        <v>220.96</v>
      </c>
      <c r="Q84" s="165">
        <v>0</v>
      </c>
      <c r="R84" s="55"/>
      <c r="S84" s="68">
        <v>220.96</v>
      </c>
      <c r="T84" s="212">
        <f t="shared" si="5"/>
        <v>195.8</v>
      </c>
      <c r="U84" s="23">
        <f t="shared" si="6"/>
        <v>-25.159999999999997</v>
      </c>
      <c r="V84">
        <v>540</v>
      </c>
      <c r="W84">
        <f t="shared" si="4"/>
        <v>195.8</v>
      </c>
      <c r="X84">
        <v>195.8</v>
      </c>
      <c r="Y84" s="226">
        <f>+X84-S84</f>
        <v>-25.159999999999997</v>
      </c>
    </row>
    <row r="85" spans="1:25" ht="15">
      <c r="A85" s="4" t="s">
        <v>31</v>
      </c>
      <c r="C85" s="22">
        <v>153.7</v>
      </c>
      <c r="D85" s="22">
        <v>153.7</v>
      </c>
      <c r="E85" s="23"/>
      <c r="F85" s="23"/>
      <c r="G85" s="22">
        <v>151.2</v>
      </c>
      <c r="H85" s="24">
        <v>-2.5</v>
      </c>
      <c r="I85" s="55"/>
      <c r="J85" s="64">
        <v>151.2</v>
      </c>
      <c r="K85" s="82">
        <v>151.2</v>
      </c>
      <c r="L85" s="83">
        <v>0</v>
      </c>
      <c r="M85" s="84"/>
      <c r="N85" s="175"/>
      <c r="O85" s="185">
        <v>161.65</v>
      </c>
      <c r="P85" s="37">
        <v>161.65</v>
      </c>
      <c r="Q85" s="165">
        <v>0</v>
      </c>
      <c r="R85" s="55"/>
      <c r="S85" s="68">
        <v>161.65</v>
      </c>
      <c r="T85" s="212">
        <f t="shared" si="5"/>
        <v>179.3</v>
      </c>
      <c r="U85" s="23">
        <f t="shared" si="6"/>
        <v>17.650000000000006</v>
      </c>
      <c r="V85">
        <v>550</v>
      </c>
      <c r="W85">
        <f t="shared" si="4"/>
        <v>179.3</v>
      </c>
      <c r="X85">
        <v>179.3</v>
      </c>
      <c r="Y85" s="226">
        <f>+X85-S85</f>
        <v>17.650000000000006</v>
      </c>
    </row>
    <row r="86" spans="1:25" ht="15">
      <c r="A86" s="4" t="s">
        <v>32</v>
      </c>
      <c r="C86" s="22">
        <v>361.7</v>
      </c>
      <c r="D86" s="22">
        <v>361.7</v>
      </c>
      <c r="E86" s="23"/>
      <c r="F86" s="23"/>
      <c r="G86" s="22">
        <v>357.7</v>
      </c>
      <c r="H86" s="24">
        <v>-4</v>
      </c>
      <c r="I86" s="55"/>
      <c r="J86" s="64">
        <v>357.7</v>
      </c>
      <c r="K86" s="82">
        <v>357.7</v>
      </c>
      <c r="L86" s="83">
        <v>0</v>
      </c>
      <c r="M86" s="84"/>
      <c r="N86" s="175"/>
      <c r="O86" s="185">
        <v>381.94</v>
      </c>
      <c r="P86" s="37">
        <v>381.94</v>
      </c>
      <c r="Q86" s="165">
        <v>0</v>
      </c>
      <c r="R86" s="55"/>
      <c r="S86" s="68">
        <v>381.94</v>
      </c>
      <c r="T86" s="212">
        <f t="shared" si="5"/>
        <v>325.5</v>
      </c>
      <c r="U86" s="23">
        <f t="shared" si="6"/>
        <v>-56.44</v>
      </c>
      <c r="V86">
        <v>560</v>
      </c>
      <c r="W86">
        <f t="shared" si="4"/>
        <v>325.5</v>
      </c>
      <c r="X86">
        <v>325.5</v>
      </c>
      <c r="Y86" s="226">
        <f>+X86-S86</f>
        <v>-56.44</v>
      </c>
    </row>
    <row r="87" spans="1:26" s="17" customFormat="1" ht="20.25" thickBot="1">
      <c r="A87" s="4" t="s">
        <v>33</v>
      </c>
      <c r="B87" s="1"/>
      <c r="C87" s="29">
        <v>12.9</v>
      </c>
      <c r="D87" s="29">
        <v>12.9</v>
      </c>
      <c r="E87" s="35"/>
      <c r="F87" s="35"/>
      <c r="G87" s="29">
        <v>12.9</v>
      </c>
      <c r="H87" s="31">
        <v>0</v>
      </c>
      <c r="I87" s="55"/>
      <c r="J87" s="70">
        <v>12.9</v>
      </c>
      <c r="K87" s="82">
        <v>12.9</v>
      </c>
      <c r="L87" s="83">
        <v>0</v>
      </c>
      <c r="M87" s="84"/>
      <c r="N87" s="175"/>
      <c r="O87" s="185">
        <v>12.46</v>
      </c>
      <c r="P87" s="82">
        <v>12.46</v>
      </c>
      <c r="Q87" s="167">
        <v>0</v>
      </c>
      <c r="R87" s="55"/>
      <c r="S87" s="68">
        <v>12.46</v>
      </c>
      <c r="T87" s="212">
        <f t="shared" si="5"/>
        <v>5.5</v>
      </c>
      <c r="U87" s="23">
        <f t="shared" si="6"/>
        <v>-6.960000000000001</v>
      </c>
      <c r="V87">
        <v>580</v>
      </c>
      <c r="W87">
        <f t="shared" si="4"/>
        <v>5.5</v>
      </c>
      <c r="X87">
        <v>12.5</v>
      </c>
      <c r="Y87" s="226">
        <f>+X87-S87</f>
        <v>0.03999999999999915</v>
      </c>
      <c r="Z87" s="220">
        <v>-7</v>
      </c>
    </row>
    <row r="88" spans="1:26" ht="15.75" thickBot="1">
      <c r="A88" s="233"/>
      <c r="B88" s="254" t="s">
        <v>81</v>
      </c>
      <c r="C88" s="255">
        <v>2188.8</v>
      </c>
      <c r="D88" s="255">
        <v>2188.8</v>
      </c>
      <c r="E88" s="257"/>
      <c r="F88" s="257"/>
      <c r="G88" s="255">
        <v>1915.2</v>
      </c>
      <c r="H88" s="258">
        <v>-273.6</v>
      </c>
      <c r="I88" s="238"/>
      <c r="J88" s="259">
        <v>1915.2</v>
      </c>
      <c r="K88" s="260">
        <v>1915.2</v>
      </c>
      <c r="L88" s="264">
        <v>0</v>
      </c>
      <c r="M88" s="242"/>
      <c r="N88" s="262">
        <v>2049.53</v>
      </c>
      <c r="O88" s="263">
        <v>2049.53</v>
      </c>
      <c r="P88" s="260">
        <v>2049.53</v>
      </c>
      <c r="Q88" s="246">
        <v>0</v>
      </c>
      <c r="R88" s="247"/>
      <c r="S88" s="260">
        <v>2049.53</v>
      </c>
      <c r="T88" s="264">
        <f>SUM(T80:T87)</f>
        <v>1873.6</v>
      </c>
      <c r="U88" s="264">
        <f>SUM(U80:U87)</f>
        <v>-175.92999999999986</v>
      </c>
      <c r="V88" s="251"/>
      <c r="W88" s="251">
        <f t="shared" si="4"/>
        <v>-7</v>
      </c>
      <c r="X88" s="251"/>
      <c r="Y88" s="265">
        <f>SUM(Y80:Y87)</f>
        <v>-168.92999999999986</v>
      </c>
      <c r="Z88" s="265">
        <f>SUM(Z80:Z87)</f>
        <v>-7</v>
      </c>
    </row>
    <row r="89" spans="1:25" ht="15">
      <c r="A89" s="4" t="s">
        <v>34</v>
      </c>
      <c r="C89" s="22"/>
      <c r="D89" s="22">
        <v>0</v>
      </c>
      <c r="E89" s="23"/>
      <c r="F89" s="23"/>
      <c r="G89" s="22"/>
      <c r="H89" s="24">
        <v>0</v>
      </c>
      <c r="I89" s="55"/>
      <c r="J89" s="64"/>
      <c r="K89" s="82"/>
      <c r="L89" s="83">
        <v>0</v>
      </c>
      <c r="M89" s="84"/>
      <c r="N89" s="176"/>
      <c r="O89" s="184"/>
      <c r="P89" s="98"/>
      <c r="Q89" s="164"/>
      <c r="R89" s="55"/>
      <c r="S89" s="200"/>
      <c r="T89" s="108"/>
      <c r="U89" s="108"/>
      <c r="V89"/>
      <c r="W89">
        <f t="shared" si="4"/>
        <v>0</v>
      </c>
      <c r="X89"/>
      <c r="Y89" s="226">
        <f>+X89-S89</f>
        <v>0</v>
      </c>
    </row>
    <row r="90" spans="2:25" ht="15">
      <c r="B90" s="1" t="s">
        <v>9</v>
      </c>
      <c r="C90" s="22">
        <v>153.3</v>
      </c>
      <c r="D90" s="22">
        <v>153.3</v>
      </c>
      <c r="E90" s="23"/>
      <c r="F90" s="23"/>
      <c r="G90" s="22">
        <v>151.1</v>
      </c>
      <c r="H90" s="24">
        <v>-2.200000000000017</v>
      </c>
      <c r="I90" s="55"/>
      <c r="J90" s="64">
        <v>151.1</v>
      </c>
      <c r="K90" s="82">
        <v>151.1</v>
      </c>
      <c r="L90" s="83">
        <v>0</v>
      </c>
      <c r="M90" s="84"/>
      <c r="N90" s="175"/>
      <c r="O90" s="185" t="s">
        <v>18</v>
      </c>
      <c r="P90" s="37"/>
      <c r="Q90" s="165"/>
      <c r="R90" s="166"/>
      <c r="S90" s="68">
        <v>0</v>
      </c>
      <c r="T90" s="212">
        <f>+W90</f>
        <v>0</v>
      </c>
      <c r="U90" s="23">
        <f>+T90-S90</f>
        <v>0</v>
      </c>
      <c r="V90"/>
      <c r="W90">
        <f t="shared" si="4"/>
        <v>0</v>
      </c>
      <c r="X90"/>
      <c r="Y90" s="226">
        <f>+X90-S90</f>
        <v>0</v>
      </c>
    </row>
    <row r="91" spans="2:25" ht="15">
      <c r="B91" s="1" t="s">
        <v>10</v>
      </c>
      <c r="C91" s="22">
        <v>239.9</v>
      </c>
      <c r="D91" s="22">
        <v>-0.09999999999999432</v>
      </c>
      <c r="E91" s="23">
        <v>-240</v>
      </c>
      <c r="F91" s="48" t="s">
        <v>52</v>
      </c>
      <c r="G91" s="22"/>
      <c r="H91" s="24">
        <v>0.09999999999999432</v>
      </c>
      <c r="I91" s="55"/>
      <c r="J91" s="64"/>
      <c r="K91" s="82">
        <v>0</v>
      </c>
      <c r="L91" s="83">
        <v>0</v>
      </c>
      <c r="M91" s="84"/>
      <c r="N91" s="175"/>
      <c r="O91" s="185"/>
      <c r="P91" s="37"/>
      <c r="Q91" s="165">
        <v>0</v>
      </c>
      <c r="R91" s="166"/>
      <c r="S91" s="68">
        <v>0</v>
      </c>
      <c r="T91" s="212">
        <f>+W91</f>
        <v>0</v>
      </c>
      <c r="U91" s="23">
        <f>+T91-S91</f>
        <v>0</v>
      </c>
      <c r="V91"/>
      <c r="W91">
        <f t="shared" si="4"/>
        <v>0</v>
      </c>
      <c r="X91"/>
      <c r="Y91" s="226">
        <f>+X91-S91</f>
        <v>0</v>
      </c>
    </row>
    <row r="92" spans="2:25" ht="15">
      <c r="B92" s="1" t="s">
        <v>11</v>
      </c>
      <c r="C92" s="22">
        <v>100</v>
      </c>
      <c r="D92" s="22">
        <v>100</v>
      </c>
      <c r="E92" s="23"/>
      <c r="F92" s="23"/>
      <c r="G92" s="22">
        <v>89.4</v>
      </c>
      <c r="H92" s="24">
        <v>-10.6</v>
      </c>
      <c r="I92" s="55"/>
      <c r="J92" s="64">
        <v>89.4</v>
      </c>
      <c r="K92" s="82">
        <v>89.4</v>
      </c>
      <c r="L92" s="83">
        <v>0</v>
      </c>
      <c r="M92" s="84"/>
      <c r="N92" s="175"/>
      <c r="O92" s="185">
        <v>94.51</v>
      </c>
      <c r="P92" s="37">
        <v>94.51</v>
      </c>
      <c r="Q92" s="165">
        <v>0</v>
      </c>
      <c r="R92" s="166"/>
      <c r="S92" s="68">
        <v>94.51</v>
      </c>
      <c r="T92" s="212">
        <f>+W92</f>
        <v>92.3</v>
      </c>
      <c r="U92" s="23">
        <f>+T92-S92</f>
        <v>-2.210000000000008</v>
      </c>
      <c r="V92">
        <v>613</v>
      </c>
      <c r="W92">
        <f t="shared" si="4"/>
        <v>92.3</v>
      </c>
      <c r="X92">
        <v>92.3</v>
      </c>
      <c r="Y92" s="226">
        <f>+X92-S92</f>
        <v>-2.210000000000008</v>
      </c>
    </row>
    <row r="93" spans="2:25" ht="15">
      <c r="B93" s="1" t="s">
        <v>12</v>
      </c>
      <c r="C93" s="22">
        <v>38.5</v>
      </c>
      <c r="D93" s="22">
        <v>0</v>
      </c>
      <c r="E93" s="23">
        <v>-38.5</v>
      </c>
      <c r="F93" s="48" t="s">
        <v>52</v>
      </c>
      <c r="G93" s="22"/>
      <c r="H93" s="24">
        <v>0</v>
      </c>
      <c r="I93" s="55"/>
      <c r="J93" s="64"/>
      <c r="K93" s="82">
        <v>0</v>
      </c>
      <c r="L93" s="83">
        <v>0</v>
      </c>
      <c r="M93" s="84"/>
      <c r="N93" s="175"/>
      <c r="O93" s="185"/>
      <c r="P93" s="37"/>
      <c r="Q93" s="165">
        <v>0</v>
      </c>
      <c r="R93" s="166"/>
      <c r="S93" s="68">
        <v>0</v>
      </c>
      <c r="T93" s="212">
        <f>+W93</f>
        <v>0</v>
      </c>
      <c r="U93" s="23">
        <f>+T93-S93</f>
        <v>0</v>
      </c>
      <c r="V93"/>
      <c r="W93">
        <f t="shared" si="4"/>
        <v>0</v>
      </c>
      <c r="X93"/>
      <c r="Y93" s="226">
        <f>+X93-S93</f>
        <v>0</v>
      </c>
    </row>
    <row r="94" spans="1:25" ht="15">
      <c r="A94" s="4" t="s">
        <v>35</v>
      </c>
      <c r="C94" s="22"/>
      <c r="D94" s="22">
        <v>0</v>
      </c>
      <c r="E94" s="23"/>
      <c r="F94" s="23"/>
      <c r="G94" s="22"/>
      <c r="H94" s="24">
        <v>0</v>
      </c>
      <c r="I94" s="55"/>
      <c r="J94" s="64"/>
      <c r="K94" s="82"/>
      <c r="L94" s="83">
        <v>0</v>
      </c>
      <c r="M94" s="84"/>
      <c r="N94" s="175"/>
      <c r="O94" s="185"/>
      <c r="P94" s="37"/>
      <c r="Q94" s="165"/>
      <c r="R94" s="166"/>
      <c r="S94" s="200"/>
      <c r="T94" s="108"/>
      <c r="U94" s="108"/>
      <c r="V94"/>
      <c r="W94">
        <f t="shared" si="4"/>
        <v>0</v>
      </c>
      <c r="X94"/>
      <c r="Y94" s="226">
        <f>+X94-S94</f>
        <v>0</v>
      </c>
    </row>
    <row r="95" spans="2:25" ht="15">
      <c r="B95" s="1" t="s">
        <v>13</v>
      </c>
      <c r="C95" s="22">
        <v>224.9</v>
      </c>
      <c r="D95" s="22">
        <v>224.9</v>
      </c>
      <c r="E95" s="23"/>
      <c r="F95" s="23"/>
      <c r="G95" s="22">
        <v>220.9</v>
      </c>
      <c r="H95" s="24">
        <v>-4</v>
      </c>
      <c r="I95" s="55"/>
      <c r="J95" s="64">
        <v>220.9</v>
      </c>
      <c r="K95" s="82">
        <v>220.9</v>
      </c>
      <c r="L95" s="83">
        <v>0</v>
      </c>
      <c r="M95" s="84"/>
      <c r="N95" s="175"/>
      <c r="O95" s="185">
        <v>233.04</v>
      </c>
      <c r="P95" s="37">
        <v>233.04</v>
      </c>
      <c r="Q95" s="165">
        <v>0</v>
      </c>
      <c r="R95" s="166"/>
      <c r="S95" s="68">
        <v>233.04</v>
      </c>
      <c r="T95" s="212">
        <f>+W95</f>
        <v>229</v>
      </c>
      <c r="U95" s="23">
        <f>+T95-S95</f>
        <v>-4.039999999999992</v>
      </c>
      <c r="V95">
        <v>621</v>
      </c>
      <c r="W95">
        <f t="shared" si="4"/>
        <v>229</v>
      </c>
      <c r="X95">
        <v>229</v>
      </c>
      <c r="Y95" s="226">
        <f>+X95-S95</f>
        <v>-4.039999999999992</v>
      </c>
    </row>
    <row r="96" spans="2:25" ht="15">
      <c r="B96" s="1" t="s">
        <v>14</v>
      </c>
      <c r="C96" s="22"/>
      <c r="D96" s="22">
        <v>0</v>
      </c>
      <c r="E96" s="23"/>
      <c r="F96" s="23"/>
      <c r="G96" s="22"/>
      <c r="H96" s="24">
        <v>0</v>
      </c>
      <c r="I96" s="55"/>
      <c r="J96" s="64"/>
      <c r="K96" s="82">
        <v>0</v>
      </c>
      <c r="L96" s="83">
        <v>0</v>
      </c>
      <c r="M96" s="84"/>
      <c r="N96" s="175"/>
      <c r="O96" s="185">
        <v>0</v>
      </c>
      <c r="P96" s="37">
        <v>0</v>
      </c>
      <c r="Q96" s="165">
        <v>0</v>
      </c>
      <c r="R96" s="166"/>
      <c r="S96" s="68">
        <v>0</v>
      </c>
      <c r="T96" s="212">
        <f>+W96</f>
        <v>0</v>
      </c>
      <c r="U96" s="23">
        <f>+T96-S96</f>
        <v>0</v>
      </c>
      <c r="V96">
        <v>622</v>
      </c>
      <c r="W96">
        <f t="shared" si="4"/>
        <v>0</v>
      </c>
      <c r="X96"/>
      <c r="Y96" s="226">
        <f>+X96-S96</f>
        <v>0</v>
      </c>
    </row>
    <row r="97" spans="2:25" ht="15">
      <c r="B97" s="1" t="s">
        <v>15</v>
      </c>
      <c r="C97" s="22">
        <v>222.5</v>
      </c>
      <c r="D97" s="22">
        <v>222.5</v>
      </c>
      <c r="E97" s="23"/>
      <c r="F97" s="23"/>
      <c r="G97" s="22">
        <v>218.7</v>
      </c>
      <c r="H97" s="24">
        <v>-3.8000000000000114</v>
      </c>
      <c r="I97" s="55"/>
      <c r="J97" s="64">
        <v>218.7</v>
      </c>
      <c r="K97" s="82">
        <v>218.7</v>
      </c>
      <c r="L97" s="83">
        <v>0</v>
      </c>
      <c r="M97" s="84"/>
      <c r="N97" s="175"/>
      <c r="O97" s="185">
        <v>230.22</v>
      </c>
      <c r="P97" s="37">
        <v>230.22</v>
      </c>
      <c r="Q97" s="165">
        <v>0</v>
      </c>
      <c r="R97" s="166"/>
      <c r="S97" s="68">
        <v>230.22</v>
      </c>
      <c r="T97" s="212">
        <f>+W97</f>
        <v>226</v>
      </c>
      <c r="U97" s="23">
        <f>+T97-S97</f>
        <v>-4.219999999999999</v>
      </c>
      <c r="V97">
        <v>623</v>
      </c>
      <c r="W97">
        <f t="shared" si="4"/>
        <v>226</v>
      </c>
      <c r="X97">
        <v>226</v>
      </c>
      <c r="Y97" s="226">
        <f>+X97-S97</f>
        <v>-4.219999999999999</v>
      </c>
    </row>
    <row r="98" spans="3:25" ht="15">
      <c r="C98" s="22"/>
      <c r="D98" s="22">
        <v>0</v>
      </c>
      <c r="E98" s="23"/>
      <c r="F98" s="23"/>
      <c r="G98" s="22"/>
      <c r="H98" s="24">
        <v>0</v>
      </c>
      <c r="I98" s="55"/>
      <c r="J98" s="64"/>
      <c r="K98" s="82"/>
      <c r="L98" s="83">
        <v>0</v>
      </c>
      <c r="M98" s="84"/>
      <c r="N98" s="176"/>
      <c r="O98" s="184"/>
      <c r="P98" s="125"/>
      <c r="Q98" s="164"/>
      <c r="R98" s="166"/>
      <c r="S98" s="200"/>
      <c r="T98" s="108"/>
      <c r="U98" s="108"/>
      <c r="V98"/>
      <c r="W98">
        <f t="shared" si="4"/>
        <v>0</v>
      </c>
      <c r="X98"/>
      <c r="Y98" s="226">
        <f>+X98-S98</f>
        <v>0</v>
      </c>
    </row>
    <row r="99" spans="1:25" ht="15">
      <c r="A99" s="4" t="s">
        <v>36</v>
      </c>
      <c r="C99" s="22">
        <v>122.7</v>
      </c>
      <c r="D99" s="22">
        <v>122.7</v>
      </c>
      <c r="E99" s="23"/>
      <c r="F99" s="23"/>
      <c r="G99" s="22">
        <v>103.5</v>
      </c>
      <c r="H99" s="24">
        <v>-19.2</v>
      </c>
      <c r="I99" s="55"/>
      <c r="J99" s="64">
        <v>103.5</v>
      </c>
      <c r="K99" s="82">
        <v>103.5</v>
      </c>
      <c r="L99" s="83">
        <v>0</v>
      </c>
      <c r="M99" s="84"/>
      <c r="N99" s="175"/>
      <c r="O99" s="185">
        <v>109.3</v>
      </c>
      <c r="P99" s="37">
        <v>109.3</v>
      </c>
      <c r="Q99" s="165">
        <v>0</v>
      </c>
      <c r="R99" s="55"/>
      <c r="S99" s="68">
        <v>109.3</v>
      </c>
      <c r="T99" s="212">
        <f>+W99</f>
        <v>106.9</v>
      </c>
      <c r="U99" s="23">
        <f>+T99-S99</f>
        <v>-2.3999999999999915</v>
      </c>
      <c r="V99">
        <v>630</v>
      </c>
      <c r="W99">
        <f t="shared" si="4"/>
        <v>106.9</v>
      </c>
      <c r="X99">
        <v>106.9</v>
      </c>
      <c r="Y99" s="226">
        <f>+X99-S99</f>
        <v>-2.3999999999999915</v>
      </c>
    </row>
    <row r="100" spans="1:25" ht="15">
      <c r="A100" s="4" t="s">
        <v>37</v>
      </c>
      <c r="C100" s="22"/>
      <c r="D100" s="22">
        <v>0</v>
      </c>
      <c r="E100" s="23"/>
      <c r="F100" s="23"/>
      <c r="G100" s="22"/>
      <c r="H100" s="24">
        <v>0</v>
      </c>
      <c r="I100" s="55"/>
      <c r="J100" s="64"/>
      <c r="K100" s="82"/>
      <c r="L100" s="83">
        <v>0</v>
      </c>
      <c r="M100" s="84"/>
      <c r="N100" s="176"/>
      <c r="O100" s="184"/>
      <c r="P100" s="125"/>
      <c r="Q100" s="164"/>
      <c r="R100" s="55"/>
      <c r="S100" s="200"/>
      <c r="T100" s="108"/>
      <c r="U100" s="108"/>
      <c r="V100"/>
      <c r="W100">
        <f t="shared" si="4"/>
        <v>0</v>
      </c>
      <c r="X100"/>
      <c r="Y100" s="226">
        <f>+X100-S100</f>
        <v>0</v>
      </c>
    </row>
    <row r="101" spans="2:25" ht="15">
      <c r="B101" s="1" t="s">
        <v>10</v>
      </c>
      <c r="C101" s="22">
        <v>9.4</v>
      </c>
      <c r="D101" s="22">
        <v>9.4</v>
      </c>
      <c r="E101" s="23"/>
      <c r="F101" s="23"/>
      <c r="G101" s="22">
        <v>9.4</v>
      </c>
      <c r="H101" s="24">
        <v>0</v>
      </c>
      <c r="I101" s="55"/>
      <c r="J101" s="64">
        <v>9.4</v>
      </c>
      <c r="K101" s="82">
        <v>9.4</v>
      </c>
      <c r="L101" s="83">
        <v>0</v>
      </c>
      <c r="M101" s="84"/>
      <c r="N101" s="175"/>
      <c r="O101" s="185">
        <v>9.38</v>
      </c>
      <c r="P101" s="37">
        <v>9.38</v>
      </c>
      <c r="Q101" s="165">
        <v>0</v>
      </c>
      <c r="R101" s="55"/>
      <c r="S101" s="68">
        <v>9.38</v>
      </c>
      <c r="T101" s="212">
        <f>+W101</f>
        <v>9.4</v>
      </c>
      <c r="U101" s="23">
        <f>+T101-S101</f>
        <v>0.019999999999999574</v>
      </c>
      <c r="V101">
        <v>612</v>
      </c>
      <c r="W101">
        <f t="shared" si="4"/>
        <v>9.4</v>
      </c>
      <c r="X101">
        <v>9.4</v>
      </c>
      <c r="Y101" s="226">
        <f>+X101-S101</f>
        <v>0.019999999999999574</v>
      </c>
    </row>
    <row r="102" spans="1:26" s="17" customFormat="1" ht="20.25" thickBot="1">
      <c r="A102" s="4"/>
      <c r="B102" s="1" t="s">
        <v>16</v>
      </c>
      <c r="C102" s="29">
        <v>32.2</v>
      </c>
      <c r="D102" s="29">
        <v>32.2</v>
      </c>
      <c r="E102" s="35">
        <v>0</v>
      </c>
      <c r="F102" s="35"/>
      <c r="G102" s="29">
        <v>32.2</v>
      </c>
      <c r="H102" s="31">
        <v>0</v>
      </c>
      <c r="I102" s="55"/>
      <c r="J102" s="70">
        <v>32.2</v>
      </c>
      <c r="K102" s="82">
        <v>32.2</v>
      </c>
      <c r="L102" s="83">
        <v>0</v>
      </c>
      <c r="M102" s="84"/>
      <c r="N102" s="175"/>
      <c r="O102" s="185">
        <v>15</v>
      </c>
      <c r="P102" s="82">
        <v>15</v>
      </c>
      <c r="Q102" s="167">
        <v>0</v>
      </c>
      <c r="R102" s="55"/>
      <c r="S102" s="68">
        <v>15</v>
      </c>
      <c r="T102" s="212">
        <f>+W102</f>
        <v>15</v>
      </c>
      <c r="U102" s="23">
        <f>+T102-S102</f>
        <v>0</v>
      </c>
      <c r="V102">
        <v>650</v>
      </c>
      <c r="W102">
        <f t="shared" si="4"/>
        <v>15</v>
      </c>
      <c r="X102">
        <v>15</v>
      </c>
      <c r="Y102" s="226">
        <f>+X102-S102</f>
        <v>0</v>
      </c>
      <c r="Z102" s="220"/>
    </row>
    <row r="103" spans="1:26" ht="15.75" thickBot="1">
      <c r="A103" s="233"/>
      <c r="B103" s="254" t="s">
        <v>82</v>
      </c>
      <c r="C103" s="255">
        <v>1143.4</v>
      </c>
      <c r="D103" s="255">
        <v>864.9</v>
      </c>
      <c r="E103" s="256">
        <v>-278.5</v>
      </c>
      <c r="F103" s="257"/>
      <c r="G103" s="255">
        <v>825.2</v>
      </c>
      <c r="H103" s="258">
        <v>-39.7</v>
      </c>
      <c r="I103" s="238"/>
      <c r="J103" s="259">
        <v>825.2</v>
      </c>
      <c r="K103" s="260">
        <v>825.2</v>
      </c>
      <c r="L103" s="264">
        <v>0</v>
      </c>
      <c r="M103" s="242"/>
      <c r="N103" s="262">
        <v>842</v>
      </c>
      <c r="O103" s="263">
        <v>691.45</v>
      </c>
      <c r="P103" s="260">
        <v>691.45</v>
      </c>
      <c r="Q103" s="246">
        <v>0</v>
      </c>
      <c r="R103" s="247"/>
      <c r="S103" s="260">
        <v>691.45</v>
      </c>
      <c r="T103" s="264">
        <f>SUM(T89:T102)</f>
        <v>678.5999999999999</v>
      </c>
      <c r="U103" s="264">
        <f>SUM(U89:U102)</f>
        <v>-12.84999999999999</v>
      </c>
      <c r="V103" s="251"/>
      <c r="W103" s="251">
        <f t="shared" si="4"/>
        <v>0</v>
      </c>
      <c r="X103" s="251"/>
      <c r="Y103" s="252">
        <f>SUM(Y89:Y102)</f>
        <v>-12.84999999999999</v>
      </c>
      <c r="Z103" s="252">
        <f>SUM(Z89:Z102)</f>
        <v>0</v>
      </c>
    </row>
    <row r="104" spans="1:25" ht="15">
      <c r="A104" s="4" t="s">
        <v>38</v>
      </c>
      <c r="C104" s="22">
        <v>32.2</v>
      </c>
      <c r="D104" s="22">
        <v>32.2</v>
      </c>
      <c r="E104" s="23"/>
      <c r="F104" s="23"/>
      <c r="G104" s="22">
        <v>32.2</v>
      </c>
      <c r="H104" s="24">
        <v>0</v>
      </c>
      <c r="I104" s="55"/>
      <c r="J104" s="64">
        <v>32.2</v>
      </c>
      <c r="K104" s="82">
        <v>32.2</v>
      </c>
      <c r="L104" s="83">
        <v>0</v>
      </c>
      <c r="M104" s="84"/>
      <c r="N104" s="175"/>
      <c r="O104" s="185">
        <v>32.15</v>
      </c>
      <c r="P104" s="37">
        <v>32.15</v>
      </c>
      <c r="Q104" s="165">
        <v>0</v>
      </c>
      <c r="R104" s="55"/>
      <c r="S104" s="68">
        <v>32.15</v>
      </c>
      <c r="T104" s="212">
        <f>+W104</f>
        <v>32.2</v>
      </c>
      <c r="U104" s="23">
        <f aca="true" t="shared" si="7" ref="U104:U113">+T104-S104</f>
        <v>0.05000000000000426</v>
      </c>
      <c r="V104">
        <v>710</v>
      </c>
      <c r="W104">
        <f t="shared" si="4"/>
        <v>32.2</v>
      </c>
      <c r="X104">
        <v>32.2</v>
      </c>
      <c r="Y104" s="226">
        <f>+X104-S104</f>
        <v>0.05000000000000426</v>
      </c>
    </row>
    <row r="105" spans="1:25" ht="15">
      <c r="A105" s="4" t="s">
        <v>39</v>
      </c>
      <c r="C105" s="22">
        <v>48.8</v>
      </c>
      <c r="D105" s="22">
        <v>48.8</v>
      </c>
      <c r="E105" s="23"/>
      <c r="F105" s="23"/>
      <c r="G105" s="22">
        <v>50.2</v>
      </c>
      <c r="H105" s="24">
        <v>1.4000000000000057</v>
      </c>
      <c r="I105" s="55"/>
      <c r="J105" s="64">
        <v>50.2</v>
      </c>
      <c r="K105" s="82">
        <v>50.2</v>
      </c>
      <c r="L105" s="83">
        <v>0</v>
      </c>
      <c r="M105" s="84"/>
      <c r="N105" s="175"/>
      <c r="O105" s="185">
        <v>47.59</v>
      </c>
      <c r="P105" s="37">
        <v>8.09</v>
      </c>
      <c r="Q105" s="165">
        <v>-39.5</v>
      </c>
      <c r="R105" s="55" t="s">
        <v>209</v>
      </c>
      <c r="S105" s="68">
        <v>8.09</v>
      </c>
      <c r="T105" s="212">
        <f>+W105</f>
        <v>9.1</v>
      </c>
      <c r="U105" s="23">
        <f t="shared" si="7"/>
        <v>1.0099999999999998</v>
      </c>
      <c r="V105">
        <v>720</v>
      </c>
      <c r="W105">
        <f t="shared" si="4"/>
        <v>9.1</v>
      </c>
      <c r="X105">
        <v>9.1</v>
      </c>
      <c r="Y105" s="226">
        <f>+X105-S105</f>
        <v>1.0099999999999998</v>
      </c>
    </row>
    <row r="106" spans="1:26" ht="15">
      <c r="A106" s="4" t="s">
        <v>40</v>
      </c>
      <c r="C106" s="22">
        <v>161</v>
      </c>
      <c r="D106" s="22">
        <v>161</v>
      </c>
      <c r="E106" s="23"/>
      <c r="F106" s="23"/>
      <c r="G106" s="22">
        <v>161.3</v>
      </c>
      <c r="H106" s="24">
        <v>0.30000000000001137</v>
      </c>
      <c r="I106" s="55"/>
      <c r="J106" s="64">
        <v>161.3</v>
      </c>
      <c r="K106" s="82">
        <v>161.3</v>
      </c>
      <c r="L106" s="83">
        <v>0</v>
      </c>
      <c r="M106" s="84"/>
      <c r="N106" s="175"/>
      <c r="O106" s="185">
        <v>164.42</v>
      </c>
      <c r="P106" s="37">
        <v>164.42</v>
      </c>
      <c r="Q106" s="165">
        <v>0</v>
      </c>
      <c r="R106" s="55"/>
      <c r="S106" s="68">
        <v>164.42</v>
      </c>
      <c r="T106" s="212">
        <f>+W106</f>
        <v>109.1</v>
      </c>
      <c r="U106" s="23">
        <f t="shared" si="7"/>
        <v>-55.31999999999999</v>
      </c>
      <c r="V106">
        <v>730</v>
      </c>
      <c r="W106">
        <f t="shared" si="4"/>
        <v>109.1</v>
      </c>
      <c r="X106">
        <v>159.1</v>
      </c>
      <c r="Y106" s="226">
        <f>+X106-S106</f>
        <v>-5.319999999999993</v>
      </c>
      <c r="Z106" s="218">
        <v>-50</v>
      </c>
    </row>
    <row r="107" spans="1:25" ht="15">
      <c r="A107" s="4" t="s">
        <v>41</v>
      </c>
      <c r="C107" s="22"/>
      <c r="D107" s="22">
        <v>0</v>
      </c>
      <c r="E107" s="23"/>
      <c r="F107" s="23"/>
      <c r="G107" s="22"/>
      <c r="H107" s="24">
        <v>0</v>
      </c>
      <c r="I107" s="55"/>
      <c r="J107" s="64"/>
      <c r="K107" s="82"/>
      <c r="L107" s="83">
        <v>0</v>
      </c>
      <c r="M107" s="84"/>
      <c r="N107" s="176"/>
      <c r="O107" s="184"/>
      <c r="P107" s="125"/>
      <c r="Q107" s="165">
        <v>0</v>
      </c>
      <c r="R107" s="55"/>
      <c r="S107" s="200"/>
      <c r="T107" s="108"/>
      <c r="U107" s="23">
        <f t="shared" si="7"/>
        <v>0</v>
      </c>
      <c r="V107"/>
      <c r="W107">
        <f t="shared" si="4"/>
        <v>0</v>
      </c>
      <c r="X107"/>
      <c r="Y107" s="226">
        <f>+X107-S107</f>
        <v>0</v>
      </c>
    </row>
    <row r="108" spans="2:26" ht="15">
      <c r="B108" s="1" t="s">
        <v>17</v>
      </c>
      <c r="C108" s="22">
        <v>148</v>
      </c>
      <c r="D108" s="22">
        <v>148</v>
      </c>
      <c r="E108" s="23"/>
      <c r="F108" s="23"/>
      <c r="G108" s="52">
        <v>152.55</v>
      </c>
      <c r="H108" s="24">
        <v>4.550000000000011</v>
      </c>
      <c r="I108" s="55"/>
      <c r="J108" s="65">
        <v>152.55</v>
      </c>
      <c r="K108" s="82">
        <v>152.55</v>
      </c>
      <c r="L108" s="83">
        <v>0</v>
      </c>
      <c r="M108" s="84"/>
      <c r="N108" s="175"/>
      <c r="O108" s="185">
        <v>152.71</v>
      </c>
      <c r="P108" s="37">
        <v>152.71</v>
      </c>
      <c r="Q108" s="165">
        <v>0</v>
      </c>
      <c r="R108" s="55"/>
      <c r="S108" s="68">
        <v>152.71</v>
      </c>
      <c r="T108" s="212">
        <f>+W108</f>
        <v>335.8</v>
      </c>
      <c r="U108" s="23">
        <f t="shared" si="7"/>
        <v>183.09</v>
      </c>
      <c r="V108">
        <v>740</v>
      </c>
      <c r="W108">
        <f t="shared" si="4"/>
        <v>335.8</v>
      </c>
      <c r="X108">
        <v>157.8</v>
      </c>
      <c r="Y108" s="226">
        <f>+X108-S108</f>
        <v>5.090000000000003</v>
      </c>
      <c r="Z108" s="218">
        <v>178</v>
      </c>
    </row>
    <row r="109" spans="2:25" ht="15">
      <c r="B109" s="1" t="s">
        <v>186</v>
      </c>
      <c r="C109" s="22">
        <v>281.6</v>
      </c>
      <c r="D109" s="22">
        <v>281.6</v>
      </c>
      <c r="E109" s="23"/>
      <c r="F109" s="23"/>
      <c r="G109" s="52">
        <v>281.57</v>
      </c>
      <c r="H109" s="24">
        <v>-0.03000000000002956</v>
      </c>
      <c r="I109" s="55"/>
      <c r="J109" s="65">
        <v>281.57</v>
      </c>
      <c r="K109" s="82">
        <v>281.57</v>
      </c>
      <c r="L109" s="83">
        <v>0</v>
      </c>
      <c r="M109" s="84"/>
      <c r="N109" s="175"/>
      <c r="O109" s="185">
        <v>312.58</v>
      </c>
      <c r="P109" s="37">
        <v>312.58</v>
      </c>
      <c r="Q109" s="165">
        <v>0</v>
      </c>
      <c r="R109" s="55"/>
      <c r="S109" s="68">
        <v>312.58</v>
      </c>
      <c r="T109" s="212">
        <f>+W109</f>
        <v>312.6</v>
      </c>
      <c r="U109" s="23">
        <f t="shared" si="7"/>
        <v>0.020000000000038654</v>
      </c>
      <c r="V109">
        <v>741</v>
      </c>
      <c r="W109">
        <f t="shared" si="4"/>
        <v>312.6</v>
      </c>
      <c r="X109">
        <v>312.6</v>
      </c>
      <c r="Y109" s="226">
        <f>+X109-S109</f>
        <v>0.020000000000038654</v>
      </c>
    </row>
    <row r="110" spans="2:25" ht="15">
      <c r="B110" s="1" t="s">
        <v>187</v>
      </c>
      <c r="C110" s="22">
        <v>1194.2</v>
      </c>
      <c r="D110" s="22">
        <v>1194.2</v>
      </c>
      <c r="E110" s="23"/>
      <c r="F110" s="23"/>
      <c r="G110" s="52">
        <v>1068.15</v>
      </c>
      <c r="H110" s="24">
        <v>-126.05</v>
      </c>
      <c r="I110" s="55"/>
      <c r="J110" s="65">
        <v>1068.15</v>
      </c>
      <c r="K110" s="82">
        <v>1068.15</v>
      </c>
      <c r="L110" s="83">
        <v>0</v>
      </c>
      <c r="M110" s="84"/>
      <c r="N110" s="175"/>
      <c r="O110" s="185">
        <v>1099.47</v>
      </c>
      <c r="P110" s="37">
        <v>1099.47</v>
      </c>
      <c r="Q110" s="165">
        <v>0</v>
      </c>
      <c r="R110" s="55"/>
      <c r="S110" s="68">
        <v>1099.47</v>
      </c>
      <c r="T110" s="212">
        <f>+W110</f>
        <v>1104.8</v>
      </c>
      <c r="U110" s="23">
        <f t="shared" si="7"/>
        <v>5.329999999999927</v>
      </c>
      <c r="V110">
        <v>742</v>
      </c>
      <c r="W110">
        <f t="shared" si="4"/>
        <v>1104.8</v>
      </c>
      <c r="X110">
        <v>1104.8</v>
      </c>
      <c r="Y110" s="226">
        <f>+X110-S110</f>
        <v>5.329999999999927</v>
      </c>
    </row>
    <row r="111" spans="1:25" ht="15">
      <c r="A111" s="4" t="s">
        <v>42</v>
      </c>
      <c r="C111" s="22"/>
      <c r="D111" s="22">
        <v>0</v>
      </c>
      <c r="E111" s="23"/>
      <c r="F111" s="23"/>
      <c r="G111" s="22"/>
      <c r="H111" s="24">
        <v>0</v>
      </c>
      <c r="I111" s="55"/>
      <c r="J111" s="64"/>
      <c r="K111" s="82">
        <v>0</v>
      </c>
      <c r="L111" s="83">
        <v>0</v>
      </c>
      <c r="M111" s="84"/>
      <c r="N111" s="176"/>
      <c r="O111" s="184"/>
      <c r="P111" s="125"/>
      <c r="Q111" s="165">
        <v>0</v>
      </c>
      <c r="R111" s="55"/>
      <c r="S111" s="200"/>
      <c r="T111" s="108"/>
      <c r="U111" s="23">
        <f t="shared" si="7"/>
        <v>0</v>
      </c>
      <c r="V111"/>
      <c r="W111">
        <f t="shared" si="4"/>
        <v>0</v>
      </c>
      <c r="X111"/>
      <c r="Y111" s="226">
        <f>+X111-S111</f>
        <v>0</v>
      </c>
    </row>
    <row r="112" spans="2:25" ht="15">
      <c r="B112" s="1" t="s">
        <v>188</v>
      </c>
      <c r="C112" s="22">
        <v>2184.9</v>
      </c>
      <c r="D112" s="22">
        <v>2184.9</v>
      </c>
      <c r="E112" s="23"/>
      <c r="F112" s="23"/>
      <c r="G112" s="52">
        <v>2238.93</v>
      </c>
      <c r="H112" s="24">
        <v>54.029999999999745</v>
      </c>
      <c r="I112" s="55"/>
      <c r="J112" s="65">
        <v>2238.93</v>
      </c>
      <c r="K112" s="82">
        <v>2238.93</v>
      </c>
      <c r="L112" s="83">
        <v>0</v>
      </c>
      <c r="M112" s="84"/>
      <c r="N112" s="175"/>
      <c r="O112" s="185">
        <v>2365.55</v>
      </c>
      <c r="P112" s="37">
        <v>2365.55</v>
      </c>
      <c r="Q112" s="165">
        <v>0</v>
      </c>
      <c r="R112" s="55"/>
      <c r="S112" s="68">
        <v>2365.55</v>
      </c>
      <c r="T112" s="212">
        <f>+W112</f>
        <v>2413.8</v>
      </c>
      <c r="U112" s="23">
        <f t="shared" si="7"/>
        <v>48.25</v>
      </c>
      <c r="V112">
        <v>750</v>
      </c>
      <c r="W112">
        <f t="shared" si="4"/>
        <v>2413.8</v>
      </c>
      <c r="X112">
        <f>2413.8</f>
        <v>2413.8</v>
      </c>
      <c r="Y112" s="226">
        <f>+X112-S112</f>
        <v>48.25</v>
      </c>
    </row>
    <row r="113" spans="1:26" s="17" customFormat="1" ht="20.25" thickBot="1">
      <c r="A113" s="4" t="s">
        <v>43</v>
      </c>
      <c r="B113" s="1"/>
      <c r="C113" s="29">
        <v>223.7</v>
      </c>
      <c r="D113" s="29">
        <v>223.7</v>
      </c>
      <c r="E113" s="35"/>
      <c r="F113" s="35"/>
      <c r="G113" s="54">
        <v>222.99</v>
      </c>
      <c r="H113" s="31">
        <v>-0.7099999999999795</v>
      </c>
      <c r="I113" s="55"/>
      <c r="J113" s="71">
        <v>222.99</v>
      </c>
      <c r="K113" s="82">
        <v>222.99</v>
      </c>
      <c r="L113" s="83">
        <v>0</v>
      </c>
      <c r="M113" s="84"/>
      <c r="N113" s="175"/>
      <c r="O113" s="185">
        <v>238.25</v>
      </c>
      <c r="P113" s="82">
        <v>238.25</v>
      </c>
      <c r="Q113" s="167">
        <v>0</v>
      </c>
      <c r="R113" s="55"/>
      <c r="S113" s="68">
        <v>238.25</v>
      </c>
      <c r="T113" s="212">
        <f>+W113</f>
        <v>237.8</v>
      </c>
      <c r="U113" s="23">
        <f t="shared" si="7"/>
        <v>-0.44999999999998863</v>
      </c>
      <c r="V113">
        <v>760</v>
      </c>
      <c r="W113">
        <f t="shared" si="4"/>
        <v>237.8</v>
      </c>
      <c r="X113">
        <v>237.8</v>
      </c>
      <c r="Y113" s="226">
        <f>+X113-S113</f>
        <v>-0.44999999999998863</v>
      </c>
      <c r="Z113" s="220"/>
    </row>
    <row r="114" spans="1:26" ht="15.75" thickBot="1">
      <c r="A114" s="233"/>
      <c r="B114" s="254" t="s">
        <v>83</v>
      </c>
      <c r="C114" s="255">
        <v>4274.4</v>
      </c>
      <c r="D114" s="255">
        <v>4274.4</v>
      </c>
      <c r="E114" s="257"/>
      <c r="F114" s="257"/>
      <c r="G114" s="255">
        <v>4207.89</v>
      </c>
      <c r="H114" s="258">
        <v>-66.51000000000019</v>
      </c>
      <c r="I114" s="238"/>
      <c r="J114" s="259">
        <v>4207.89</v>
      </c>
      <c r="K114" s="260">
        <v>4207.89</v>
      </c>
      <c r="L114" s="264">
        <v>0</v>
      </c>
      <c r="M114" s="242"/>
      <c r="N114" s="262">
        <v>4412.72</v>
      </c>
      <c r="O114" s="263">
        <v>4412.72</v>
      </c>
      <c r="P114" s="260">
        <v>4373.22</v>
      </c>
      <c r="Q114" s="246">
        <v>-39.5</v>
      </c>
      <c r="R114" s="247"/>
      <c r="S114" s="260">
        <v>4373.22</v>
      </c>
      <c r="T114" s="264">
        <f>SUM(T104:T113)</f>
        <v>4555.2</v>
      </c>
      <c r="U114" s="264">
        <f>SUM(U104:U113)</f>
        <v>181.98</v>
      </c>
      <c r="V114" s="251"/>
      <c r="W114" s="251">
        <f t="shared" si="4"/>
        <v>128</v>
      </c>
      <c r="X114" s="251"/>
      <c r="Y114" s="252">
        <f>SUM(Y104:Y113)</f>
        <v>53.97999999999999</v>
      </c>
      <c r="Z114" s="252">
        <f>SUM(Z104:Z113)</f>
        <v>128</v>
      </c>
    </row>
    <row r="115" spans="1:26" ht="15">
      <c r="A115" s="4" t="s">
        <v>44</v>
      </c>
      <c r="C115" s="22">
        <v>3556.8</v>
      </c>
      <c r="D115" s="22">
        <v>3556.8</v>
      </c>
      <c r="E115" s="23"/>
      <c r="F115" s="23"/>
      <c r="G115" s="22">
        <v>3450.278</v>
      </c>
      <c r="H115" s="24">
        <v>-106.52200000000039</v>
      </c>
      <c r="I115" s="55" t="s">
        <v>73</v>
      </c>
      <c r="J115" s="64">
        <v>3450.278</v>
      </c>
      <c r="K115" s="82">
        <v>3596</v>
      </c>
      <c r="L115" s="91">
        <v>145.7220000000002</v>
      </c>
      <c r="M115" s="84" t="s">
        <v>90</v>
      </c>
      <c r="N115" s="175"/>
      <c r="O115" s="185">
        <v>4508.81</v>
      </c>
      <c r="P115" s="37">
        <v>4508.81</v>
      </c>
      <c r="Q115" s="165">
        <v>0</v>
      </c>
      <c r="R115" s="55"/>
      <c r="S115" s="68">
        <v>4508.81</v>
      </c>
      <c r="T115" s="212">
        <f>+W115</f>
        <v>4452.9</v>
      </c>
      <c r="U115" s="23">
        <f>+T115-S115</f>
        <v>-55.910000000000764</v>
      </c>
      <c r="V115">
        <v>810</v>
      </c>
      <c r="W115">
        <f t="shared" si="4"/>
        <v>4452.9</v>
      </c>
      <c r="X115">
        <v>4442.9</v>
      </c>
      <c r="Y115" s="226">
        <f>+X115-S115</f>
        <v>-65.91000000000076</v>
      </c>
      <c r="Z115" s="218">
        <v>10</v>
      </c>
    </row>
    <row r="116" spans="1:26" ht="15">
      <c r="A116" s="4" t="s">
        <v>45</v>
      </c>
      <c r="B116" s="4"/>
      <c r="C116" s="34">
        <v>4013.7</v>
      </c>
      <c r="D116" s="22">
        <v>4207.5</v>
      </c>
      <c r="E116" s="42">
        <v>193</v>
      </c>
      <c r="F116" s="48" t="s">
        <v>57</v>
      </c>
      <c r="G116" s="22">
        <v>4367.5</v>
      </c>
      <c r="H116" s="24">
        <v>160</v>
      </c>
      <c r="I116" s="55"/>
      <c r="J116" s="64">
        <v>4367.5</v>
      </c>
      <c r="K116" s="82">
        <v>4426</v>
      </c>
      <c r="L116" s="91">
        <v>58.5</v>
      </c>
      <c r="M116" s="84" t="s">
        <v>91</v>
      </c>
      <c r="N116" s="175"/>
      <c r="O116" s="185">
        <v>4885.08</v>
      </c>
      <c r="P116" s="37">
        <v>4885.08</v>
      </c>
      <c r="Q116" s="165">
        <v>0</v>
      </c>
      <c r="R116" s="55"/>
      <c r="S116" s="68">
        <v>4885.08</v>
      </c>
      <c r="T116" s="212">
        <f>+W116</f>
        <v>4904.1</v>
      </c>
      <c r="U116" s="23">
        <f>+T116-S116</f>
        <v>19.020000000000437</v>
      </c>
      <c r="V116">
        <v>820</v>
      </c>
      <c r="W116">
        <f t="shared" si="4"/>
        <v>4904.1</v>
      </c>
      <c r="X116">
        <f>4968.1+1</f>
        <v>4969.1</v>
      </c>
      <c r="Y116" s="226">
        <f>+X116-S116</f>
        <v>84.02000000000044</v>
      </c>
      <c r="Z116" s="218">
        <v>-65</v>
      </c>
    </row>
    <row r="117" spans="1:25" ht="15">
      <c r="A117" s="4" t="s">
        <v>46</v>
      </c>
      <c r="C117" s="22">
        <v>412.2</v>
      </c>
      <c r="D117" s="22">
        <v>412.2</v>
      </c>
      <c r="E117" s="23"/>
      <c r="F117" s="23"/>
      <c r="G117" s="22">
        <v>412.47</v>
      </c>
      <c r="H117" s="24">
        <v>0.27000000000003865</v>
      </c>
      <c r="I117" s="55"/>
      <c r="J117" s="72">
        <v>470.17</v>
      </c>
      <c r="K117" s="82">
        <v>470.17</v>
      </c>
      <c r="L117" s="83">
        <v>0</v>
      </c>
      <c r="M117" s="84"/>
      <c r="N117" s="175"/>
      <c r="O117" s="185">
        <v>469.93</v>
      </c>
      <c r="P117" s="37">
        <v>469.93</v>
      </c>
      <c r="Q117" s="165">
        <v>0</v>
      </c>
      <c r="R117" s="55"/>
      <c r="S117" s="68">
        <v>469.93</v>
      </c>
      <c r="T117" s="212">
        <f>+W117</f>
        <v>469.9</v>
      </c>
      <c r="U117" s="23">
        <f>+T117-S117</f>
        <v>-0.03000000000002956</v>
      </c>
      <c r="V117">
        <v>840</v>
      </c>
      <c r="W117">
        <f t="shared" si="4"/>
        <v>469.9</v>
      </c>
      <c r="X117">
        <v>469.9</v>
      </c>
      <c r="Y117" s="226">
        <f>+X117-S117</f>
        <v>-0.03000000000002956</v>
      </c>
    </row>
    <row r="118" spans="1:26" s="17" customFormat="1" ht="20.25" thickBot="1">
      <c r="A118" s="4" t="s">
        <v>47</v>
      </c>
      <c r="B118" s="1"/>
      <c r="C118" s="29">
        <v>1220.1</v>
      </c>
      <c r="D118" s="29">
        <v>1220.1</v>
      </c>
      <c r="E118" s="35">
        <v>0</v>
      </c>
      <c r="F118" s="35"/>
      <c r="G118" s="29">
        <v>1220.68</v>
      </c>
      <c r="H118" s="31">
        <v>0.5800000000001546</v>
      </c>
      <c r="I118" s="55"/>
      <c r="J118" s="70">
        <v>1220.68</v>
      </c>
      <c r="K118" s="82">
        <v>1220.68</v>
      </c>
      <c r="L118" s="83">
        <v>0</v>
      </c>
      <c r="M118" s="84"/>
      <c r="N118" s="175"/>
      <c r="O118" s="185">
        <v>1189.18</v>
      </c>
      <c r="P118" s="82">
        <v>1189.18</v>
      </c>
      <c r="Q118" s="167">
        <v>0</v>
      </c>
      <c r="R118" s="55"/>
      <c r="S118" s="68">
        <v>1189.18</v>
      </c>
      <c r="T118" s="212">
        <f>+W118</f>
        <v>1197.7</v>
      </c>
      <c r="U118" s="23">
        <f>+T118-S118</f>
        <v>8.519999999999982</v>
      </c>
      <c r="V118">
        <v>850</v>
      </c>
      <c r="W118">
        <f t="shared" si="4"/>
        <v>1197.7</v>
      </c>
      <c r="X118">
        <v>1197.7</v>
      </c>
      <c r="Y118" s="226">
        <f>+X118-S118</f>
        <v>8.519999999999982</v>
      </c>
      <c r="Z118" s="220"/>
    </row>
    <row r="119" spans="1:28" s="17" customFormat="1" ht="15.75" thickBot="1">
      <c r="A119" s="233"/>
      <c r="B119" s="254" t="s">
        <v>84</v>
      </c>
      <c r="C119" s="255">
        <v>9202.8</v>
      </c>
      <c r="D119" s="255">
        <v>9396.6</v>
      </c>
      <c r="E119" s="256">
        <v>193</v>
      </c>
      <c r="F119" s="257"/>
      <c r="G119" s="255">
        <v>9450.928</v>
      </c>
      <c r="H119" s="258">
        <v>54.327999999999804</v>
      </c>
      <c r="I119" s="238"/>
      <c r="J119" s="259">
        <v>9508.628</v>
      </c>
      <c r="K119" s="260">
        <v>9712.85</v>
      </c>
      <c r="L119" s="261">
        <v>204.2220000000002</v>
      </c>
      <c r="M119" s="242"/>
      <c r="N119" s="262">
        <v>11160.2</v>
      </c>
      <c r="O119" s="263">
        <v>11053</v>
      </c>
      <c r="P119" s="260">
        <v>11053</v>
      </c>
      <c r="Q119" s="246">
        <v>0</v>
      </c>
      <c r="R119" s="247"/>
      <c r="S119" s="260">
        <v>11053</v>
      </c>
      <c r="T119" s="264">
        <f>SUM(T115:T118)</f>
        <v>11024.6</v>
      </c>
      <c r="U119" s="264">
        <f>SUM(U115:U118)</f>
        <v>-28.400000000000375</v>
      </c>
      <c r="V119" s="251"/>
      <c r="W119" s="251">
        <f t="shared" si="4"/>
        <v>-55</v>
      </c>
      <c r="X119" s="251"/>
      <c r="Y119" s="252">
        <f>SUM(Y115:Y118)</f>
        <v>26.599999999999625</v>
      </c>
      <c r="Z119" s="252">
        <f>SUM(Z115:Z118)</f>
        <v>-55</v>
      </c>
      <c r="AB119" s="221">
        <f>SUM(T119,T120)</f>
        <v>12633</v>
      </c>
    </row>
    <row r="120" spans="1:26" ht="15.75" thickBot="1">
      <c r="A120" s="233" t="s">
        <v>189</v>
      </c>
      <c r="B120" s="234"/>
      <c r="C120" s="235">
        <v>983.3</v>
      </c>
      <c r="D120" s="235">
        <v>983.3</v>
      </c>
      <c r="E120" s="236"/>
      <c r="F120" s="236"/>
      <c r="G120" s="235">
        <v>1128.6</v>
      </c>
      <c r="H120" s="237">
        <v>145.3</v>
      </c>
      <c r="I120" s="238" t="s">
        <v>61</v>
      </c>
      <c r="J120" s="239">
        <v>1128.6</v>
      </c>
      <c r="K120" s="240">
        <v>1128.6</v>
      </c>
      <c r="L120" s="241">
        <v>0</v>
      </c>
      <c r="M120" s="242"/>
      <c r="N120" s="243">
        <v>1576.89</v>
      </c>
      <c r="O120" s="244">
        <v>1576.89</v>
      </c>
      <c r="P120" s="245">
        <v>1576.89</v>
      </c>
      <c r="Q120" s="246">
        <v>0</v>
      </c>
      <c r="R120" s="247"/>
      <c r="S120" s="248">
        <v>1576.89</v>
      </c>
      <c r="T120" s="249">
        <f>+W120</f>
        <v>1608.4</v>
      </c>
      <c r="U120" s="250">
        <f>+T120-S120</f>
        <v>31.50999999999999</v>
      </c>
      <c r="V120" s="251" t="s">
        <v>218</v>
      </c>
      <c r="W120" s="251">
        <f t="shared" si="4"/>
        <v>1608.4</v>
      </c>
      <c r="X120" s="251">
        <v>1552.4</v>
      </c>
      <c r="Y120" s="252">
        <f>+X120-S120</f>
        <v>-24.49000000000001</v>
      </c>
      <c r="Z120" s="253">
        <v>56</v>
      </c>
    </row>
    <row r="121" spans="1:26" s="17" customFormat="1" ht="15">
      <c r="A121" s="4"/>
      <c r="B121" s="1"/>
      <c r="C121" s="22"/>
      <c r="D121" s="22">
        <v>0</v>
      </c>
      <c r="E121" s="23"/>
      <c r="F121" s="23"/>
      <c r="G121" s="22"/>
      <c r="H121" s="24">
        <v>0</v>
      </c>
      <c r="I121" s="55"/>
      <c r="J121" s="64"/>
      <c r="K121" s="82"/>
      <c r="L121" s="83">
        <v>0</v>
      </c>
      <c r="M121" s="84"/>
      <c r="N121" s="178"/>
      <c r="O121" s="187"/>
      <c r="P121" s="155"/>
      <c r="Q121" s="164"/>
      <c r="R121" s="191"/>
      <c r="S121" s="201"/>
      <c r="T121" s="196"/>
      <c r="U121" s="196"/>
      <c r="V121"/>
      <c r="W121">
        <f t="shared" si="4"/>
        <v>0</v>
      </c>
      <c r="X121"/>
      <c r="Y121" s="226">
        <f>+X121-S121</f>
        <v>0</v>
      </c>
      <c r="Z121" s="220"/>
    </row>
    <row r="122" spans="1:25" ht="15.75" thickBot="1">
      <c r="A122" s="18" t="s">
        <v>190</v>
      </c>
      <c r="B122" s="17"/>
      <c r="C122" s="19">
        <v>13454.9</v>
      </c>
      <c r="D122" s="19">
        <v>13455</v>
      </c>
      <c r="E122" s="20"/>
      <c r="F122" s="20"/>
      <c r="G122" s="52">
        <v>13052.89</v>
      </c>
      <c r="H122" s="21">
        <v>-402.1100000000006</v>
      </c>
      <c r="I122" s="59"/>
      <c r="J122" s="65">
        <v>12755.89</v>
      </c>
      <c r="K122" s="158">
        <v>11609.547999999999</v>
      </c>
      <c r="L122" s="159">
        <v>-1146.3420000000006</v>
      </c>
      <c r="M122" s="160"/>
      <c r="N122" s="179">
        <v>12804.21</v>
      </c>
      <c r="O122" s="193">
        <v>12804.21</v>
      </c>
      <c r="P122" s="158">
        <v>12766.81</v>
      </c>
      <c r="Q122" s="189">
        <v>-37.399999999999636</v>
      </c>
      <c r="R122" s="190" t="s">
        <v>210</v>
      </c>
      <c r="S122" s="202">
        <v>11969.1</v>
      </c>
      <c r="T122" s="212">
        <f>+W122</f>
        <v>9612</v>
      </c>
      <c r="U122" s="23">
        <f>+T122-S122</f>
        <v>-2357.1000000000004</v>
      </c>
      <c r="V122" t="s">
        <v>219</v>
      </c>
      <c r="W122">
        <v>9612</v>
      </c>
      <c r="X122"/>
      <c r="Y122" s="226"/>
    </row>
    <row r="123" spans="1:25" ht="15.75" thickTop="1">
      <c r="A123" s="18"/>
      <c r="B123" s="17"/>
      <c r="C123" s="19"/>
      <c r="D123" s="19"/>
      <c r="E123" s="20"/>
      <c r="F123" s="20"/>
      <c r="G123" s="52"/>
      <c r="H123" s="21"/>
      <c r="I123" s="59"/>
      <c r="J123" s="65"/>
      <c r="K123" s="82"/>
      <c r="L123" s="91"/>
      <c r="M123" s="88"/>
      <c r="N123" s="175">
        <v>0</v>
      </c>
      <c r="O123" s="185"/>
      <c r="P123" s="82"/>
      <c r="Q123" s="163"/>
      <c r="R123" s="55"/>
      <c r="S123" s="200"/>
      <c r="T123" s="108"/>
      <c r="U123" s="108"/>
      <c r="V123"/>
      <c r="W123">
        <f t="shared" si="4"/>
        <v>0</v>
      </c>
      <c r="X123"/>
      <c r="Y123" s="226"/>
    </row>
    <row r="124" spans="1:25" ht="15">
      <c r="A124" s="4" t="s">
        <v>205</v>
      </c>
      <c r="C124" s="22"/>
      <c r="D124" s="22"/>
      <c r="E124" s="23"/>
      <c r="F124" s="23"/>
      <c r="G124" s="22"/>
      <c r="H124" s="24">
        <v>0</v>
      </c>
      <c r="I124" s="55"/>
      <c r="J124" s="64"/>
      <c r="K124" s="82"/>
      <c r="L124" s="91"/>
      <c r="M124" s="84"/>
      <c r="N124" s="175">
        <v>0</v>
      </c>
      <c r="O124" s="185">
        <v>75</v>
      </c>
      <c r="P124" s="82">
        <v>75</v>
      </c>
      <c r="Q124" s="163">
        <v>0</v>
      </c>
      <c r="R124" s="55"/>
      <c r="S124" s="68">
        <v>75</v>
      </c>
      <c r="T124" s="212">
        <f>+W124</f>
        <v>75</v>
      </c>
      <c r="U124" s="23">
        <f>+T124-S124</f>
        <v>0</v>
      </c>
      <c r="V124" t="s">
        <v>220</v>
      </c>
      <c r="W124">
        <f t="shared" si="4"/>
        <v>75</v>
      </c>
      <c r="X124">
        <v>75</v>
      </c>
      <c r="Y124" s="226"/>
    </row>
    <row r="125" spans="3:27" ht="16.5" thickBot="1">
      <c r="C125" s="16">
        <v>86346</v>
      </c>
      <c r="D125" s="16">
        <v>86345.9</v>
      </c>
      <c r="E125" s="16">
        <v>-0.10000000000582077</v>
      </c>
      <c r="F125" s="49">
        <v>0</v>
      </c>
      <c r="G125" s="16">
        <v>86345.71801</v>
      </c>
      <c r="H125" s="49">
        <v>-0.1819900000009511</v>
      </c>
      <c r="I125" s="61"/>
      <c r="J125" s="73">
        <v>86345.38801</v>
      </c>
      <c r="K125" s="73">
        <v>86345.28801</v>
      </c>
      <c r="L125" s="73">
        <v>-1.2505552149377763E-12</v>
      </c>
      <c r="M125" s="73">
        <v>0</v>
      </c>
      <c r="N125" s="180">
        <v>92322.47</v>
      </c>
      <c r="O125" s="194">
        <v>92401.49</v>
      </c>
      <c r="P125" s="73">
        <v>92401.49</v>
      </c>
      <c r="Q125" s="171">
        <v>0</v>
      </c>
      <c r="R125" s="198"/>
      <c r="S125" s="73">
        <v>92401.39</v>
      </c>
      <c r="T125" s="195">
        <f>SUM(T122:T124,T120,T119,T114,T103,T88,T79,T59,T54,T49)</f>
        <v>92400.7</v>
      </c>
      <c r="U125" s="195">
        <f>SUM(U122:U124,U120,U119,U114,U103,U88,U79,U59,U54,U49)</f>
        <v>-0.37999999999919964</v>
      </c>
      <c r="W125" s="222">
        <f>SUM(W5:W124)</f>
        <v>95321.70000000004</v>
      </c>
      <c r="X125" s="222">
        <f>SUM(X5:X124)</f>
        <v>81195.70000000001</v>
      </c>
      <c r="Y125" s="195">
        <f>SUM(Y122:Y124,Y120,Y119,Y114,Y103,Y88,Y79,Y59,Y54,Y49)</f>
        <v>763.7200000000003</v>
      </c>
      <c r="Z125" s="195">
        <f>SUM(Z122:Z124,Z120,Z119,Z114,Z103,Z88,Z79,Z59,Z54,Z49)</f>
        <v>1592</v>
      </c>
      <c r="AA125" s="2">
        <f>SUM(Y125:Z125)</f>
        <v>2355.7200000000003</v>
      </c>
    </row>
    <row r="126" spans="3:18" ht="12.75">
      <c r="C126" s="2"/>
      <c r="D126" s="2"/>
      <c r="E126" s="2"/>
      <c r="F126" s="2"/>
      <c r="L126" s="89"/>
      <c r="N126" s="181"/>
      <c r="O126" s="188"/>
      <c r="P126" s="81"/>
      <c r="Q126" s="81"/>
      <c r="R126" s="81"/>
    </row>
    <row r="127" spans="3:20" ht="12.75">
      <c r="C127" s="2"/>
      <c r="D127" s="2"/>
      <c r="E127" s="2"/>
      <c r="F127" s="2"/>
      <c r="N127" s="182"/>
      <c r="O127" s="203">
        <v>92.401</v>
      </c>
      <c r="P127" s="93"/>
      <c r="Q127" s="81"/>
      <c r="R127" s="81"/>
      <c r="T127" s="2">
        <f>+T125-T124-T122</f>
        <v>82713.7</v>
      </c>
    </row>
    <row r="128" spans="3:18" ht="12.75">
      <c r="C128" s="2"/>
      <c r="D128" s="2"/>
      <c r="E128" s="2"/>
      <c r="F128" s="2"/>
      <c r="N128" s="181"/>
      <c r="O128" s="203">
        <v>-12.804</v>
      </c>
      <c r="P128" s="81"/>
      <c r="Q128" s="81"/>
      <c r="R128" s="81"/>
    </row>
    <row r="129" spans="3:18" ht="12.75">
      <c r="C129" s="2"/>
      <c r="D129" s="2"/>
      <c r="E129" s="2"/>
      <c r="F129" s="2"/>
      <c r="O129" s="203">
        <v>-31.362</v>
      </c>
      <c r="Q129" s="81"/>
      <c r="R129" s="81"/>
    </row>
    <row r="130" spans="2:18" ht="12.75">
      <c r="B130" s="108"/>
      <c r="O130" s="203">
        <v>48.235</v>
      </c>
      <c r="Q130" s="81"/>
      <c r="R130" s="81"/>
    </row>
    <row r="131" spans="2:18" ht="12.75">
      <c r="B131" s="108"/>
      <c r="O131" s="203">
        <v>-1.3</v>
      </c>
      <c r="Q131" s="81"/>
      <c r="R131" s="81"/>
    </row>
    <row r="132" spans="2:18" ht="15.75">
      <c r="B132" s="204"/>
      <c r="C132" s="205"/>
      <c r="D132" s="205"/>
      <c r="E132" s="205"/>
      <c r="F132" s="205"/>
      <c r="G132" s="206"/>
      <c r="H132" s="205"/>
      <c r="I132" s="207"/>
      <c r="J132" s="206"/>
      <c r="K132" s="206"/>
      <c r="L132" s="205"/>
      <c r="M132" s="207"/>
      <c r="N132" s="208"/>
      <c r="O132" s="209">
        <v>46.935</v>
      </c>
      <c r="Q132" s="81"/>
      <c r="R132" s="81"/>
    </row>
    <row r="133" spans="2:25" ht="15.75">
      <c r="B133" s="204"/>
      <c r="C133" s="205"/>
      <c r="D133" s="205"/>
      <c r="E133" s="205"/>
      <c r="F133" s="205"/>
      <c r="G133" s="206"/>
      <c r="H133" s="205"/>
      <c r="I133" s="207"/>
      <c r="J133" s="206"/>
      <c r="K133" s="206"/>
      <c r="L133" s="205"/>
      <c r="M133" s="207"/>
      <c r="N133" s="208"/>
      <c r="O133" s="209">
        <v>11.969100000000001</v>
      </c>
      <c r="Q133" s="81"/>
      <c r="R133" s="81"/>
      <c r="V133" s="17"/>
      <c r="W133" s="17"/>
      <c r="X133" s="17"/>
      <c r="Y133" s="227"/>
    </row>
    <row r="134" spans="2:18" ht="15.75">
      <c r="B134" s="204"/>
      <c r="C134" s="205"/>
      <c r="D134" s="205"/>
      <c r="E134" s="205"/>
      <c r="F134" s="205"/>
      <c r="G134" s="206"/>
      <c r="H134" s="205"/>
      <c r="I134" s="207"/>
      <c r="J134" s="206"/>
      <c r="K134" s="206"/>
      <c r="L134" s="205"/>
      <c r="M134" s="207"/>
      <c r="N134" s="208"/>
      <c r="O134" s="210">
        <v>0.2550143815915628</v>
      </c>
      <c r="Q134" s="81"/>
      <c r="R134" s="81"/>
    </row>
    <row r="135" spans="17:18" ht="12.75">
      <c r="Q135" s="81"/>
      <c r="R135" s="81"/>
    </row>
    <row r="136" spans="17:18" ht="12.75">
      <c r="Q136" s="81"/>
      <c r="R136" s="81"/>
    </row>
    <row r="137" spans="17:18" ht="12.75">
      <c r="Q137" s="81"/>
      <c r="R137" s="81"/>
    </row>
    <row r="138" spans="17:18" ht="12.75">
      <c r="Q138" s="81"/>
      <c r="R138" s="81"/>
    </row>
    <row r="139" spans="17:18" ht="12.75">
      <c r="Q139" s="81"/>
      <c r="R139" s="81"/>
    </row>
    <row r="140" spans="17:18" ht="12.75">
      <c r="Q140" s="81"/>
      <c r="R140" s="81"/>
    </row>
    <row r="141" spans="17:18" ht="12.75">
      <c r="Q141" s="81"/>
      <c r="R141" s="81"/>
    </row>
    <row r="142" spans="17:18" ht="12.75">
      <c r="Q142" s="81"/>
      <c r="R142" s="81"/>
    </row>
    <row r="143" spans="17:18" ht="12.75">
      <c r="Q143" s="81"/>
      <c r="R143" s="81"/>
    </row>
    <row r="144" spans="17:18" ht="12.75">
      <c r="Q144" s="81"/>
      <c r="R144" s="81"/>
    </row>
    <row r="145" spans="17:18" ht="12.75">
      <c r="Q145" s="81"/>
      <c r="R145" s="81"/>
    </row>
    <row r="146" spans="17:18" ht="12.75">
      <c r="Q146" s="81"/>
      <c r="R146" s="81"/>
    </row>
    <row r="147" spans="17:18" ht="12.75">
      <c r="Q147" s="81"/>
      <c r="R147" s="81"/>
    </row>
    <row r="148" spans="17:25" ht="14.25">
      <c r="Q148" s="81"/>
      <c r="R148" s="81"/>
      <c r="V148" s="17"/>
      <c r="W148" s="17"/>
      <c r="X148" s="17"/>
      <c r="Y148" s="227"/>
    </row>
    <row r="149" spans="17:18" ht="12.75">
      <c r="Q149" s="81"/>
      <c r="R149" s="81"/>
    </row>
    <row r="150" spans="17:18" ht="12.75">
      <c r="Q150" s="81"/>
      <c r="R150" s="81"/>
    </row>
    <row r="151" spans="17:18" ht="12.75">
      <c r="Q151" s="81"/>
      <c r="R151" s="81"/>
    </row>
    <row r="152" spans="17:18" ht="12.75">
      <c r="Q152" s="81"/>
      <c r="R152" s="81"/>
    </row>
    <row r="153" spans="17:18" ht="12.75">
      <c r="Q153" s="81"/>
      <c r="R153" s="81"/>
    </row>
    <row r="154" spans="17:18" ht="12.75">
      <c r="Q154" s="81"/>
      <c r="R154" s="81"/>
    </row>
    <row r="155" spans="17:18" ht="12.75">
      <c r="Q155" s="81"/>
      <c r="R155" s="81"/>
    </row>
    <row r="156" spans="17:18" ht="12.75">
      <c r="Q156" s="81"/>
      <c r="R156" s="81"/>
    </row>
    <row r="157" spans="17:18" ht="12.75">
      <c r="Q157" s="81"/>
      <c r="R157" s="81"/>
    </row>
    <row r="158" spans="17:18" ht="12.75">
      <c r="Q158" s="81"/>
      <c r="R158" s="81"/>
    </row>
    <row r="159" spans="17:25" ht="14.25">
      <c r="Q159" s="81"/>
      <c r="R159" s="81"/>
      <c r="V159" s="17"/>
      <c r="W159" s="17"/>
      <c r="X159" s="17"/>
      <c r="Y159" s="227"/>
    </row>
    <row r="160" spans="17:18" ht="12.75">
      <c r="Q160" s="81"/>
      <c r="R160" s="81"/>
    </row>
    <row r="161" spans="17:18" ht="12.75">
      <c r="Q161" s="81"/>
      <c r="R161" s="81"/>
    </row>
    <row r="162" spans="17:18" ht="12.75">
      <c r="Q162" s="81"/>
      <c r="R162" s="81"/>
    </row>
    <row r="163" spans="17:18" ht="12.75">
      <c r="Q163" s="81"/>
      <c r="R163" s="81"/>
    </row>
    <row r="164" spans="17:25" ht="14.25">
      <c r="Q164" s="81"/>
      <c r="R164" s="81"/>
      <c r="V164" s="17"/>
      <c r="W164" s="17"/>
      <c r="X164" s="17"/>
      <c r="Y164" s="227"/>
    </row>
    <row r="165" spans="17:25" ht="14.25">
      <c r="Q165" s="81"/>
      <c r="R165" s="81"/>
      <c r="V165" s="17"/>
      <c r="W165" s="17"/>
      <c r="X165" s="17"/>
      <c r="Y165" s="227"/>
    </row>
    <row r="166" spans="17:18" ht="12.75">
      <c r="Q166" s="81"/>
      <c r="R166" s="81"/>
    </row>
    <row r="167" spans="17:25" ht="14.25">
      <c r="Q167" s="81"/>
      <c r="R167" s="81"/>
      <c r="V167" s="17"/>
      <c r="W167" s="17"/>
      <c r="X167" s="17"/>
      <c r="Y167" s="227"/>
    </row>
    <row r="168" spans="17:18" ht="12.75">
      <c r="Q168" s="81"/>
      <c r="R168" s="81"/>
    </row>
  </sheetData>
  <printOptions gridLines="1" horizontalCentered="1" verticalCentered="1"/>
  <pageMargins left="0.41" right="0.15" top="0.27" bottom="0.39" header="0.28" footer="0.15"/>
  <pageSetup fitToHeight="2" fitToWidth="1" horizontalDpi="600" verticalDpi="600" orientation="portrait" scale="72" r:id="rId2"/>
  <headerFooter alignWithMargins="0">
    <oddFooter>&amp;R&amp;F      &amp;"Arial,Bold"&amp;14&amp;D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2005-10-24T13:01:10Z</cp:lastPrinted>
  <dcterms:created xsi:type="dcterms:W3CDTF">2004-10-21T11:18:03Z</dcterms:created>
  <dcterms:modified xsi:type="dcterms:W3CDTF">2005-10-24T13:01:17Z</dcterms:modified>
  <cp:category/>
  <cp:version/>
  <cp:contentType/>
  <cp:contentStatus/>
</cp:coreProperties>
</file>