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tabRatio="902" activeTab="1"/>
  </bookViews>
  <sheets>
    <sheet name="Budget Reconciliation" sheetId="1" r:id="rId1"/>
    <sheet name="ECP38 reconciliation" sheetId="2" r:id="rId2"/>
    <sheet name="Budget Summary" sheetId="3" r:id="rId3"/>
    <sheet name="Milestones" sheetId="4" r:id="rId4"/>
    <sheet name="Funding" sheetId="5" r:id="rId5"/>
    <sheet name="wbs2 budgets by fy" sheetId="6" r:id="rId6"/>
  </sheets>
  <definedNames>
    <definedName name="_xlnm.Print_Area" localSheetId="5">'wbs2 budgets by fy'!$D$2:$E$44</definedName>
  </definedNames>
  <calcPr fullCalcOnLoad="1"/>
</workbook>
</file>

<file path=xl/sharedStrings.xml><?xml version="1.0" encoding="utf-8"?>
<sst xmlns="http://schemas.openxmlformats.org/spreadsheetml/2006/main" count="415" uniqueCount="359">
  <si>
    <t>pmb puts and takes</t>
  </si>
  <si>
    <t>contingency puts and takes</t>
  </si>
  <si>
    <t>wbs1</t>
  </si>
  <si>
    <t>wbs13</t>
  </si>
  <si>
    <t>wbs 141</t>
  </si>
  <si>
    <t>wbs142</t>
  </si>
  <si>
    <t>wbs18</t>
  </si>
  <si>
    <t>wbs82</t>
  </si>
  <si>
    <t>red</t>
  </si>
  <si>
    <t>BO (PMB + Cont)</t>
  </si>
  <si>
    <t>Cum PMB</t>
  </si>
  <si>
    <t>CD-1</t>
  </si>
  <si>
    <t>FY03</t>
  </si>
  <si>
    <t>FY04</t>
  </si>
  <si>
    <t>FY05</t>
  </si>
  <si>
    <t>FY06</t>
  </si>
  <si>
    <t>FY07</t>
  </si>
  <si>
    <t>FY08</t>
  </si>
  <si>
    <t>FY09</t>
  </si>
  <si>
    <t>WBS2</t>
  </si>
  <si>
    <t>ACT CODE</t>
  </si>
  <si>
    <t>DESCRIPTION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</si>
  <si>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</si>
  <si>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</si>
  <si>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</si>
  <si>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</si>
  <si>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</si>
  <si>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</si>
  <si>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</si>
  <si>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</si>
  <si>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</si>
  <si>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21 - Fueling Systems</t>
  </si>
  <si>
    <t xml:space="preserve">22 - Torus Vacuum Pumping Systems               </t>
  </si>
  <si>
    <t xml:space="preserve">25 - Neutral Beam Injection System              </t>
  </si>
  <si>
    <t>31 - Magnetic Diagnostics</t>
  </si>
  <si>
    <t xml:space="preserve">36 - Edge and Divertor Diagnostics              </t>
  </si>
  <si>
    <t xml:space="preserve">38 - Electron Beam (EB) Mapping                 </t>
  </si>
  <si>
    <t>39 - Diagnostics Integration</t>
  </si>
  <si>
    <t>41 - AC Power</t>
  </si>
  <si>
    <t>43 - DC Systems</t>
  </si>
  <si>
    <t xml:space="preserve">44 - Control and protection Systems             </t>
  </si>
  <si>
    <t xml:space="preserve">45 - Power System Design and Integration        </t>
  </si>
  <si>
    <t xml:space="preserve">46 - FCPC Building Modifications                </t>
  </si>
  <si>
    <t xml:space="preserve">51 - TCP/IP Infrastructure Systems              </t>
  </si>
  <si>
    <t xml:space="preserve">52 - Central Instrumentation &amp; Control          </t>
  </si>
  <si>
    <t xml:space="preserve">53 - Data Acquisition &amp; Facility Computing      </t>
  </si>
  <si>
    <t xml:space="preserve">54 - Facility Timing &amp; Synchronization          </t>
  </si>
  <si>
    <t>55 - Real Time Plasma &amp; Power</t>
  </si>
  <si>
    <t>56 - Central Safety Interlock</t>
  </si>
  <si>
    <t xml:space="preserve">58 - Central I&amp;C management and Integration     </t>
  </si>
  <si>
    <t>61 - Water Systems</t>
  </si>
  <si>
    <t>62 - Cryogenic Systems</t>
  </si>
  <si>
    <t>63 - Utility Systems</t>
  </si>
  <si>
    <t xml:space="preserve">65 - Facility Systems Integration               </t>
  </si>
  <si>
    <t xml:space="preserve">71 - Shield Wall Seismic Modifications          </t>
  </si>
  <si>
    <t xml:space="preserve">72 - Control Room Refurbishment                 </t>
  </si>
  <si>
    <t xml:space="preserve">73 - Platform Design &amp; Fabrication              </t>
  </si>
  <si>
    <t xml:space="preserve">74 - Machine Assembly Planning and Oversight    </t>
  </si>
  <si>
    <t xml:space="preserve">75 - Test Cell and Basement Assembly Operations </t>
  </si>
  <si>
    <t xml:space="preserve">76 - Tooling Design &amp; Fabrication               </t>
  </si>
  <si>
    <t xml:space="preserve">81 - Project Management and Control             </t>
  </si>
  <si>
    <t>82 - Project Engineering</t>
  </si>
  <si>
    <t>84 - Project Physics</t>
  </si>
  <si>
    <t xml:space="preserve">85 - Integrated Systems Testing                 </t>
  </si>
  <si>
    <t>CC</t>
  </si>
  <si>
    <t>Contingency</t>
  </si>
  <si>
    <t>DD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</si>
  <si>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</si>
  <si>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</si>
  <si>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</si>
  <si>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</si>
  <si>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</si>
  <si>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</si>
  <si>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</si>
  <si>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</si>
  <si>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</si>
  <si>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17 - Cryostat and Base Support Struct</t>
  </si>
  <si>
    <t>19 - Stellarator Core Mgt &amp; Integr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</si>
  <si>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</si>
  <si>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</si>
  <si>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</si>
  <si>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</si>
  <si>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</si>
  <si>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</si>
  <si>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MachAssy</t>
  </si>
  <si>
    <t>8 Project Oversight &amp; Support</t>
  </si>
  <si>
    <t>subtotal</t>
  </si>
  <si>
    <t>TEC =</t>
  </si>
  <si>
    <t>BCWP</t>
  </si>
  <si>
    <t>ACWP</t>
  </si>
  <si>
    <t>BCWR</t>
  </si>
  <si>
    <t>Contingency balance</t>
  </si>
  <si>
    <t>CV</t>
  </si>
  <si>
    <t>FY05 CV</t>
  </si>
  <si>
    <t>Unrecoverable Cost Variances</t>
  </si>
  <si>
    <t>Vacuum Vessel Design incl Title III</t>
  </si>
  <si>
    <t>Modular Coil Winding -Operations</t>
  </si>
  <si>
    <t>VV Hardware</t>
  </si>
  <si>
    <t>Cheaper tubes and insulation</t>
  </si>
  <si>
    <t>re-estimated based on Type C experience</t>
  </si>
  <si>
    <t>Redesign of insulation scheme and cooling tubes</t>
  </si>
  <si>
    <t>Eliminated 350C bakeout of field period assy</t>
  </si>
  <si>
    <t>TF Coil fabrication</t>
  </si>
  <si>
    <t>Facility, Material and winding operation</t>
  </si>
  <si>
    <t>Modular Coil Design for Type A &amp; B incl interface hardware</t>
  </si>
  <si>
    <t>Modular coil-to-coil interface hardware</t>
  </si>
  <si>
    <t>Underestimated cost of shims and high strength bolts</t>
  </si>
  <si>
    <t>Field Period Tooling and Fixturing</t>
  </si>
  <si>
    <t>Only 1 set of fixtures req'd</t>
  </si>
  <si>
    <t>Magnetic Diagnostics</t>
  </si>
  <si>
    <t>MCWF Title III</t>
  </si>
  <si>
    <t>Req'd oversight of contract</t>
  </si>
  <si>
    <t>Plasma Control</t>
  </si>
  <si>
    <t xml:space="preserve">Simplified Plasma Control </t>
  </si>
  <si>
    <t>E-beam mapping</t>
  </si>
  <si>
    <t>Simplified application</t>
  </si>
  <si>
    <t>PF Coil design/fab</t>
  </si>
  <si>
    <t>Use NSTX PF1a coil for central solenoid</t>
  </si>
  <si>
    <t>Trim Coils</t>
  </si>
  <si>
    <t>Other</t>
  </si>
  <si>
    <t>Project Management</t>
  </si>
  <si>
    <t>Revised FY09 ETC Reqmnt</t>
  </si>
  <si>
    <t>135x</t>
  </si>
  <si>
    <t>5x01</t>
  </si>
  <si>
    <t>TF Design</t>
  </si>
  <si>
    <t>TF Design iterations</t>
  </si>
  <si>
    <t>1350/1351</t>
  </si>
  <si>
    <t>TF Fabrication facilities</t>
  </si>
  <si>
    <t>Modular Coil Type C detail design</t>
  </si>
  <si>
    <t>1414/1409</t>
  </si>
  <si>
    <t>Coil test facility fabrication and TRC testing</t>
  </si>
  <si>
    <t>MCWF 1st production casting</t>
  </si>
  <si>
    <t>(part of prototype contract)</t>
  </si>
  <si>
    <t>MCWF contract oversight</t>
  </si>
  <si>
    <t>Cryostat &amp; base support structure prel dsn</t>
  </si>
  <si>
    <t>Test cell electrical power supply</t>
  </si>
  <si>
    <t>4x01</t>
  </si>
  <si>
    <t>Electrical pwr sys DC sys &amp; coil protection</t>
  </si>
  <si>
    <t>Saddle loops and termination box design/fab</t>
  </si>
  <si>
    <t>Dimensional control</t>
  </si>
  <si>
    <t>Simplify design of trim coils</t>
  </si>
  <si>
    <t>re-scheduling and laboratory rate changes</t>
  </si>
  <si>
    <t>wbs 82</t>
  </si>
  <si>
    <t>cv</t>
  </si>
  <si>
    <t>wbs 12</t>
  </si>
  <si>
    <t>wbs 131</t>
  </si>
  <si>
    <t>wbs 132</t>
  </si>
  <si>
    <t>wbs 133</t>
  </si>
  <si>
    <t>wbs 14</t>
  </si>
  <si>
    <t>wbs 18</t>
  </si>
  <si>
    <t>wbs 31</t>
  </si>
  <si>
    <t>wbs 38</t>
  </si>
  <si>
    <t>wbs 81</t>
  </si>
  <si>
    <t>wbs 5x</t>
  </si>
  <si>
    <t>wbs 13</t>
  </si>
  <si>
    <t>wbs 17</t>
  </si>
  <si>
    <t>wbs 74</t>
  </si>
  <si>
    <t>wbs 4</t>
  </si>
  <si>
    <t>PMB</t>
  </si>
  <si>
    <t>Total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</si>
  <si>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</si>
  <si>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</si>
  <si>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</si>
  <si>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</si>
  <si>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</si>
  <si>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</si>
  <si>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</si>
  <si>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Cum BA</t>
  </si>
  <si>
    <t>Cum BO</t>
  </si>
  <si>
    <t>NCSX Milestone Status</t>
  </si>
  <si>
    <t>CD-2</t>
  </si>
  <si>
    <t>Baseline</t>
  </si>
  <si>
    <t>float</t>
  </si>
  <si>
    <t>Forecast</t>
  </si>
  <si>
    <t>Actual</t>
  </si>
  <si>
    <t>master schedule</t>
  </si>
  <si>
    <t xml:space="preserve">Milestone float </t>
  </si>
  <si>
    <t>Level I</t>
  </si>
  <si>
    <t xml:space="preserve">M-0110     </t>
  </si>
  <si>
    <t xml:space="preserve">CD-2                                             </t>
  </si>
  <si>
    <t xml:space="preserve">M-0115     </t>
  </si>
  <si>
    <t xml:space="preserve">CD-3                                             </t>
  </si>
  <si>
    <t xml:space="preserve">1201-500   </t>
  </si>
  <si>
    <t>Level II</t>
  </si>
  <si>
    <t xml:space="preserve">Vacuum Vessel &amp; Modular Coil Prel Dsn Rvw                           </t>
  </si>
  <si>
    <t xml:space="preserve">1403-08    </t>
  </si>
  <si>
    <t xml:space="preserve">Performance Baseline Review                      </t>
  </si>
  <si>
    <t xml:space="preserve">1203-341   </t>
  </si>
  <si>
    <t xml:space="preserve">Conduct VVSA FDR                                 </t>
  </si>
  <si>
    <t xml:space="preserve">1403-51    </t>
  </si>
  <si>
    <t xml:space="preserve">Mod Coil Winding Form Final Design Review        </t>
  </si>
  <si>
    <t>1408-143.1</t>
  </si>
  <si>
    <t>Award MC Conductor Contract</t>
  </si>
  <si>
    <t xml:space="preserve">121-6-9    </t>
  </si>
  <si>
    <t xml:space="preserve">Award VV Production Vendor </t>
  </si>
  <si>
    <t xml:space="preserve">C-081      </t>
  </si>
  <si>
    <t xml:space="preserve">Award MCWF Mfg Contract       </t>
  </si>
  <si>
    <t xml:space="preserve">C-121.1    </t>
  </si>
  <si>
    <t xml:space="preserve">First MCWF Delivered                             </t>
  </si>
  <si>
    <t xml:space="preserve">131-035    </t>
  </si>
  <si>
    <t>Begin TF Coil fabrication activities</t>
  </si>
  <si>
    <t xml:space="preserve">P1-021.1   </t>
  </si>
  <si>
    <t xml:space="preserve">Complete First Mod Coil Fabrication              </t>
  </si>
  <si>
    <t xml:space="preserve">121-038.1  </t>
  </si>
  <si>
    <t xml:space="preserve">Vacuum Vessel Sectors Delivered                          </t>
  </si>
  <si>
    <t xml:space="preserve">C-501B1    </t>
  </si>
  <si>
    <t xml:space="preserve">Last MCWF Delivered                              </t>
  </si>
  <si>
    <t xml:space="preserve">141-036    </t>
  </si>
  <si>
    <t xml:space="preserve">PF Coils  Awarded                                </t>
  </si>
  <si>
    <t>S3P1-101</t>
  </si>
  <si>
    <t xml:space="preserve">Begin Assembly of First Field Period             </t>
  </si>
  <si>
    <t xml:space="preserve">All TF Coils Delivered                           </t>
  </si>
  <si>
    <t>S4P3-115</t>
  </si>
  <si>
    <t xml:space="preserve">Last Field Period Assembled                      </t>
  </si>
  <si>
    <t>7503-250</t>
  </si>
  <si>
    <t xml:space="preserve">Begin Vac Vsl Pumpdown                           </t>
  </si>
  <si>
    <t>7503-330</t>
  </si>
  <si>
    <t xml:space="preserve">Begin Cryostat Installation                      </t>
  </si>
  <si>
    <t xml:space="preserve">730.1250   </t>
  </si>
  <si>
    <t xml:space="preserve">Operational Readiness                            </t>
  </si>
  <si>
    <t xml:space="preserve">920.004    </t>
  </si>
  <si>
    <t xml:space="preserve">Begin Start-up Testing                           </t>
  </si>
  <si>
    <t xml:space="preserve">M-0120     </t>
  </si>
  <si>
    <t xml:space="preserve">CD-4                                             </t>
  </si>
  <si>
    <t xml:space="preserve">1404-109.J </t>
  </si>
  <si>
    <t>Joule</t>
  </si>
  <si>
    <t xml:space="preserve">FY04 JOULE  #1-Authorize Prototype Fab       </t>
  </si>
  <si>
    <t xml:space="preserve">1406-040   </t>
  </si>
  <si>
    <t xml:space="preserve">FY04 JOULE  #2-Begin winding on 3D surface   </t>
  </si>
  <si>
    <t xml:space="preserve">1404-110.J </t>
  </si>
  <si>
    <t xml:space="preserve">FY04 JOULE  #3-Prototype Casting Ready for Machining      </t>
  </si>
  <si>
    <t xml:space="preserve">C-081.1    </t>
  </si>
  <si>
    <t xml:space="preserve">FY04 JOULE  #4  -  CD-3 Readiness            </t>
  </si>
  <si>
    <t xml:space="preserve">FY05 JOULE  #1- VVSA, MCWF and MC Copper Conductor Awarded      </t>
  </si>
  <si>
    <t>1406-017.3</t>
  </si>
  <si>
    <t xml:space="preserve">FY05 JOULE  #2- Cmplt Assy of twisted racetrack    </t>
  </si>
  <si>
    <t>1403-20</t>
  </si>
  <si>
    <t xml:space="preserve">FY05 JOULE  #3- Mod Coil Winding Type C  FDR        </t>
  </si>
  <si>
    <t>P1-011J</t>
  </si>
  <si>
    <t xml:space="preserve">FY05 JOULE  #4- Complete Winding First MC     </t>
  </si>
  <si>
    <t>1351-195x</t>
  </si>
  <si>
    <t>FY06 JOULE  Receive all VVSA and 1/3 of MCWF's</t>
  </si>
  <si>
    <t>P2-041joul</t>
  </si>
  <si>
    <t>mcwf-311</t>
  </si>
  <si>
    <t>FY07 JOULE Complete Winding of 1/2 of Modular Coils</t>
  </si>
  <si>
    <t>Iterative process in conjunction with TRC fabrication.</t>
  </si>
  <si>
    <t>Design time plus materials. Electrical sys debugging.</t>
  </si>
  <si>
    <t>Working with EIO addressing technical reqmnts and schedule.</t>
  </si>
  <si>
    <t>Designer and engineering time underestimated</t>
  </si>
  <si>
    <t>Cryogenic systems debugging and design. Safety design safeguards.</t>
  </si>
  <si>
    <t>House power for test cell.</t>
  </si>
  <si>
    <t>DC systems engineering.</t>
  </si>
  <si>
    <t>CPI</t>
  </si>
  <si>
    <t>Total Budget Change</t>
  </si>
  <si>
    <t>Current Baseline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</si>
  <si>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</si>
  <si>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</si>
  <si>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</si>
  <si>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</si>
  <si>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</si>
  <si>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</si>
  <si>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</si>
  <si>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</si>
  <si>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</si>
  <si>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</si>
  <si>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</si>
  <si>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</si>
  <si>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>Changes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</si>
  <si>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</si>
  <si>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</si>
  <si>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</si>
  <si>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</si>
  <si>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</si>
  <si>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</si>
  <si>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</si>
  <si>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</si>
  <si>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</si>
  <si>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</si>
  <si>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</si>
  <si>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</si>
  <si>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</si>
  <si>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</si>
  <si>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</si>
  <si>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</si>
  <si>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</si>
  <si>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</si>
  <si>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85 - Integrated Systems Testing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</si>
  <si>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</si>
  <si>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</si>
  <si>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</si>
  <si>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</si>
  <si>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</si>
  <si>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</si>
  <si>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</si>
  <si>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</si>
  <si>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NCSX rebaseline reconciliation</t>
  </si>
  <si>
    <t>173-Spacer manipulator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</si>
  <si>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</si>
  <si>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</si>
  <si>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</si>
  <si>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</si>
  <si>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</si>
  <si>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</si>
  <si>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</si>
  <si>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</si>
  <si>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</si>
  <si>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</si>
  <si>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</si>
  <si>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</si>
  <si>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</si>
  <si>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</si>
  <si>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</si>
  <si>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</si>
  <si>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</si>
  <si>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</si>
  <si>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</si>
  <si>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</si>
  <si>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</si>
  <si>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</si>
  <si>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</si>
  <si>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</si>
  <si>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</si>
  <si>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</si>
  <si>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</si>
  <si>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</si>
  <si>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</si>
  <si>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</si>
  <si>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</si>
  <si>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</si>
  <si>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</si>
  <si>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</si>
  <si>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</si>
  <si>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</si>
  <si>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</si>
  <si>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</si>
  <si>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</si>
  <si>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</si>
  <si>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</si>
  <si>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</si>
  <si>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</si>
  <si>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</si>
  <si>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17 - Cryostat and Base Support Structure</t>
  </si>
  <si>
    <t>22 - Torus Vacuum Pumping Systems</t>
  </si>
  <si>
    <t>25 - Neutral Beam Injection System</t>
  </si>
  <si>
    <t>36 - Edge and Divertor Diagnostics</t>
  </si>
  <si>
    <t>38 - Electron Beam (EB) Mapping</t>
  </si>
  <si>
    <t>DCMA Support</t>
  </si>
  <si>
    <t>ECP-036</t>
  </si>
  <si>
    <t>AAA</t>
  </si>
  <si>
    <t>CCC</t>
  </si>
  <si>
    <t>DDD</t>
  </si>
  <si>
    <t>etc</t>
  </si>
  <si>
    <t>ETC/rates</t>
  </si>
  <si>
    <t>Proposed PMB Updates</t>
  </si>
  <si>
    <t>ETC Updates &amp; Design Changes</t>
  </si>
  <si>
    <t>Proposed PMB</t>
  </si>
  <si>
    <t>Increased time for ground wrap, interlacing and shift differential offset by supervision and oversight reduction due to shorten schedule.</t>
  </si>
  <si>
    <t>Coordination of metrology and design integration</t>
  </si>
  <si>
    <t>ECP-39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</si>
</sst>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_);[Red]\(&quot;$&quot;#,##0.0\)"/>
    <numFmt numFmtId="168" formatCode="_(* #,##0.0_);_(* \(#,##0.0\);_(* &quot;-&quot;?_);_(@_)"/>
    <numFmt numFmtId="169" formatCode="0.000%"/>
    <numFmt numFmtId="170" formatCode="\+\ 0.00;\-\ 0.00"/>
    <numFmt numFmtId="171" formatCode="[Red]\+\ 0.00;[Blue]\-\ 0.00"/>
    <numFmt numFmtId="172" formatCode="[Red]\+\ 0.0;[Blue]\-\ 0.0"/>
    <numFmt numFmtId="173" formatCode="[Red]\+\ 0;[Blue]\-\ 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?_);_(@_)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  <numFmt numFmtId="184" formatCode="[$-409]mmm\-yy;@"/>
    <numFmt numFmtId="185" formatCode="0.00_)"/>
    <numFmt numFmtId="186" formatCode="0.00000"/>
    <numFmt numFmtId="187" formatCode="_(&quot;$&quot;* #,##0.000_);_(&quot;$&quot;* \(#,##0.000\);_(&quot;$&quot;* &quot;-&quot;??_);_(@_)"/>
    <numFmt numFmtId="188" formatCode="0.0000%"/>
    <numFmt numFmtId="189" formatCode="_(&quot;$&quot;* #,##0.0000_);_(&quot;$&quot;* \(#,##0.0000\);_(&quot;$&quot;* &quot;-&quot;??_);_(@_)"/>
    <numFmt numFmtId="190" formatCode="0.00000000"/>
    <numFmt numFmtId="191" formatCode="0.0000000"/>
    <numFmt numFmtId="192" formatCode="0.000000"/>
    <numFmt numFmtId="193" formatCode="_(* #,##0.000_);_(* \(#,##0.000\);_(* &quot;-&quot;??_);_(@_)"/>
    <numFmt numFmtId="194" formatCode="mmm\-yyyy"/>
    <numFmt numFmtId="195" formatCode="dd\-mmm\-yy_)"/>
    <numFmt numFmtId="196" formatCode="m/d/yy;@"/>
    <numFmt numFmtId="197" formatCode="mmm"/>
    <numFmt numFmtId="198" formatCode="m"/>
    <numFmt numFmtId="199" formatCode="mm"/>
    <numFmt numFmtId="200" formatCode="[$-409]dddd\,\ mmmm\ dd\,\ yyyy"/>
    <numFmt numFmtId="201" formatCode="[$-409]mmmmm;@"/>
    <numFmt numFmtId="202" formatCode="\ "/>
  </numFmts>
  <fonts count="40">
    <font>
      <sz val="10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1"/>
      <color indexed="12"/>
      <name val="Arial"/>
      <family val="0"/>
    </font>
    <font>
      <b/>
      <u val="single"/>
      <sz val="11"/>
      <name val="Arial"/>
      <family val="0"/>
    </font>
    <font>
      <b/>
      <u val="single"/>
      <sz val="11"/>
      <color indexed="10"/>
      <name val="Arial"/>
      <family val="0"/>
    </font>
    <font>
      <b/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10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sz val="16"/>
      <color indexed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u val="single"/>
      <sz val="22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6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sz val="11"/>
      <name val="Arial"/>
      <family val="0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4" fillId="2" borderId="0" xfId="15" applyNumberFormat="1" applyFont="1" applyFill="1" applyAlignment="1">
      <alignment/>
    </xf>
    <xf numFmtId="165" fontId="0" fillId="2" borderId="0" xfId="15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ill="1" applyBorder="1" applyAlignment="1">
      <alignment/>
    </xf>
    <xf numFmtId="166" fontId="0" fillId="0" borderId="0" xfId="21" applyNumberFormat="1" applyFill="1" applyAlignment="1">
      <alignment horizontal="left"/>
    </xf>
    <xf numFmtId="0" fontId="6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6" fontId="0" fillId="0" borderId="0" xfId="0" applyNumberFormat="1" applyAlignment="1">
      <alignment vertical="top"/>
    </xf>
    <xf numFmtId="6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Continuous"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6" fontId="16" fillId="0" borderId="0" xfId="0" applyNumberFormat="1" applyFont="1" applyAlignment="1">
      <alignment vertical="top"/>
    </xf>
    <xf numFmtId="6" fontId="16" fillId="0" borderId="0" xfId="0" applyNumberFormat="1" applyFont="1" applyAlignment="1">
      <alignment vertical="top" wrapText="1"/>
    </xf>
    <xf numFmtId="6" fontId="11" fillId="0" borderId="0" xfId="0" applyNumberFormat="1" applyFont="1" applyAlignment="1">
      <alignment vertical="top" wrapText="1"/>
    </xf>
    <xf numFmtId="6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6" fontId="16" fillId="0" borderId="2" xfId="0" applyNumberFormat="1" applyFont="1" applyBorder="1" applyAlignment="1">
      <alignment vertical="top"/>
    </xf>
    <xf numFmtId="6" fontId="17" fillId="0" borderId="2" xfId="0" applyNumberFormat="1" applyFont="1" applyBorder="1" applyAlignment="1">
      <alignment vertical="top" wrapText="1"/>
    </xf>
    <xf numFmtId="183" fontId="0" fillId="0" borderId="0" xfId="17" applyNumberFormat="1" applyFill="1" applyAlignment="1">
      <alignment/>
    </xf>
    <xf numFmtId="183" fontId="0" fillId="0" borderId="0" xfId="17" applyNumberFormat="1" applyFont="1" applyFill="1" applyAlignment="1">
      <alignment/>
    </xf>
    <xf numFmtId="183" fontId="2" fillId="0" borderId="0" xfId="17" applyNumberFormat="1" applyFont="1" applyFill="1" applyAlignment="1">
      <alignment/>
    </xf>
    <xf numFmtId="9" fontId="0" fillId="0" borderId="0" xfId="21" applyFill="1" applyAlignment="1">
      <alignment/>
    </xf>
    <xf numFmtId="165" fontId="0" fillId="0" borderId="0" xfId="15" applyNumberFormat="1" applyFill="1" applyAlignment="1">
      <alignment/>
    </xf>
    <xf numFmtId="0" fontId="24" fillId="3" borderId="0" xfId="0" applyFont="1" applyFill="1" applyAlignment="1">
      <alignment/>
    </xf>
    <xf numFmtId="0" fontId="24" fillId="3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83" fontId="24" fillId="3" borderId="0" xfId="17" applyNumberFormat="1" applyFont="1" applyFill="1" applyAlignment="1">
      <alignment/>
    </xf>
    <xf numFmtId="0" fontId="25" fillId="3" borderId="0" xfId="0" applyFont="1" applyFill="1" applyAlignment="1">
      <alignment/>
    </xf>
    <xf numFmtId="183" fontId="25" fillId="3" borderId="0" xfId="17" applyNumberFormat="1" applyFont="1" applyFill="1" applyAlignment="1">
      <alignment/>
    </xf>
    <xf numFmtId="44" fontId="26" fillId="0" borderId="0" xfId="17" applyNumberFormat="1" applyFont="1" applyFill="1" applyAlignment="1">
      <alignment/>
    </xf>
    <xf numFmtId="0" fontId="27" fillId="3" borderId="0" xfId="0" applyFont="1" applyFill="1" applyAlignment="1">
      <alignment/>
    </xf>
    <xf numFmtId="183" fontId="27" fillId="3" borderId="0" xfId="17" applyNumberFormat="1" applyFont="1" applyFill="1" applyAlignment="1">
      <alignment/>
    </xf>
    <xf numFmtId="183" fontId="24" fillId="3" borderId="0" xfId="0" applyNumberFormat="1" applyFont="1" applyFill="1" applyAlignment="1">
      <alignment/>
    </xf>
    <xf numFmtId="44" fontId="26" fillId="0" borderId="0" xfId="0" applyNumberFormat="1" applyFont="1" applyFill="1" applyAlignment="1">
      <alignment/>
    </xf>
    <xf numFmtId="183" fontId="2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83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3" fontId="25" fillId="0" borderId="0" xfId="0" applyNumberFormat="1" applyFont="1" applyFill="1" applyAlignment="1">
      <alignment/>
    </xf>
    <xf numFmtId="183" fontId="25" fillId="0" borderId="0" xfId="17" applyNumberFormat="1" applyFont="1" applyFill="1" applyAlignment="1">
      <alignment/>
    </xf>
    <xf numFmtId="0" fontId="24" fillId="4" borderId="0" xfId="0" applyFont="1" applyFill="1" applyAlignment="1">
      <alignment/>
    </xf>
    <xf numFmtId="183" fontId="24" fillId="4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94" fontId="21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0" fontId="21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194" fontId="31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 wrapText="1"/>
      <protection/>
    </xf>
    <xf numFmtId="194" fontId="28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194" fontId="21" fillId="0" borderId="0" xfId="0" applyNumberFormat="1" applyFont="1" applyFill="1" applyAlignment="1">
      <alignment horizontal="center"/>
    </xf>
    <xf numFmtId="43" fontId="21" fillId="0" borderId="0" xfId="15" applyFont="1" applyFill="1" applyAlignment="1">
      <alignment horizontal="center"/>
    </xf>
    <xf numFmtId="194" fontId="31" fillId="0" borderId="0" xfId="0" applyNumberFormat="1" applyFont="1" applyFill="1" applyAlignment="1">
      <alignment horizontal="center"/>
    </xf>
    <xf numFmtId="195" fontId="21" fillId="0" borderId="0" xfId="0" applyNumberFormat="1" applyFont="1" applyFill="1" applyAlignment="1" applyProtection="1">
      <alignment/>
      <protection/>
    </xf>
    <xf numFmtId="194" fontId="21" fillId="0" borderId="0" xfId="0" applyNumberFormat="1" applyFont="1" applyFill="1" applyAlignment="1" applyProtection="1">
      <alignment horizontal="center"/>
      <protection/>
    </xf>
    <xf numFmtId="196" fontId="21" fillId="0" borderId="0" xfId="0" applyNumberFormat="1" applyFont="1" applyFill="1" applyAlignment="1" applyProtection="1">
      <alignment horizontal="center"/>
      <protection/>
    </xf>
    <xf numFmtId="164" fontId="21" fillId="0" borderId="0" xfId="15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96" fontId="21" fillId="0" borderId="0" xfId="0" applyNumberFormat="1" applyFont="1" applyFill="1" applyAlignment="1">
      <alignment horizontal="center"/>
    </xf>
    <xf numFmtId="164" fontId="21" fillId="0" borderId="0" xfId="15" applyNumberFormat="1" applyFont="1" applyFill="1" applyAlignment="1">
      <alignment/>
    </xf>
    <xf numFmtId="164" fontId="31" fillId="0" borderId="0" xfId="15" applyNumberFormat="1" applyFont="1" applyFill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194" fontId="21" fillId="0" borderId="0" xfId="0" applyNumberFormat="1" applyFont="1" applyFill="1" applyBorder="1" applyAlignment="1" applyProtection="1">
      <alignment horizontal="center"/>
      <protection/>
    </xf>
    <xf numFmtId="43" fontId="21" fillId="0" borderId="0" xfId="15" applyFont="1" applyFill="1" applyBorder="1" applyAlignment="1">
      <alignment horizontal="center"/>
    </xf>
    <xf numFmtId="194" fontId="21" fillId="5" borderId="0" xfId="0" applyNumberFormat="1" applyFont="1" applyFill="1" applyBorder="1" applyAlignment="1" applyProtection="1">
      <alignment horizontal="center"/>
      <protection/>
    </xf>
    <xf numFmtId="164" fontId="21" fillId="5" borderId="0" xfId="15" applyNumberFormat="1" applyFont="1" applyFill="1" applyBorder="1" applyAlignment="1" applyProtection="1">
      <alignment horizontal="left"/>
      <protection/>
    </xf>
    <xf numFmtId="194" fontId="31" fillId="5" borderId="0" xfId="0" applyNumberFormat="1" applyFont="1" applyFill="1" applyBorder="1" applyAlignment="1" applyProtection="1">
      <alignment horizontal="center"/>
      <protection/>
    </xf>
    <xf numFmtId="196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 quotePrefix="1">
      <alignment horizontal="left"/>
      <protection/>
    </xf>
    <xf numFmtId="0" fontId="21" fillId="0" borderId="0" xfId="0" applyFont="1" applyFill="1" applyAlignment="1" quotePrefix="1">
      <alignment/>
    </xf>
    <xf numFmtId="196" fontId="21" fillId="0" borderId="0" xfId="0" applyNumberFormat="1" applyFont="1" applyFill="1" applyAlignment="1">
      <alignment/>
    </xf>
    <xf numFmtId="194" fontId="22" fillId="0" borderId="0" xfId="0" applyNumberFormat="1" applyFont="1" applyFill="1" applyAlignment="1">
      <alignment horizontal="center"/>
    </xf>
    <xf numFmtId="196" fontId="21" fillId="5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3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6" borderId="0" xfId="0" applyFont="1" applyFill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2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29" fillId="3" borderId="0" xfId="0" applyFont="1" applyFill="1" applyAlignment="1">
      <alignment/>
    </xf>
    <xf numFmtId="0" fontId="29" fillId="6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165" fontId="0" fillId="0" borderId="0" xfId="15" applyNumberFormat="1" applyFill="1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3" borderId="0" xfId="0" applyNumberFormat="1" applyFill="1" applyAlignment="1">
      <alignment/>
    </xf>
    <xf numFmtId="165" fontId="0" fillId="0" borderId="0" xfId="15" applyNumberFormat="1" applyFont="1" applyFill="1" applyBorder="1" applyAlignment="1">
      <alignment/>
    </xf>
    <xf numFmtId="0" fontId="35" fillId="0" borderId="7" xfId="0" applyFont="1" applyFill="1" applyBorder="1" applyAlignment="1">
      <alignment horizontal="right"/>
    </xf>
    <xf numFmtId="165" fontId="2" fillId="0" borderId="3" xfId="15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0" xfId="0" applyFont="1" applyFill="1" applyAlignment="1">
      <alignment/>
    </xf>
    <xf numFmtId="165" fontId="1" fillId="0" borderId="0" xfId="15" applyNumberFormat="1" applyFont="1" applyFill="1" applyBorder="1" applyAlignment="1">
      <alignment/>
    </xf>
    <xf numFmtId="165" fontId="0" fillId="0" borderId="1" xfId="15" applyNumberFormat="1" applyFill="1" applyBorder="1" applyAlignment="1">
      <alignment/>
    </xf>
    <xf numFmtId="0" fontId="2" fillId="0" borderId="0" xfId="0" applyFont="1" applyFill="1" applyAlignment="1">
      <alignment vertical="top"/>
    </xf>
    <xf numFmtId="165" fontId="2" fillId="0" borderId="6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Alignment="1">
      <alignment/>
    </xf>
    <xf numFmtId="165" fontId="2" fillId="3" borderId="0" xfId="0" applyNumberFormat="1" applyFont="1" applyFill="1" applyAlignment="1">
      <alignment/>
    </xf>
    <xf numFmtId="165" fontId="36" fillId="0" borderId="1" xfId="15" applyNumberFormat="1" applyFont="1" applyFill="1" applyBorder="1" applyAlignment="1">
      <alignment/>
    </xf>
    <xf numFmtId="0" fontId="15" fillId="6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0" fontId="37" fillId="0" borderId="1" xfId="0" applyFont="1" applyFill="1" applyBorder="1" applyAlignment="1">
      <alignment horizontal="right"/>
    </xf>
    <xf numFmtId="165" fontId="15" fillId="0" borderId="3" xfId="15" applyNumberFormat="1" applyFont="1" applyFill="1" applyBorder="1" applyAlignment="1">
      <alignment/>
    </xf>
    <xf numFmtId="165" fontId="15" fillId="0" borderId="1" xfId="15" applyNumberFormat="1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0" fontId="35" fillId="0" borderId="0" xfId="0" applyFont="1" applyFill="1" applyAlignment="1">
      <alignment horizontal="right"/>
    </xf>
    <xf numFmtId="0" fontId="11" fillId="6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/>
    </xf>
    <xf numFmtId="165" fontId="11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6" borderId="8" xfId="0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5" fontId="0" fillId="0" borderId="9" xfId="0" applyNumberFormat="1" applyBorder="1" applyAlignment="1">
      <alignment/>
    </xf>
    <xf numFmtId="165" fontId="3" fillId="0" borderId="1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11" fillId="3" borderId="0" xfId="0" applyFont="1" applyFill="1" applyAlignment="1">
      <alignment/>
    </xf>
    <xf numFmtId="43" fontId="0" fillId="0" borderId="0" xfId="0" applyNumberFormat="1" applyBorder="1" applyAlignment="1">
      <alignment/>
    </xf>
    <xf numFmtId="165" fontId="1" fillId="0" borderId="0" xfId="21" applyNumberFormat="1" applyFont="1" applyFill="1" applyAlignment="1">
      <alignment horizontal="left"/>
    </xf>
    <xf numFmtId="0" fontId="8" fillId="0" borderId="0" xfId="0" applyFont="1" applyAlignment="1">
      <alignment vertical="top"/>
    </xf>
    <xf numFmtId="6" fontId="2" fillId="0" borderId="0" xfId="0" applyNumberFormat="1" applyFont="1" applyAlignment="1">
      <alignment horizontal="center" vertical="top"/>
    </xf>
    <xf numFmtId="6" fontId="0" fillId="0" borderId="0" xfId="0" applyNumberFormat="1" applyAlignment="1">
      <alignment horizontal="center" vertical="top"/>
    </xf>
    <xf numFmtId="0" fontId="32" fillId="0" borderId="12" xfId="0" applyFont="1" applyFill="1" applyBorder="1" applyAlignment="1" applyProtection="1">
      <alignment horizontal="left"/>
      <protection/>
    </xf>
    <xf numFmtId="0" fontId="21" fillId="0" borderId="5" xfId="0" applyFont="1" applyFill="1" applyBorder="1" applyAlignment="1" applyProtection="1">
      <alignment horizontal="left"/>
      <protection/>
    </xf>
    <xf numFmtId="194" fontId="21" fillId="0" borderId="5" xfId="0" applyNumberFormat="1" applyFont="1" applyFill="1" applyBorder="1" applyAlignment="1" applyProtection="1">
      <alignment horizontal="center"/>
      <protection/>
    </xf>
    <xf numFmtId="43" fontId="21" fillId="0" borderId="5" xfId="15" applyFont="1" applyFill="1" applyBorder="1" applyAlignment="1">
      <alignment horizontal="center"/>
    </xf>
    <xf numFmtId="194" fontId="21" fillId="5" borderId="5" xfId="0" applyNumberFormat="1" applyFont="1" applyFill="1" applyBorder="1" applyAlignment="1" applyProtection="1">
      <alignment horizontal="center"/>
      <protection/>
    </xf>
    <xf numFmtId="164" fontId="21" fillId="5" borderId="5" xfId="15" applyNumberFormat="1" applyFont="1" applyFill="1" applyBorder="1" applyAlignment="1" applyProtection="1">
      <alignment horizontal="left"/>
      <protection/>
    </xf>
    <xf numFmtId="194" fontId="31" fillId="5" borderId="5" xfId="0" applyNumberFormat="1" applyFont="1" applyFill="1" applyBorder="1" applyAlignment="1" applyProtection="1">
      <alignment horizontal="center"/>
      <protection/>
    </xf>
    <xf numFmtId="194" fontId="31" fillId="5" borderId="13" xfId="0" applyNumberFormat="1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 applyProtection="1">
      <alignment horizontal="left"/>
      <protection/>
    </xf>
    <xf numFmtId="194" fontId="21" fillId="0" borderId="0" xfId="0" applyNumberFormat="1" applyFont="1" applyFill="1" applyBorder="1" applyAlignment="1">
      <alignment horizontal="center"/>
    </xf>
    <xf numFmtId="194" fontId="21" fillId="5" borderId="0" xfId="0" applyNumberFormat="1" applyFont="1" applyFill="1" applyBorder="1" applyAlignment="1">
      <alignment horizontal="center"/>
    </xf>
    <xf numFmtId="194" fontId="31" fillId="5" borderId="0" xfId="0" applyNumberFormat="1" applyFont="1" applyFill="1" applyBorder="1" applyAlignment="1">
      <alignment horizontal="center"/>
    </xf>
    <xf numFmtId="194" fontId="31" fillId="5" borderId="15" xfId="0" applyNumberFormat="1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31" fillId="5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 applyProtection="1">
      <alignment horizontal="left"/>
      <protection/>
    </xf>
    <xf numFmtId="194" fontId="21" fillId="3" borderId="0" xfId="0" applyNumberFormat="1" applyFont="1" applyFill="1" applyBorder="1" applyAlignment="1" applyProtection="1">
      <alignment horizontal="center"/>
      <protection/>
    </xf>
    <xf numFmtId="194" fontId="28" fillId="3" borderId="0" xfId="0" applyNumberFormat="1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94" fontId="28" fillId="0" borderId="0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94" fontId="21" fillId="0" borderId="17" xfId="0" applyNumberFormat="1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>
      <alignment horizontal="center"/>
    </xf>
    <xf numFmtId="194" fontId="28" fillId="0" borderId="17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164" fontId="21" fillId="3" borderId="0" xfId="15" applyNumberFormat="1" applyFont="1" applyFill="1" applyBorder="1" applyAlignment="1" applyProtection="1">
      <alignment horizontal="left"/>
      <protection/>
    </xf>
    <xf numFmtId="194" fontId="31" fillId="3" borderId="0" xfId="0" applyNumberFormat="1" applyFont="1" applyFill="1" applyBorder="1" applyAlignment="1" applyProtection="1">
      <alignment horizontal="center"/>
      <protection/>
    </xf>
    <xf numFmtId="194" fontId="31" fillId="3" borderId="15" xfId="0" applyNumberFormat="1" applyFont="1" applyFill="1" applyBorder="1" applyAlignment="1" applyProtection="1">
      <alignment horizontal="center"/>
      <protection/>
    </xf>
    <xf numFmtId="194" fontId="28" fillId="0" borderId="0" xfId="0" applyNumberFormat="1" applyFont="1" applyFill="1" applyBorder="1" applyAlignment="1" applyProtection="1">
      <alignment horizontal="center"/>
      <protection/>
    </xf>
    <xf numFmtId="194" fontId="31" fillId="0" borderId="15" xfId="0" applyNumberFormat="1" applyFont="1" applyFill="1" applyBorder="1" applyAlignment="1">
      <alignment horizontal="center"/>
    </xf>
    <xf numFmtId="0" fontId="21" fillId="7" borderId="0" xfId="0" applyFont="1" applyFill="1" applyBorder="1" applyAlignment="1" applyProtection="1">
      <alignment horizontal="left"/>
      <protection/>
    </xf>
    <xf numFmtId="194" fontId="21" fillId="7" borderId="0" xfId="0" applyNumberFormat="1" applyFont="1" applyFill="1" applyBorder="1" applyAlignment="1" applyProtection="1">
      <alignment horizontal="center"/>
      <protection/>
    </xf>
    <xf numFmtId="164" fontId="21" fillId="0" borderId="0" xfId="15" applyNumberFormat="1" applyFont="1" applyFill="1" applyBorder="1" applyAlignment="1" applyProtection="1">
      <alignment horizontal="left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21" fillId="0" borderId="17" xfId="0" applyFont="1" applyFill="1" applyBorder="1" applyAlignment="1" applyProtection="1">
      <alignment horizontal="left"/>
      <protection/>
    </xf>
    <xf numFmtId="43" fontId="21" fillId="0" borderId="17" xfId="15" applyFont="1" applyFill="1" applyBorder="1" applyAlignment="1">
      <alignment horizontal="center"/>
    </xf>
    <xf numFmtId="164" fontId="21" fillId="0" borderId="17" xfId="15" applyNumberFormat="1" applyFont="1" applyFill="1" applyBorder="1" applyAlignment="1" applyProtection="1">
      <alignment horizontal="left"/>
      <protection/>
    </xf>
    <xf numFmtId="194" fontId="28" fillId="0" borderId="17" xfId="0" applyNumberFormat="1" applyFont="1" applyFill="1" applyBorder="1" applyAlignment="1" applyProtection="1">
      <alignment horizontal="center"/>
      <protection/>
    </xf>
    <xf numFmtId="194" fontId="31" fillId="0" borderId="11" xfId="0" applyNumberFormat="1" applyFont="1" applyFill="1" applyBorder="1" applyAlignment="1">
      <alignment horizontal="center"/>
    </xf>
    <xf numFmtId="194" fontId="21" fillId="0" borderId="5" xfId="0" applyNumberFormat="1" applyFont="1" applyFill="1" applyBorder="1" applyAlignment="1">
      <alignment horizontal="center"/>
    </xf>
    <xf numFmtId="194" fontId="21" fillId="5" borderId="5" xfId="0" applyNumberFormat="1" applyFont="1" applyFill="1" applyBorder="1" applyAlignment="1">
      <alignment horizontal="center"/>
    </xf>
    <xf numFmtId="194" fontId="28" fillId="5" borderId="5" xfId="0" applyNumberFormat="1" applyFont="1" applyFill="1" applyBorder="1" applyAlignment="1">
      <alignment horizontal="center"/>
    </xf>
    <xf numFmtId="194" fontId="31" fillId="5" borderId="13" xfId="0" applyNumberFormat="1" applyFont="1" applyFill="1" applyBorder="1" applyAlignment="1">
      <alignment horizontal="center"/>
    </xf>
    <xf numFmtId="194" fontId="28" fillId="5" borderId="0" xfId="0" applyNumberFormat="1" applyFont="1" applyFill="1" applyBorder="1" applyAlignment="1">
      <alignment horizontal="center"/>
    </xf>
    <xf numFmtId="0" fontId="32" fillId="0" borderId="3" xfId="0" applyFont="1" applyFill="1" applyBorder="1" applyAlignment="1" applyProtection="1">
      <alignment horizontal="center"/>
      <protection/>
    </xf>
    <xf numFmtId="194" fontId="33" fillId="0" borderId="3" xfId="0" applyNumberFormat="1" applyFont="1" applyFill="1" applyBorder="1" applyAlignment="1" applyProtection="1">
      <alignment horizontal="center"/>
      <protection/>
    </xf>
    <xf numFmtId="0" fontId="33" fillId="0" borderId="3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6" fontId="3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32" fillId="0" borderId="0" xfId="0" applyFont="1" applyAlignment="1">
      <alignment vertical="top"/>
    </xf>
    <xf numFmtId="6" fontId="22" fillId="0" borderId="0" xfId="0" applyNumberFormat="1" applyFont="1" applyBorder="1" applyAlignment="1">
      <alignment horizontal="center" vertical="top"/>
    </xf>
    <xf numFmtId="6" fontId="38" fillId="0" borderId="0" xfId="0" applyNumberFormat="1" applyFont="1" applyAlignment="1">
      <alignment horizontal="center" vertical="top" wrapText="1"/>
    </xf>
    <xf numFmtId="6" fontId="29" fillId="0" borderId="0" xfId="0" applyNumberFormat="1" applyFont="1" applyAlignment="1">
      <alignment horizontal="center" vertical="top" wrapText="1"/>
    </xf>
    <xf numFmtId="6" fontId="39" fillId="0" borderId="0" xfId="0" applyNumberFormat="1" applyFont="1" applyAlignment="1">
      <alignment horizontal="center" vertical="top" wrapText="1"/>
    </xf>
    <xf numFmtId="6" fontId="22" fillId="0" borderId="0" xfId="0" applyNumberFormat="1" applyFont="1" applyAlignment="1">
      <alignment horizontal="center" vertical="top" wrapText="1"/>
    </xf>
    <xf numFmtId="6" fontId="3" fillId="0" borderId="0" xfId="0" applyNumberFormat="1" applyFont="1" applyAlignment="1">
      <alignment vertical="top"/>
    </xf>
    <xf numFmtId="166" fontId="0" fillId="0" borderId="0" xfId="21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1125"/>
          <c:w val="0.88175"/>
          <c:h val="0.8695"/>
        </c:manualLayout>
      </c:layout>
      <c:lineChart>
        <c:grouping val="standard"/>
        <c:varyColors val="0"/>
        <c:ser>
          <c:idx val="2"/>
          <c:order val="0"/>
          <c:tx>
            <c:strRef>
              <c:f>Funding!$E$42:$K$42</c:f>
              <c:strCache>
                <c:ptCount val="1"/>
                <c:pt idx="0">
                  <c:v>FY03 FY04 FY05 FY06 FY07 FY08 FY09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Funding!$E$49:$K$49</c:f>
              <c:numCache>
                <c:ptCount val="7"/>
                <c:pt idx="0">
                  <c:v>5.9419</c:v>
                </c:pt>
                <c:pt idx="1">
                  <c:v>20.181249</c:v>
                </c:pt>
                <c:pt idx="2">
                  <c:v>38.343249</c:v>
                </c:pt>
                <c:pt idx="3">
                  <c:v>55.858249</c:v>
                </c:pt>
                <c:pt idx="4">
                  <c:v>69.267249</c:v>
                </c:pt>
                <c:pt idx="5">
                  <c:v>80.40724900000001</c:v>
                </c:pt>
                <c:pt idx="6">
                  <c:v>82.73824900000001</c:v>
                </c:pt>
              </c:numCache>
            </c:numRef>
          </c:val>
          <c:smooth val="0"/>
        </c:ser>
        <c:axId val="45657758"/>
        <c:axId val="8266639"/>
      </c:lineChart>
      <c:catAx>
        <c:axId val="45657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7758"/>
        <c:crossesAt val="1"/>
        <c:crossBetween val="midCat"/>
        <c:dispUnits/>
        <c:majorUnit val="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152400</xdr:rowOff>
    </xdr:from>
    <xdr:to>
      <xdr:col>11</xdr:col>
      <xdr:colOff>257175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657600" y="2419350"/>
        <a:ext cx="87915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35</xdr:row>
      <xdr:rowOff>66675</xdr:rowOff>
    </xdr:from>
    <xdr:to>
      <xdr:col>11</xdr:col>
      <xdr:colOff>38100</xdr:colOff>
      <xdr:row>37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6848475"/>
          <a:ext cx="712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FY04            FY05          FY06            FY07            FY08          FY09</a:t>
          </a:r>
        </a:p>
      </xdr:txBody>
    </xdr:sp>
    <xdr:clientData/>
  </xdr:twoCellAnchor>
  <xdr:twoCellAnchor>
    <xdr:from>
      <xdr:col>5</xdr:col>
      <xdr:colOff>419100</xdr:colOff>
      <xdr:row>27</xdr:row>
      <xdr:rowOff>123825</xdr:rowOff>
    </xdr:from>
    <xdr:to>
      <xdr:col>6</xdr:col>
      <xdr:colOff>0</xdr:colOff>
      <xdr:row>28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95900" y="5438775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$23.8</a:t>
          </a:r>
        </a:p>
      </xdr:txBody>
    </xdr:sp>
    <xdr:clientData/>
  </xdr:twoCellAnchor>
  <xdr:twoCellAnchor>
    <xdr:from>
      <xdr:col>8</xdr:col>
      <xdr:colOff>257175</xdr:colOff>
      <xdr:row>20</xdr:row>
      <xdr:rowOff>47625</xdr:rowOff>
    </xdr:from>
    <xdr:to>
      <xdr:col>8</xdr:col>
      <xdr:colOff>1123950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91575" y="3629025"/>
          <a:ext cx="866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$73.1</a:t>
          </a:r>
        </a:p>
      </xdr:txBody>
    </xdr:sp>
    <xdr:clientData/>
  </xdr:twoCellAnchor>
  <xdr:twoCellAnchor>
    <xdr:from>
      <xdr:col>7</xdr:col>
      <xdr:colOff>314325</xdr:colOff>
      <xdr:row>22</xdr:row>
      <xdr:rowOff>104775</xdr:rowOff>
    </xdr:from>
    <xdr:to>
      <xdr:col>7</xdr:col>
      <xdr:colOff>1057275</xdr:colOff>
      <xdr:row>24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9525" y="4181475"/>
          <a:ext cx="742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$57.2</a:t>
          </a:r>
        </a:p>
      </xdr:txBody>
    </xdr:sp>
    <xdr:clientData/>
  </xdr:twoCellAnchor>
  <xdr:twoCellAnchor>
    <xdr:from>
      <xdr:col>6</xdr:col>
      <xdr:colOff>371475</xdr:colOff>
      <xdr:row>24</xdr:row>
      <xdr:rowOff>57150</xdr:rowOff>
    </xdr:from>
    <xdr:to>
      <xdr:col>6</xdr:col>
      <xdr:colOff>1095375</xdr:colOff>
      <xdr:row>26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67475" y="4629150"/>
          <a:ext cx="723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41.3</a:t>
          </a:r>
        </a:p>
      </xdr:txBody>
    </xdr:sp>
    <xdr:clientData/>
  </xdr:twoCellAnchor>
  <xdr:twoCellAnchor>
    <xdr:from>
      <xdr:col>10</xdr:col>
      <xdr:colOff>28575</xdr:colOff>
      <xdr:row>16</xdr:row>
      <xdr:rowOff>228600</xdr:rowOff>
    </xdr:from>
    <xdr:to>
      <xdr:col>10</xdr:col>
      <xdr:colOff>771525</xdr:colOff>
      <xdr:row>17</xdr:row>
      <xdr:rowOff>247650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1001375" y="2819400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$92.4</a:t>
          </a:r>
        </a:p>
      </xdr:txBody>
    </xdr:sp>
    <xdr:clientData/>
  </xdr:twoCellAnchor>
  <xdr:twoCellAnchor>
    <xdr:from>
      <xdr:col>9</xdr:col>
      <xdr:colOff>104775</xdr:colOff>
      <xdr:row>17</xdr:row>
      <xdr:rowOff>209550</xdr:rowOff>
    </xdr:from>
    <xdr:to>
      <xdr:col>9</xdr:col>
      <xdr:colOff>1104900</xdr:colOff>
      <xdr:row>19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858375" y="3048000"/>
          <a:ext cx="1000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$89.0</a:t>
          </a:r>
        </a:p>
      </xdr:txBody>
    </xdr:sp>
    <xdr:clientData/>
  </xdr:twoCellAnchor>
  <xdr:twoCellAnchor>
    <xdr:from>
      <xdr:col>5</xdr:col>
      <xdr:colOff>295275</xdr:colOff>
      <xdr:row>18</xdr:row>
      <xdr:rowOff>161925</xdr:rowOff>
    </xdr:from>
    <xdr:to>
      <xdr:col>10</xdr:col>
      <xdr:colOff>1076325</xdr:colOff>
      <xdr:row>29</xdr:row>
      <xdr:rowOff>9525</xdr:rowOff>
    </xdr:to>
    <xdr:sp>
      <xdr:nvSpPr>
        <xdr:cNvPr id="9" name="Polygon 10"/>
        <xdr:cNvSpPr>
          <a:spLocks/>
        </xdr:cNvSpPr>
      </xdr:nvSpPr>
      <xdr:spPr>
        <a:xfrm>
          <a:off x="5172075" y="3248025"/>
          <a:ext cx="6877050" cy="2571750"/>
        </a:xfrm>
        <a:custGeom>
          <a:pathLst>
            <a:path h="270" w="722">
              <a:moveTo>
                <a:pt x="0" y="270"/>
              </a:moveTo>
              <a:lnTo>
                <a:pt x="121" y="270"/>
              </a:lnTo>
              <a:lnTo>
                <a:pt x="121" y="199"/>
              </a:lnTo>
              <a:lnTo>
                <a:pt x="241" y="199"/>
              </a:lnTo>
              <a:lnTo>
                <a:pt x="241" y="139"/>
              </a:lnTo>
              <a:lnTo>
                <a:pt x="361" y="139"/>
              </a:lnTo>
              <a:lnTo>
                <a:pt x="361" y="77"/>
              </a:lnTo>
              <a:lnTo>
                <a:pt x="482" y="77"/>
              </a:lnTo>
              <a:lnTo>
                <a:pt x="482" y="14"/>
              </a:lnTo>
              <a:lnTo>
                <a:pt x="602" y="14"/>
              </a:lnTo>
              <a:lnTo>
                <a:pt x="602" y="0"/>
              </a:lnTo>
              <a:lnTo>
                <a:pt x="722" y="0"/>
              </a:lnTo>
            </a:path>
          </a:pathLst>
        </a:cu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F19"/>
    </sheetView>
  </sheetViews>
  <sheetFormatPr defaultColWidth="9.140625" defaultRowHeight="12.75"/>
  <cols>
    <col min="1" max="1" width="3.8515625" style="26" customWidth="1"/>
    <col min="2" max="2" width="10.28125" style="26" customWidth="1"/>
    <col min="3" max="3" width="11.28125" style="26" hidden="1" customWidth="1"/>
    <col min="4" max="4" width="49.140625" style="26" customWidth="1"/>
    <col min="5" max="5" width="9.140625" style="27" customWidth="1"/>
    <col min="6" max="6" width="53.421875" style="26" customWidth="1"/>
    <col min="7" max="7" width="30.7109375" style="26" customWidth="1"/>
    <col min="8" max="8" width="8.57421875" style="26" customWidth="1"/>
    <col min="9" max="9" width="27.57421875" style="26" customWidth="1"/>
    <col min="10" max="10" width="1.421875" style="26" customWidth="1"/>
    <col min="11" max="11" width="9.140625" style="26" customWidth="1"/>
    <col min="12" max="12" width="28.57421875" style="26" customWidth="1"/>
    <col min="13" max="16384" width="9.140625" style="26" customWidth="1"/>
  </cols>
  <sheetData>
    <row r="1" spans="1:6" ht="18">
      <c r="A1" s="237" t="s">
        <v>353</v>
      </c>
      <c r="B1" s="232"/>
      <c r="C1" s="232"/>
      <c r="D1" s="232"/>
      <c r="E1" s="243"/>
      <c r="F1" s="232"/>
    </row>
    <row r="2" spans="1:6" ht="31.5">
      <c r="A2" s="232"/>
      <c r="B2" s="231" t="s">
        <v>144</v>
      </c>
      <c r="C2" s="231">
        <v>1203</v>
      </c>
      <c r="D2" s="233" t="s">
        <v>95</v>
      </c>
      <c r="E2" s="230">
        <v>204.3</v>
      </c>
      <c r="F2" s="233" t="s">
        <v>100</v>
      </c>
    </row>
    <row r="3" spans="1:6" ht="15.75">
      <c r="A3" s="232"/>
      <c r="B3" s="231" t="s">
        <v>144</v>
      </c>
      <c r="C3" s="231">
        <v>1204</v>
      </c>
      <c r="D3" s="233" t="s">
        <v>97</v>
      </c>
      <c r="E3" s="239">
        <v>-97.8</v>
      </c>
      <c r="F3" s="233" t="s">
        <v>98</v>
      </c>
    </row>
    <row r="4" spans="1:6" ht="15.75">
      <c r="A4" s="232"/>
      <c r="B4" s="231" t="s">
        <v>145</v>
      </c>
      <c r="C4" s="231" t="s">
        <v>122</v>
      </c>
      <c r="D4" s="233" t="s">
        <v>102</v>
      </c>
      <c r="E4" s="230">
        <v>432.3</v>
      </c>
      <c r="F4" s="233" t="s">
        <v>103</v>
      </c>
    </row>
    <row r="5" spans="1:6" ht="15.75">
      <c r="A5" s="232"/>
      <c r="B5" s="231" t="s">
        <v>146</v>
      </c>
      <c r="C5" s="231">
        <v>1352</v>
      </c>
      <c r="D5" s="233" t="s">
        <v>116</v>
      </c>
      <c r="E5" s="239">
        <v>-466</v>
      </c>
      <c r="F5" s="233" t="s">
        <v>117</v>
      </c>
    </row>
    <row r="6" spans="1:6" ht="15.75">
      <c r="A6" s="232"/>
      <c r="B6" s="231" t="s">
        <v>147</v>
      </c>
      <c r="C6" s="231">
        <v>1354</v>
      </c>
      <c r="D6" s="233" t="s">
        <v>118</v>
      </c>
      <c r="E6" s="239">
        <v>-154</v>
      </c>
      <c r="F6" s="233" t="s">
        <v>140</v>
      </c>
    </row>
    <row r="7" spans="1:6" ht="31.5">
      <c r="A7" s="232"/>
      <c r="B7" s="231" t="s">
        <v>148</v>
      </c>
      <c r="C7" s="231">
        <v>1416</v>
      </c>
      <c r="D7" s="233" t="s">
        <v>104</v>
      </c>
      <c r="E7" s="230">
        <v>520.4</v>
      </c>
      <c r="F7" s="233" t="s">
        <v>99</v>
      </c>
    </row>
    <row r="8" spans="1:8" ht="47.25">
      <c r="A8" s="232"/>
      <c r="B8" s="231" t="s">
        <v>148</v>
      </c>
      <c r="C8" s="231">
        <v>1451</v>
      </c>
      <c r="D8" s="233" t="s">
        <v>96</v>
      </c>
      <c r="E8" s="240">
        <v>-16.5</v>
      </c>
      <c r="F8" s="233" t="s">
        <v>356</v>
      </c>
      <c r="H8" s="27"/>
    </row>
    <row r="9" spans="1:6" ht="31.5">
      <c r="A9" s="232"/>
      <c r="B9" s="231" t="s">
        <v>148</v>
      </c>
      <c r="C9" s="231">
        <v>1421</v>
      </c>
      <c r="D9" s="233" t="s">
        <v>105</v>
      </c>
      <c r="E9" s="230">
        <v>655.1</v>
      </c>
      <c r="F9" s="233" t="s">
        <v>106</v>
      </c>
    </row>
    <row r="10" spans="1:6" ht="15.75">
      <c r="A10" s="232"/>
      <c r="B10" s="231" t="s">
        <v>148</v>
      </c>
      <c r="C10" s="231">
        <v>1411</v>
      </c>
      <c r="D10" s="233" t="s">
        <v>110</v>
      </c>
      <c r="E10" s="230">
        <v>68.5</v>
      </c>
      <c r="F10" s="233" t="s">
        <v>111</v>
      </c>
    </row>
    <row r="11" spans="1:6" ht="21.75" customHeight="1">
      <c r="A11" s="232"/>
      <c r="B11" s="231" t="s">
        <v>149</v>
      </c>
      <c r="C11" s="231">
        <v>1803</v>
      </c>
      <c r="D11" s="233" t="s">
        <v>101</v>
      </c>
      <c r="E11" s="239">
        <v>-40</v>
      </c>
      <c r="F11" s="233"/>
    </row>
    <row r="12" spans="1:6" ht="15.75">
      <c r="A12" s="232"/>
      <c r="B12" s="231" t="s">
        <v>149</v>
      </c>
      <c r="C12" s="231">
        <v>1803</v>
      </c>
      <c r="D12" s="233" t="s">
        <v>107</v>
      </c>
      <c r="E12" s="239">
        <v>-50</v>
      </c>
      <c r="F12" s="233" t="s">
        <v>108</v>
      </c>
    </row>
    <row r="13" spans="1:6" ht="15.75">
      <c r="A13" s="232"/>
      <c r="B13" s="231" t="s">
        <v>150</v>
      </c>
      <c r="C13" s="231">
        <v>3101</v>
      </c>
      <c r="D13" s="233" t="s">
        <v>109</v>
      </c>
      <c r="E13" s="230">
        <v>61.7</v>
      </c>
      <c r="F13" s="233" t="s">
        <v>138</v>
      </c>
    </row>
    <row r="14" spans="1:6" ht="15.75">
      <c r="A14" s="232"/>
      <c r="B14" s="231" t="s">
        <v>151</v>
      </c>
      <c r="C14" s="231">
        <v>3801</v>
      </c>
      <c r="D14" s="233" t="s">
        <v>114</v>
      </c>
      <c r="E14" s="239">
        <v>-103.9</v>
      </c>
      <c r="F14" s="233" t="s">
        <v>115</v>
      </c>
    </row>
    <row r="15" spans="1:6" ht="15.75">
      <c r="A15" s="232"/>
      <c r="B15" s="231" t="s">
        <v>152</v>
      </c>
      <c r="C15" s="231">
        <v>8101</v>
      </c>
      <c r="D15" s="233" t="s">
        <v>120</v>
      </c>
      <c r="E15" s="239">
        <v>-53.9</v>
      </c>
      <c r="F15" s="233" t="s">
        <v>121</v>
      </c>
    </row>
    <row r="16" spans="1:6" ht="31.5">
      <c r="A16" s="232"/>
      <c r="B16" s="231" t="s">
        <v>142</v>
      </c>
      <c r="C16" s="231">
        <v>8205</v>
      </c>
      <c r="D16" s="233" t="s">
        <v>139</v>
      </c>
      <c r="E16" s="230">
        <v>84</v>
      </c>
      <c r="F16" s="233" t="s">
        <v>357</v>
      </c>
    </row>
    <row r="17" spans="1:6" ht="15.75">
      <c r="A17" s="232"/>
      <c r="B17" s="231" t="s">
        <v>153</v>
      </c>
      <c r="C17" s="231" t="s">
        <v>123</v>
      </c>
      <c r="D17" s="233" t="s">
        <v>112</v>
      </c>
      <c r="E17" s="239">
        <v>-100</v>
      </c>
      <c r="F17" s="233" t="s">
        <v>113</v>
      </c>
    </row>
    <row r="18" spans="1:6" ht="15.75">
      <c r="A18" s="232"/>
      <c r="B18" s="231" t="s">
        <v>119</v>
      </c>
      <c r="C18" s="232"/>
      <c r="D18" s="233" t="s">
        <v>141</v>
      </c>
      <c r="E18" s="241">
        <v>-180</v>
      </c>
      <c r="F18" s="233"/>
    </row>
    <row r="19" spans="1:6" ht="18">
      <c r="A19" s="232"/>
      <c r="B19" s="231"/>
      <c r="C19" s="232"/>
      <c r="D19" s="233"/>
      <c r="E19" s="242">
        <f>SUM(E2:E18)</f>
        <v>764.2000000000003</v>
      </c>
      <c r="F19" s="233"/>
    </row>
    <row r="20" spans="1:6" ht="18">
      <c r="A20" s="237" t="s">
        <v>94</v>
      </c>
      <c r="B20" s="231"/>
      <c r="C20" s="232"/>
      <c r="D20" s="233"/>
      <c r="E20" s="234"/>
      <c r="F20" s="233"/>
    </row>
    <row r="21" spans="1:6" ht="15.75">
      <c r="A21" s="232"/>
      <c r="B21" s="231" t="s">
        <v>154</v>
      </c>
      <c r="C21" s="232">
        <v>1301</v>
      </c>
      <c r="D21" s="233" t="s">
        <v>124</v>
      </c>
      <c r="E21" s="230">
        <v>119</v>
      </c>
      <c r="F21" s="233" t="s">
        <v>125</v>
      </c>
    </row>
    <row r="22" spans="1:6" ht="31.5">
      <c r="A22" s="232"/>
      <c r="B22" s="231" t="s">
        <v>154</v>
      </c>
      <c r="C22" s="232" t="s">
        <v>126</v>
      </c>
      <c r="D22" s="233" t="s">
        <v>127</v>
      </c>
      <c r="E22" s="230">
        <v>149</v>
      </c>
      <c r="F22" s="233" t="s">
        <v>246</v>
      </c>
    </row>
    <row r="23" spans="1:6" ht="31.5">
      <c r="A23" s="232"/>
      <c r="B23" s="231" t="s">
        <v>148</v>
      </c>
      <c r="C23" s="232">
        <v>1403</v>
      </c>
      <c r="D23" s="233" t="s">
        <v>128</v>
      </c>
      <c r="E23" s="230">
        <v>409</v>
      </c>
      <c r="F23" s="233" t="s">
        <v>245</v>
      </c>
    </row>
    <row r="24" spans="1:6" ht="31.5">
      <c r="A24" s="232"/>
      <c r="B24" s="231" t="s">
        <v>148</v>
      </c>
      <c r="C24" s="232" t="s">
        <v>129</v>
      </c>
      <c r="D24" s="233" t="s">
        <v>130</v>
      </c>
      <c r="E24" s="230">
        <f>88+62</f>
        <v>150</v>
      </c>
      <c r="F24" s="233" t="s">
        <v>249</v>
      </c>
    </row>
    <row r="25" spans="1:9" ht="15.75">
      <c r="A25" s="232"/>
      <c r="B25" s="231" t="s">
        <v>148</v>
      </c>
      <c r="C25" s="232">
        <v>1411</v>
      </c>
      <c r="D25" s="233" t="s">
        <v>131</v>
      </c>
      <c r="E25" s="230">
        <v>137</v>
      </c>
      <c r="F25" s="233" t="s">
        <v>132</v>
      </c>
      <c r="I25" s="175"/>
    </row>
    <row r="26" spans="1:6" ht="31.5">
      <c r="A26" s="232"/>
      <c r="B26" s="231" t="s">
        <v>148</v>
      </c>
      <c r="C26" s="232">
        <v>1411</v>
      </c>
      <c r="D26" s="233" t="s">
        <v>133</v>
      </c>
      <c r="E26" s="230">
        <v>110</v>
      </c>
      <c r="F26" s="233" t="s">
        <v>247</v>
      </c>
    </row>
    <row r="27" spans="1:6" ht="31.5">
      <c r="A27" s="232"/>
      <c r="B27" s="231" t="s">
        <v>155</v>
      </c>
      <c r="C27" s="232">
        <v>1701</v>
      </c>
      <c r="D27" s="233" t="s">
        <v>134</v>
      </c>
      <c r="E27" s="230">
        <v>178</v>
      </c>
      <c r="F27" s="233" t="s">
        <v>248</v>
      </c>
    </row>
    <row r="28" spans="1:7" ht="15.75">
      <c r="A28" s="232"/>
      <c r="B28" s="231" t="s">
        <v>156</v>
      </c>
      <c r="C28" s="232">
        <v>7401</v>
      </c>
      <c r="D28" s="233" t="s">
        <v>135</v>
      </c>
      <c r="E28" s="230">
        <v>178</v>
      </c>
      <c r="F28" s="233" t="s">
        <v>250</v>
      </c>
      <c r="G28" s="29"/>
    </row>
    <row r="29" spans="1:7" ht="15.75">
      <c r="A29" s="232"/>
      <c r="B29" s="231" t="s">
        <v>157</v>
      </c>
      <c r="C29" s="232" t="s">
        <v>136</v>
      </c>
      <c r="D29" s="233" t="s">
        <v>137</v>
      </c>
      <c r="E29" s="230">
        <v>68</v>
      </c>
      <c r="F29" s="233" t="s">
        <v>251</v>
      </c>
      <c r="G29" s="29"/>
    </row>
    <row r="30" spans="1:12" ht="15.75">
      <c r="A30" s="232"/>
      <c r="B30" s="231" t="s">
        <v>119</v>
      </c>
      <c r="C30" s="232"/>
      <c r="D30" s="232"/>
      <c r="E30" s="235">
        <f>-SUM(E21:E29)+1593</f>
        <v>95</v>
      </c>
      <c r="F30" s="232"/>
      <c r="G30" s="30"/>
      <c r="H30" s="31"/>
      <c r="I30" s="31"/>
      <c r="J30" s="32"/>
      <c r="K30" s="33"/>
      <c r="L30" s="33"/>
    </row>
    <row r="31" spans="1:12" ht="18">
      <c r="A31" s="236"/>
      <c r="B31" s="236"/>
      <c r="C31" s="236"/>
      <c r="D31" s="236"/>
      <c r="E31" s="238">
        <f>SUM(E21:E30)</f>
        <v>1593</v>
      </c>
      <c r="F31" s="236"/>
      <c r="G31" s="34"/>
      <c r="H31" s="35"/>
      <c r="I31" s="35"/>
      <c r="J31" s="36"/>
      <c r="K31" s="37"/>
      <c r="L31" s="37"/>
    </row>
    <row r="32" spans="5:12" ht="15">
      <c r="E32" s="176">
        <f>SUM(E19,E31)</f>
        <v>2357.2000000000003</v>
      </c>
      <c r="G32" s="34"/>
      <c r="H32" s="38"/>
      <c r="I32" s="39"/>
      <c r="J32" s="40"/>
      <c r="K32" s="41"/>
      <c r="L32" s="42"/>
    </row>
    <row r="33" spans="5:12" ht="15">
      <c r="E33" s="177"/>
      <c r="G33" s="34"/>
      <c r="H33" s="38"/>
      <c r="I33" s="39"/>
      <c r="J33" s="40"/>
      <c r="K33" s="41"/>
      <c r="L33" s="42"/>
    </row>
    <row r="34" spans="7:12" ht="15">
      <c r="G34" s="34"/>
      <c r="H34" s="38"/>
      <c r="I34" s="39"/>
      <c r="J34" s="40"/>
      <c r="K34" s="41"/>
      <c r="L34" s="42"/>
    </row>
    <row r="35" spans="7:12" ht="15">
      <c r="G35" s="34"/>
      <c r="H35" s="38"/>
      <c r="I35" s="39"/>
      <c r="J35" s="40"/>
      <c r="K35" s="41"/>
      <c r="L35" s="42"/>
    </row>
    <row r="36" spans="7:12" ht="15">
      <c r="G36" s="34"/>
      <c r="H36" s="38"/>
      <c r="I36" s="39"/>
      <c r="J36" s="40"/>
      <c r="K36" s="41"/>
      <c r="L36" s="41"/>
    </row>
    <row r="37" spans="7:12" ht="15.75" thickBot="1">
      <c r="G37" s="30"/>
      <c r="H37" s="43"/>
      <c r="I37" s="39"/>
      <c r="J37" s="40"/>
      <c r="K37" s="44"/>
      <c r="L37" s="42"/>
    </row>
    <row r="38" spans="7:12" ht="15.75" thickTop="1">
      <c r="G38" s="30"/>
      <c r="H38" s="38"/>
      <c r="I38" s="39"/>
      <c r="J38" s="40"/>
      <c r="K38" s="41"/>
      <c r="L38" s="42"/>
    </row>
    <row r="39" spans="7:12" ht="12.75">
      <c r="G39" s="29"/>
      <c r="H39" s="27"/>
      <c r="I39" s="28"/>
      <c r="J39" s="28"/>
      <c r="K39" s="28"/>
      <c r="L39" s="29"/>
    </row>
    <row r="40" spans="7:12" ht="12.75">
      <c r="G40" s="29"/>
      <c r="H40" s="27"/>
      <c r="I40" s="28"/>
      <c r="J40" s="28"/>
      <c r="K40" s="28"/>
      <c r="L40" s="29"/>
    </row>
    <row r="41" spans="8:12" ht="12.75">
      <c r="H41" s="27"/>
      <c r="I41" s="28"/>
      <c r="J41" s="28"/>
      <c r="K41" s="28"/>
      <c r="L41" s="29"/>
    </row>
    <row r="42" spans="8:12" ht="12.75">
      <c r="H42" s="27"/>
      <c r="K42" s="28"/>
      <c r="L42" s="29"/>
    </row>
    <row r="43" spans="8:12" ht="12.75">
      <c r="H43" s="27"/>
      <c r="I43" s="28"/>
      <c r="J43" s="28"/>
      <c r="K43" s="28"/>
      <c r="L43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421875" style="0" customWidth="1"/>
    <col min="2" max="2" width="45.140625" style="0" bestFit="1" customWidth="1"/>
    <col min="3" max="4" width="9.7109375" style="0" bestFit="1" customWidth="1"/>
    <col min="5" max="5" width="10.00390625" style="0" bestFit="1" customWidth="1"/>
    <col min="6" max="6" width="4.8515625" style="0" bestFit="1" customWidth="1"/>
    <col min="7" max="8" width="8.00390625" style="0" bestFit="1" customWidth="1"/>
    <col min="9" max="9" width="9.28125" style="0" bestFit="1" customWidth="1"/>
    <col min="10" max="10" width="8.421875" style="0" bestFit="1" customWidth="1"/>
    <col min="11" max="11" width="6.7109375" style="0" bestFit="1" customWidth="1"/>
    <col min="12" max="12" width="8.7109375" style="0" bestFit="1" customWidth="1"/>
  </cols>
  <sheetData>
    <row r="1" spans="1:10" ht="21" thickBot="1">
      <c r="A1" s="112" t="s">
        <v>295</v>
      </c>
      <c r="B1" s="113"/>
      <c r="C1" s="113"/>
      <c r="D1" s="113"/>
      <c r="E1" s="113"/>
      <c r="F1" s="113"/>
      <c r="G1" s="113"/>
      <c r="H1" s="113"/>
      <c r="I1" s="114"/>
      <c r="J1" s="115"/>
    </row>
    <row r="2" spans="1:10" ht="36.75" thickBot="1">
      <c r="A2" s="116"/>
      <c r="B2" s="117"/>
      <c r="C2" s="118" t="s">
        <v>347</v>
      </c>
      <c r="D2" s="118" t="s">
        <v>358</v>
      </c>
      <c r="E2" s="119" t="s">
        <v>267</v>
      </c>
      <c r="F2" s="117"/>
      <c r="G2" s="117"/>
      <c r="H2" s="117"/>
      <c r="I2" s="120"/>
      <c r="J2" s="121"/>
    </row>
    <row r="3" spans="1:10" ht="12.75">
      <c r="A3" s="13"/>
      <c r="B3" s="9" t="s">
        <v>297</v>
      </c>
      <c r="C3" s="122"/>
      <c r="D3" s="123"/>
      <c r="E3" s="124"/>
      <c r="I3" s="125"/>
      <c r="J3" s="126"/>
    </row>
    <row r="4" spans="1:10" ht="12.75">
      <c r="A4" s="13" t="s">
        <v>23</v>
      </c>
      <c r="B4" s="9"/>
      <c r="C4" s="128"/>
      <c r="D4" s="18"/>
      <c r="E4" s="15"/>
      <c r="H4" t="s">
        <v>351</v>
      </c>
      <c r="I4" s="125" t="s">
        <v>352</v>
      </c>
      <c r="J4" s="126" t="s">
        <v>143</v>
      </c>
    </row>
    <row r="5" spans="1:10" ht="12.75">
      <c r="A5" s="13"/>
      <c r="B5" s="9" t="s">
        <v>298</v>
      </c>
      <c r="C5" s="129">
        <v>8548.22</v>
      </c>
      <c r="D5" s="130">
        <v>8630</v>
      </c>
      <c r="E5" s="127">
        <v>81.78000000000065</v>
      </c>
      <c r="F5">
        <v>121</v>
      </c>
      <c r="G5">
        <v>8630</v>
      </c>
      <c r="H5">
        <v>8698</v>
      </c>
      <c r="I5" s="131">
        <v>149.78000000000065</v>
      </c>
      <c r="J5" s="126">
        <v>-68</v>
      </c>
    </row>
    <row r="6" spans="1:10" ht="12.75">
      <c r="A6" s="13"/>
      <c r="B6" s="9" t="s">
        <v>299</v>
      </c>
      <c r="C6" s="129">
        <v>191.89</v>
      </c>
      <c r="D6" s="130">
        <v>172.3</v>
      </c>
      <c r="E6" s="127">
        <v>-19.59</v>
      </c>
      <c r="F6">
        <v>122</v>
      </c>
      <c r="G6">
        <v>172.3</v>
      </c>
      <c r="H6">
        <v>172.3</v>
      </c>
      <c r="I6" s="131">
        <v>-19.59</v>
      </c>
      <c r="J6" s="126"/>
    </row>
    <row r="7" spans="1:10" ht="12.75">
      <c r="A7" s="13"/>
      <c r="B7" s="9" t="s">
        <v>300</v>
      </c>
      <c r="C7" s="129">
        <v>535.98</v>
      </c>
      <c r="D7" s="130">
        <v>364.9</v>
      </c>
      <c r="E7" s="127">
        <v>-171.08</v>
      </c>
      <c r="F7">
        <v>123</v>
      </c>
      <c r="G7">
        <v>364.9</v>
      </c>
      <c r="H7">
        <v>364.9</v>
      </c>
      <c r="I7" s="131">
        <v>-171.08</v>
      </c>
      <c r="J7" s="126"/>
    </row>
    <row r="8" spans="1:10" ht="12.75">
      <c r="A8" s="13"/>
      <c r="B8" s="9" t="s">
        <v>301</v>
      </c>
      <c r="C8" s="129">
        <v>106.1</v>
      </c>
      <c r="D8" s="130">
        <v>247.5</v>
      </c>
      <c r="E8" s="127">
        <v>141.4</v>
      </c>
      <c r="F8">
        <v>124</v>
      </c>
      <c r="G8">
        <v>247.5</v>
      </c>
      <c r="H8">
        <v>247.5</v>
      </c>
      <c r="I8" s="131">
        <v>141.4</v>
      </c>
      <c r="J8" s="126"/>
    </row>
    <row r="9" spans="1:10" ht="13.5" thickBot="1">
      <c r="A9" s="13"/>
      <c r="B9" s="9" t="s">
        <v>302</v>
      </c>
      <c r="C9" s="129">
        <v>17.64</v>
      </c>
      <c r="D9" s="130">
        <v>24.6</v>
      </c>
      <c r="E9" s="132">
        <v>6.96</v>
      </c>
      <c r="F9">
        <v>125</v>
      </c>
      <c r="G9">
        <v>24.6</v>
      </c>
      <c r="H9">
        <v>24.6</v>
      </c>
      <c r="I9" s="131">
        <v>6.96</v>
      </c>
      <c r="J9" s="126"/>
    </row>
    <row r="10" spans="1:10" ht="13.5" thickBot="1">
      <c r="A10" s="13"/>
      <c r="B10" s="133" t="s">
        <v>86</v>
      </c>
      <c r="C10" s="134">
        <v>9399.83</v>
      </c>
      <c r="D10" s="135">
        <v>9439.3</v>
      </c>
      <c r="E10" s="135">
        <v>39.470000000000645</v>
      </c>
      <c r="F10" s="24"/>
      <c r="G10" s="24">
        <v>-68</v>
      </c>
      <c r="H10" s="24"/>
      <c r="I10" s="136">
        <v>107.47000000000065</v>
      </c>
      <c r="J10" s="137">
        <v>-68</v>
      </c>
    </row>
    <row r="11" spans="1:10" ht="12.75">
      <c r="A11" s="13" t="s">
        <v>24</v>
      </c>
      <c r="B11" s="9"/>
      <c r="C11" s="128"/>
      <c r="D11" s="18"/>
      <c r="E11" s="15"/>
      <c r="G11">
        <v>0</v>
      </c>
      <c r="I11" s="131">
        <v>0</v>
      </c>
      <c r="J11" s="126"/>
    </row>
    <row r="12" spans="1:10" ht="12.75">
      <c r="A12" s="13"/>
      <c r="B12" s="9" t="s">
        <v>303</v>
      </c>
      <c r="C12" s="129">
        <v>837.4</v>
      </c>
      <c r="D12" s="130">
        <v>837.4</v>
      </c>
      <c r="E12" s="127">
        <v>0</v>
      </c>
      <c r="F12">
        <v>130</v>
      </c>
      <c r="G12">
        <v>837.4</v>
      </c>
      <c r="H12">
        <v>837.4</v>
      </c>
      <c r="I12" s="131">
        <v>0</v>
      </c>
      <c r="J12" s="126"/>
    </row>
    <row r="13" spans="1:10" ht="12.75">
      <c r="A13" s="13"/>
      <c r="B13" s="9" t="s">
        <v>304</v>
      </c>
      <c r="C13" s="129">
        <v>1717.83</v>
      </c>
      <c r="D13" s="130">
        <v>2399</v>
      </c>
      <c r="E13" s="127">
        <v>681.17</v>
      </c>
      <c r="F13">
        <v>131</v>
      </c>
      <c r="G13">
        <v>2399</v>
      </c>
      <c r="H13">
        <v>2153</v>
      </c>
      <c r="I13" s="131">
        <v>435.17</v>
      </c>
      <c r="J13" s="126">
        <v>246</v>
      </c>
    </row>
    <row r="14" spans="1:10" ht="12.75">
      <c r="A14" s="13"/>
      <c r="B14" s="9" t="s">
        <v>305</v>
      </c>
      <c r="C14" s="129">
        <v>1885.36</v>
      </c>
      <c r="D14" s="130">
        <v>1400</v>
      </c>
      <c r="E14" s="127">
        <v>-485.36</v>
      </c>
      <c r="F14">
        <v>132</v>
      </c>
      <c r="G14">
        <v>1400</v>
      </c>
      <c r="H14">
        <v>1400</v>
      </c>
      <c r="I14" s="131">
        <v>-485.36</v>
      </c>
      <c r="J14" s="126"/>
    </row>
    <row r="15" spans="1:10" ht="12.75">
      <c r="A15" s="13"/>
      <c r="B15" s="13" t="s">
        <v>306</v>
      </c>
      <c r="C15" s="129">
        <v>257.67</v>
      </c>
      <c r="D15" s="130">
        <v>103.4</v>
      </c>
      <c r="E15" s="127">
        <v>-154.27</v>
      </c>
      <c r="F15">
        <v>133</v>
      </c>
      <c r="G15">
        <v>103.4</v>
      </c>
      <c r="H15">
        <v>103.4</v>
      </c>
      <c r="I15" s="131">
        <v>-154.27</v>
      </c>
      <c r="J15" s="138"/>
    </row>
    <row r="16" spans="1:10" ht="15.75" thickBot="1">
      <c r="A16" s="13"/>
      <c r="B16" s="9" t="s">
        <v>307</v>
      </c>
      <c r="C16" s="129">
        <v>91.87</v>
      </c>
      <c r="D16" s="130">
        <v>91.2</v>
      </c>
      <c r="E16" s="139">
        <v>-0.6700000000000017</v>
      </c>
      <c r="F16">
        <v>134</v>
      </c>
      <c r="G16">
        <v>91.2</v>
      </c>
      <c r="H16">
        <v>91.2</v>
      </c>
      <c r="I16" s="131">
        <v>-0.6700000000000017</v>
      </c>
      <c r="J16" s="126"/>
    </row>
    <row r="17" spans="1:11" ht="13.5" thickBot="1">
      <c r="A17" s="13"/>
      <c r="B17" s="133" t="s">
        <v>86</v>
      </c>
      <c r="C17" s="134">
        <v>4790.13</v>
      </c>
      <c r="D17" s="140">
        <v>4831</v>
      </c>
      <c r="E17" s="140">
        <v>40.87000000000016</v>
      </c>
      <c r="F17" s="24"/>
      <c r="G17" s="24">
        <v>246</v>
      </c>
      <c r="H17" s="24"/>
      <c r="I17" s="136">
        <v>-205.13</v>
      </c>
      <c r="J17" s="137">
        <v>246</v>
      </c>
      <c r="K17" s="9"/>
    </row>
    <row r="18" spans="1:11" ht="12.75">
      <c r="A18" s="13" t="s">
        <v>25</v>
      </c>
      <c r="B18" s="9"/>
      <c r="C18" s="128"/>
      <c r="D18" s="18"/>
      <c r="E18" s="127"/>
      <c r="G18">
        <v>0</v>
      </c>
      <c r="I18" s="131">
        <v>0</v>
      </c>
      <c r="J18" s="126"/>
      <c r="K18" s="9"/>
    </row>
    <row r="19" spans="1:11" ht="12.75">
      <c r="A19" s="13"/>
      <c r="B19" s="9" t="s">
        <v>308</v>
      </c>
      <c r="C19" s="129">
        <v>13271.57</v>
      </c>
      <c r="D19" s="130">
        <v>12727</v>
      </c>
      <c r="E19" s="127">
        <v>-544.57</v>
      </c>
      <c r="F19">
        <v>141</v>
      </c>
      <c r="G19">
        <v>12727</v>
      </c>
      <c r="H19">
        <v>12437</v>
      </c>
      <c r="I19" s="131">
        <v>-834.57</v>
      </c>
      <c r="J19" s="126">
        <v>290</v>
      </c>
      <c r="K19" s="9"/>
    </row>
    <row r="20" spans="1:11" ht="12.75">
      <c r="A20" s="141"/>
      <c r="B20" s="141" t="s">
        <v>309</v>
      </c>
      <c r="C20" s="129">
        <v>11978.769</v>
      </c>
      <c r="D20" s="130">
        <v>14580.5</v>
      </c>
      <c r="E20" s="127">
        <v>2601.7309999999998</v>
      </c>
      <c r="F20">
        <v>142</v>
      </c>
      <c r="G20">
        <v>14580.5</v>
      </c>
      <c r="H20">
        <v>13956.5</v>
      </c>
      <c r="I20" s="131">
        <v>1977.7309999999998</v>
      </c>
      <c r="J20" s="126">
        <v>624</v>
      </c>
      <c r="K20" s="9"/>
    </row>
    <row r="21" spans="1:11" ht="12.75">
      <c r="A21" s="13"/>
      <c r="B21" s="9" t="s">
        <v>310</v>
      </c>
      <c r="C21" s="129">
        <v>0</v>
      </c>
      <c r="D21" s="130">
        <v>0</v>
      </c>
      <c r="E21" s="127">
        <v>0</v>
      </c>
      <c r="G21">
        <v>0</v>
      </c>
      <c r="I21" s="131">
        <v>0</v>
      </c>
      <c r="J21" s="126"/>
      <c r="K21" s="9"/>
    </row>
    <row r="22" spans="1:11" ht="13.5" thickBot="1">
      <c r="A22" s="13"/>
      <c r="B22" s="13" t="s">
        <v>311</v>
      </c>
      <c r="C22" s="129">
        <v>3863.201</v>
      </c>
      <c r="D22" s="130">
        <v>4048.4</v>
      </c>
      <c r="E22" s="132">
        <v>185.19900000000007</v>
      </c>
      <c r="F22">
        <v>144</v>
      </c>
      <c r="G22">
        <v>4048.4</v>
      </c>
      <c r="H22">
        <v>3918.4</v>
      </c>
      <c r="I22" s="131">
        <v>55.19900000000007</v>
      </c>
      <c r="J22" s="126">
        <v>130</v>
      </c>
      <c r="K22" s="9">
        <v>1044</v>
      </c>
    </row>
    <row r="23" spans="1:11" ht="13.5" thickBot="1">
      <c r="A23" s="13"/>
      <c r="B23" s="133" t="s">
        <v>86</v>
      </c>
      <c r="C23" s="134">
        <v>29113.54</v>
      </c>
      <c r="D23" s="135">
        <v>31355.9</v>
      </c>
      <c r="E23" s="135">
        <v>2242.36</v>
      </c>
      <c r="F23" s="24"/>
      <c r="G23" s="24">
        <v>1044</v>
      </c>
      <c r="H23" s="24"/>
      <c r="I23" s="136">
        <v>1198.36</v>
      </c>
      <c r="J23" s="137">
        <v>1044</v>
      </c>
      <c r="K23" s="9"/>
    </row>
    <row r="24" spans="1:11" ht="12.75">
      <c r="A24" s="13" t="s">
        <v>26</v>
      </c>
      <c r="B24" s="9"/>
      <c r="C24" s="128"/>
      <c r="D24" s="18"/>
      <c r="E24" s="15"/>
      <c r="G24">
        <v>0</v>
      </c>
      <c r="I24" s="131">
        <v>0</v>
      </c>
      <c r="J24" s="126"/>
      <c r="K24" s="9"/>
    </row>
    <row r="25" spans="1:11" ht="12.75">
      <c r="A25" s="13"/>
      <c r="B25" s="9" t="s">
        <v>312</v>
      </c>
      <c r="C25" s="142">
        <v>1412.96</v>
      </c>
      <c r="D25" s="143">
        <v>1386.2</v>
      </c>
      <c r="E25" s="144">
        <v>-26.76</v>
      </c>
      <c r="F25" s="145">
        <v>151</v>
      </c>
      <c r="G25" s="145">
        <v>1386.2</v>
      </c>
      <c r="H25" s="145">
        <v>1387.2</v>
      </c>
      <c r="I25" s="146">
        <v>-25.76</v>
      </c>
      <c r="J25" s="138">
        <v>-1</v>
      </c>
      <c r="K25" s="13"/>
    </row>
    <row r="26" spans="1:11" ht="12.75">
      <c r="A26" s="13" t="s">
        <v>27</v>
      </c>
      <c r="B26" s="9"/>
      <c r="C26" s="128"/>
      <c r="D26" s="18"/>
      <c r="E26" s="15"/>
      <c r="G26">
        <v>0</v>
      </c>
      <c r="I26" s="131">
        <v>0</v>
      </c>
      <c r="J26" s="126"/>
      <c r="K26" s="9"/>
    </row>
    <row r="27" spans="1:11" ht="12.75">
      <c r="A27" s="13"/>
      <c r="B27" s="9" t="s">
        <v>313</v>
      </c>
      <c r="C27" s="129">
        <v>372.04</v>
      </c>
      <c r="D27" s="130">
        <v>368.5</v>
      </c>
      <c r="E27" s="127">
        <v>-3.5400000000000205</v>
      </c>
      <c r="F27">
        <v>161</v>
      </c>
      <c r="G27">
        <v>368.5</v>
      </c>
      <c r="H27">
        <v>368.5</v>
      </c>
      <c r="I27" s="131">
        <v>-3.5400000000000205</v>
      </c>
      <c r="J27" s="126"/>
      <c r="K27" s="9"/>
    </row>
    <row r="28" spans="1:11" ht="12.75">
      <c r="A28" s="13"/>
      <c r="B28" s="9" t="s">
        <v>314</v>
      </c>
      <c r="C28" s="129">
        <v>681.64</v>
      </c>
      <c r="D28" s="130">
        <v>681</v>
      </c>
      <c r="E28" s="127">
        <v>-0.6399999999999864</v>
      </c>
      <c r="F28">
        <v>162</v>
      </c>
      <c r="G28">
        <v>681</v>
      </c>
      <c r="H28">
        <v>681</v>
      </c>
      <c r="I28" s="131">
        <v>-0.6399999999999864</v>
      </c>
      <c r="J28" s="126"/>
      <c r="K28" s="9"/>
    </row>
    <row r="29" spans="1:11" ht="15.75" thickBot="1">
      <c r="A29" s="13"/>
      <c r="B29" s="9" t="s">
        <v>315</v>
      </c>
      <c r="C29" s="129">
        <v>86.3</v>
      </c>
      <c r="D29" s="130">
        <v>85.5</v>
      </c>
      <c r="E29" s="139">
        <v>-0.7999999999999972</v>
      </c>
      <c r="F29">
        <v>163</v>
      </c>
      <c r="G29">
        <v>85.5</v>
      </c>
      <c r="H29">
        <v>85.5</v>
      </c>
      <c r="I29" s="131">
        <v>-0.7999999999999972</v>
      </c>
      <c r="J29" s="126"/>
      <c r="K29" s="9"/>
    </row>
    <row r="30" spans="1:11" ht="13.5" thickBot="1">
      <c r="A30" s="13"/>
      <c r="B30" s="133" t="s">
        <v>86</v>
      </c>
      <c r="C30" s="134">
        <v>1139.98</v>
      </c>
      <c r="D30" s="135">
        <v>1135</v>
      </c>
      <c r="E30" s="135">
        <v>-4.98</v>
      </c>
      <c r="F30" s="24"/>
      <c r="G30" s="24">
        <v>-1</v>
      </c>
      <c r="H30" s="24"/>
      <c r="I30" s="136">
        <v>-4.98</v>
      </c>
      <c r="J30" s="137">
        <v>-1</v>
      </c>
      <c r="K30" s="9"/>
    </row>
    <row r="31" spans="1:11" ht="12.75">
      <c r="A31" s="13" t="s">
        <v>341</v>
      </c>
      <c r="B31" s="9"/>
      <c r="C31" s="128"/>
      <c r="D31" s="18"/>
      <c r="E31" s="15"/>
      <c r="G31">
        <v>0</v>
      </c>
      <c r="I31" s="131">
        <v>0</v>
      </c>
      <c r="J31" s="126"/>
      <c r="K31" s="9"/>
    </row>
    <row r="32" spans="1:11" ht="12.75">
      <c r="A32" s="13"/>
      <c r="B32" s="9" t="s">
        <v>316</v>
      </c>
      <c r="C32" s="129">
        <v>934.01</v>
      </c>
      <c r="D32" s="130">
        <v>1105.2</v>
      </c>
      <c r="E32" s="127">
        <v>171.19</v>
      </c>
      <c r="F32">
        <v>171</v>
      </c>
      <c r="G32">
        <v>1105.2</v>
      </c>
      <c r="H32">
        <v>927.2</v>
      </c>
      <c r="I32" s="131">
        <v>-6.809999999999945</v>
      </c>
      <c r="J32" s="126">
        <v>178</v>
      </c>
      <c r="K32" s="9"/>
    </row>
    <row r="33" spans="1:11" ht="12.75">
      <c r="A33" s="13"/>
      <c r="B33" s="9" t="s">
        <v>317</v>
      </c>
      <c r="C33" s="129">
        <v>426.93</v>
      </c>
      <c r="D33" s="130">
        <v>427.7</v>
      </c>
      <c r="E33" s="127">
        <v>0.7699999999999818</v>
      </c>
      <c r="F33">
        <v>172</v>
      </c>
      <c r="G33">
        <v>427.7</v>
      </c>
      <c r="H33">
        <v>427.7</v>
      </c>
      <c r="I33" s="131">
        <v>0.7699999999999818</v>
      </c>
      <c r="J33" s="126"/>
      <c r="K33" s="9"/>
    </row>
    <row r="34" spans="1:11" ht="15.75" thickBot="1">
      <c r="A34" s="13"/>
      <c r="B34" s="9" t="s">
        <v>296</v>
      </c>
      <c r="C34" s="129">
        <v>0</v>
      </c>
      <c r="D34" s="130">
        <v>0</v>
      </c>
      <c r="E34" s="139">
        <v>0</v>
      </c>
      <c r="G34">
        <v>0</v>
      </c>
      <c r="I34" s="131">
        <v>0</v>
      </c>
      <c r="J34" s="126"/>
      <c r="K34" s="9"/>
    </row>
    <row r="35" spans="1:11" ht="13.5" thickBot="1">
      <c r="A35" s="13"/>
      <c r="B35" s="133" t="s">
        <v>86</v>
      </c>
      <c r="C35" s="134">
        <v>1360.94</v>
      </c>
      <c r="D35" s="135">
        <v>1532.9</v>
      </c>
      <c r="E35" s="135">
        <v>171.96</v>
      </c>
      <c r="F35" s="24"/>
      <c r="G35" s="24">
        <v>178</v>
      </c>
      <c r="H35" s="24"/>
      <c r="I35" s="136">
        <v>-6.039999999999964</v>
      </c>
      <c r="J35" s="137">
        <v>178</v>
      </c>
      <c r="K35" s="9"/>
    </row>
    <row r="36" spans="1:11" ht="12.75">
      <c r="A36" s="13" t="s">
        <v>29</v>
      </c>
      <c r="B36" s="9"/>
      <c r="C36" s="128"/>
      <c r="D36" s="18"/>
      <c r="E36" s="15"/>
      <c r="G36">
        <v>0</v>
      </c>
      <c r="I36" s="131">
        <v>0</v>
      </c>
      <c r="J36" s="126"/>
      <c r="K36" s="9"/>
    </row>
    <row r="37" spans="1:11" ht="12.75">
      <c r="A37" s="13"/>
      <c r="B37" s="9" t="s">
        <v>318</v>
      </c>
      <c r="C37" s="129">
        <v>1505.26</v>
      </c>
      <c r="D37" s="130">
        <v>1545.8</v>
      </c>
      <c r="E37" s="127">
        <v>40.54</v>
      </c>
      <c r="F37">
        <v>181</v>
      </c>
      <c r="G37">
        <v>1545.8</v>
      </c>
      <c r="H37">
        <v>1488.8</v>
      </c>
      <c r="I37" s="131">
        <v>-16.46</v>
      </c>
      <c r="J37" s="126">
        <v>57</v>
      </c>
      <c r="K37" s="9"/>
    </row>
    <row r="38" spans="1:11" ht="12.75">
      <c r="A38" s="13"/>
      <c r="B38" s="9" t="s">
        <v>319</v>
      </c>
      <c r="C38" s="129">
        <v>0</v>
      </c>
      <c r="D38" s="130">
        <v>70.3</v>
      </c>
      <c r="E38" s="127">
        <v>70.3</v>
      </c>
      <c r="F38">
        <v>182</v>
      </c>
      <c r="G38">
        <v>70.3</v>
      </c>
      <c r="H38">
        <v>70.3</v>
      </c>
      <c r="I38" s="131">
        <v>70.3</v>
      </c>
      <c r="J38" s="126"/>
      <c r="K38" s="9"/>
    </row>
    <row r="39" spans="1:11" ht="12.75">
      <c r="A39" s="13"/>
      <c r="B39" s="9" t="s">
        <v>320</v>
      </c>
      <c r="C39" s="129">
        <v>0</v>
      </c>
      <c r="D39" s="130">
        <v>0</v>
      </c>
      <c r="E39" s="127">
        <v>0</v>
      </c>
      <c r="F39" s="9"/>
      <c r="G39">
        <v>0</v>
      </c>
      <c r="H39" s="9"/>
      <c r="I39" s="131">
        <v>0</v>
      </c>
      <c r="J39" s="126"/>
      <c r="K39" s="9"/>
    </row>
    <row r="40" spans="1:11" ht="12.75">
      <c r="A40" s="13"/>
      <c r="B40" s="9" t="s">
        <v>321</v>
      </c>
      <c r="C40" s="129">
        <v>0</v>
      </c>
      <c r="D40" s="130">
        <v>0</v>
      </c>
      <c r="E40" s="127">
        <v>0</v>
      </c>
      <c r="F40" s="9"/>
      <c r="G40">
        <v>0</v>
      </c>
      <c r="H40" s="9"/>
      <c r="I40" s="131">
        <v>0</v>
      </c>
      <c r="J40" s="126"/>
      <c r="K40" s="9"/>
    </row>
    <row r="41" spans="1:11" ht="12.75">
      <c r="A41" s="13"/>
      <c r="B41" s="9" t="s">
        <v>322</v>
      </c>
      <c r="C41" s="129">
        <v>2203.28</v>
      </c>
      <c r="D41" s="130">
        <v>2063.2</v>
      </c>
      <c r="E41" s="127">
        <v>-140.08</v>
      </c>
      <c r="F41">
        <v>185</v>
      </c>
      <c r="G41">
        <v>2063.2</v>
      </c>
      <c r="H41">
        <v>2063.2</v>
      </c>
      <c r="I41" s="131">
        <v>-140.08</v>
      </c>
      <c r="J41" s="126"/>
      <c r="K41" s="9"/>
    </row>
    <row r="42" spans="1:11" ht="12.75">
      <c r="A42" s="13"/>
      <c r="B42" s="9" t="s">
        <v>323</v>
      </c>
      <c r="C42" s="129">
        <v>1219.66</v>
      </c>
      <c r="D42" s="130">
        <v>1051.1</v>
      </c>
      <c r="E42" s="127">
        <v>-168.56</v>
      </c>
      <c r="F42">
        <v>186</v>
      </c>
      <c r="G42">
        <v>1051.1</v>
      </c>
      <c r="H42">
        <v>1199.1</v>
      </c>
      <c r="I42" s="131">
        <v>-20.560000000000173</v>
      </c>
      <c r="J42" s="126">
        <v>-148</v>
      </c>
      <c r="K42" s="9"/>
    </row>
    <row r="43" spans="1:11" ht="15.75" thickBot="1">
      <c r="A43" s="13"/>
      <c r="B43" s="9" t="s">
        <v>324</v>
      </c>
      <c r="C43" s="129">
        <v>501.77</v>
      </c>
      <c r="D43" s="130">
        <v>550.4</v>
      </c>
      <c r="E43" s="139">
        <v>48.63</v>
      </c>
      <c r="F43">
        <v>187</v>
      </c>
      <c r="G43">
        <v>550.4</v>
      </c>
      <c r="H43">
        <v>482.4</v>
      </c>
      <c r="I43" s="131">
        <v>-19.37</v>
      </c>
      <c r="J43" s="126">
        <v>68</v>
      </c>
      <c r="K43" s="9">
        <v>-23</v>
      </c>
    </row>
    <row r="44" spans="1:11" ht="13.5" thickBot="1">
      <c r="A44" s="13"/>
      <c r="B44" s="133" t="s">
        <v>86</v>
      </c>
      <c r="C44" s="134">
        <v>5429.97</v>
      </c>
      <c r="D44" s="135">
        <v>5280.8</v>
      </c>
      <c r="E44" s="135">
        <v>-149.17000000000058</v>
      </c>
      <c r="F44" s="24"/>
      <c r="G44" s="24">
        <v>-23</v>
      </c>
      <c r="H44" s="24"/>
      <c r="I44" s="136">
        <v>-126.1700000000006</v>
      </c>
      <c r="J44" s="137">
        <v>-23</v>
      </c>
      <c r="K44" s="9"/>
    </row>
    <row r="45" spans="1:11" ht="12.75">
      <c r="A45" s="13" t="s">
        <v>30</v>
      </c>
      <c r="B45" s="9"/>
      <c r="C45" s="128"/>
      <c r="D45" s="18"/>
      <c r="E45" s="15"/>
      <c r="G45">
        <v>0</v>
      </c>
      <c r="I45" s="131">
        <v>0</v>
      </c>
      <c r="J45" s="126"/>
      <c r="K45" s="9"/>
    </row>
    <row r="46" spans="1:11" ht="12.75">
      <c r="A46" s="13"/>
      <c r="B46" s="9" t="s">
        <v>325</v>
      </c>
      <c r="C46" s="129">
        <v>1041.61</v>
      </c>
      <c r="D46" s="130">
        <v>1054.2</v>
      </c>
      <c r="E46" s="127">
        <v>12.590000000000146</v>
      </c>
      <c r="F46">
        <v>191</v>
      </c>
      <c r="G46">
        <v>1054.2</v>
      </c>
      <c r="H46">
        <v>1045.2</v>
      </c>
      <c r="I46" s="131">
        <v>3.5900000000001455</v>
      </c>
      <c r="J46" s="126">
        <v>9</v>
      </c>
      <c r="K46" s="9"/>
    </row>
    <row r="47" spans="1:11" ht="15.75" thickBot="1">
      <c r="A47" s="13"/>
      <c r="B47" s="9" t="s">
        <v>326</v>
      </c>
      <c r="C47" s="129">
        <v>1696.49</v>
      </c>
      <c r="D47" s="130">
        <v>1712.9</v>
      </c>
      <c r="E47" s="139">
        <v>16.410000000000082</v>
      </c>
      <c r="F47">
        <v>192</v>
      </c>
      <c r="G47">
        <v>1712.9</v>
      </c>
      <c r="H47">
        <v>1712.9</v>
      </c>
      <c r="I47" s="131">
        <v>16.410000000000082</v>
      </c>
      <c r="J47" s="126"/>
      <c r="K47" s="9"/>
    </row>
    <row r="48" spans="1:11" ht="17.25" thickBot="1">
      <c r="A48" s="13"/>
      <c r="B48" s="133" t="s">
        <v>86</v>
      </c>
      <c r="C48" s="134">
        <v>2738.1</v>
      </c>
      <c r="D48" s="135">
        <v>2767.1</v>
      </c>
      <c r="E48" s="147">
        <v>29.000000000000227</v>
      </c>
      <c r="F48" s="24"/>
      <c r="G48" s="24">
        <v>9</v>
      </c>
      <c r="H48" s="24"/>
      <c r="I48" s="136">
        <v>20.000000000000227</v>
      </c>
      <c r="J48" s="148">
        <v>9</v>
      </c>
      <c r="K48" s="149"/>
    </row>
    <row r="49" spans="1:10" ht="15.75" thickBot="1">
      <c r="A49" s="150"/>
      <c r="B49" s="151" t="s">
        <v>287</v>
      </c>
      <c r="C49" s="152">
        <v>55385.45</v>
      </c>
      <c r="D49" s="153">
        <v>57728.2</v>
      </c>
      <c r="E49" s="153">
        <v>2342.75</v>
      </c>
      <c r="F49" s="24"/>
      <c r="G49" s="24">
        <v>1384</v>
      </c>
      <c r="H49" s="24"/>
      <c r="I49" s="136">
        <v>957.7500000000007</v>
      </c>
      <c r="J49" s="154">
        <v>1384</v>
      </c>
    </row>
    <row r="50" spans="1:10" ht="12.75">
      <c r="A50" s="13"/>
      <c r="B50" s="155"/>
      <c r="C50" s="128"/>
      <c r="D50" s="18"/>
      <c r="E50" s="15"/>
      <c r="G50">
        <v>0</v>
      </c>
      <c r="I50" s="131">
        <v>0</v>
      </c>
      <c r="J50" s="126"/>
    </row>
    <row r="51" spans="1:10" ht="12.75">
      <c r="A51" s="13" t="s">
        <v>31</v>
      </c>
      <c r="B51" s="9"/>
      <c r="C51" s="129">
        <v>86.54</v>
      </c>
      <c r="D51" s="130">
        <v>88.1</v>
      </c>
      <c r="E51" s="127">
        <v>1.559999999999988</v>
      </c>
      <c r="F51">
        <v>210</v>
      </c>
      <c r="G51">
        <v>88.1</v>
      </c>
      <c r="H51">
        <v>88.1</v>
      </c>
      <c r="I51" s="131">
        <v>1.559999999999988</v>
      </c>
      <c r="J51" s="126"/>
    </row>
    <row r="52" spans="1:10" ht="12.75">
      <c r="A52" s="13" t="s">
        <v>342</v>
      </c>
      <c r="B52" s="9"/>
      <c r="C52" s="129">
        <v>412.55</v>
      </c>
      <c r="D52" s="130">
        <v>418.8</v>
      </c>
      <c r="E52" s="127">
        <v>6.25</v>
      </c>
      <c r="F52">
        <v>220</v>
      </c>
      <c r="G52">
        <v>418.8</v>
      </c>
      <c r="H52">
        <v>418.8</v>
      </c>
      <c r="I52" s="131">
        <v>6.25</v>
      </c>
      <c r="J52" s="126"/>
    </row>
    <row r="53" spans="1:10" ht="17.25" thickBot="1">
      <c r="A53" s="13" t="s">
        <v>343</v>
      </c>
      <c r="B53" s="9"/>
      <c r="C53" s="129">
        <v>284.37</v>
      </c>
      <c r="D53" s="130">
        <v>284.4</v>
      </c>
      <c r="E53" s="139">
        <v>0.029999999999972715</v>
      </c>
      <c r="F53">
        <v>250</v>
      </c>
      <c r="G53">
        <v>284.4</v>
      </c>
      <c r="H53">
        <v>284.4</v>
      </c>
      <c r="I53" s="131">
        <v>0.029999999999972715</v>
      </c>
      <c r="J53" s="156"/>
    </row>
    <row r="54" spans="1:10" ht="15.75" thickBot="1">
      <c r="A54" s="150"/>
      <c r="B54" s="151" t="s">
        <v>288</v>
      </c>
      <c r="C54" s="152">
        <v>783.46</v>
      </c>
      <c r="D54" s="153">
        <v>791.3</v>
      </c>
      <c r="E54" s="153">
        <v>7.839999999999961</v>
      </c>
      <c r="F54" s="24"/>
      <c r="G54" s="24">
        <v>0</v>
      </c>
      <c r="H54" s="24"/>
      <c r="I54" s="136">
        <v>7.839999999999961</v>
      </c>
      <c r="J54" s="136">
        <v>0</v>
      </c>
    </row>
    <row r="55" spans="1:10" ht="12.75">
      <c r="A55" s="13" t="s">
        <v>34</v>
      </c>
      <c r="B55" s="9"/>
      <c r="C55" s="129">
        <v>426.35</v>
      </c>
      <c r="D55" s="130">
        <v>551.6</v>
      </c>
      <c r="E55" s="127">
        <v>125.25</v>
      </c>
      <c r="F55">
        <v>310</v>
      </c>
      <c r="G55">
        <v>551.6</v>
      </c>
      <c r="H55">
        <v>521.6</v>
      </c>
      <c r="I55" s="131">
        <v>95.25</v>
      </c>
      <c r="J55" s="126">
        <v>30</v>
      </c>
    </row>
    <row r="56" spans="1:10" ht="12.75">
      <c r="A56" s="13" t="s">
        <v>344</v>
      </c>
      <c r="B56" s="9"/>
      <c r="C56" s="129">
        <v>45.96</v>
      </c>
      <c r="D56" s="130">
        <v>45.6</v>
      </c>
      <c r="E56" s="127">
        <v>-0.35999999999999943</v>
      </c>
      <c r="F56">
        <v>360</v>
      </c>
      <c r="G56">
        <v>45.6</v>
      </c>
      <c r="H56">
        <v>45.6</v>
      </c>
      <c r="I56" s="131">
        <v>-0.35999999999999943</v>
      </c>
      <c r="J56" s="126"/>
    </row>
    <row r="57" spans="1:10" ht="12.75">
      <c r="A57" s="13" t="s">
        <v>345</v>
      </c>
      <c r="B57" s="9"/>
      <c r="C57" s="129">
        <v>310.09</v>
      </c>
      <c r="D57" s="130">
        <v>206.2</v>
      </c>
      <c r="E57" s="127">
        <v>-103.89</v>
      </c>
      <c r="F57">
        <v>380</v>
      </c>
      <c r="G57">
        <v>206.2</v>
      </c>
      <c r="H57">
        <v>206.2</v>
      </c>
      <c r="I57" s="131">
        <v>-103.89</v>
      </c>
      <c r="J57" s="126"/>
    </row>
    <row r="58" spans="1:10" ht="17.25" thickBot="1">
      <c r="A58" s="13" t="s">
        <v>37</v>
      </c>
      <c r="B58" s="9"/>
      <c r="C58" s="129">
        <v>360.52</v>
      </c>
      <c r="D58" s="130">
        <v>345.3</v>
      </c>
      <c r="E58" s="139">
        <v>-15.22</v>
      </c>
      <c r="F58">
        <v>390</v>
      </c>
      <c r="G58">
        <v>345.3</v>
      </c>
      <c r="H58">
        <v>357.3</v>
      </c>
      <c r="I58" s="131">
        <v>-3.2199999999999704</v>
      </c>
      <c r="J58" s="156">
        <v>-12</v>
      </c>
    </row>
    <row r="59" spans="1:10" ht="15.75" thickBot="1">
      <c r="A59" s="150"/>
      <c r="B59" s="151" t="s">
        <v>289</v>
      </c>
      <c r="C59" s="152">
        <v>1142.92</v>
      </c>
      <c r="D59" s="153">
        <v>1148.7</v>
      </c>
      <c r="E59" s="153">
        <v>5.780000000000044</v>
      </c>
      <c r="F59" s="24"/>
      <c r="G59" s="24">
        <v>18</v>
      </c>
      <c r="H59" s="24"/>
      <c r="I59" s="136">
        <v>-12.22</v>
      </c>
      <c r="J59" s="136">
        <v>18</v>
      </c>
    </row>
    <row r="60" spans="1:10" ht="12.75">
      <c r="A60" s="13" t="s">
        <v>38</v>
      </c>
      <c r="B60" s="9"/>
      <c r="C60" s="128"/>
      <c r="D60" s="18"/>
      <c r="E60" s="15"/>
      <c r="G60">
        <v>0</v>
      </c>
      <c r="I60" s="131">
        <v>0</v>
      </c>
      <c r="J60" s="126"/>
    </row>
    <row r="61" spans="1:10" ht="12.75">
      <c r="A61" s="13"/>
      <c r="B61" s="9" t="s">
        <v>327</v>
      </c>
      <c r="C61" s="129">
        <v>382.03</v>
      </c>
      <c r="D61" s="130">
        <v>376.4</v>
      </c>
      <c r="E61" s="127">
        <v>-5.63</v>
      </c>
      <c r="F61">
        <v>411</v>
      </c>
      <c r="G61">
        <v>376.4</v>
      </c>
      <c r="H61">
        <v>374.4</v>
      </c>
      <c r="I61" s="131">
        <v>-7.63</v>
      </c>
      <c r="J61" s="126">
        <v>2</v>
      </c>
    </row>
    <row r="62" spans="1:10" ht="12.75">
      <c r="A62" s="13"/>
      <c r="B62" s="9" t="s">
        <v>328</v>
      </c>
      <c r="C62" s="129">
        <v>48.14</v>
      </c>
      <c r="D62" s="130">
        <v>47.5</v>
      </c>
      <c r="E62" s="127">
        <v>-0.6400000000000006</v>
      </c>
      <c r="F62">
        <v>412</v>
      </c>
      <c r="G62">
        <v>47.5</v>
      </c>
      <c r="H62">
        <v>47.5</v>
      </c>
      <c r="I62" s="131">
        <v>-0.6400000000000006</v>
      </c>
      <c r="J62" s="126"/>
    </row>
    <row r="63" spans="1:10" ht="12.75">
      <c r="A63" s="13" t="s">
        <v>39</v>
      </c>
      <c r="B63" s="9"/>
      <c r="C63" s="128"/>
      <c r="D63" s="18"/>
      <c r="E63" s="15"/>
      <c r="G63">
        <v>0</v>
      </c>
      <c r="I63" s="131">
        <v>0</v>
      </c>
      <c r="J63" s="126"/>
    </row>
    <row r="64" spans="1:10" ht="12.75">
      <c r="A64" s="13"/>
      <c r="B64" s="9" t="s">
        <v>329</v>
      </c>
      <c r="C64" s="129">
        <v>453.94</v>
      </c>
      <c r="D64" s="130">
        <v>478.8</v>
      </c>
      <c r="E64" s="127">
        <v>24.86</v>
      </c>
      <c r="F64">
        <v>431</v>
      </c>
      <c r="G64">
        <v>478.8</v>
      </c>
      <c r="H64">
        <v>409.8</v>
      </c>
      <c r="I64" s="131">
        <v>-44.14</v>
      </c>
      <c r="J64" s="126">
        <v>69</v>
      </c>
    </row>
    <row r="65" spans="1:10" ht="12.75">
      <c r="A65" s="13"/>
      <c r="B65" s="13" t="s">
        <v>330</v>
      </c>
      <c r="C65" s="129">
        <v>0</v>
      </c>
      <c r="D65" s="130">
        <v>0</v>
      </c>
      <c r="E65" s="127">
        <v>0</v>
      </c>
      <c r="G65">
        <v>0</v>
      </c>
      <c r="I65" s="131">
        <v>0</v>
      </c>
      <c r="J65" s="126"/>
    </row>
    <row r="66" spans="1:10" ht="12.75">
      <c r="A66" s="13"/>
      <c r="B66" s="9" t="s">
        <v>331</v>
      </c>
      <c r="C66" s="129">
        <v>0</v>
      </c>
      <c r="D66" s="130">
        <v>0</v>
      </c>
      <c r="E66" s="127">
        <v>0</v>
      </c>
      <c r="G66">
        <v>0</v>
      </c>
      <c r="I66" s="131">
        <v>0</v>
      </c>
      <c r="J66" s="126"/>
    </row>
    <row r="67" spans="1:10" ht="12.75">
      <c r="A67" s="13" t="s">
        <v>268</v>
      </c>
      <c r="B67" s="9"/>
      <c r="C67" s="128"/>
      <c r="D67" s="18"/>
      <c r="E67" s="15"/>
      <c r="G67">
        <v>0</v>
      </c>
      <c r="I67" s="131">
        <v>0</v>
      </c>
      <c r="J67" s="126"/>
    </row>
    <row r="68" spans="1:10" ht="12.75">
      <c r="A68" s="13"/>
      <c r="B68" s="9" t="s">
        <v>332</v>
      </c>
      <c r="C68" s="129">
        <v>377.66</v>
      </c>
      <c r="D68" s="130">
        <v>377</v>
      </c>
      <c r="E68" s="127">
        <v>-0.660000000000025</v>
      </c>
      <c r="F68">
        <v>441</v>
      </c>
      <c r="G68">
        <v>377</v>
      </c>
      <c r="H68">
        <v>377</v>
      </c>
      <c r="I68" s="131">
        <v>-0.660000000000025</v>
      </c>
      <c r="J68" s="126"/>
    </row>
    <row r="69" spans="1:10" ht="12.75">
      <c r="A69" s="13"/>
      <c r="B69" s="9" t="s">
        <v>333</v>
      </c>
      <c r="C69" s="129">
        <v>82.18</v>
      </c>
      <c r="D69" s="130">
        <v>81.4</v>
      </c>
      <c r="E69" s="127">
        <v>-0.7800000000000011</v>
      </c>
      <c r="F69">
        <v>442</v>
      </c>
      <c r="G69">
        <v>81.4</v>
      </c>
      <c r="H69">
        <v>81.4</v>
      </c>
      <c r="I69" s="131">
        <v>-0.7800000000000011</v>
      </c>
      <c r="J69" s="126"/>
    </row>
    <row r="70" spans="1:10" ht="12.75">
      <c r="A70" s="13"/>
      <c r="B70" s="9" t="s">
        <v>334</v>
      </c>
      <c r="C70" s="129">
        <v>14.27</v>
      </c>
      <c r="D70" s="130">
        <v>13.8</v>
      </c>
      <c r="E70" s="127">
        <v>-0.46999999999999886</v>
      </c>
      <c r="F70">
        <v>443</v>
      </c>
      <c r="G70">
        <v>13.8</v>
      </c>
      <c r="H70">
        <v>13.8</v>
      </c>
      <c r="I70" s="131">
        <v>-0.46999999999999886</v>
      </c>
      <c r="J70" s="126"/>
    </row>
    <row r="71" spans="1:10" ht="12.75">
      <c r="A71" s="13"/>
      <c r="B71" s="9" t="s">
        <v>335</v>
      </c>
      <c r="C71" s="129">
        <v>312.65</v>
      </c>
      <c r="D71" s="130">
        <v>307.5</v>
      </c>
      <c r="E71" s="127">
        <v>-5.149999999999977</v>
      </c>
      <c r="F71">
        <v>444</v>
      </c>
      <c r="G71">
        <v>307.5</v>
      </c>
      <c r="H71">
        <v>307.5</v>
      </c>
      <c r="I71" s="131">
        <v>-5.149999999999977</v>
      </c>
      <c r="J71" s="126"/>
    </row>
    <row r="72" spans="1:10" ht="12.75">
      <c r="A72" s="13"/>
      <c r="B72" s="9" t="s">
        <v>336</v>
      </c>
      <c r="C72" s="129">
        <v>522.1</v>
      </c>
      <c r="D72" s="130">
        <v>566.3</v>
      </c>
      <c r="E72" s="127">
        <v>44.19999999999993</v>
      </c>
      <c r="F72">
        <v>445</v>
      </c>
      <c r="G72">
        <v>566.3</v>
      </c>
      <c r="H72">
        <v>517.3</v>
      </c>
      <c r="I72" s="131">
        <v>-4.800000000000068</v>
      </c>
      <c r="J72" s="126">
        <v>49</v>
      </c>
    </row>
    <row r="73" spans="1:10" ht="12.75">
      <c r="A73" s="13" t="s">
        <v>269</v>
      </c>
      <c r="B73" s="9"/>
      <c r="C73" s="128"/>
      <c r="D73" s="18"/>
      <c r="E73" s="15"/>
      <c r="G73">
        <v>0</v>
      </c>
      <c r="I73" s="131">
        <v>0</v>
      </c>
      <c r="J73" s="126"/>
    </row>
    <row r="74" spans="1:10" ht="12.75">
      <c r="A74" s="13"/>
      <c r="B74" s="9" t="s">
        <v>255</v>
      </c>
      <c r="C74" s="129">
        <v>520.33</v>
      </c>
      <c r="D74" s="130">
        <v>478.1</v>
      </c>
      <c r="E74" s="127">
        <v>-42.23</v>
      </c>
      <c r="F74">
        <v>451</v>
      </c>
      <c r="G74">
        <v>478.1</v>
      </c>
      <c r="H74">
        <v>530.1</v>
      </c>
      <c r="I74" s="131">
        <v>9.769999999999982</v>
      </c>
      <c r="J74" s="126">
        <v>-52</v>
      </c>
    </row>
    <row r="75" spans="1:10" ht="12.75">
      <c r="A75" s="13"/>
      <c r="B75" s="9" t="s">
        <v>256</v>
      </c>
      <c r="C75" s="129">
        <v>261.74</v>
      </c>
      <c r="D75" s="130">
        <v>259.3</v>
      </c>
      <c r="E75" s="127">
        <v>-2.44</v>
      </c>
      <c r="F75">
        <v>452</v>
      </c>
      <c r="G75">
        <v>259.3</v>
      </c>
      <c r="H75">
        <v>259.3</v>
      </c>
      <c r="I75" s="131">
        <v>-2.44</v>
      </c>
      <c r="J75" s="126"/>
    </row>
    <row r="76" spans="1:10" ht="12.75">
      <c r="A76" s="13"/>
      <c r="B76" s="9" t="s">
        <v>257</v>
      </c>
      <c r="C76" s="129">
        <v>324.72</v>
      </c>
      <c r="D76" s="130">
        <v>317.7</v>
      </c>
      <c r="E76" s="127">
        <v>-7.020000000000039</v>
      </c>
      <c r="F76">
        <v>453</v>
      </c>
      <c r="G76">
        <v>317.7</v>
      </c>
      <c r="H76">
        <v>317.7</v>
      </c>
      <c r="I76" s="131">
        <v>-7.020000000000039</v>
      </c>
      <c r="J76" s="126"/>
    </row>
    <row r="77" spans="1:10" ht="12.75">
      <c r="A77" s="13"/>
      <c r="B77" s="9"/>
      <c r="C77" s="128"/>
      <c r="D77" s="18"/>
      <c r="E77" s="15"/>
      <c r="G77">
        <v>0</v>
      </c>
      <c r="I77" s="131">
        <v>0</v>
      </c>
      <c r="J77" s="126"/>
    </row>
    <row r="78" spans="1:10" ht="15" thickBot="1">
      <c r="A78" s="13" t="s">
        <v>270</v>
      </c>
      <c r="B78" s="9"/>
      <c r="C78" s="129">
        <v>1.3</v>
      </c>
      <c r="D78" s="130">
        <v>1.3</v>
      </c>
      <c r="E78" s="157"/>
      <c r="F78">
        <v>460</v>
      </c>
      <c r="G78">
        <v>1.3</v>
      </c>
      <c r="H78">
        <v>1.3</v>
      </c>
      <c r="I78" s="131">
        <v>0</v>
      </c>
      <c r="J78" s="156"/>
    </row>
    <row r="79" spans="1:10" ht="15.75" thickBot="1">
      <c r="A79" s="150"/>
      <c r="B79" s="151" t="s">
        <v>290</v>
      </c>
      <c r="C79" s="152">
        <v>3301.06</v>
      </c>
      <c r="D79" s="153">
        <v>3305.1</v>
      </c>
      <c r="E79" s="153">
        <v>4.039999999999893</v>
      </c>
      <c r="F79" s="24"/>
      <c r="G79" s="24">
        <v>68</v>
      </c>
      <c r="H79" s="24"/>
      <c r="I79" s="136">
        <v>-63.96000000000011</v>
      </c>
      <c r="J79" s="136">
        <v>68</v>
      </c>
    </row>
    <row r="80" spans="1:10" ht="12.75">
      <c r="A80" s="13"/>
      <c r="B80" s="9"/>
      <c r="C80" s="158"/>
      <c r="D80" s="15"/>
      <c r="E80" s="15"/>
      <c r="G80">
        <v>0</v>
      </c>
      <c r="I80" s="131">
        <v>0</v>
      </c>
      <c r="J80" s="126"/>
    </row>
    <row r="81" spans="1:10" ht="12.75">
      <c r="A81" s="13" t="s">
        <v>271</v>
      </c>
      <c r="B81" s="9"/>
      <c r="C81" s="129">
        <f>310.59-27.9</f>
        <v>282.69</v>
      </c>
      <c r="D81" s="130">
        <f>308.3-27.9</f>
        <v>280.40000000000003</v>
      </c>
      <c r="E81" s="127">
        <v>-2.2899999999999636</v>
      </c>
      <c r="F81">
        <v>510</v>
      </c>
      <c r="G81">
        <f>308.3-27.9</f>
        <v>280.40000000000003</v>
      </c>
      <c r="H81">
        <f>308.3-27.9</f>
        <v>280.40000000000003</v>
      </c>
      <c r="I81" s="131">
        <v>-2.2899999999999636</v>
      </c>
      <c r="J81" s="126"/>
    </row>
    <row r="82" spans="1:10" ht="12.75">
      <c r="A82" s="13" t="s">
        <v>272</v>
      </c>
      <c r="B82" s="9"/>
      <c r="C82" s="129">
        <v>610.92</v>
      </c>
      <c r="D82" s="130">
        <v>530.1</v>
      </c>
      <c r="E82" s="127">
        <v>-80.81999999999994</v>
      </c>
      <c r="F82">
        <v>520</v>
      </c>
      <c r="G82">
        <v>530.1</v>
      </c>
      <c r="H82">
        <v>530.1</v>
      </c>
      <c r="I82" s="131">
        <v>-80.81999999999994</v>
      </c>
      <c r="J82" s="126"/>
    </row>
    <row r="83" spans="1:10" ht="12.75">
      <c r="A83" s="13" t="s">
        <v>273</v>
      </c>
      <c r="B83" s="9"/>
      <c r="C83" s="129">
        <v>351.01</v>
      </c>
      <c r="D83" s="130">
        <v>329.1</v>
      </c>
      <c r="E83" s="127">
        <v>-21.91</v>
      </c>
      <c r="F83">
        <v>530</v>
      </c>
      <c r="G83">
        <v>329.1</v>
      </c>
      <c r="H83">
        <v>329.1</v>
      </c>
      <c r="I83" s="131">
        <v>-21.91</v>
      </c>
      <c r="J83" s="126"/>
    </row>
    <row r="84" spans="1:10" ht="12.75">
      <c r="A84" s="13" t="s">
        <v>274</v>
      </c>
      <c r="B84" s="9"/>
      <c r="C84" s="129">
        <v>220.96</v>
      </c>
      <c r="D84" s="130">
        <v>195.8</v>
      </c>
      <c r="E84" s="127">
        <v>-25.16</v>
      </c>
      <c r="F84">
        <v>540</v>
      </c>
      <c r="G84">
        <v>195.8</v>
      </c>
      <c r="H84">
        <v>195.8</v>
      </c>
      <c r="I84" s="131">
        <v>-25.16</v>
      </c>
      <c r="J84" s="126"/>
    </row>
    <row r="85" spans="1:10" ht="12.75">
      <c r="A85" s="13" t="s">
        <v>275</v>
      </c>
      <c r="B85" s="9"/>
      <c r="C85" s="129">
        <v>161.65</v>
      </c>
      <c r="D85" s="130">
        <v>179.3</v>
      </c>
      <c r="E85" s="127">
        <v>17.65</v>
      </c>
      <c r="F85">
        <v>550</v>
      </c>
      <c r="G85">
        <v>179.3</v>
      </c>
      <c r="H85">
        <v>179.3</v>
      </c>
      <c r="I85" s="131">
        <v>17.65</v>
      </c>
      <c r="J85" s="126"/>
    </row>
    <row r="86" spans="1:10" ht="12.75">
      <c r="A86" s="13" t="s">
        <v>276</v>
      </c>
      <c r="B86" s="9"/>
      <c r="C86" s="129">
        <v>381.94</v>
      </c>
      <c r="D86" s="130">
        <v>325.5</v>
      </c>
      <c r="E86" s="127">
        <v>-56.44</v>
      </c>
      <c r="F86">
        <v>560</v>
      </c>
      <c r="G86">
        <v>325.5</v>
      </c>
      <c r="H86">
        <v>325.5</v>
      </c>
      <c r="I86" s="131">
        <v>-56.44</v>
      </c>
      <c r="J86" s="126"/>
    </row>
    <row r="87" spans="1:10" ht="15" thickBot="1">
      <c r="A87" s="13" t="s">
        <v>277</v>
      </c>
      <c r="B87" s="9"/>
      <c r="C87" s="129">
        <f>12.46+27.9</f>
        <v>40.36</v>
      </c>
      <c r="D87" s="173">
        <f>5.5+27.9</f>
        <v>33.4</v>
      </c>
      <c r="E87" s="127">
        <v>-6.96</v>
      </c>
      <c r="F87">
        <v>580</v>
      </c>
      <c r="G87">
        <f>5.5+27.9</f>
        <v>33.4</v>
      </c>
      <c r="H87">
        <f>12.5+27.9</f>
        <v>40.4</v>
      </c>
      <c r="I87" s="131">
        <v>0.03999999999999915</v>
      </c>
      <c r="J87" s="156">
        <v>-7</v>
      </c>
    </row>
    <row r="88" spans="1:10" ht="15.75" thickBot="1">
      <c r="A88" s="150"/>
      <c r="B88" s="151" t="s">
        <v>291</v>
      </c>
      <c r="C88" s="152">
        <v>2049.53</v>
      </c>
      <c r="D88" s="153">
        <v>1873.6</v>
      </c>
      <c r="E88" s="153">
        <v>-175.93</v>
      </c>
      <c r="F88" s="24"/>
      <c r="G88" s="24">
        <v>-7</v>
      </c>
      <c r="H88" s="24"/>
      <c r="I88" s="154">
        <v>-168.93</v>
      </c>
      <c r="J88" s="154">
        <v>-7</v>
      </c>
    </row>
    <row r="89" spans="1:10" ht="12.75">
      <c r="A89" s="13" t="s">
        <v>50</v>
      </c>
      <c r="B89" s="9"/>
      <c r="C89" s="158"/>
      <c r="D89" s="15"/>
      <c r="E89" s="15"/>
      <c r="G89">
        <v>0</v>
      </c>
      <c r="I89" s="131">
        <v>0</v>
      </c>
      <c r="J89" s="126"/>
    </row>
    <row r="90" spans="1:10" ht="12.75">
      <c r="A90" s="13"/>
      <c r="B90" s="9" t="s">
        <v>258</v>
      </c>
      <c r="C90" s="129">
        <v>0</v>
      </c>
      <c r="D90" s="130">
        <v>0</v>
      </c>
      <c r="E90" s="127">
        <v>0</v>
      </c>
      <c r="G90">
        <v>0</v>
      </c>
      <c r="I90" s="131">
        <v>0</v>
      </c>
      <c r="J90" s="126"/>
    </row>
    <row r="91" spans="1:10" ht="12.75">
      <c r="A91" s="13"/>
      <c r="B91" s="9" t="s">
        <v>259</v>
      </c>
      <c r="C91" s="129">
        <v>0</v>
      </c>
      <c r="D91" s="130">
        <v>0</v>
      </c>
      <c r="E91" s="127">
        <v>0</v>
      </c>
      <c r="G91">
        <v>0</v>
      </c>
      <c r="I91" s="131">
        <v>0</v>
      </c>
      <c r="J91" s="126"/>
    </row>
    <row r="92" spans="1:10" ht="12.75">
      <c r="A92" s="13"/>
      <c r="B92" s="9" t="s">
        <v>260</v>
      </c>
      <c r="C92" s="129">
        <v>94.51</v>
      </c>
      <c r="D92" s="130">
        <v>92.3</v>
      </c>
      <c r="E92" s="127">
        <v>-2.210000000000008</v>
      </c>
      <c r="F92">
        <v>613</v>
      </c>
      <c r="G92">
        <v>92.3</v>
      </c>
      <c r="H92">
        <v>92.3</v>
      </c>
      <c r="I92" s="131">
        <v>-2.210000000000008</v>
      </c>
      <c r="J92" s="126"/>
    </row>
    <row r="93" spans="1:10" ht="12.75">
      <c r="A93" s="13"/>
      <c r="B93" s="9" t="s">
        <v>261</v>
      </c>
      <c r="C93" s="129">
        <v>0</v>
      </c>
      <c r="D93" s="130">
        <v>0</v>
      </c>
      <c r="E93" s="127">
        <v>0</v>
      </c>
      <c r="G93">
        <v>0</v>
      </c>
      <c r="I93" s="131">
        <v>0</v>
      </c>
      <c r="J93" s="126"/>
    </row>
    <row r="94" spans="1:10" ht="12.75">
      <c r="A94" s="13" t="s">
        <v>51</v>
      </c>
      <c r="B94" s="9"/>
      <c r="C94" s="158"/>
      <c r="D94" s="15"/>
      <c r="E94" s="15"/>
      <c r="G94">
        <v>0</v>
      </c>
      <c r="I94" s="131">
        <v>0</v>
      </c>
      <c r="J94" s="126"/>
    </row>
    <row r="95" spans="1:10" ht="12.75">
      <c r="A95" s="13"/>
      <c r="B95" s="9" t="s">
        <v>262</v>
      </c>
      <c r="C95" s="129">
        <v>233.04</v>
      </c>
      <c r="D95" s="130">
        <v>229</v>
      </c>
      <c r="E95" s="127">
        <v>-4.039999999999992</v>
      </c>
      <c r="F95">
        <v>621</v>
      </c>
      <c r="G95">
        <v>229</v>
      </c>
      <c r="H95">
        <v>229</v>
      </c>
      <c r="I95" s="131">
        <v>-4.039999999999992</v>
      </c>
      <c r="J95" s="126"/>
    </row>
    <row r="96" spans="1:10" ht="12.75">
      <c r="A96" s="13"/>
      <c r="B96" s="9" t="s">
        <v>263</v>
      </c>
      <c r="C96" s="129">
        <v>0</v>
      </c>
      <c r="D96" s="130">
        <v>0</v>
      </c>
      <c r="E96" s="127">
        <v>0</v>
      </c>
      <c r="F96">
        <v>622</v>
      </c>
      <c r="G96">
        <v>0</v>
      </c>
      <c r="I96" s="131">
        <v>0</v>
      </c>
      <c r="J96" s="126"/>
    </row>
    <row r="97" spans="1:10" ht="12.75">
      <c r="A97" s="13"/>
      <c r="B97" s="9" t="s">
        <v>264</v>
      </c>
      <c r="C97" s="129">
        <v>230.22</v>
      </c>
      <c r="D97" s="130">
        <v>226</v>
      </c>
      <c r="E97" s="127">
        <v>-4.22</v>
      </c>
      <c r="F97">
        <v>623</v>
      </c>
      <c r="G97">
        <v>226</v>
      </c>
      <c r="H97">
        <v>226</v>
      </c>
      <c r="I97" s="131">
        <v>-4.22</v>
      </c>
      <c r="J97" s="126"/>
    </row>
    <row r="98" spans="1:10" ht="12.75">
      <c r="A98" s="13"/>
      <c r="B98" s="9"/>
      <c r="C98" s="158"/>
      <c r="D98" s="15"/>
      <c r="E98" s="15"/>
      <c r="G98">
        <v>0</v>
      </c>
      <c r="I98" s="131">
        <v>0</v>
      </c>
      <c r="J98" s="126"/>
    </row>
    <row r="99" spans="1:10" ht="12.75">
      <c r="A99" s="13" t="s">
        <v>52</v>
      </c>
      <c r="B99" s="9"/>
      <c r="C99" s="129">
        <v>109.3</v>
      </c>
      <c r="D99" s="130">
        <v>106.9</v>
      </c>
      <c r="E99" s="127">
        <v>-2.3999999999999915</v>
      </c>
      <c r="F99">
        <v>630</v>
      </c>
      <c r="G99">
        <v>106.9</v>
      </c>
      <c r="H99">
        <v>106.9</v>
      </c>
      <c r="I99" s="131">
        <v>-2.3999999999999915</v>
      </c>
      <c r="J99" s="126"/>
    </row>
    <row r="100" spans="1:10" ht="12.75">
      <c r="A100" s="13" t="s">
        <v>278</v>
      </c>
      <c r="B100" s="9"/>
      <c r="C100" s="158"/>
      <c r="D100" s="15"/>
      <c r="E100" s="15"/>
      <c r="G100">
        <v>0</v>
      </c>
      <c r="I100" s="131">
        <v>0</v>
      </c>
      <c r="J100" s="126"/>
    </row>
    <row r="101" spans="1:10" ht="12.75">
      <c r="A101" s="13"/>
      <c r="B101" s="9" t="s">
        <v>259</v>
      </c>
      <c r="C101" s="129">
        <v>9.38</v>
      </c>
      <c r="D101" s="130">
        <v>9.4</v>
      </c>
      <c r="E101" s="127">
        <v>0.019999999999999574</v>
      </c>
      <c r="F101">
        <v>612</v>
      </c>
      <c r="G101">
        <v>9.4</v>
      </c>
      <c r="H101">
        <v>9.4</v>
      </c>
      <c r="I101" s="131">
        <v>0.019999999999999574</v>
      </c>
      <c r="J101" s="126"/>
    </row>
    <row r="102" spans="1:10" ht="15" thickBot="1">
      <c r="A102" s="13"/>
      <c r="B102" s="9" t="s">
        <v>265</v>
      </c>
      <c r="C102" s="129">
        <v>15</v>
      </c>
      <c r="D102" s="130">
        <v>15</v>
      </c>
      <c r="E102" s="127">
        <v>0</v>
      </c>
      <c r="F102">
        <v>650</v>
      </c>
      <c r="G102">
        <v>15</v>
      </c>
      <c r="H102">
        <v>15</v>
      </c>
      <c r="I102" s="131">
        <v>0</v>
      </c>
      <c r="J102" s="156"/>
    </row>
    <row r="103" spans="1:10" ht="15.75" thickBot="1">
      <c r="A103" s="150"/>
      <c r="B103" s="151" t="s">
        <v>292</v>
      </c>
      <c r="C103" s="152">
        <v>691.45</v>
      </c>
      <c r="D103" s="153">
        <v>678.6</v>
      </c>
      <c r="E103" s="153">
        <v>-12.85</v>
      </c>
      <c r="F103" s="24"/>
      <c r="G103" s="24">
        <v>0</v>
      </c>
      <c r="H103" s="24"/>
      <c r="I103" s="136">
        <v>-12.85</v>
      </c>
      <c r="J103" s="136">
        <v>0</v>
      </c>
    </row>
    <row r="104" spans="1:10" ht="12.75">
      <c r="A104" s="13" t="s">
        <v>279</v>
      </c>
      <c r="B104" s="9"/>
      <c r="C104" s="129">
        <v>32.15</v>
      </c>
      <c r="D104" s="130">
        <v>32.2</v>
      </c>
      <c r="E104" s="127">
        <v>0.05000000000000426</v>
      </c>
      <c r="F104">
        <v>710</v>
      </c>
      <c r="G104">
        <v>32.2</v>
      </c>
      <c r="H104">
        <v>32.2</v>
      </c>
      <c r="I104" s="131">
        <v>0.05000000000000426</v>
      </c>
      <c r="J104" s="126"/>
    </row>
    <row r="105" spans="1:10" ht="12.75">
      <c r="A105" s="13" t="s">
        <v>280</v>
      </c>
      <c r="B105" s="9"/>
      <c r="C105" s="129">
        <v>8.09</v>
      </c>
      <c r="D105" s="130">
        <v>9.1</v>
      </c>
      <c r="E105" s="127">
        <v>1.01</v>
      </c>
      <c r="F105">
        <v>720</v>
      </c>
      <c r="G105">
        <v>9.1</v>
      </c>
      <c r="H105">
        <v>9.1</v>
      </c>
      <c r="I105" s="131">
        <v>1.01</v>
      </c>
      <c r="J105" s="126"/>
    </row>
    <row r="106" spans="1:10" ht="12.75">
      <c r="A106" s="13" t="s">
        <v>281</v>
      </c>
      <c r="B106" s="9"/>
      <c r="C106" s="129">
        <v>164.42</v>
      </c>
      <c r="D106" s="130">
        <v>109.1</v>
      </c>
      <c r="E106" s="127">
        <v>-55.32</v>
      </c>
      <c r="F106">
        <v>730</v>
      </c>
      <c r="G106">
        <v>109.1</v>
      </c>
      <c r="H106">
        <v>159.1</v>
      </c>
      <c r="I106" s="131">
        <v>-5.319999999999993</v>
      </c>
      <c r="J106" s="126">
        <v>-50</v>
      </c>
    </row>
    <row r="107" spans="1:10" ht="12.75">
      <c r="A107" s="13" t="s">
        <v>282</v>
      </c>
      <c r="B107" s="9"/>
      <c r="C107" s="158"/>
      <c r="D107" s="15"/>
      <c r="E107" s="127">
        <v>0</v>
      </c>
      <c r="G107">
        <v>0</v>
      </c>
      <c r="I107" s="131">
        <v>0</v>
      </c>
      <c r="J107" s="126"/>
    </row>
    <row r="108" spans="1:10" ht="12.75">
      <c r="A108" s="13"/>
      <c r="B108" s="9" t="s">
        <v>266</v>
      </c>
      <c r="C108" s="129">
        <v>152.71</v>
      </c>
      <c r="D108" s="130">
        <v>335.8</v>
      </c>
      <c r="E108" s="127">
        <v>183.09</v>
      </c>
      <c r="F108">
        <v>740</v>
      </c>
      <c r="G108">
        <v>335.8</v>
      </c>
      <c r="H108">
        <v>157.8</v>
      </c>
      <c r="I108" s="131">
        <v>5.09</v>
      </c>
      <c r="J108" s="126">
        <v>178</v>
      </c>
    </row>
    <row r="109" spans="1:10" ht="12.75">
      <c r="A109" s="13"/>
      <c r="B109" s="9" t="s">
        <v>337</v>
      </c>
      <c r="C109" s="129">
        <v>312.58</v>
      </c>
      <c r="D109" s="130">
        <v>312.6</v>
      </c>
      <c r="E109" s="127">
        <v>0.020000000000038654</v>
      </c>
      <c r="F109">
        <v>741</v>
      </c>
      <c r="G109">
        <v>312.6</v>
      </c>
      <c r="H109">
        <v>312.6</v>
      </c>
      <c r="I109" s="131">
        <v>0.020000000000038654</v>
      </c>
      <c r="J109" s="126"/>
    </row>
    <row r="110" spans="1:10" ht="12.75">
      <c r="A110" s="13"/>
      <c r="B110" s="9" t="s">
        <v>338</v>
      </c>
      <c r="C110" s="129">
        <v>1099.47</v>
      </c>
      <c r="D110" s="130">
        <v>1104.8</v>
      </c>
      <c r="E110" s="127">
        <v>5.329999999999927</v>
      </c>
      <c r="F110">
        <v>742</v>
      </c>
      <c r="G110">
        <v>1104.8</v>
      </c>
      <c r="H110">
        <v>1104.8</v>
      </c>
      <c r="I110" s="131">
        <v>5.329999999999927</v>
      </c>
      <c r="J110" s="126"/>
    </row>
    <row r="111" spans="1:10" ht="12.75">
      <c r="A111" s="13" t="s">
        <v>283</v>
      </c>
      <c r="B111" s="9"/>
      <c r="C111" s="158"/>
      <c r="D111" s="15"/>
      <c r="E111" s="127">
        <v>0</v>
      </c>
      <c r="G111">
        <v>0</v>
      </c>
      <c r="I111" s="131">
        <v>0</v>
      </c>
      <c r="J111" s="126"/>
    </row>
    <row r="112" spans="1:10" ht="12.75">
      <c r="A112" s="13"/>
      <c r="B112" s="9" t="s">
        <v>339</v>
      </c>
      <c r="C112" s="129">
        <v>2365.55</v>
      </c>
      <c r="D112" s="130">
        <v>2413.8</v>
      </c>
      <c r="E112" s="127">
        <v>48.25</v>
      </c>
      <c r="F112">
        <v>750</v>
      </c>
      <c r="G112">
        <v>2413.8</v>
      </c>
      <c r="H112">
        <v>2413.8</v>
      </c>
      <c r="I112" s="131">
        <v>48.25</v>
      </c>
      <c r="J112" s="126"/>
    </row>
    <row r="113" spans="1:12" ht="15" thickBot="1">
      <c r="A113" s="13" t="s">
        <v>284</v>
      </c>
      <c r="B113" s="9"/>
      <c r="C113" s="129">
        <v>238.25</v>
      </c>
      <c r="D113" s="130">
        <v>237.8</v>
      </c>
      <c r="E113" s="127">
        <v>-0.44999999999998863</v>
      </c>
      <c r="F113">
        <v>760</v>
      </c>
      <c r="G113">
        <v>237.8</v>
      </c>
      <c r="H113">
        <v>237.8</v>
      </c>
      <c r="I113" s="131">
        <v>-0.44999999999998863</v>
      </c>
      <c r="J113" s="156"/>
      <c r="K113" s="149"/>
      <c r="L113" s="149"/>
    </row>
    <row r="114" spans="1:12" ht="15.75" thickBot="1">
      <c r="A114" s="150"/>
      <c r="B114" s="151" t="s">
        <v>293</v>
      </c>
      <c r="C114" s="152">
        <v>4373.22</v>
      </c>
      <c r="D114" s="153">
        <v>4555.2</v>
      </c>
      <c r="E114" s="153">
        <v>181.98</v>
      </c>
      <c r="F114" s="24"/>
      <c r="G114" s="24">
        <v>128</v>
      </c>
      <c r="H114" s="24"/>
      <c r="I114" s="136">
        <v>53.98</v>
      </c>
      <c r="J114" s="136">
        <v>128</v>
      </c>
      <c r="K114" s="9"/>
      <c r="L114" s="9"/>
    </row>
    <row r="115" spans="1:12" ht="12.75">
      <c r="A115" s="13" t="s">
        <v>285</v>
      </c>
      <c r="B115" s="9"/>
      <c r="C115" s="129">
        <v>4508.81</v>
      </c>
      <c r="D115" s="130">
        <v>4452.9</v>
      </c>
      <c r="E115" s="127">
        <v>-55.910000000000764</v>
      </c>
      <c r="F115">
        <v>810</v>
      </c>
      <c r="G115">
        <v>4452.9</v>
      </c>
      <c r="H115">
        <v>4442.9</v>
      </c>
      <c r="I115" s="131">
        <v>-65.91000000000076</v>
      </c>
      <c r="J115" s="126">
        <v>10</v>
      </c>
      <c r="K115" s="9"/>
      <c r="L115" s="9"/>
    </row>
    <row r="116" spans="1:12" ht="12.75">
      <c r="A116" s="13" t="s">
        <v>61</v>
      </c>
      <c r="B116" s="13"/>
      <c r="C116" s="129">
        <v>4885.08</v>
      </c>
      <c r="D116" s="130">
        <v>4904.1</v>
      </c>
      <c r="E116" s="127">
        <v>19.020000000000437</v>
      </c>
      <c r="F116">
        <v>820</v>
      </c>
      <c r="G116">
        <v>4904.1</v>
      </c>
      <c r="H116">
        <v>4969.1</v>
      </c>
      <c r="I116" s="131">
        <v>84.02000000000044</v>
      </c>
      <c r="J116" s="126">
        <v>-65</v>
      </c>
      <c r="K116" s="9"/>
      <c r="L116" s="9"/>
    </row>
    <row r="117" spans="1:12" ht="12.75">
      <c r="A117" s="13" t="s">
        <v>62</v>
      </c>
      <c r="B117" s="9"/>
      <c r="C117" s="129">
        <v>469.93</v>
      </c>
      <c r="D117" s="130">
        <v>469.9</v>
      </c>
      <c r="E117" s="127">
        <v>-0.03000000000002956</v>
      </c>
      <c r="F117">
        <v>840</v>
      </c>
      <c r="G117">
        <v>469.9</v>
      </c>
      <c r="H117">
        <v>469.9</v>
      </c>
      <c r="I117" s="131">
        <v>-0.03000000000002956</v>
      </c>
      <c r="J117" s="126"/>
      <c r="K117" s="9"/>
      <c r="L117" s="9"/>
    </row>
    <row r="118" spans="1:12" ht="15" thickBot="1">
      <c r="A118" s="13" t="s">
        <v>286</v>
      </c>
      <c r="B118" s="9"/>
      <c r="C118" s="129">
        <v>1189.18</v>
      </c>
      <c r="D118" s="130">
        <v>1197.7</v>
      </c>
      <c r="E118" s="127">
        <v>8.519999999999982</v>
      </c>
      <c r="F118">
        <v>850</v>
      </c>
      <c r="G118">
        <v>1197.7</v>
      </c>
      <c r="H118">
        <v>1197.7</v>
      </c>
      <c r="I118" s="131">
        <v>8.519999999999982</v>
      </c>
      <c r="J118" s="156"/>
      <c r="K118" s="149"/>
      <c r="L118" s="149"/>
    </row>
    <row r="119" spans="1:12" ht="15.75" thickBot="1">
      <c r="A119" s="150"/>
      <c r="B119" s="151" t="s">
        <v>294</v>
      </c>
      <c r="C119" s="152">
        <v>11053</v>
      </c>
      <c r="D119" s="153">
        <v>11024.6</v>
      </c>
      <c r="E119" s="153">
        <v>-28.400000000000375</v>
      </c>
      <c r="F119" s="24"/>
      <c r="G119" s="24">
        <v>-55</v>
      </c>
      <c r="H119" s="24"/>
      <c r="I119" s="136">
        <v>26.599999999999625</v>
      </c>
      <c r="J119" s="136">
        <v>-55</v>
      </c>
      <c r="K119" s="149"/>
      <c r="L119" s="159">
        <v>12633</v>
      </c>
    </row>
    <row r="120" spans="1:12" ht="15.75" thickBot="1">
      <c r="A120" s="150" t="s">
        <v>340</v>
      </c>
      <c r="B120" s="160"/>
      <c r="C120" s="161">
        <v>1576.89</v>
      </c>
      <c r="D120" s="162">
        <v>1608.4</v>
      </c>
      <c r="E120" s="140">
        <v>31.51</v>
      </c>
      <c r="F120" s="24" t="s">
        <v>348</v>
      </c>
      <c r="G120" s="24">
        <v>1608.4</v>
      </c>
      <c r="H120" s="24">
        <v>1552.4</v>
      </c>
      <c r="I120" s="136">
        <v>-24.49</v>
      </c>
      <c r="J120" s="163">
        <v>56</v>
      </c>
      <c r="K120" s="9"/>
      <c r="L120" s="9"/>
    </row>
    <row r="121" spans="1:12" ht="14.25">
      <c r="A121" s="13"/>
      <c r="B121" s="9"/>
      <c r="C121" s="164"/>
      <c r="D121" s="165"/>
      <c r="E121" s="165"/>
      <c r="G121">
        <v>0</v>
      </c>
      <c r="I121" s="131">
        <v>0</v>
      </c>
      <c r="J121" s="156"/>
      <c r="K121" s="149"/>
      <c r="L121" s="149"/>
    </row>
    <row r="122" spans="1:12" ht="15.75" thickBot="1">
      <c r="A122" s="166" t="s">
        <v>65</v>
      </c>
      <c r="B122" s="149"/>
      <c r="C122" s="167">
        <v>11969.1</v>
      </c>
      <c r="D122" s="130">
        <v>9612</v>
      </c>
      <c r="E122" s="127">
        <v>-2357.1</v>
      </c>
      <c r="F122" t="s">
        <v>349</v>
      </c>
      <c r="G122">
        <v>9612</v>
      </c>
      <c r="I122" s="131"/>
      <c r="J122" s="126"/>
      <c r="K122" s="9"/>
      <c r="L122" s="9"/>
    </row>
    <row r="123" spans="1:12" ht="15.75" thickTop="1">
      <c r="A123" s="166"/>
      <c r="B123" s="149"/>
      <c r="C123" s="158"/>
      <c r="D123" s="15"/>
      <c r="E123" s="15"/>
      <c r="G123">
        <v>0</v>
      </c>
      <c r="I123" s="131"/>
      <c r="J123" s="126"/>
      <c r="K123" s="9"/>
      <c r="L123" s="9"/>
    </row>
    <row r="124" spans="1:12" ht="12.75">
      <c r="A124" s="13" t="s">
        <v>346</v>
      </c>
      <c r="B124" s="9"/>
      <c r="C124" s="129">
        <v>75</v>
      </c>
      <c r="D124" s="130">
        <v>75</v>
      </c>
      <c r="E124" s="127">
        <v>0</v>
      </c>
      <c r="F124" t="s">
        <v>350</v>
      </c>
      <c r="G124">
        <v>75</v>
      </c>
      <c r="H124">
        <v>75</v>
      </c>
      <c r="I124" s="131"/>
      <c r="J124" s="126"/>
      <c r="K124" s="9"/>
      <c r="L124" s="9"/>
    </row>
    <row r="125" spans="1:12" ht="16.5" thickBot="1">
      <c r="A125" s="13"/>
      <c r="B125" s="9"/>
      <c r="C125" s="168">
        <v>92401.39</v>
      </c>
      <c r="D125" s="169">
        <v>92400.7</v>
      </c>
      <c r="E125" s="169">
        <v>-0.37999999999919964</v>
      </c>
      <c r="F125" s="9"/>
      <c r="G125" s="170">
        <v>95321.7</v>
      </c>
      <c r="H125" s="170">
        <v>81195.7</v>
      </c>
      <c r="I125" s="169">
        <v>763.72</v>
      </c>
      <c r="J125" s="169">
        <v>1592</v>
      </c>
      <c r="K125" s="11">
        <v>2355.72</v>
      </c>
      <c r="L125" s="9"/>
    </row>
    <row r="126" spans="1:12" ht="12.75">
      <c r="A126" s="13"/>
      <c r="B126" s="9"/>
      <c r="C126" s="9"/>
      <c r="D126" s="9"/>
      <c r="E126" s="9"/>
      <c r="F126" s="9"/>
      <c r="G126" s="9"/>
      <c r="H126" s="9"/>
      <c r="I126" s="125"/>
      <c r="J126" s="126"/>
      <c r="K126" s="9"/>
      <c r="L126" s="9"/>
    </row>
    <row r="127" spans="1:12" ht="12.75">
      <c r="A127" s="13"/>
      <c r="B127" s="9"/>
      <c r="C127" s="9"/>
      <c r="D127" s="11">
        <v>82713.7</v>
      </c>
      <c r="E127" s="9"/>
      <c r="F127" s="9"/>
      <c r="G127" s="9"/>
      <c r="H127" s="9"/>
      <c r="I127" s="125"/>
      <c r="J127" s="126"/>
      <c r="K127" s="9"/>
      <c r="L127" s="9"/>
    </row>
    <row r="128" spans="1:12" ht="12.75">
      <c r="A128" s="13"/>
      <c r="B128" s="9"/>
      <c r="C128" s="9"/>
      <c r="D128" s="9"/>
      <c r="E128" s="9"/>
      <c r="F128" s="9"/>
      <c r="G128" s="9"/>
      <c r="H128" s="9"/>
      <c r="I128" s="125"/>
      <c r="J128" s="126"/>
      <c r="K128" s="9"/>
      <c r="L128" s="9"/>
    </row>
    <row r="129" spans="2:9" ht="12.75">
      <c r="B129" s="9"/>
      <c r="C129" s="9"/>
      <c r="D129" s="9"/>
      <c r="E129" s="9"/>
      <c r="F129" s="9"/>
      <c r="G129" s="9"/>
      <c r="H129" s="9"/>
      <c r="I129" s="125"/>
    </row>
    <row r="130" spans="2:9" ht="12.75">
      <c r="B130" s="15"/>
      <c r="C130" s="9"/>
      <c r="D130" s="9"/>
      <c r="E130" s="9"/>
      <c r="F130" s="9"/>
      <c r="G130" s="9"/>
      <c r="H130" s="9"/>
      <c r="I130" s="125"/>
    </row>
    <row r="131" spans="2:9" ht="12.75">
      <c r="B131" s="15"/>
      <c r="C131" s="9"/>
      <c r="D131" s="9"/>
      <c r="E131" s="9"/>
      <c r="F131" s="9"/>
      <c r="G131" s="9"/>
      <c r="H131" s="9"/>
      <c r="I131" s="125"/>
    </row>
    <row r="132" spans="2:9" ht="15.75">
      <c r="B132" s="171"/>
      <c r="C132" s="9"/>
      <c r="D132" s="9"/>
      <c r="E132" s="9"/>
      <c r="F132" s="9"/>
      <c r="G132" s="9"/>
      <c r="H132" s="9"/>
      <c r="I132" s="125"/>
    </row>
    <row r="133" spans="2:9" ht="15.75">
      <c r="B133" s="171"/>
      <c r="C133" s="9"/>
      <c r="D133" s="9"/>
      <c r="E133" s="9"/>
      <c r="F133" s="149"/>
      <c r="G133" s="149"/>
      <c r="H133" s="149"/>
      <c r="I133" s="172"/>
    </row>
    <row r="134" spans="2:9" ht="15.75">
      <c r="B134" s="171"/>
      <c r="C134" s="9"/>
      <c r="D134" s="9"/>
      <c r="E134" s="9"/>
      <c r="F134" s="9"/>
      <c r="G134" s="9"/>
      <c r="H134" s="9"/>
      <c r="I134" s="125"/>
    </row>
    <row r="135" spans="2:9" ht="12.75">
      <c r="B135" s="9"/>
      <c r="C135" s="9"/>
      <c r="D135" s="9"/>
      <c r="E135" s="9"/>
      <c r="F135" s="9"/>
      <c r="G135" s="9"/>
      <c r="H135" s="9"/>
      <c r="I135" s="125"/>
    </row>
    <row r="136" spans="2:9" ht="12.75">
      <c r="B136" s="9"/>
      <c r="C136" s="9"/>
      <c r="D136" s="9"/>
      <c r="E136" s="9"/>
      <c r="F136" s="9"/>
      <c r="G136" s="9"/>
      <c r="H136" s="9"/>
      <c r="I136" s="125"/>
    </row>
    <row r="137" spans="2:9" ht="12.75">
      <c r="B137" s="9"/>
      <c r="C137" s="9"/>
      <c r="D137" s="9"/>
      <c r="E137" s="9"/>
      <c r="F137" s="9"/>
      <c r="G137" s="9"/>
      <c r="H137" s="9"/>
      <c r="I137" s="125"/>
    </row>
    <row r="138" spans="2:9" ht="12.75">
      <c r="B138" s="9"/>
      <c r="C138" s="9"/>
      <c r="D138" s="9"/>
      <c r="E138" s="9"/>
      <c r="F138" s="9"/>
      <c r="G138" s="9"/>
      <c r="H138" s="9"/>
      <c r="I138" s="125"/>
    </row>
    <row r="139" spans="2:9" ht="12.75">
      <c r="B139" s="9"/>
      <c r="C139" s="9"/>
      <c r="D139" s="9"/>
      <c r="E139" s="9"/>
      <c r="F139" s="9"/>
      <c r="G139" s="9"/>
      <c r="H139" s="9"/>
      <c r="I139" s="125"/>
    </row>
    <row r="140" spans="2:9" ht="12.75">
      <c r="B140" s="9"/>
      <c r="C140" s="9"/>
      <c r="D140" s="9"/>
      <c r="E140" s="9"/>
      <c r="F140" s="9"/>
      <c r="G140" s="9"/>
      <c r="H140" s="9"/>
      <c r="I140" s="125"/>
    </row>
    <row r="141" spans="2:9" ht="12.75">
      <c r="B141" s="9"/>
      <c r="C141" s="9"/>
      <c r="D141" s="9"/>
      <c r="E141" s="9"/>
      <c r="F141" s="9"/>
      <c r="G141" s="9"/>
      <c r="H141" s="9"/>
      <c r="I141" s="125"/>
    </row>
    <row r="142" spans="2:9" ht="12.75">
      <c r="B142" s="9"/>
      <c r="C142" s="9"/>
      <c r="D142" s="9"/>
      <c r="E142" s="9"/>
      <c r="F142" s="9"/>
      <c r="G142" s="9"/>
      <c r="H142" s="9"/>
      <c r="I142" s="125"/>
    </row>
    <row r="143" spans="2:9" ht="12.75">
      <c r="B143" s="9"/>
      <c r="C143" s="9"/>
      <c r="D143" s="9"/>
      <c r="E143" s="9"/>
      <c r="F143" s="9"/>
      <c r="G143" s="9"/>
      <c r="H143" s="9"/>
      <c r="I143" s="125"/>
    </row>
    <row r="144" spans="2:9" ht="12.75">
      <c r="B144" s="9"/>
      <c r="C144" s="9"/>
      <c r="D144" s="9"/>
      <c r="E144" s="9"/>
      <c r="F144" s="9"/>
      <c r="G144" s="9"/>
      <c r="H144" s="9"/>
      <c r="I144" s="125"/>
    </row>
    <row r="145" spans="3:9" ht="12.75">
      <c r="C145" s="9"/>
      <c r="D145" s="9"/>
      <c r="E145" s="9"/>
      <c r="F145" s="9"/>
      <c r="G145" s="9"/>
      <c r="H145" s="9"/>
      <c r="I145" s="125"/>
    </row>
    <row r="146" spans="3:9" ht="12.75">
      <c r="C146" s="9"/>
      <c r="D146" s="9"/>
      <c r="E146" s="9"/>
      <c r="F146" s="9"/>
      <c r="G146" s="9"/>
      <c r="H146" s="9"/>
      <c r="I146" s="125"/>
    </row>
    <row r="147" spans="3:9" ht="12.75">
      <c r="C147" s="9"/>
      <c r="D147" s="9"/>
      <c r="E147" s="9"/>
      <c r="F147" s="9"/>
      <c r="G147" s="9"/>
      <c r="H147" s="9"/>
      <c r="I147" s="125"/>
    </row>
    <row r="148" spans="3:9" ht="14.25">
      <c r="C148" s="9"/>
      <c r="D148" s="9"/>
      <c r="E148" s="9"/>
      <c r="F148" s="149"/>
      <c r="G148" s="149"/>
      <c r="H148" s="149"/>
      <c r="I148" s="172"/>
    </row>
    <row r="149" spans="3:9" ht="12.75">
      <c r="C149" s="9"/>
      <c r="D149" s="9"/>
      <c r="E149" s="9"/>
      <c r="F149" s="9"/>
      <c r="G149" s="9"/>
      <c r="H149" s="9"/>
      <c r="I149" s="125"/>
    </row>
    <row r="150" spans="3:9" ht="12.75">
      <c r="C150" s="9"/>
      <c r="D150" s="9"/>
      <c r="E150" s="9"/>
      <c r="F150" s="9"/>
      <c r="G150" s="9"/>
      <c r="H150" s="9"/>
      <c r="I150" s="125"/>
    </row>
    <row r="151" spans="3:9" ht="12.75">
      <c r="C151" s="9"/>
      <c r="D151" s="9"/>
      <c r="E151" s="9"/>
      <c r="F151" s="9"/>
      <c r="G151" s="9"/>
      <c r="H151" s="9"/>
      <c r="I151" s="125"/>
    </row>
    <row r="152" spans="3:9" ht="12.75">
      <c r="C152" s="9"/>
      <c r="D152" s="9"/>
      <c r="E152" s="9"/>
      <c r="F152" s="9"/>
      <c r="G152" s="9"/>
      <c r="H152" s="9"/>
      <c r="I152" s="125"/>
    </row>
    <row r="153" spans="3:9" ht="12.75">
      <c r="C153" s="9"/>
      <c r="D153" s="9"/>
      <c r="E153" s="9"/>
      <c r="F153" s="9"/>
      <c r="G153" s="9"/>
      <c r="H153" s="9"/>
      <c r="I153" s="125"/>
    </row>
    <row r="154" spans="3:9" ht="12.75">
      <c r="C154" s="9"/>
      <c r="D154" s="9"/>
      <c r="E154" s="9"/>
      <c r="F154" s="9"/>
      <c r="G154" s="9"/>
      <c r="H154" s="9"/>
      <c r="I154" s="125"/>
    </row>
    <row r="155" spans="3:9" ht="12.75">
      <c r="C155" s="9"/>
      <c r="D155" s="9"/>
      <c r="E155" s="9"/>
      <c r="F155" s="9"/>
      <c r="G155" s="9"/>
      <c r="H155" s="9"/>
      <c r="I155" s="125"/>
    </row>
    <row r="156" spans="3:9" ht="12.75">
      <c r="C156" s="9"/>
      <c r="D156" s="9"/>
      <c r="E156" s="9"/>
      <c r="F156" s="9"/>
      <c r="G156" s="9"/>
      <c r="H156" s="9"/>
      <c r="I156" s="125"/>
    </row>
    <row r="157" spans="3:9" ht="12.75">
      <c r="C157" s="9"/>
      <c r="D157" s="9"/>
      <c r="E157" s="9"/>
      <c r="F157" s="9"/>
      <c r="G157" s="9"/>
      <c r="H157" s="9"/>
      <c r="I157" s="125"/>
    </row>
    <row r="158" spans="3:9" ht="12.75">
      <c r="C158" s="9"/>
      <c r="D158" s="9"/>
      <c r="E158" s="9"/>
      <c r="F158" s="9"/>
      <c r="G158" s="9"/>
      <c r="H158" s="9"/>
      <c r="I158" s="125"/>
    </row>
    <row r="159" spans="3:9" ht="14.25">
      <c r="C159" s="9"/>
      <c r="D159" s="9"/>
      <c r="E159" s="9"/>
      <c r="F159" s="149"/>
      <c r="G159" s="149"/>
      <c r="H159" s="149"/>
      <c r="I159" s="172"/>
    </row>
    <row r="160" spans="3:9" ht="12.75">
      <c r="C160" s="9"/>
      <c r="D160" s="9"/>
      <c r="E160" s="9"/>
      <c r="F160" s="9"/>
      <c r="G160" s="9"/>
      <c r="H160" s="9"/>
      <c r="I160" s="125"/>
    </row>
    <row r="161" spans="3:9" ht="12.75">
      <c r="C161" s="9"/>
      <c r="D161" s="9"/>
      <c r="E161" s="9"/>
      <c r="F161" s="9"/>
      <c r="G161" s="9"/>
      <c r="H161" s="9"/>
      <c r="I161" s="125"/>
    </row>
    <row r="162" spans="3:9" ht="12.75">
      <c r="C162" s="9"/>
      <c r="D162" s="9"/>
      <c r="E162" s="9"/>
      <c r="F162" s="9"/>
      <c r="G162" s="9"/>
      <c r="H162" s="9"/>
      <c r="I162" s="125"/>
    </row>
    <row r="163" spans="3:9" ht="12.75">
      <c r="C163" s="9"/>
      <c r="D163" s="9"/>
      <c r="E163" s="9"/>
      <c r="F163" s="9"/>
      <c r="G163" s="9"/>
      <c r="H163" s="9"/>
      <c r="I163" s="125"/>
    </row>
    <row r="164" spans="3:9" ht="14.25">
      <c r="C164" s="9"/>
      <c r="D164" s="9"/>
      <c r="E164" s="9"/>
      <c r="F164" s="149"/>
      <c r="G164" s="149"/>
      <c r="H164" s="149"/>
      <c r="I164" s="172"/>
    </row>
    <row r="165" spans="3:9" ht="14.25">
      <c r="C165" s="9"/>
      <c r="D165" s="9"/>
      <c r="E165" s="9"/>
      <c r="F165" s="149"/>
      <c r="G165" s="149"/>
      <c r="H165" s="149"/>
      <c r="I165" s="172"/>
    </row>
    <row r="166" spans="3:9" ht="12.75">
      <c r="C166" s="9"/>
      <c r="D166" s="9"/>
      <c r="E166" s="9"/>
      <c r="F166" s="9"/>
      <c r="G166" s="9"/>
      <c r="H166" s="9"/>
      <c r="I166" s="125"/>
    </row>
    <row r="167" spans="3:9" ht="14.25">
      <c r="C167" s="9"/>
      <c r="D167" s="9"/>
      <c r="E167" s="9"/>
      <c r="F167" s="149"/>
      <c r="G167" s="149"/>
      <c r="H167" s="149"/>
      <c r="I167" s="172"/>
    </row>
    <row r="168" spans="3:9" ht="12.75">
      <c r="C168" s="9"/>
      <c r="D168" s="9"/>
      <c r="E168" s="9"/>
      <c r="F168" s="9"/>
      <c r="G168" s="9"/>
      <c r="H168" s="9"/>
      <c r="I168" s="1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P40"/>
  <sheetViews>
    <sheetView workbookViewId="0" topLeftCell="A1">
      <selection activeCell="C3" sqref="C3:L29"/>
    </sheetView>
  </sheetViews>
  <sheetFormatPr defaultColWidth="9.140625" defaultRowHeight="12.75"/>
  <cols>
    <col min="3" max="3" width="31.00390625" style="0" customWidth="1"/>
    <col min="4" max="4" width="10.00390625" style="9" customWidth="1"/>
    <col min="5" max="5" width="2.00390625" style="9" customWidth="1"/>
    <col min="6" max="6" width="15.421875" style="9" customWidth="1"/>
    <col min="7" max="7" width="0.42578125" style="9" customWidth="1"/>
    <col min="8" max="8" width="13.140625" style="9" customWidth="1"/>
    <col min="9" max="9" width="0.42578125" style="9" customWidth="1"/>
    <col min="10" max="10" width="12.8515625" style="9" customWidth="1"/>
    <col min="11" max="11" width="2.28125" style="0" customWidth="1"/>
    <col min="12" max="12" width="14.140625" style="0" customWidth="1"/>
    <col min="13" max="13" width="7.00390625" style="0" customWidth="1"/>
  </cols>
  <sheetData>
    <row r="3" spans="3:13" s="25" customFormat="1" ht="44.25" customHeight="1" thickBot="1">
      <c r="C3" s="111"/>
      <c r="D3" s="229" t="s">
        <v>254</v>
      </c>
      <c r="E3" s="228"/>
      <c r="F3" s="229" t="s">
        <v>94</v>
      </c>
      <c r="G3" s="228"/>
      <c r="H3" s="229" t="s">
        <v>354</v>
      </c>
      <c r="I3" s="228"/>
      <c r="J3" s="229" t="s">
        <v>253</v>
      </c>
      <c r="K3" s="228"/>
      <c r="L3" s="229" t="s">
        <v>355</v>
      </c>
      <c r="M3" s="111"/>
    </row>
    <row r="4" spans="3:13" ht="12.75">
      <c r="C4" s="10" t="s">
        <v>23</v>
      </c>
      <c r="D4" s="11">
        <v>9400</v>
      </c>
      <c r="E4" s="11"/>
      <c r="F4" s="11">
        <v>-68</v>
      </c>
      <c r="G4" s="11"/>
      <c r="H4" s="11">
        <v>107</v>
      </c>
      <c r="I4" s="11"/>
      <c r="J4" s="11">
        <f>SUM(H4,F4)</f>
        <v>39</v>
      </c>
      <c r="K4" s="11"/>
      <c r="L4" s="11">
        <f>SUM(J4:K4,D4)</f>
        <v>9439</v>
      </c>
      <c r="M4" s="9"/>
    </row>
    <row r="5" spans="3:13" ht="12.75">
      <c r="C5" s="10" t="s">
        <v>24</v>
      </c>
      <c r="D5" s="11">
        <v>4790</v>
      </c>
      <c r="E5" s="11"/>
      <c r="F5" s="11">
        <v>246</v>
      </c>
      <c r="G5" s="11"/>
      <c r="H5" s="11">
        <v>-205</v>
      </c>
      <c r="I5" s="11"/>
      <c r="J5" s="11">
        <f aca="true" t="shared" si="0" ref="J5:J19">SUM(H5,F5)</f>
        <v>41</v>
      </c>
      <c r="K5" s="11"/>
      <c r="L5" s="11">
        <f aca="true" t="shared" si="1" ref="L5:L19">SUM(J5:K5,D5)</f>
        <v>4831</v>
      </c>
      <c r="M5" s="9"/>
    </row>
    <row r="6" spans="3:13" ht="12.75">
      <c r="C6" s="10" t="s">
        <v>25</v>
      </c>
      <c r="D6" s="11">
        <v>29114</v>
      </c>
      <c r="E6" s="11"/>
      <c r="F6" s="11">
        <v>1043.5</v>
      </c>
      <c r="G6" s="11"/>
      <c r="H6" s="11">
        <v>1198</v>
      </c>
      <c r="I6" s="11"/>
      <c r="J6" s="11">
        <f t="shared" si="0"/>
        <v>2241.5</v>
      </c>
      <c r="K6" s="11"/>
      <c r="L6" s="11">
        <f t="shared" si="1"/>
        <v>31355.5</v>
      </c>
      <c r="M6" s="9"/>
    </row>
    <row r="7" spans="3:13" ht="12.75">
      <c r="C7" s="10" t="s">
        <v>26</v>
      </c>
      <c r="D7" s="11">
        <v>1413</v>
      </c>
      <c r="E7" s="11"/>
      <c r="F7" s="11">
        <v>-1</v>
      </c>
      <c r="G7" s="11"/>
      <c r="H7" s="11">
        <v>-26</v>
      </c>
      <c r="I7" s="11"/>
      <c r="J7" s="11">
        <f t="shared" si="0"/>
        <v>-27</v>
      </c>
      <c r="K7" s="11"/>
      <c r="L7" s="11">
        <f t="shared" si="1"/>
        <v>1386</v>
      </c>
      <c r="M7" s="9"/>
    </row>
    <row r="8" spans="3:13" ht="12.75">
      <c r="C8" s="10" t="s">
        <v>27</v>
      </c>
      <c r="D8" s="11">
        <v>1140</v>
      </c>
      <c r="E8" s="11"/>
      <c r="F8" s="11"/>
      <c r="G8" s="11"/>
      <c r="H8" s="11">
        <v>-5</v>
      </c>
      <c r="I8" s="11"/>
      <c r="J8" s="11">
        <f t="shared" si="0"/>
        <v>-5</v>
      </c>
      <c r="K8" s="11"/>
      <c r="L8" s="11">
        <f t="shared" si="1"/>
        <v>1135</v>
      </c>
      <c r="M8" s="9"/>
    </row>
    <row r="9" spans="3:13" ht="12.75">
      <c r="C9" s="10" t="s">
        <v>76</v>
      </c>
      <c r="D9" s="11">
        <v>1361</v>
      </c>
      <c r="E9" s="11"/>
      <c r="F9" s="11">
        <v>178</v>
      </c>
      <c r="G9" s="11"/>
      <c r="H9" s="11">
        <v>-6</v>
      </c>
      <c r="I9" s="11"/>
      <c r="J9" s="11">
        <f t="shared" si="0"/>
        <v>172</v>
      </c>
      <c r="K9" s="11"/>
      <c r="L9" s="11">
        <f t="shared" si="1"/>
        <v>1533</v>
      </c>
      <c r="M9" s="9"/>
    </row>
    <row r="10" spans="3:13" ht="12.75">
      <c r="C10" s="10" t="s">
        <v>29</v>
      </c>
      <c r="D10" s="11">
        <v>5430</v>
      </c>
      <c r="E10" s="11"/>
      <c r="F10" s="11">
        <v>-23</v>
      </c>
      <c r="G10" s="11"/>
      <c r="H10" s="11">
        <v>-126</v>
      </c>
      <c r="I10" s="11"/>
      <c r="J10" s="11">
        <f t="shared" si="0"/>
        <v>-149</v>
      </c>
      <c r="K10" s="11"/>
      <c r="L10" s="11">
        <f t="shared" si="1"/>
        <v>5281</v>
      </c>
      <c r="M10" s="9"/>
    </row>
    <row r="11" spans="3:13" ht="15">
      <c r="C11" s="10" t="s">
        <v>77</v>
      </c>
      <c r="D11" s="12">
        <v>2738</v>
      </c>
      <c r="E11" s="12"/>
      <c r="F11" s="12">
        <v>9</v>
      </c>
      <c r="G11" s="12"/>
      <c r="H11" s="12">
        <v>20</v>
      </c>
      <c r="I11" s="11"/>
      <c r="J11" s="12">
        <f t="shared" si="0"/>
        <v>29</v>
      </c>
      <c r="K11" s="12"/>
      <c r="L11" s="12">
        <f t="shared" si="1"/>
        <v>2767</v>
      </c>
      <c r="M11" s="9"/>
    </row>
    <row r="12" spans="3:13" ht="12.75">
      <c r="C12" s="13" t="s">
        <v>78</v>
      </c>
      <c r="D12" s="11">
        <f>SUM(D4:D11)</f>
        <v>55386</v>
      </c>
      <c r="E12" s="11"/>
      <c r="F12" s="11">
        <f>SUM(F4:F11)</f>
        <v>1384.5</v>
      </c>
      <c r="G12" s="11"/>
      <c r="H12" s="11">
        <f>SUM(H4:H11)</f>
        <v>957</v>
      </c>
      <c r="I12" s="11"/>
      <c r="J12" s="11">
        <f>SUM(J4:J11)</f>
        <v>2341.5</v>
      </c>
      <c r="K12" s="11"/>
      <c r="L12" s="11">
        <f>SUM(L4:L11)</f>
        <v>57727.5</v>
      </c>
      <c r="M12" s="9"/>
    </row>
    <row r="13" spans="3:13" ht="12.75">
      <c r="C13" s="13" t="s">
        <v>79</v>
      </c>
      <c r="D13" s="11">
        <v>783</v>
      </c>
      <c r="E13" s="11"/>
      <c r="F13" s="11"/>
      <c r="G13" s="11"/>
      <c r="H13" s="11">
        <v>8</v>
      </c>
      <c r="I13" s="11"/>
      <c r="J13" s="11">
        <f t="shared" si="0"/>
        <v>8</v>
      </c>
      <c r="K13" s="11"/>
      <c r="L13" s="11">
        <f t="shared" si="1"/>
        <v>791</v>
      </c>
      <c r="M13" s="9"/>
    </row>
    <row r="14" spans="3:13" ht="12.75">
      <c r="C14" s="13" t="s">
        <v>80</v>
      </c>
      <c r="D14" s="11">
        <v>1143</v>
      </c>
      <c r="E14" s="11"/>
      <c r="F14" s="11">
        <v>18</v>
      </c>
      <c r="G14" s="11"/>
      <c r="H14" s="11">
        <v>-12</v>
      </c>
      <c r="I14" s="11"/>
      <c r="J14" s="11">
        <f t="shared" si="0"/>
        <v>6</v>
      </c>
      <c r="K14" s="11"/>
      <c r="L14" s="11">
        <f t="shared" si="1"/>
        <v>1149</v>
      </c>
      <c r="M14" s="9"/>
    </row>
    <row r="15" spans="3:13" ht="12.75">
      <c r="C15" s="13" t="s">
        <v>81</v>
      </c>
      <c r="D15" s="11">
        <v>3301</v>
      </c>
      <c r="E15" s="11"/>
      <c r="F15" s="11">
        <v>68</v>
      </c>
      <c r="G15" s="11"/>
      <c r="H15" s="11">
        <v>-64</v>
      </c>
      <c r="I15" s="11"/>
      <c r="J15" s="11">
        <f t="shared" si="0"/>
        <v>4</v>
      </c>
      <c r="K15" s="11"/>
      <c r="L15" s="11">
        <f t="shared" si="1"/>
        <v>3305</v>
      </c>
      <c r="M15" s="9"/>
    </row>
    <row r="16" spans="3:13" ht="12.75">
      <c r="C16" s="13" t="s">
        <v>82</v>
      </c>
      <c r="D16" s="11">
        <v>2050</v>
      </c>
      <c r="E16" s="11"/>
      <c r="F16" s="11">
        <v>-7</v>
      </c>
      <c r="G16" s="11"/>
      <c r="H16" s="11">
        <v>-169</v>
      </c>
      <c r="I16" s="11"/>
      <c r="J16" s="11">
        <f t="shared" si="0"/>
        <v>-176</v>
      </c>
      <c r="K16" s="11"/>
      <c r="L16" s="11">
        <f t="shared" si="1"/>
        <v>1874</v>
      </c>
      <c r="M16" s="9"/>
    </row>
    <row r="17" spans="3:13" ht="12.75">
      <c r="C17" s="13" t="s">
        <v>83</v>
      </c>
      <c r="D17" s="11">
        <v>691</v>
      </c>
      <c r="E17" s="11"/>
      <c r="F17" s="11"/>
      <c r="G17" s="11"/>
      <c r="H17" s="11">
        <v>-13</v>
      </c>
      <c r="I17" s="11"/>
      <c r="J17" s="11">
        <f t="shared" si="0"/>
        <v>-13</v>
      </c>
      <c r="K17" s="11"/>
      <c r="L17" s="11">
        <f t="shared" si="1"/>
        <v>678</v>
      </c>
      <c r="M17" s="9"/>
    </row>
    <row r="18" spans="3:13" ht="12.75">
      <c r="C18" s="13" t="s">
        <v>84</v>
      </c>
      <c r="D18" s="11">
        <v>4373</v>
      </c>
      <c r="E18" s="11"/>
      <c r="F18" s="11">
        <v>128.5</v>
      </c>
      <c r="G18" s="11"/>
      <c r="H18" s="11">
        <v>54</v>
      </c>
      <c r="I18" s="11"/>
      <c r="J18" s="11">
        <f t="shared" si="0"/>
        <v>182.5</v>
      </c>
      <c r="K18" s="11"/>
      <c r="L18" s="11">
        <f t="shared" si="1"/>
        <v>4555.5</v>
      </c>
      <c r="M18" s="9"/>
    </row>
    <row r="19" spans="3:13" ht="15">
      <c r="C19" s="13" t="s">
        <v>85</v>
      </c>
      <c r="D19" s="12">
        <f>11053+1577</f>
        <v>12630</v>
      </c>
      <c r="E19" s="12"/>
      <c r="F19" s="12">
        <v>1</v>
      </c>
      <c r="G19" s="12"/>
      <c r="H19" s="12">
        <v>3</v>
      </c>
      <c r="I19" s="11"/>
      <c r="J19" s="12">
        <f t="shared" si="0"/>
        <v>4</v>
      </c>
      <c r="K19" s="12"/>
      <c r="L19" s="12">
        <f t="shared" si="1"/>
        <v>12634</v>
      </c>
      <c r="M19" s="9"/>
    </row>
    <row r="20" spans="3:13" ht="12.75">
      <c r="C20" s="13" t="s">
        <v>86</v>
      </c>
      <c r="D20" s="11">
        <f>SUM(D12:D19)</f>
        <v>80357</v>
      </c>
      <c r="E20" s="11"/>
      <c r="F20" s="11">
        <f>SUM(F12:F19)</f>
        <v>1593</v>
      </c>
      <c r="G20" s="11"/>
      <c r="H20" s="11">
        <f>SUM(H12:H19)</f>
        <v>764</v>
      </c>
      <c r="I20" s="11"/>
      <c r="J20" s="11">
        <f>SUM(J12:J19)</f>
        <v>2357</v>
      </c>
      <c r="K20" s="11"/>
      <c r="L20" s="11">
        <f>SUM(L12:L19)</f>
        <v>82714</v>
      </c>
      <c r="M20" s="9"/>
    </row>
    <row r="21" spans="3:13" ht="15">
      <c r="C21" s="13" t="s">
        <v>65</v>
      </c>
      <c r="D21" s="12">
        <v>11969</v>
      </c>
      <c r="E21" s="12"/>
      <c r="F21" s="12">
        <f>-F20</f>
        <v>-1593</v>
      </c>
      <c r="G21" s="12"/>
      <c r="H21" s="174">
        <f>-H20</f>
        <v>-764</v>
      </c>
      <c r="I21" s="11"/>
      <c r="J21" s="12">
        <f>+L21-D21</f>
        <v>-2357</v>
      </c>
      <c r="K21" s="12"/>
      <c r="L21" s="12">
        <f>SUM('wbs2 budgets by fy'!O47)</f>
        <v>9612</v>
      </c>
      <c r="M21" s="20"/>
    </row>
    <row r="22" spans="3:13" ht="12.75">
      <c r="C22" s="13" t="s">
        <v>87</v>
      </c>
      <c r="D22" s="11">
        <f>SUM(D20:D21)</f>
        <v>92326</v>
      </c>
      <c r="E22" s="11"/>
      <c r="F22" s="11"/>
      <c r="G22" s="11"/>
      <c r="H22" s="11"/>
      <c r="I22" s="11"/>
      <c r="J22" s="11"/>
      <c r="K22" s="11"/>
      <c r="L22" s="11">
        <f>SUM(L20:L21)</f>
        <v>92326</v>
      </c>
      <c r="M22" s="9"/>
    </row>
    <row r="23" spans="3:13" ht="12.75">
      <c r="C23" s="9"/>
      <c r="J23" s="14"/>
      <c r="K23" s="14"/>
      <c r="L23" s="9"/>
      <c r="M23" s="9"/>
    </row>
    <row r="24" spans="3:13" ht="12.75">
      <c r="C24" s="13" t="s">
        <v>67</v>
      </c>
      <c r="D24" s="21">
        <v>75</v>
      </c>
      <c r="E24" s="21"/>
      <c r="F24" s="21"/>
      <c r="G24" s="21"/>
      <c r="K24" s="9"/>
      <c r="L24" s="21">
        <v>75</v>
      </c>
      <c r="M24" s="10"/>
    </row>
    <row r="25" spans="3:13" ht="12.75">
      <c r="C25" s="13"/>
      <c r="D25" s="22">
        <f>SUM(D24,D22)</f>
        <v>92401</v>
      </c>
      <c r="E25" s="22"/>
      <c r="F25" s="22"/>
      <c r="G25" s="22"/>
      <c r="K25" s="9"/>
      <c r="L25" s="22">
        <f>SUM(L24,L22)</f>
        <v>92401</v>
      </c>
      <c r="M25" s="10"/>
    </row>
    <row r="26" spans="3:13" ht="5.25" customHeight="1">
      <c r="C26" s="13"/>
      <c r="K26" s="9"/>
      <c r="L26" s="9"/>
      <c r="M26" s="10"/>
    </row>
    <row r="27" spans="3:13" ht="12.75">
      <c r="C27" s="16"/>
      <c r="D27" s="17"/>
      <c r="E27" s="17"/>
      <c r="F27" s="17"/>
      <c r="G27" s="17"/>
      <c r="H27" s="17"/>
      <c r="I27" s="17"/>
      <c r="J27" s="15" t="s">
        <v>90</v>
      </c>
      <c r="K27" s="9"/>
      <c r="L27" s="17">
        <v>44400</v>
      </c>
      <c r="M27" s="17"/>
    </row>
    <row r="28" spans="3:12" ht="12.75">
      <c r="C28" s="15"/>
      <c r="D28" s="17"/>
      <c r="E28" s="17"/>
      <c r="F28" s="17"/>
      <c r="G28" s="17"/>
      <c r="H28" s="17"/>
      <c r="I28" s="17"/>
      <c r="J28" s="15" t="s">
        <v>91</v>
      </c>
      <c r="K28" s="9"/>
      <c r="L28" s="17">
        <v>9612</v>
      </c>
    </row>
    <row r="29" ht="12.75">
      <c r="L29" s="244">
        <f>+L28/L27</f>
        <v>0.2164864864864865</v>
      </c>
    </row>
    <row r="33" spans="3:13" ht="12.75">
      <c r="C33" s="15"/>
      <c r="D33" s="17"/>
      <c r="E33" s="17"/>
      <c r="F33" s="17"/>
      <c r="G33" s="17"/>
      <c r="J33" s="17"/>
      <c r="K33" s="15"/>
      <c r="L33" s="15"/>
      <c r="M33" s="15"/>
    </row>
    <row r="34" spans="4:7" ht="12.75">
      <c r="D34" s="15"/>
      <c r="E34" s="15"/>
      <c r="F34" s="15"/>
      <c r="G34" s="15"/>
    </row>
    <row r="35" spans="4:7" ht="12.75">
      <c r="D35" s="15"/>
      <c r="E35" s="15"/>
      <c r="F35" s="15"/>
      <c r="G35" s="15"/>
    </row>
    <row r="36" spans="3:13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3" ht="12.75">
      <c r="C37" s="15"/>
      <c r="D37" s="15"/>
      <c r="E37" s="15"/>
      <c r="F37" s="15"/>
      <c r="G37" s="15"/>
      <c r="H37" s="15"/>
      <c r="I37" s="15"/>
      <c r="J37" s="15" t="s">
        <v>88</v>
      </c>
      <c r="K37" s="17">
        <v>36720</v>
      </c>
      <c r="L37" s="15"/>
      <c r="M37" s="18"/>
    </row>
    <row r="38" spans="10:13" ht="12.75">
      <c r="J38" s="15" t="s">
        <v>89</v>
      </c>
      <c r="K38" s="17">
        <v>38313</v>
      </c>
      <c r="L38" s="15"/>
      <c r="M38" s="18"/>
    </row>
    <row r="39" spans="10:16" ht="12.75">
      <c r="J39" s="15" t="s">
        <v>252</v>
      </c>
      <c r="K39" s="19">
        <f>+K37/K38</f>
        <v>0.9584214235377027</v>
      </c>
      <c r="L39" s="15"/>
      <c r="M39" s="18"/>
      <c r="P39" s="6">
        <f>SUM(L24,K38,L27,L28)</f>
        <v>92400</v>
      </c>
    </row>
    <row r="40" spans="10:13" ht="12.75">
      <c r="J40" s="15" t="s">
        <v>92</v>
      </c>
      <c r="K40" s="17">
        <f>+K38-K37</f>
        <v>1593</v>
      </c>
      <c r="L40" s="15"/>
      <c r="M40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1">
      <selection activeCell="B3" sqref="B3:I40"/>
    </sheetView>
  </sheetViews>
  <sheetFormatPr defaultColWidth="10.28125" defaultRowHeight="17.25" customHeight="1"/>
  <cols>
    <col min="1" max="1" width="15.00390625" style="71" bestFit="1" customWidth="1"/>
    <col min="2" max="2" width="12.421875" style="77" customWidth="1"/>
    <col min="3" max="3" width="85.7109375" style="71" customWidth="1"/>
    <col min="4" max="5" width="2.140625" style="71" hidden="1" customWidth="1"/>
    <col min="6" max="6" width="19.00390625" style="93" customWidth="1"/>
    <col min="7" max="7" width="21.7109375" style="93" hidden="1" customWidth="1"/>
    <col min="8" max="8" width="22.7109375" style="86" bestFit="1" customWidth="1"/>
    <col min="9" max="9" width="21.00390625" style="94" customWidth="1"/>
    <col min="10" max="10" width="23.140625" style="71" customWidth="1"/>
    <col min="11" max="11" width="29.7109375" style="71" customWidth="1"/>
    <col min="12" max="12" width="7.8515625" style="71" bestFit="1" customWidth="1"/>
    <col min="13" max="13" width="15.7109375" style="71" bestFit="1" customWidth="1"/>
    <col min="14" max="14" width="13.57421875" style="71" bestFit="1" customWidth="1"/>
    <col min="15" max="16384" width="13.140625" style="71" customWidth="1"/>
  </cols>
  <sheetData>
    <row r="1" spans="3:9" ht="27" customHeight="1" thickBot="1">
      <c r="C1" s="73"/>
      <c r="D1" s="73"/>
      <c r="E1" s="73"/>
      <c r="F1" s="73"/>
      <c r="G1" s="73"/>
      <c r="H1" s="74"/>
      <c r="I1" s="75"/>
    </row>
    <row r="2" spans="1:14" ht="16.5" customHeight="1" hidden="1" thickBot="1">
      <c r="A2" s="76"/>
      <c r="C2" s="76"/>
      <c r="D2" s="78" t="s">
        <v>170</v>
      </c>
      <c r="E2" s="78" t="s">
        <v>170</v>
      </c>
      <c r="F2" s="78"/>
      <c r="G2" s="78"/>
      <c r="H2" s="79"/>
      <c r="I2" s="80"/>
      <c r="J2" s="78"/>
      <c r="K2" s="76"/>
      <c r="L2" s="76"/>
      <c r="M2" s="76"/>
      <c r="N2" s="76"/>
    </row>
    <row r="3" spans="1:14" s="77" customFormat="1" ht="17.25" customHeight="1" thickBot="1">
      <c r="A3" s="81"/>
      <c r="B3" s="81"/>
      <c r="C3" s="81"/>
      <c r="D3" s="82" t="s">
        <v>171</v>
      </c>
      <c r="E3" s="82"/>
      <c r="F3" s="225" t="s">
        <v>171</v>
      </c>
      <c r="G3" s="82" t="s">
        <v>172</v>
      </c>
      <c r="H3" s="226" t="s">
        <v>173</v>
      </c>
      <c r="I3" s="227" t="s">
        <v>174</v>
      </c>
      <c r="J3" s="82" t="s">
        <v>175</v>
      </c>
      <c r="K3" s="83" t="s">
        <v>176</v>
      </c>
      <c r="L3" s="81"/>
      <c r="M3" s="81"/>
      <c r="N3" s="81"/>
    </row>
    <row r="4" spans="1:14" ht="15.75" customHeight="1" hidden="1" thickBot="1">
      <c r="A4" s="76"/>
      <c r="F4" s="71"/>
      <c r="G4" s="71"/>
      <c r="H4" s="84"/>
      <c r="I4" s="85"/>
      <c r="J4" s="76"/>
      <c r="K4" s="76"/>
      <c r="L4" s="76"/>
      <c r="M4" s="76"/>
      <c r="N4" s="76"/>
    </row>
    <row r="5" spans="1:14" ht="17.25" customHeight="1">
      <c r="A5" s="76"/>
      <c r="B5" s="178" t="s">
        <v>177</v>
      </c>
      <c r="C5" s="179" t="s">
        <v>11</v>
      </c>
      <c r="D5" s="220">
        <v>37742</v>
      </c>
      <c r="E5" s="181">
        <f aca="true" t="shared" si="0" ref="E5:E13">(+F5-D5)/30</f>
        <v>0</v>
      </c>
      <c r="F5" s="221">
        <v>37742</v>
      </c>
      <c r="G5" s="221"/>
      <c r="H5" s="222"/>
      <c r="I5" s="223">
        <v>37742</v>
      </c>
      <c r="J5" s="86"/>
      <c r="K5" s="76"/>
      <c r="L5" s="76"/>
      <c r="M5" s="76"/>
      <c r="N5" s="76"/>
    </row>
    <row r="6" spans="1:14" ht="17.25" customHeight="1">
      <c r="A6" s="76" t="s">
        <v>178</v>
      </c>
      <c r="B6" s="186"/>
      <c r="C6" s="98" t="s">
        <v>179</v>
      </c>
      <c r="D6" s="187">
        <v>38018</v>
      </c>
      <c r="E6" s="100">
        <f t="shared" si="0"/>
        <v>0</v>
      </c>
      <c r="F6" s="188">
        <v>38018</v>
      </c>
      <c r="G6" s="188"/>
      <c r="H6" s="224"/>
      <c r="I6" s="193">
        <v>38018</v>
      </c>
      <c r="J6" s="86"/>
      <c r="K6" s="89"/>
      <c r="L6" s="76"/>
      <c r="N6" s="76"/>
    </row>
    <row r="7" spans="1:14" ht="17.25" customHeight="1">
      <c r="A7" s="76" t="s">
        <v>180</v>
      </c>
      <c r="B7" s="186"/>
      <c r="C7" s="98" t="s">
        <v>181</v>
      </c>
      <c r="D7" s="99">
        <f>DATE(104,9,30)</f>
        <v>38260</v>
      </c>
      <c r="E7" s="100">
        <f t="shared" si="0"/>
        <v>0</v>
      </c>
      <c r="F7" s="101">
        <v>38260</v>
      </c>
      <c r="G7" s="101"/>
      <c r="H7" s="224"/>
      <c r="I7" s="190">
        <f>DATE(104,9,30)</f>
        <v>38260</v>
      </c>
      <c r="J7" s="90"/>
      <c r="K7" s="89"/>
      <c r="L7" s="76"/>
      <c r="N7" s="76"/>
    </row>
    <row r="8" spans="1:14" ht="17.25" customHeight="1" thickBot="1">
      <c r="A8" s="76" t="s">
        <v>222</v>
      </c>
      <c r="B8" s="214"/>
      <c r="C8" s="215" t="s">
        <v>223</v>
      </c>
      <c r="D8" s="202">
        <f>DATE(108,5,30)</f>
        <v>39598</v>
      </c>
      <c r="E8" s="216">
        <f>(+F8-D8)/30</f>
        <v>14.233333333333333</v>
      </c>
      <c r="F8" s="202">
        <v>40025</v>
      </c>
      <c r="G8" s="202">
        <f>(+F8-H8)/30</f>
        <v>5.133333333333334</v>
      </c>
      <c r="H8" s="218">
        <f>SUM(J8)</f>
        <v>39871</v>
      </c>
      <c r="I8" s="219"/>
      <c r="J8" s="110">
        <v>39871</v>
      </c>
      <c r="K8" s="97">
        <f>(+F8-J8)/30</f>
        <v>5.133333333333334</v>
      </c>
      <c r="L8" s="96"/>
      <c r="N8" s="76"/>
    </row>
    <row r="9" spans="1:14" ht="16.5" customHeight="1" hidden="1" thickBot="1">
      <c r="A9" s="76"/>
      <c r="C9" s="76"/>
      <c r="D9" s="90"/>
      <c r="E9" s="87">
        <f t="shared" si="0"/>
        <v>0</v>
      </c>
      <c r="F9" s="90"/>
      <c r="G9" s="90"/>
      <c r="H9" s="79"/>
      <c r="I9" s="88"/>
      <c r="J9" s="90"/>
      <c r="K9" s="89"/>
      <c r="L9" s="76"/>
      <c r="N9" s="76"/>
    </row>
    <row r="10" spans="1:14" ht="17.25" customHeight="1">
      <c r="A10" s="76" t="s">
        <v>182</v>
      </c>
      <c r="B10" s="178" t="s">
        <v>183</v>
      </c>
      <c r="C10" s="179" t="s">
        <v>184</v>
      </c>
      <c r="D10" s="180">
        <f>DATE(103,10,7)</f>
        <v>37901</v>
      </c>
      <c r="E10" s="181">
        <f t="shared" si="0"/>
        <v>0</v>
      </c>
      <c r="F10" s="182">
        <v>37901</v>
      </c>
      <c r="G10" s="182"/>
      <c r="H10" s="184"/>
      <c r="I10" s="185">
        <f>DATE(103,10,7)</f>
        <v>37901</v>
      </c>
      <c r="J10" s="90"/>
      <c r="K10" s="89"/>
      <c r="L10" s="76"/>
      <c r="N10" s="76"/>
    </row>
    <row r="11" spans="1:14" ht="17.25" customHeight="1">
      <c r="A11" s="76" t="s">
        <v>185</v>
      </c>
      <c r="B11" s="186"/>
      <c r="C11" s="98" t="s">
        <v>186</v>
      </c>
      <c r="D11" s="99">
        <f>DATE(103,11,18)</f>
        <v>37943</v>
      </c>
      <c r="E11" s="100">
        <f t="shared" si="0"/>
        <v>0</v>
      </c>
      <c r="F11" s="101">
        <v>37943</v>
      </c>
      <c r="G11" s="101"/>
      <c r="H11" s="103"/>
      <c r="I11" s="190">
        <f>DATE(103,11,18)</f>
        <v>37943</v>
      </c>
      <c r="J11" s="91"/>
      <c r="K11" s="89"/>
      <c r="L11" s="76"/>
      <c r="N11" s="76"/>
    </row>
    <row r="12" spans="1:14" ht="17.25" customHeight="1">
      <c r="A12" s="76" t="s">
        <v>187</v>
      </c>
      <c r="B12" s="186"/>
      <c r="C12" s="98" t="s">
        <v>188</v>
      </c>
      <c r="D12" s="99">
        <f>DATE(104,7,19)</f>
        <v>38187</v>
      </c>
      <c r="E12" s="100">
        <f t="shared" si="0"/>
        <v>0</v>
      </c>
      <c r="F12" s="101">
        <v>38187</v>
      </c>
      <c r="G12" s="101"/>
      <c r="H12" s="103"/>
      <c r="I12" s="190">
        <f>DATE(104,5,19)</f>
        <v>38126</v>
      </c>
      <c r="J12" s="91"/>
      <c r="K12" s="89"/>
      <c r="L12" s="76"/>
      <c r="N12" s="76"/>
    </row>
    <row r="13" spans="1:14" ht="17.25" customHeight="1">
      <c r="A13" s="76" t="s">
        <v>189</v>
      </c>
      <c r="B13" s="186"/>
      <c r="C13" s="98" t="s">
        <v>190</v>
      </c>
      <c r="D13" s="99">
        <f>DATE(104,7,19)</f>
        <v>38187</v>
      </c>
      <c r="E13" s="100">
        <f t="shared" si="0"/>
        <v>0</v>
      </c>
      <c r="F13" s="101">
        <v>38187</v>
      </c>
      <c r="G13" s="101"/>
      <c r="H13" s="103"/>
      <c r="I13" s="190">
        <f>DATE(104,5,19)</f>
        <v>38126</v>
      </c>
      <c r="J13" s="91"/>
      <c r="K13" s="89"/>
      <c r="L13" s="76"/>
      <c r="N13" s="76"/>
    </row>
    <row r="14" spans="1:14" ht="17.25" customHeight="1">
      <c r="A14" s="76" t="s">
        <v>191</v>
      </c>
      <c r="B14" s="186"/>
      <c r="C14" s="98" t="s">
        <v>192</v>
      </c>
      <c r="D14" s="99"/>
      <c r="E14" s="100"/>
      <c r="F14" s="101">
        <v>38340</v>
      </c>
      <c r="G14" s="101"/>
      <c r="H14" s="103"/>
      <c r="I14" s="190">
        <f>DATE(104,10,15)</f>
        <v>38275</v>
      </c>
      <c r="J14" s="91"/>
      <c r="K14" s="89"/>
      <c r="L14" s="76"/>
      <c r="N14" s="76"/>
    </row>
    <row r="15" spans="1:14" ht="17.25" customHeight="1">
      <c r="A15" s="76" t="s">
        <v>193</v>
      </c>
      <c r="B15" s="186"/>
      <c r="C15" s="98" t="s">
        <v>194</v>
      </c>
      <c r="D15" s="99">
        <v>38322</v>
      </c>
      <c r="E15" s="100">
        <v>-2</v>
      </c>
      <c r="F15" s="101">
        <v>38275</v>
      </c>
      <c r="G15" s="102"/>
      <c r="H15" s="189"/>
      <c r="I15" s="190">
        <v>38245</v>
      </c>
      <c r="J15" s="91"/>
      <c r="K15" s="89"/>
      <c r="L15" s="76"/>
      <c r="N15" s="76"/>
    </row>
    <row r="16" spans="1:14" ht="17.25" customHeight="1">
      <c r="A16" s="76" t="s">
        <v>195</v>
      </c>
      <c r="B16" s="186"/>
      <c r="C16" s="98" t="s">
        <v>196</v>
      </c>
      <c r="D16" s="99">
        <v>38292</v>
      </c>
      <c r="E16" s="100">
        <v>-1</v>
      </c>
      <c r="F16" s="101">
        <v>38261</v>
      </c>
      <c r="G16" s="102"/>
      <c r="H16" s="103"/>
      <c r="I16" s="190">
        <v>38245</v>
      </c>
      <c r="J16" s="91"/>
      <c r="K16" s="89"/>
      <c r="L16" s="76"/>
      <c r="N16" s="76"/>
    </row>
    <row r="17" spans="1:14" ht="17.25" customHeight="1">
      <c r="A17" s="76" t="s">
        <v>197</v>
      </c>
      <c r="B17" s="186"/>
      <c r="C17" s="194" t="s">
        <v>198</v>
      </c>
      <c r="D17" s="99">
        <v>38412</v>
      </c>
      <c r="E17" s="100">
        <v>4</v>
      </c>
      <c r="F17" s="195">
        <v>38548</v>
      </c>
      <c r="G17" s="206">
        <f aca="true" t="shared" si="1" ref="G17:G29">(+F17-H17)/30</f>
        <v>1284.9333333333334</v>
      </c>
      <c r="H17" s="207"/>
      <c r="I17" s="208">
        <v>38625</v>
      </c>
      <c r="J17" s="91"/>
      <c r="K17" s="97"/>
      <c r="L17" s="96"/>
      <c r="N17" s="76"/>
    </row>
    <row r="18" spans="1:14" ht="17.25" customHeight="1">
      <c r="A18" s="76" t="s">
        <v>199</v>
      </c>
      <c r="B18" s="186"/>
      <c r="C18" s="98" t="s">
        <v>200</v>
      </c>
      <c r="D18" s="99">
        <v>38443</v>
      </c>
      <c r="E18" s="100">
        <v>3</v>
      </c>
      <c r="F18" s="101">
        <v>38625</v>
      </c>
      <c r="G18" s="102">
        <f t="shared" si="1"/>
        <v>1287.5</v>
      </c>
      <c r="H18" s="103"/>
      <c r="I18" s="190">
        <v>38533</v>
      </c>
      <c r="J18" s="104"/>
      <c r="K18" s="97"/>
      <c r="L18" s="96"/>
      <c r="N18" s="76"/>
    </row>
    <row r="19" spans="1:14" ht="17.25" customHeight="1">
      <c r="A19" s="76" t="s">
        <v>201</v>
      </c>
      <c r="B19" s="186"/>
      <c r="C19" s="98" t="s">
        <v>202</v>
      </c>
      <c r="D19" s="99">
        <v>38595</v>
      </c>
      <c r="E19" s="100">
        <v>6</v>
      </c>
      <c r="F19" s="99">
        <v>38805</v>
      </c>
      <c r="G19" s="99">
        <v>38822</v>
      </c>
      <c r="H19" s="209">
        <v>38776</v>
      </c>
      <c r="I19" s="210"/>
      <c r="J19" s="110">
        <v>38805</v>
      </c>
      <c r="K19" s="97">
        <f>(+F19-J19)/30</f>
        <v>0</v>
      </c>
      <c r="L19" s="96"/>
      <c r="N19" s="76"/>
    </row>
    <row r="20" spans="1:14" ht="17.25" customHeight="1">
      <c r="A20" s="76" t="s">
        <v>203</v>
      </c>
      <c r="B20" s="186"/>
      <c r="C20" s="211" t="s">
        <v>204</v>
      </c>
      <c r="D20" s="99">
        <v>38749</v>
      </c>
      <c r="E20" s="100">
        <v>0</v>
      </c>
      <c r="F20" s="212">
        <v>38975</v>
      </c>
      <c r="G20" s="213">
        <f t="shared" si="1"/>
        <v>5.933333333333334</v>
      </c>
      <c r="H20" s="209">
        <f aca="true" t="shared" si="2" ref="H20:H29">SUM(J20)</f>
        <v>38797</v>
      </c>
      <c r="I20" s="210"/>
      <c r="J20" s="110">
        <v>38797</v>
      </c>
      <c r="K20" s="97">
        <f aca="true" t="shared" si="3" ref="K20:K30">(+F20-J20)/30</f>
        <v>5.933333333333334</v>
      </c>
      <c r="L20" s="96"/>
      <c r="N20" s="76"/>
    </row>
    <row r="21" spans="1:14" ht="17.25" customHeight="1">
      <c r="A21" s="76" t="s">
        <v>205</v>
      </c>
      <c r="B21" s="186"/>
      <c r="C21" s="98" t="s">
        <v>206</v>
      </c>
      <c r="D21" s="99">
        <v>38930</v>
      </c>
      <c r="E21" s="100">
        <v>4</v>
      </c>
      <c r="F21" s="99">
        <v>39248</v>
      </c>
      <c r="G21" s="213">
        <f t="shared" si="1"/>
        <v>3.566666666666667</v>
      </c>
      <c r="H21" s="209">
        <f t="shared" si="2"/>
        <v>39141</v>
      </c>
      <c r="I21" s="210"/>
      <c r="J21" s="110">
        <v>39141</v>
      </c>
      <c r="K21" s="97">
        <f t="shared" si="3"/>
        <v>3.566666666666667</v>
      </c>
      <c r="L21" s="96"/>
      <c r="N21" s="76"/>
    </row>
    <row r="22" spans="1:14" ht="17.25" customHeight="1">
      <c r="A22" s="76" t="s">
        <v>207</v>
      </c>
      <c r="B22" s="186"/>
      <c r="C22" s="98" t="s">
        <v>208</v>
      </c>
      <c r="D22" s="99">
        <v>38869</v>
      </c>
      <c r="E22" s="100">
        <v>7</v>
      </c>
      <c r="F22" s="99">
        <v>39537</v>
      </c>
      <c r="G22" s="213">
        <f t="shared" si="1"/>
        <v>5.166666666666667</v>
      </c>
      <c r="H22" s="209">
        <f t="shared" si="2"/>
        <v>39382</v>
      </c>
      <c r="I22" s="210"/>
      <c r="J22" s="110">
        <v>39382</v>
      </c>
      <c r="K22" s="97">
        <f t="shared" si="3"/>
        <v>5.166666666666667</v>
      </c>
      <c r="L22" s="96"/>
      <c r="N22" s="76"/>
    </row>
    <row r="23" spans="1:14" ht="17.25" customHeight="1">
      <c r="A23" s="105" t="s">
        <v>209</v>
      </c>
      <c r="B23" s="186"/>
      <c r="C23" s="98" t="s">
        <v>210</v>
      </c>
      <c r="D23" s="99">
        <v>38961</v>
      </c>
      <c r="E23" s="100">
        <v>6</v>
      </c>
      <c r="F23" s="99">
        <v>39264</v>
      </c>
      <c r="G23" s="213">
        <f t="shared" si="1"/>
        <v>5.666666666666667</v>
      </c>
      <c r="H23" s="209">
        <f t="shared" si="2"/>
        <v>39094</v>
      </c>
      <c r="I23" s="210"/>
      <c r="J23" s="110">
        <v>39094</v>
      </c>
      <c r="K23" s="97">
        <f t="shared" si="3"/>
        <v>5.666666666666667</v>
      </c>
      <c r="L23" s="96"/>
      <c r="M23" s="89"/>
      <c r="N23" s="76"/>
    </row>
    <row r="24" spans="1:14" ht="17.25" customHeight="1">
      <c r="A24" s="76" t="s">
        <v>240</v>
      </c>
      <c r="B24" s="186"/>
      <c r="C24" s="98" t="s">
        <v>211</v>
      </c>
      <c r="D24" s="99">
        <v>39083</v>
      </c>
      <c r="E24" s="100">
        <v>4</v>
      </c>
      <c r="F24" s="99">
        <v>39675</v>
      </c>
      <c r="G24" s="213">
        <f t="shared" si="1"/>
        <v>9</v>
      </c>
      <c r="H24" s="209">
        <f t="shared" si="2"/>
        <v>39405</v>
      </c>
      <c r="I24" s="210"/>
      <c r="J24" s="110">
        <v>39405</v>
      </c>
      <c r="K24" s="97">
        <f t="shared" si="3"/>
        <v>9</v>
      </c>
      <c r="L24" s="96"/>
      <c r="N24" s="76"/>
    </row>
    <row r="25" spans="1:14" ht="17.25" customHeight="1">
      <c r="A25" s="105" t="s">
        <v>212</v>
      </c>
      <c r="B25" s="186"/>
      <c r="C25" s="98" t="s">
        <v>213</v>
      </c>
      <c r="D25" s="99">
        <v>39234</v>
      </c>
      <c r="E25" s="100">
        <v>3</v>
      </c>
      <c r="F25" s="99">
        <v>39767</v>
      </c>
      <c r="G25" s="213">
        <f t="shared" si="1"/>
        <v>5.2</v>
      </c>
      <c r="H25" s="209">
        <f t="shared" si="2"/>
        <v>39611</v>
      </c>
      <c r="I25" s="210"/>
      <c r="J25" s="110">
        <v>39611</v>
      </c>
      <c r="K25" s="97">
        <f t="shared" si="3"/>
        <v>5.2</v>
      </c>
      <c r="L25" s="96"/>
      <c r="N25" s="76"/>
    </row>
    <row r="26" spans="1:14" ht="17.25" customHeight="1">
      <c r="A26" s="106" t="s">
        <v>214</v>
      </c>
      <c r="B26" s="186"/>
      <c r="C26" s="98" t="s">
        <v>215</v>
      </c>
      <c r="D26" s="99">
        <v>39326</v>
      </c>
      <c r="E26" s="100">
        <v>2</v>
      </c>
      <c r="F26" s="99">
        <v>39855</v>
      </c>
      <c r="G26" s="213">
        <f t="shared" si="1"/>
        <v>5.1</v>
      </c>
      <c r="H26" s="209">
        <f t="shared" si="2"/>
        <v>39702</v>
      </c>
      <c r="I26" s="210"/>
      <c r="J26" s="110">
        <v>39702</v>
      </c>
      <c r="K26" s="97">
        <f t="shared" si="3"/>
        <v>5.1</v>
      </c>
      <c r="L26" s="96"/>
      <c r="M26" s="89"/>
      <c r="N26" s="76"/>
    </row>
    <row r="27" spans="1:14" ht="17.25" customHeight="1">
      <c r="A27" s="106" t="s">
        <v>216</v>
      </c>
      <c r="B27" s="186"/>
      <c r="C27" s="98" t="s">
        <v>217</v>
      </c>
      <c r="D27" s="99">
        <v>39387</v>
      </c>
      <c r="E27" s="100">
        <v>2</v>
      </c>
      <c r="F27" s="99">
        <v>39910</v>
      </c>
      <c r="G27" s="213">
        <f t="shared" si="1"/>
        <v>5.033333333333333</v>
      </c>
      <c r="H27" s="209">
        <f t="shared" si="2"/>
        <v>39759</v>
      </c>
      <c r="I27" s="210"/>
      <c r="J27" s="110">
        <v>39759</v>
      </c>
      <c r="K27" s="97">
        <f t="shared" si="3"/>
        <v>5.033333333333333</v>
      </c>
      <c r="L27" s="96"/>
      <c r="M27" s="89"/>
      <c r="N27" s="76"/>
    </row>
    <row r="28" spans="1:14" ht="17.25" customHeight="1">
      <c r="A28" s="76" t="s">
        <v>218</v>
      </c>
      <c r="B28" s="186"/>
      <c r="C28" s="98" t="s">
        <v>219</v>
      </c>
      <c r="D28" s="99">
        <v>39387</v>
      </c>
      <c r="E28" s="100">
        <v>4</v>
      </c>
      <c r="F28" s="99">
        <v>39965</v>
      </c>
      <c r="G28" s="213">
        <f t="shared" si="1"/>
        <v>5.166666666666667</v>
      </c>
      <c r="H28" s="209">
        <f t="shared" si="2"/>
        <v>39810</v>
      </c>
      <c r="I28" s="210"/>
      <c r="J28" s="110">
        <v>39810</v>
      </c>
      <c r="K28" s="97">
        <f t="shared" si="3"/>
        <v>5.166666666666667</v>
      </c>
      <c r="L28" s="96"/>
      <c r="M28" s="89"/>
      <c r="N28" s="76"/>
    </row>
    <row r="29" spans="1:14" ht="17.25" customHeight="1" thickBot="1">
      <c r="A29" s="76" t="s">
        <v>220</v>
      </c>
      <c r="B29" s="214"/>
      <c r="C29" s="215" t="s">
        <v>221</v>
      </c>
      <c r="D29" s="202">
        <v>39538</v>
      </c>
      <c r="E29" s="216">
        <v>0</v>
      </c>
      <c r="F29" s="202">
        <v>39980</v>
      </c>
      <c r="G29" s="217">
        <f t="shared" si="1"/>
        <v>5.033333333333333</v>
      </c>
      <c r="H29" s="218">
        <f t="shared" si="2"/>
        <v>39829</v>
      </c>
      <c r="I29" s="219"/>
      <c r="J29" s="110">
        <v>39829</v>
      </c>
      <c r="K29" s="97">
        <f t="shared" si="3"/>
        <v>5.033333333333333</v>
      </c>
      <c r="L29" s="96"/>
      <c r="M29" s="89"/>
      <c r="N29" s="76"/>
    </row>
    <row r="30" spans="1:14" ht="17.25" customHeight="1" hidden="1" thickBot="1">
      <c r="A30" s="76"/>
      <c r="B30" s="81"/>
      <c r="C30" s="76"/>
      <c r="D30" s="90"/>
      <c r="E30" s="87"/>
      <c r="F30" s="90"/>
      <c r="G30" s="92"/>
      <c r="H30" s="79"/>
      <c r="I30" s="88"/>
      <c r="J30" s="91"/>
      <c r="K30" s="97">
        <f t="shared" si="3"/>
        <v>0</v>
      </c>
      <c r="L30" s="76"/>
      <c r="M30" s="89"/>
      <c r="N30" s="76"/>
    </row>
    <row r="31" spans="1:14" ht="17.25" customHeight="1">
      <c r="A31" s="76" t="s">
        <v>224</v>
      </c>
      <c r="B31" s="178" t="s">
        <v>225</v>
      </c>
      <c r="C31" s="179" t="s">
        <v>226</v>
      </c>
      <c r="D31" s="180">
        <f>DATE(103,12,20)</f>
        <v>37975</v>
      </c>
      <c r="E31" s="181">
        <f aca="true" t="shared" si="4" ref="E31:E38">(+F31-D31)/30</f>
        <v>0.3333333333333333</v>
      </c>
      <c r="F31" s="182">
        <v>37985</v>
      </c>
      <c r="G31" s="183"/>
      <c r="H31" s="184"/>
      <c r="I31" s="185">
        <f>DATE(103,10,20)</f>
        <v>37914</v>
      </c>
      <c r="J31" s="91"/>
      <c r="K31" s="97"/>
      <c r="L31" s="76"/>
      <c r="N31" s="76"/>
    </row>
    <row r="32" spans="1:14" ht="17.25" customHeight="1">
      <c r="A32" s="76" t="s">
        <v>227</v>
      </c>
      <c r="B32" s="186"/>
      <c r="C32" s="98" t="s">
        <v>228</v>
      </c>
      <c r="D32" s="187">
        <v>38047</v>
      </c>
      <c r="E32" s="100">
        <f t="shared" si="4"/>
        <v>1</v>
      </c>
      <c r="F32" s="188">
        <v>38077</v>
      </c>
      <c r="G32" s="102"/>
      <c r="H32" s="189"/>
      <c r="I32" s="190">
        <f>DATE(104,1,30)</f>
        <v>38016</v>
      </c>
      <c r="J32" s="95"/>
      <c r="K32" s="97"/>
      <c r="L32" s="76"/>
      <c r="M32" s="89"/>
      <c r="N32" s="76"/>
    </row>
    <row r="33" spans="1:14" ht="17.25" customHeight="1">
      <c r="A33" s="76" t="s">
        <v>229</v>
      </c>
      <c r="B33" s="186"/>
      <c r="C33" s="98" t="s">
        <v>230</v>
      </c>
      <c r="D33" s="187">
        <v>38139</v>
      </c>
      <c r="E33" s="100">
        <f t="shared" si="4"/>
        <v>0.9666666666666667</v>
      </c>
      <c r="F33" s="188">
        <v>38168</v>
      </c>
      <c r="G33" s="102"/>
      <c r="H33" s="189"/>
      <c r="I33" s="190">
        <f>DATE(104,5,26)</f>
        <v>38133</v>
      </c>
      <c r="J33" s="95"/>
      <c r="K33" s="97"/>
      <c r="L33" s="76"/>
      <c r="N33" s="76"/>
    </row>
    <row r="34" spans="1:14" ht="17.25" customHeight="1">
      <c r="A34" s="76" t="s">
        <v>231</v>
      </c>
      <c r="B34" s="186"/>
      <c r="C34" s="98" t="s">
        <v>232</v>
      </c>
      <c r="D34" s="99">
        <v>38231</v>
      </c>
      <c r="E34" s="100">
        <f t="shared" si="4"/>
        <v>0.9666666666666667</v>
      </c>
      <c r="F34" s="101">
        <v>38260</v>
      </c>
      <c r="G34" s="102"/>
      <c r="H34" s="103"/>
      <c r="I34" s="190">
        <f>DATE(104,9,15)</f>
        <v>38245</v>
      </c>
      <c r="J34" s="91"/>
      <c r="K34" s="97"/>
      <c r="L34" s="76"/>
      <c r="N34" s="76"/>
    </row>
    <row r="35" spans="1:11" ht="17.25" customHeight="1">
      <c r="A35" s="107" t="s">
        <v>191</v>
      </c>
      <c r="B35" s="191"/>
      <c r="C35" s="98" t="s">
        <v>233</v>
      </c>
      <c r="D35" s="192"/>
      <c r="E35" s="100">
        <f t="shared" si="4"/>
        <v>1278.3666666666666</v>
      </c>
      <c r="F35" s="101">
        <v>38351</v>
      </c>
      <c r="G35" s="102">
        <f>(+F35-I35)/30</f>
        <v>2.533333333333333</v>
      </c>
      <c r="H35" s="189"/>
      <c r="I35" s="190">
        <f>DATE(104,10,15)</f>
        <v>38275</v>
      </c>
      <c r="J35" s="91"/>
      <c r="K35" s="97"/>
    </row>
    <row r="36" spans="1:11" ht="17.25" customHeight="1">
      <c r="A36" s="107" t="s">
        <v>234</v>
      </c>
      <c r="B36" s="191"/>
      <c r="C36" s="98" t="s">
        <v>235</v>
      </c>
      <c r="D36" s="192"/>
      <c r="E36" s="100">
        <f t="shared" si="4"/>
        <v>1281.4</v>
      </c>
      <c r="F36" s="188">
        <v>38442</v>
      </c>
      <c r="G36" s="102">
        <f>(+F36-H36)/30</f>
        <v>1281.4</v>
      </c>
      <c r="H36" s="103"/>
      <c r="I36" s="190">
        <v>38441</v>
      </c>
      <c r="J36" s="108"/>
      <c r="K36" s="97"/>
    </row>
    <row r="37" spans="1:11" ht="17.25" customHeight="1">
      <c r="A37" s="107" t="s">
        <v>236</v>
      </c>
      <c r="B37" s="191"/>
      <c r="C37" s="98" t="s">
        <v>237</v>
      </c>
      <c r="D37" s="192"/>
      <c r="E37" s="100">
        <f t="shared" si="4"/>
        <v>1284.4333333333334</v>
      </c>
      <c r="F37" s="188">
        <v>38533</v>
      </c>
      <c r="G37" s="102">
        <f>(+F37-H37)/30</f>
        <v>1284.4333333333334</v>
      </c>
      <c r="H37" s="189"/>
      <c r="I37" s="193">
        <f>+F37</f>
        <v>38533</v>
      </c>
      <c r="J37" s="108"/>
      <c r="K37" s="97"/>
    </row>
    <row r="38" spans="1:11" ht="17.25" customHeight="1">
      <c r="A38" s="71" t="s">
        <v>238</v>
      </c>
      <c r="B38" s="191"/>
      <c r="C38" s="194" t="s">
        <v>239</v>
      </c>
      <c r="D38" s="192"/>
      <c r="E38" s="100">
        <f t="shared" si="4"/>
        <v>1287.5</v>
      </c>
      <c r="F38" s="195">
        <v>38625</v>
      </c>
      <c r="G38" s="195">
        <v>38656</v>
      </c>
      <c r="H38" s="196">
        <v>38716</v>
      </c>
      <c r="I38" s="197"/>
      <c r="J38" s="108">
        <v>38701</v>
      </c>
      <c r="K38" s="97">
        <f>(+F38-J38)/30</f>
        <v>-2.533333333333333</v>
      </c>
    </row>
    <row r="39" spans="1:11" ht="17.25" customHeight="1">
      <c r="A39" s="71" t="s">
        <v>243</v>
      </c>
      <c r="B39" s="191"/>
      <c r="C39" s="192" t="s">
        <v>241</v>
      </c>
      <c r="D39" s="192"/>
      <c r="E39" s="192"/>
      <c r="F39" s="99">
        <v>38990</v>
      </c>
      <c r="G39" s="198"/>
      <c r="H39" s="199">
        <f>+J39</f>
        <v>38798</v>
      </c>
      <c r="I39" s="197"/>
      <c r="J39" s="108">
        <v>38798</v>
      </c>
      <c r="K39" s="97">
        <f>(+F39-J39)/30</f>
        <v>6.4</v>
      </c>
    </row>
    <row r="40" spans="1:11" ht="17.25" customHeight="1" thickBot="1">
      <c r="A40" s="71" t="s">
        <v>242</v>
      </c>
      <c r="B40" s="200"/>
      <c r="C40" s="201" t="s">
        <v>244</v>
      </c>
      <c r="D40" s="201"/>
      <c r="E40" s="201"/>
      <c r="F40" s="202">
        <v>39355</v>
      </c>
      <c r="G40" s="203"/>
      <c r="H40" s="204">
        <f>+J40</f>
        <v>39027</v>
      </c>
      <c r="I40" s="205"/>
      <c r="J40" s="108">
        <v>39027</v>
      </c>
      <c r="K40" s="97">
        <f>(+F40-J40)/30</f>
        <v>10.933333333333334</v>
      </c>
    </row>
    <row r="41" ht="17.25" customHeight="1">
      <c r="H41" s="109"/>
    </row>
    <row r="42" ht="17.25" customHeight="1">
      <c r="H42" s="109"/>
    </row>
    <row r="43" ht="17.25" customHeight="1">
      <c r="H43" s="109"/>
    </row>
    <row r="44" ht="17.25" customHeight="1">
      <c r="H44" s="109"/>
    </row>
    <row r="45" ht="17.25" customHeight="1">
      <c r="H45" s="109"/>
    </row>
    <row r="46" ht="17.25" customHeight="1">
      <c r="H46" s="109"/>
    </row>
    <row r="47" ht="17.25" customHeight="1">
      <c r="B47" s="72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="75" zoomScaleNormal="75" workbookViewId="0" topLeftCell="B13">
      <selection activeCell="G54" sqref="G54"/>
    </sheetView>
  </sheetViews>
  <sheetFormatPr defaultColWidth="9.140625" defaultRowHeight="12.75"/>
  <cols>
    <col min="3" max="15" width="18.28125" style="0" customWidth="1"/>
  </cols>
  <sheetData>
    <row r="1" spans="1:1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 t="s">
        <v>159</v>
      </c>
      <c r="K4" s="9"/>
      <c r="L4" s="9"/>
      <c r="M4" s="9"/>
      <c r="N4" s="9"/>
      <c r="O4" s="9"/>
      <c r="P4" s="9"/>
      <c r="Q4" s="9"/>
    </row>
    <row r="5" spans="1:17" ht="12.75">
      <c r="A5" s="9"/>
      <c r="B5" s="9" t="s">
        <v>161</v>
      </c>
      <c r="C5" s="45">
        <v>7.9</v>
      </c>
      <c r="D5" s="45">
        <v>15.83</v>
      </c>
      <c r="E5" s="45">
        <v>15.84</v>
      </c>
      <c r="F5" s="45">
        <v>22.14</v>
      </c>
      <c r="G5" s="45">
        <v>19.42</v>
      </c>
      <c r="H5" s="45">
        <v>5.2</v>
      </c>
      <c r="I5" s="45"/>
      <c r="J5" s="45">
        <f>SUM(C5:I5)</f>
        <v>86.33</v>
      </c>
      <c r="K5" s="9"/>
      <c r="L5" s="9"/>
      <c r="M5" s="9"/>
      <c r="N5" s="9"/>
      <c r="O5" s="9"/>
      <c r="P5" s="9"/>
      <c r="Q5" s="9"/>
    </row>
    <row r="6" spans="1:17" ht="12.75">
      <c r="A6" s="9"/>
      <c r="B6" s="9" t="s">
        <v>162</v>
      </c>
      <c r="C6" s="45">
        <v>7.9</v>
      </c>
      <c r="D6" s="45">
        <v>15.83</v>
      </c>
      <c r="E6" s="45">
        <f>15.8+1.7</f>
        <v>17.5</v>
      </c>
      <c r="F6" s="45">
        <v>15.9</v>
      </c>
      <c r="G6" s="45">
        <v>15.9</v>
      </c>
      <c r="H6" s="45">
        <v>15.9</v>
      </c>
      <c r="I6" s="45">
        <v>5.199</v>
      </c>
      <c r="J6" s="45">
        <f>SUM(C6:I6)</f>
        <v>94.129</v>
      </c>
      <c r="K6" s="9"/>
      <c r="L6" s="9"/>
      <c r="M6" s="9"/>
      <c r="N6" s="9"/>
      <c r="O6" s="9"/>
      <c r="P6" s="9"/>
      <c r="Q6" s="9"/>
    </row>
    <row r="7" spans="1:17" ht="12.75">
      <c r="A7" s="9"/>
      <c r="B7" s="9" t="s">
        <v>158</v>
      </c>
      <c r="C7" s="45">
        <v>6.062</v>
      </c>
      <c r="D7" s="45">
        <v>13.658</v>
      </c>
      <c r="E7" s="45">
        <v>18.238</v>
      </c>
      <c r="F7" s="45">
        <v>15.425</v>
      </c>
      <c r="G7" s="45">
        <v>13.289</v>
      </c>
      <c r="H7" s="45">
        <v>12.748</v>
      </c>
      <c r="I7" s="45">
        <v>2.466</v>
      </c>
      <c r="J7" s="45">
        <f>SUM(C7:I7)</f>
        <v>81.886</v>
      </c>
      <c r="K7" s="9"/>
      <c r="L7" s="9"/>
      <c r="M7" s="9"/>
      <c r="N7" s="9"/>
      <c r="O7" s="9"/>
      <c r="P7" s="9"/>
      <c r="Q7" s="9"/>
    </row>
    <row r="8" spans="1:17" ht="12.75">
      <c r="A8" s="9"/>
      <c r="B8" s="9" t="s">
        <v>65</v>
      </c>
      <c r="C8" s="45"/>
      <c r="D8" s="45"/>
      <c r="E8" s="45">
        <v>0.8</v>
      </c>
      <c r="F8" s="45">
        <v>3</v>
      </c>
      <c r="G8" s="45">
        <v>2.6</v>
      </c>
      <c r="H8" s="45">
        <v>3.1</v>
      </c>
      <c r="I8" s="45">
        <v>2.742</v>
      </c>
      <c r="J8" s="45">
        <f>SUM(C8:I8)</f>
        <v>12.242</v>
      </c>
      <c r="K8" s="9"/>
      <c r="L8" s="9"/>
      <c r="M8" s="9"/>
      <c r="N8" s="9"/>
      <c r="O8" s="9"/>
      <c r="P8" s="9"/>
      <c r="Q8" s="9"/>
    </row>
    <row r="9" spans="1:17" ht="12.75">
      <c r="A9" s="9"/>
      <c r="B9" s="9" t="s">
        <v>163</v>
      </c>
      <c r="C9" s="45">
        <f>+C5</f>
        <v>7.9</v>
      </c>
      <c r="D9" s="45">
        <f>+C9+D5</f>
        <v>23.73</v>
      </c>
      <c r="E9" s="45">
        <f>+D9+E5</f>
        <v>39.57</v>
      </c>
      <c r="F9" s="45">
        <f>+E9+F5</f>
        <v>61.71</v>
      </c>
      <c r="G9" s="45">
        <f>+F9+G5</f>
        <v>81.13</v>
      </c>
      <c r="H9" s="45">
        <f>+G9+H5</f>
        <v>86.33</v>
      </c>
      <c r="I9" s="46">
        <f>+H9</f>
        <v>86.33</v>
      </c>
      <c r="J9" s="45"/>
      <c r="K9" s="9"/>
      <c r="L9" s="9"/>
      <c r="M9" s="9"/>
      <c r="N9" s="9"/>
      <c r="O9" s="9"/>
      <c r="P9" s="9"/>
      <c r="Q9" s="9"/>
    </row>
    <row r="10" spans="1:17" ht="12.75">
      <c r="A10" s="9"/>
      <c r="B10" s="9" t="s">
        <v>164</v>
      </c>
      <c r="C10" s="47">
        <f>+C6</f>
        <v>7.9</v>
      </c>
      <c r="D10" s="47">
        <f aca="true" t="shared" si="0" ref="D10:I11">+C10+D6</f>
        <v>23.73</v>
      </c>
      <c r="E10" s="47">
        <f t="shared" si="0"/>
        <v>41.230000000000004</v>
      </c>
      <c r="F10" s="47">
        <f t="shared" si="0"/>
        <v>57.13</v>
      </c>
      <c r="G10" s="47">
        <f t="shared" si="0"/>
        <v>73.03</v>
      </c>
      <c r="H10" s="47">
        <f t="shared" si="0"/>
        <v>88.93</v>
      </c>
      <c r="I10" s="47">
        <f t="shared" si="0"/>
        <v>94.129</v>
      </c>
      <c r="J10" s="45"/>
      <c r="K10" s="9"/>
      <c r="L10" s="9"/>
      <c r="M10" s="9"/>
      <c r="N10" s="9"/>
      <c r="O10" s="9"/>
      <c r="P10" s="9"/>
      <c r="Q10" s="9"/>
    </row>
    <row r="11" spans="1:17" ht="12.75">
      <c r="A11" s="9"/>
      <c r="B11" s="9" t="s">
        <v>165</v>
      </c>
      <c r="C11" s="47">
        <f>+C7</f>
        <v>6.062</v>
      </c>
      <c r="D11" s="47">
        <f t="shared" si="0"/>
        <v>19.72</v>
      </c>
      <c r="E11" s="47">
        <f t="shared" si="0"/>
        <v>37.958</v>
      </c>
      <c r="F11" s="47">
        <f t="shared" si="0"/>
        <v>53.382999999999996</v>
      </c>
      <c r="G11" s="47">
        <f t="shared" si="0"/>
        <v>66.672</v>
      </c>
      <c r="H11" s="47">
        <f t="shared" si="0"/>
        <v>79.42</v>
      </c>
      <c r="I11" s="47">
        <f t="shared" si="0"/>
        <v>81.886</v>
      </c>
      <c r="J11" s="45"/>
      <c r="K11" s="9"/>
      <c r="L11" s="9"/>
      <c r="M11" s="9"/>
      <c r="N11" s="9"/>
      <c r="O11" s="9"/>
      <c r="P11" s="9"/>
      <c r="Q11" s="9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9.5" customHeight="1">
      <c r="A22" s="9"/>
      <c r="B22" s="4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9.5" customHeight="1">
      <c r="A23" s="9"/>
      <c r="B23" s="4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9.5" customHeight="1">
      <c r="A24" s="48" t="s">
        <v>160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9.5" customHeight="1">
      <c r="A25" s="9"/>
      <c r="B25" s="9"/>
      <c r="C25" s="4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9.5" customHeight="1">
      <c r="A26" s="9"/>
      <c r="B26" s="9"/>
      <c r="C26" s="4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9.5" customHeight="1">
      <c r="A27" s="9"/>
      <c r="B27" s="9"/>
      <c r="C27" s="4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9.5" customHeight="1">
      <c r="A28" s="9"/>
      <c r="B28" s="9"/>
      <c r="C28" s="4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9.5" customHeight="1">
      <c r="A29" s="9"/>
      <c r="B29" s="9"/>
      <c r="C29" s="4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4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1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4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4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4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48">
        <v>0.24801079386681524</v>
      </c>
      <c r="B35" s="9"/>
      <c r="C35" s="49"/>
      <c r="D35" s="49"/>
      <c r="E35" s="4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49"/>
      <c r="B36" s="9"/>
      <c r="C36" s="49"/>
      <c r="D36" s="49"/>
      <c r="E36" s="4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49"/>
      <c r="B37" s="9"/>
      <c r="C37" s="49"/>
      <c r="D37" s="49"/>
      <c r="E37" s="4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49"/>
      <c r="B38" s="9"/>
      <c r="C38" s="49"/>
      <c r="D38" s="49"/>
      <c r="E38" s="4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49"/>
      <c r="B39" s="9"/>
      <c r="C39" s="49"/>
      <c r="D39" s="49"/>
      <c r="E39" s="4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49"/>
      <c r="B40" s="9"/>
      <c r="C40" s="49"/>
      <c r="D40" s="49"/>
      <c r="E40" s="49"/>
      <c r="F40" s="9"/>
      <c r="G40" s="6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49"/>
      <c r="B41" s="9"/>
      <c r="C41" s="49"/>
      <c r="D41" s="49"/>
      <c r="E41" s="4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20.25">
      <c r="A42" s="49"/>
      <c r="B42" s="9"/>
      <c r="C42" s="49"/>
      <c r="D42" s="50"/>
      <c r="E42" s="51" t="s">
        <v>12</v>
      </c>
      <c r="F42" s="51" t="s">
        <v>13</v>
      </c>
      <c r="G42" s="51" t="s">
        <v>14</v>
      </c>
      <c r="H42" s="51" t="s">
        <v>15</v>
      </c>
      <c r="I42" s="51" t="s">
        <v>16</v>
      </c>
      <c r="J42" s="51" t="s">
        <v>17</v>
      </c>
      <c r="K42" s="51" t="s">
        <v>18</v>
      </c>
      <c r="L42" s="50" t="s">
        <v>159</v>
      </c>
      <c r="M42" s="52"/>
      <c r="N42" s="9"/>
      <c r="O42" s="9"/>
      <c r="P42" s="9"/>
      <c r="Q42" s="9"/>
    </row>
    <row r="43" spans="1:17" ht="20.25">
      <c r="A43" s="49"/>
      <c r="B43" s="48">
        <v>0.22014308865035648</v>
      </c>
      <c r="C43" s="9"/>
      <c r="D43" s="50" t="s">
        <v>166</v>
      </c>
      <c r="E43" s="53">
        <v>7.897</v>
      </c>
      <c r="F43" s="53">
        <v>15.921</v>
      </c>
      <c r="G43" s="53">
        <f>15.8+1.7</f>
        <v>17.5</v>
      </c>
      <c r="H43" s="53">
        <v>15.9</v>
      </c>
      <c r="I43" s="53">
        <v>15.9</v>
      </c>
      <c r="J43" s="53">
        <v>15.9</v>
      </c>
      <c r="K43" s="53">
        <v>3.383</v>
      </c>
      <c r="L43" s="53">
        <f>SUM(E43:K43)</f>
        <v>92.401</v>
      </c>
      <c r="M43" s="52"/>
      <c r="N43" s="9"/>
      <c r="O43" s="9"/>
      <c r="P43" s="9"/>
      <c r="Q43" s="9"/>
    </row>
    <row r="44" spans="1:17" ht="20.25">
      <c r="A44" s="9"/>
      <c r="B44" s="48"/>
      <c r="C44" s="9"/>
      <c r="D44" s="54" t="s">
        <v>158</v>
      </c>
      <c r="E44" s="55">
        <v>5.9419</v>
      </c>
      <c r="F44" s="55">
        <v>14.239349</v>
      </c>
      <c r="G44" s="55">
        <f>18.162</f>
        <v>18.162</v>
      </c>
      <c r="H44" s="55">
        <v>17.515</v>
      </c>
      <c r="I44" s="55">
        <v>13.409</v>
      </c>
      <c r="J44" s="55">
        <v>11.14</v>
      </c>
      <c r="K44" s="55">
        <v>2.331</v>
      </c>
      <c r="L44" s="55">
        <f>SUM(E44:K44)</f>
        <v>82.73824900000001</v>
      </c>
      <c r="M44" s="56"/>
      <c r="N44" s="9"/>
      <c r="O44" s="9"/>
      <c r="P44" s="9"/>
      <c r="Q44" s="9"/>
    </row>
    <row r="45" spans="1:17" ht="20.25">
      <c r="A45" s="9"/>
      <c r="B45" s="48">
        <v>0.05</v>
      </c>
      <c r="C45" s="9"/>
      <c r="D45" s="57" t="s">
        <v>65</v>
      </c>
      <c r="E45" s="58"/>
      <c r="F45" s="58"/>
      <c r="G45" s="58"/>
      <c r="H45" s="58">
        <v>1.295</v>
      </c>
      <c r="I45" s="58">
        <v>2.518</v>
      </c>
      <c r="J45" s="58">
        <v>4.75</v>
      </c>
      <c r="K45" s="58">
        <v>1.049</v>
      </c>
      <c r="L45" s="58">
        <f>SUM(E45:K45)</f>
        <v>9.611999999999998</v>
      </c>
      <c r="M45" s="56"/>
      <c r="N45" s="9"/>
      <c r="O45" s="9"/>
      <c r="P45" s="9"/>
      <c r="Q45" s="9"/>
    </row>
    <row r="46" spans="1:17" ht="20.25">
      <c r="A46" s="9"/>
      <c r="B46" s="48">
        <v>0.1</v>
      </c>
      <c r="C46" s="9"/>
      <c r="D46" s="50" t="s">
        <v>9</v>
      </c>
      <c r="E46" s="59">
        <f>SUM(E44:E45)</f>
        <v>5.9419</v>
      </c>
      <c r="F46" s="59">
        <f aca="true" t="shared" si="1" ref="F46:K46">SUM(F44:F45)</f>
        <v>14.239349</v>
      </c>
      <c r="G46" s="59">
        <f t="shared" si="1"/>
        <v>18.162</v>
      </c>
      <c r="H46" s="59">
        <f t="shared" si="1"/>
        <v>18.810000000000002</v>
      </c>
      <c r="I46" s="59">
        <f t="shared" si="1"/>
        <v>15.927</v>
      </c>
      <c r="J46" s="59">
        <f t="shared" si="1"/>
        <v>15.89</v>
      </c>
      <c r="K46" s="59">
        <f t="shared" si="1"/>
        <v>3.38</v>
      </c>
      <c r="L46" s="59">
        <f>SUM(L44:L45)</f>
        <v>92.350249</v>
      </c>
      <c r="M46" s="60"/>
      <c r="N46" s="9"/>
      <c r="O46" s="9"/>
      <c r="P46" s="9"/>
      <c r="Q46" s="9"/>
    </row>
    <row r="47" spans="1:17" ht="18.75">
      <c r="A47" s="9"/>
      <c r="B47" s="48">
        <v>0.334858046224092</v>
      </c>
      <c r="C47" s="9"/>
      <c r="D47" s="9"/>
      <c r="E47" s="9"/>
      <c r="F47" s="9"/>
      <c r="G47" s="9"/>
      <c r="H47" s="9"/>
      <c r="I47" s="9"/>
      <c r="J47" s="9"/>
      <c r="K47" s="9"/>
      <c r="L47" s="70"/>
      <c r="M47" s="61"/>
      <c r="N47" s="9"/>
      <c r="O47" s="9"/>
      <c r="P47" s="9"/>
      <c r="Q47" s="9"/>
    </row>
    <row r="48" spans="1:17" ht="20.25">
      <c r="A48" s="9"/>
      <c r="B48" s="48">
        <v>0.19578569925803052</v>
      </c>
      <c r="C48" s="9"/>
      <c r="D48" s="62" t="s">
        <v>167</v>
      </c>
      <c r="E48" s="63">
        <f>+E43</f>
        <v>7.897</v>
      </c>
      <c r="F48" s="63">
        <f aca="true" t="shared" si="2" ref="F48:K49">+E48+F43</f>
        <v>23.817999999999998</v>
      </c>
      <c r="G48" s="63">
        <f t="shared" si="2"/>
        <v>41.318</v>
      </c>
      <c r="H48" s="63">
        <f t="shared" si="2"/>
        <v>57.217999999999996</v>
      </c>
      <c r="I48" s="63">
        <f t="shared" si="2"/>
        <v>73.118</v>
      </c>
      <c r="J48" s="63">
        <f t="shared" si="2"/>
        <v>89.018</v>
      </c>
      <c r="K48" s="63">
        <f t="shared" si="2"/>
        <v>92.401</v>
      </c>
      <c r="L48" s="9"/>
      <c r="M48" s="52"/>
      <c r="N48" s="9"/>
      <c r="O48" s="9"/>
      <c r="P48" s="9"/>
      <c r="Q48" s="9"/>
    </row>
    <row r="49" spans="1:17" ht="20.25">
      <c r="A49" s="9"/>
      <c r="B49" s="48">
        <v>0.11239991731944626</v>
      </c>
      <c r="C49" s="9"/>
      <c r="D49" s="64" t="s">
        <v>10</v>
      </c>
      <c r="E49" s="65">
        <f>+E44</f>
        <v>5.9419</v>
      </c>
      <c r="F49" s="66">
        <f t="shared" si="2"/>
        <v>20.181249</v>
      </c>
      <c r="G49" s="66">
        <f t="shared" si="2"/>
        <v>38.343249</v>
      </c>
      <c r="H49" s="66">
        <f t="shared" si="2"/>
        <v>55.858249</v>
      </c>
      <c r="I49" s="66">
        <f t="shared" si="2"/>
        <v>69.267249</v>
      </c>
      <c r="J49" s="66">
        <f t="shared" si="2"/>
        <v>80.40724900000001</v>
      </c>
      <c r="K49" s="66">
        <f t="shared" si="2"/>
        <v>82.73824900000001</v>
      </c>
      <c r="L49" s="9"/>
      <c r="M49" s="9"/>
      <c r="N49" s="9"/>
      <c r="O49" s="9"/>
      <c r="P49" s="9"/>
      <c r="Q49" s="9"/>
    </row>
    <row r="50" spans="1:17" ht="12.75">
      <c r="A50" s="9"/>
      <c r="B50" s="48">
        <v>0.2201430886503562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0.25">
      <c r="A51" s="9"/>
      <c r="B51" s="9"/>
      <c r="C51" s="9"/>
      <c r="D51" s="67" t="s">
        <v>168</v>
      </c>
      <c r="E51" s="68">
        <f>+E46</f>
        <v>5.9419</v>
      </c>
      <c r="F51" s="68">
        <f aca="true" t="shared" si="3" ref="F51:K51">+E51+F46</f>
        <v>20.181249</v>
      </c>
      <c r="G51" s="68">
        <f t="shared" si="3"/>
        <v>38.343249</v>
      </c>
      <c r="H51" s="68">
        <f t="shared" si="3"/>
        <v>57.153249</v>
      </c>
      <c r="I51" s="68">
        <f t="shared" si="3"/>
        <v>73.08024900000001</v>
      </c>
      <c r="J51" s="68">
        <f t="shared" si="3"/>
        <v>88.97024900000001</v>
      </c>
      <c r="K51" s="68">
        <f t="shared" si="3"/>
        <v>92.350249</v>
      </c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 t="s">
        <v>0</v>
      </c>
      <c r="E53" s="9"/>
      <c r="F53" s="9"/>
      <c r="G53" s="9">
        <v>-0.415</v>
      </c>
      <c r="H53" s="9">
        <v>-1.047</v>
      </c>
      <c r="I53" s="9">
        <v>-0.7120000000000001</v>
      </c>
      <c r="J53" s="9">
        <v>0.151</v>
      </c>
      <c r="K53" s="9">
        <v>0.121</v>
      </c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 t="s">
        <v>1</v>
      </c>
      <c r="E54" s="9"/>
      <c r="F54" s="9">
        <f aca="true" t="shared" si="4" ref="F54:K54">-F53</f>
        <v>0</v>
      </c>
      <c r="G54" s="9">
        <f t="shared" si="4"/>
        <v>0.415</v>
      </c>
      <c r="H54" s="9">
        <f t="shared" si="4"/>
        <v>1.047</v>
      </c>
      <c r="I54" s="9">
        <f t="shared" si="4"/>
        <v>0.7120000000000001</v>
      </c>
      <c r="J54" s="9">
        <f t="shared" si="4"/>
        <v>-0.151</v>
      </c>
      <c r="K54" s="9">
        <f t="shared" si="4"/>
        <v>-0.121</v>
      </c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 t="s">
        <v>2</v>
      </c>
      <c r="F58" s="9">
        <f>SUM(G58:L58)</f>
        <v>-0.24</v>
      </c>
      <c r="G58" s="9">
        <v>-0.12</v>
      </c>
      <c r="H58" s="9">
        <v>-0.12</v>
      </c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 t="s">
        <v>3</v>
      </c>
      <c r="F59" s="9">
        <f aca="true" t="shared" si="5" ref="F59:F64">SUM(G59:L59)</f>
        <v>-0.6000000000000001</v>
      </c>
      <c r="G59" s="9">
        <v>-0.2</v>
      </c>
      <c r="H59" s="9">
        <v>-0.2</v>
      </c>
      <c r="I59" s="9">
        <v>-0.2</v>
      </c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 t="s">
        <v>4</v>
      </c>
      <c r="F60" s="9">
        <f t="shared" si="5"/>
        <v>-0.64</v>
      </c>
      <c r="G60" s="9"/>
      <c r="H60" s="9">
        <v>-0.32</v>
      </c>
      <c r="I60" s="9">
        <v>-0.32</v>
      </c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 t="s">
        <v>5</v>
      </c>
      <c r="F61" s="9">
        <f t="shared" si="5"/>
        <v>-0.095</v>
      </c>
      <c r="G61" s="9">
        <v>-0.095</v>
      </c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 t="s">
        <v>5</v>
      </c>
      <c r="F62" s="9">
        <f t="shared" si="5"/>
        <v>-0.097</v>
      </c>
      <c r="G62" s="9"/>
      <c r="H62" s="9">
        <v>-0.097</v>
      </c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 t="s">
        <v>6</v>
      </c>
      <c r="F63" s="9">
        <f t="shared" si="5"/>
        <v>-0.3</v>
      </c>
      <c r="G63" s="9"/>
      <c r="H63" s="9">
        <v>-0.15</v>
      </c>
      <c r="I63" s="9">
        <v>-0.15</v>
      </c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 t="s">
        <v>7</v>
      </c>
      <c r="F64" s="9">
        <f t="shared" si="5"/>
        <v>-0.32</v>
      </c>
      <c r="G64" s="9"/>
      <c r="H64" s="9">
        <v>-0.16</v>
      </c>
      <c r="I64" s="9">
        <v>-0.16</v>
      </c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 t="s">
        <v>8</v>
      </c>
      <c r="F65" s="9">
        <f>SUM(G65:L66)</f>
        <v>0.48</v>
      </c>
      <c r="G65" s="9"/>
      <c r="H65" s="9"/>
      <c r="I65" s="9">
        <v>0.118</v>
      </c>
      <c r="J65" s="9">
        <v>0.151</v>
      </c>
      <c r="K65" s="9">
        <v>0.121</v>
      </c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>
        <v>0.09</v>
      </c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E1">
      <selection activeCell="Q6" sqref="Q6"/>
    </sheetView>
  </sheetViews>
  <sheetFormatPr defaultColWidth="9.140625" defaultRowHeight="12.75"/>
  <cols>
    <col min="2" max="2" width="7.7109375" style="0" bestFit="1" customWidth="1"/>
    <col min="3" max="4" width="7.7109375" style="0" customWidth="1"/>
    <col min="5" max="5" width="10.421875" style="0" bestFit="1" customWidth="1"/>
    <col min="6" max="6" width="44.7109375" style="0" bestFit="1" customWidth="1"/>
    <col min="7" max="15" width="10.421875" style="1" customWidth="1"/>
    <col min="16" max="16" width="10.421875" style="0" bestFit="1" customWidth="1"/>
    <col min="17" max="17" width="10.28125" style="0" bestFit="1" customWidth="1"/>
  </cols>
  <sheetData>
    <row r="1" spans="2:16" ht="12.75">
      <c r="B1" t="s">
        <v>19</v>
      </c>
      <c r="E1" t="s">
        <v>20</v>
      </c>
      <c r="F1" t="s">
        <v>21</v>
      </c>
      <c r="G1" s="1" t="s">
        <v>68</v>
      </c>
      <c r="H1" s="1" t="s">
        <v>69</v>
      </c>
      <c r="I1" s="1" t="s">
        <v>70</v>
      </c>
      <c r="J1" s="23" t="s">
        <v>93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t="s">
        <v>20</v>
      </c>
    </row>
    <row r="2" spans="2:18" ht="12.75">
      <c r="B2" s="6">
        <f aca="true" t="shared" si="0" ref="B2:B17">SUM(G2:I2)</f>
        <v>0.1</v>
      </c>
      <c r="C2" s="6"/>
      <c r="D2" s="6">
        <f>SUM(K2:N2)</f>
        <v>0</v>
      </c>
      <c r="E2">
        <v>11</v>
      </c>
      <c r="F2" t="s">
        <v>22</v>
      </c>
      <c r="G2" s="1">
        <v>0.1</v>
      </c>
      <c r="O2" s="1">
        <f>SUM(G2:N2)</f>
        <v>0.1</v>
      </c>
      <c r="P2">
        <v>11</v>
      </c>
      <c r="R2" s="6"/>
    </row>
    <row r="3" spans="2:16" ht="12.75">
      <c r="B3" s="6">
        <f t="shared" si="0"/>
        <v>6252</v>
      </c>
      <c r="C3" s="6"/>
      <c r="D3" s="6">
        <f aca="true" t="shared" si="1" ref="D3:D43">SUM(K3:N3)</f>
        <v>3254.7000000000003</v>
      </c>
      <c r="E3">
        <v>12</v>
      </c>
      <c r="F3" t="s">
        <v>23</v>
      </c>
      <c r="G3" s="1">
        <v>1217.4</v>
      </c>
      <c r="H3" s="1">
        <v>1663.3</v>
      </c>
      <c r="I3" s="1">
        <f>3371.3</f>
        <v>3371.3</v>
      </c>
      <c r="J3" s="1">
        <v>-68</v>
      </c>
      <c r="K3" s="1">
        <f>2970.4</f>
        <v>2970.4</v>
      </c>
      <c r="L3" s="1">
        <v>194.9</v>
      </c>
      <c r="M3" s="1">
        <v>89.4</v>
      </c>
      <c r="O3" s="1">
        <f aca="true" t="shared" si="2" ref="O3:O43">SUM(G3:N3)</f>
        <v>9438.699999999999</v>
      </c>
      <c r="P3">
        <v>12</v>
      </c>
    </row>
    <row r="4" spans="2:16" ht="12.75">
      <c r="B4" s="6">
        <f t="shared" si="0"/>
        <v>1265.8999999999999</v>
      </c>
      <c r="C4" s="6"/>
      <c r="D4" s="6">
        <f t="shared" si="1"/>
        <v>3316.3</v>
      </c>
      <c r="E4">
        <v>13</v>
      </c>
      <c r="F4" t="s">
        <v>24</v>
      </c>
      <c r="G4" s="1">
        <v>91.7</v>
      </c>
      <c r="H4" s="1">
        <v>333.9</v>
      </c>
      <c r="I4" s="1">
        <v>840.3</v>
      </c>
      <c r="J4" s="1">
        <v>245</v>
      </c>
      <c r="K4" s="1">
        <v>1277.9</v>
      </c>
      <c r="L4" s="1">
        <v>917.1</v>
      </c>
      <c r="M4" s="1">
        <v>1121.3</v>
      </c>
      <c r="O4" s="1">
        <f t="shared" si="2"/>
        <v>4827.2</v>
      </c>
      <c r="P4">
        <v>13</v>
      </c>
    </row>
    <row r="5" spans="2:16" ht="12.75">
      <c r="B5" s="6">
        <f t="shared" si="0"/>
        <v>17722.9</v>
      </c>
      <c r="C5" s="6"/>
      <c r="D5" s="6">
        <f t="shared" si="1"/>
        <v>12584.500000000002</v>
      </c>
      <c r="E5">
        <v>14</v>
      </c>
      <c r="F5" t="s">
        <v>25</v>
      </c>
      <c r="G5" s="1">
        <v>2424.8</v>
      </c>
      <c r="H5" s="1">
        <v>7314.1</v>
      </c>
      <c r="I5" s="1">
        <f>7958+26</f>
        <v>7984</v>
      </c>
      <c r="J5" s="1">
        <v>1043.5</v>
      </c>
      <c r="K5" s="1">
        <f>8577.7-26</f>
        <v>8551.7</v>
      </c>
      <c r="L5" s="1">
        <v>3945.6</v>
      </c>
      <c r="M5" s="1">
        <v>87.2</v>
      </c>
      <c r="O5" s="1">
        <f t="shared" si="2"/>
        <v>31350.9</v>
      </c>
      <c r="P5">
        <v>14</v>
      </c>
    </row>
    <row r="6" spans="2:17" ht="12.75">
      <c r="B6" s="6">
        <f t="shared" si="0"/>
        <v>78.9</v>
      </c>
      <c r="C6" s="6"/>
      <c r="D6" s="6">
        <f t="shared" si="1"/>
        <v>1308.3</v>
      </c>
      <c r="E6">
        <v>15</v>
      </c>
      <c r="F6" t="s">
        <v>26</v>
      </c>
      <c r="H6" s="1">
        <v>34.6</v>
      </c>
      <c r="I6" s="1">
        <v>44.3</v>
      </c>
      <c r="J6" s="1">
        <v>-1</v>
      </c>
      <c r="K6" s="1">
        <v>130.6</v>
      </c>
      <c r="L6" s="1">
        <v>1173</v>
      </c>
      <c r="M6" s="1">
        <v>4.7</v>
      </c>
      <c r="O6" s="1">
        <f t="shared" si="2"/>
        <v>1386.2</v>
      </c>
      <c r="P6">
        <v>15</v>
      </c>
      <c r="Q6" s="6">
        <f>SUM(K9:N9)</f>
        <v>3945.4</v>
      </c>
    </row>
    <row r="7" spans="2:16" ht="12.75">
      <c r="B7" s="6">
        <f t="shared" si="0"/>
        <v>0</v>
      </c>
      <c r="C7" s="6"/>
      <c r="D7" s="6">
        <f t="shared" si="1"/>
        <v>1135</v>
      </c>
      <c r="E7">
        <v>16</v>
      </c>
      <c r="F7" t="s">
        <v>27</v>
      </c>
      <c r="J7" s="1">
        <v>0</v>
      </c>
      <c r="L7" s="1">
        <v>660</v>
      </c>
      <c r="M7" s="1">
        <v>475</v>
      </c>
      <c r="O7" s="1">
        <f t="shared" si="2"/>
        <v>1135</v>
      </c>
      <c r="P7">
        <v>16</v>
      </c>
    </row>
    <row r="8" spans="2:16" ht="12.75">
      <c r="B8" s="6">
        <f t="shared" si="0"/>
        <v>193.2</v>
      </c>
      <c r="C8" s="6"/>
      <c r="D8" s="6">
        <f t="shared" si="1"/>
        <v>1161.9</v>
      </c>
      <c r="E8">
        <v>17</v>
      </c>
      <c r="F8" t="s">
        <v>28</v>
      </c>
      <c r="G8" s="1">
        <v>12.2</v>
      </c>
      <c r="H8" s="1">
        <v>80.9</v>
      </c>
      <c r="I8" s="1">
        <v>100.1</v>
      </c>
      <c r="J8" s="1">
        <v>178</v>
      </c>
      <c r="K8" s="1">
        <v>5.5</v>
      </c>
      <c r="L8" s="1">
        <v>618.1</v>
      </c>
      <c r="M8" s="1">
        <v>531.2</v>
      </c>
      <c r="N8" s="1">
        <v>7.1</v>
      </c>
      <c r="O8" s="1">
        <f t="shared" si="2"/>
        <v>1533.1</v>
      </c>
      <c r="P8">
        <v>17</v>
      </c>
    </row>
    <row r="9" spans="2:16" ht="12.75">
      <c r="B9" s="6">
        <f t="shared" si="0"/>
        <v>1356.9</v>
      </c>
      <c r="C9" s="6"/>
      <c r="D9" s="6">
        <f t="shared" si="1"/>
        <v>3945.4</v>
      </c>
      <c r="E9">
        <v>18</v>
      </c>
      <c r="F9" t="s">
        <v>29</v>
      </c>
      <c r="G9" s="1">
        <v>60.8</v>
      </c>
      <c r="H9" s="1">
        <v>362.5</v>
      </c>
      <c r="I9" s="1">
        <v>933.6</v>
      </c>
      <c r="J9" s="1">
        <v>-22</v>
      </c>
      <c r="K9" s="1">
        <v>1175.9</v>
      </c>
      <c r="L9" s="1">
        <v>1704.4</v>
      </c>
      <c r="M9" s="1">
        <v>1053.5</v>
      </c>
      <c r="N9" s="1">
        <v>11.6</v>
      </c>
      <c r="O9" s="1">
        <f t="shared" si="2"/>
        <v>5280.300000000001</v>
      </c>
      <c r="P9">
        <v>18</v>
      </c>
    </row>
    <row r="10" spans="1:17" ht="12.75">
      <c r="A10" s="6">
        <f>SUM(B2:B10)</f>
        <v>28345.600000000006</v>
      </c>
      <c r="B10" s="6">
        <f t="shared" si="0"/>
        <v>1475.7</v>
      </c>
      <c r="C10" s="6"/>
      <c r="D10" s="6">
        <f t="shared" si="1"/>
        <v>1282.5000000000002</v>
      </c>
      <c r="E10">
        <v>19</v>
      </c>
      <c r="F10" t="s">
        <v>30</v>
      </c>
      <c r="G10" s="1">
        <v>254.2</v>
      </c>
      <c r="H10" s="1">
        <v>640.7</v>
      </c>
      <c r="I10" s="1">
        <v>580.8</v>
      </c>
      <c r="J10" s="1">
        <v>9</v>
      </c>
      <c r="K10" s="1">
        <v>515.7</v>
      </c>
      <c r="L10" s="1">
        <v>361.6</v>
      </c>
      <c r="M10" s="1">
        <v>251.5</v>
      </c>
      <c r="N10" s="1">
        <v>153.7</v>
      </c>
      <c r="O10" s="1">
        <f t="shared" si="2"/>
        <v>2767.2</v>
      </c>
      <c r="P10">
        <v>19</v>
      </c>
      <c r="Q10" s="6">
        <f>SUM(O2:O10)</f>
        <v>57718.7</v>
      </c>
    </row>
    <row r="11" spans="2:17" ht="12.75">
      <c r="B11" s="6">
        <f t="shared" si="0"/>
        <v>0</v>
      </c>
      <c r="C11" s="6"/>
      <c r="D11" s="6">
        <f t="shared" si="1"/>
        <v>88.1</v>
      </c>
      <c r="E11">
        <v>21</v>
      </c>
      <c r="F11" t="s">
        <v>31</v>
      </c>
      <c r="L11" s="1">
        <v>52.7</v>
      </c>
      <c r="M11" s="1">
        <v>35.4</v>
      </c>
      <c r="O11" s="1">
        <f t="shared" si="2"/>
        <v>88.1</v>
      </c>
      <c r="P11">
        <v>21</v>
      </c>
      <c r="Q11" s="6">
        <f>SUM(O11:O13)</f>
        <v>791.4</v>
      </c>
    </row>
    <row r="12" spans="2:16" ht="12.75">
      <c r="B12" s="6">
        <f t="shared" si="0"/>
        <v>63.7</v>
      </c>
      <c r="C12" s="6">
        <f>SUM(D11:D12)</f>
        <v>443.29999999999995</v>
      </c>
      <c r="D12" s="6">
        <f t="shared" si="1"/>
        <v>355.2</v>
      </c>
      <c r="E12">
        <v>22</v>
      </c>
      <c r="F12" t="s">
        <v>32</v>
      </c>
      <c r="G12" s="1">
        <v>63.7</v>
      </c>
      <c r="L12" s="1">
        <v>125.5</v>
      </c>
      <c r="M12" s="1">
        <v>229.7</v>
      </c>
      <c r="O12" s="1">
        <f t="shared" si="2"/>
        <v>418.9</v>
      </c>
      <c r="P12">
        <v>22</v>
      </c>
    </row>
    <row r="13" spans="2:16" ht="12.75">
      <c r="B13" s="6">
        <f t="shared" si="0"/>
        <v>284.4</v>
      </c>
      <c r="C13" s="6"/>
      <c r="D13" s="6">
        <f t="shared" si="1"/>
        <v>0</v>
      </c>
      <c r="E13">
        <v>25</v>
      </c>
      <c r="F13" t="s">
        <v>33</v>
      </c>
      <c r="G13" s="1">
        <v>123</v>
      </c>
      <c r="H13" s="1">
        <v>161.4</v>
      </c>
      <c r="O13" s="1">
        <f t="shared" si="2"/>
        <v>284.4</v>
      </c>
      <c r="P13">
        <v>25</v>
      </c>
    </row>
    <row r="14" spans="2:17" ht="12.75">
      <c r="B14" s="6">
        <f t="shared" si="0"/>
        <v>100.2</v>
      </c>
      <c r="C14" s="6">
        <f>SUM(D14:D17)</f>
        <v>744.2</v>
      </c>
      <c r="D14" s="6">
        <f t="shared" si="1"/>
        <v>421.9</v>
      </c>
      <c r="E14">
        <v>31</v>
      </c>
      <c r="F14" t="s">
        <v>34</v>
      </c>
      <c r="I14" s="1">
        <v>100.2</v>
      </c>
      <c r="J14" s="1">
        <v>30</v>
      </c>
      <c r="K14" s="1">
        <v>314.2</v>
      </c>
      <c r="L14" s="1">
        <v>92.5</v>
      </c>
      <c r="M14" s="1">
        <v>15.2</v>
      </c>
      <c r="O14" s="1">
        <f t="shared" si="2"/>
        <v>552.1</v>
      </c>
      <c r="P14">
        <v>31</v>
      </c>
      <c r="Q14" s="6">
        <f>SUM(O14:O17)</f>
        <v>1149.3000000000002</v>
      </c>
    </row>
    <row r="15" spans="2:16" ht="12.75">
      <c r="B15" s="6">
        <f t="shared" si="0"/>
        <v>0</v>
      </c>
      <c r="C15" s="6"/>
      <c r="D15" s="6">
        <f t="shared" si="1"/>
        <v>45.6</v>
      </c>
      <c r="E15">
        <v>36</v>
      </c>
      <c r="F15" t="s">
        <v>35</v>
      </c>
      <c r="L15" s="1">
        <v>5.7</v>
      </c>
      <c r="M15" s="1">
        <v>39.9</v>
      </c>
      <c r="O15" s="1">
        <f t="shared" si="2"/>
        <v>45.6</v>
      </c>
      <c r="P15">
        <v>36</v>
      </c>
    </row>
    <row r="16" spans="2:16" ht="12.75">
      <c r="B16" s="6">
        <f t="shared" si="0"/>
        <v>0</v>
      </c>
      <c r="C16" s="6"/>
      <c r="D16" s="6">
        <f t="shared" si="1"/>
        <v>206.2</v>
      </c>
      <c r="E16">
        <v>38</v>
      </c>
      <c r="F16" t="s">
        <v>36</v>
      </c>
      <c r="M16" s="1">
        <v>206.2</v>
      </c>
      <c r="O16" s="1">
        <f t="shared" si="2"/>
        <v>206.2</v>
      </c>
      <c r="P16">
        <v>38</v>
      </c>
    </row>
    <row r="17" spans="2:16" ht="12.75">
      <c r="B17" s="6">
        <f t="shared" si="0"/>
        <v>286.9</v>
      </c>
      <c r="C17" s="6"/>
      <c r="D17" s="6">
        <f t="shared" si="1"/>
        <v>70.5</v>
      </c>
      <c r="E17">
        <v>39</v>
      </c>
      <c r="F17" t="s">
        <v>37</v>
      </c>
      <c r="G17" s="1">
        <v>155.5</v>
      </c>
      <c r="H17" s="1">
        <v>65</v>
      </c>
      <c r="I17" s="1">
        <v>66.4</v>
      </c>
      <c r="J17" s="1">
        <v>-12</v>
      </c>
      <c r="K17" s="1">
        <v>70.5</v>
      </c>
      <c r="O17" s="1">
        <f t="shared" si="2"/>
        <v>345.4</v>
      </c>
      <c r="P17">
        <v>39</v>
      </c>
    </row>
    <row r="18" spans="2:17" ht="12.75">
      <c r="B18" s="6">
        <f aca="true" t="shared" si="3" ref="B18:B41">SUM(G18:I18)</f>
        <v>104.5</v>
      </c>
      <c r="C18" s="6">
        <f>SUM(D18:D22)</f>
        <v>2779.2</v>
      </c>
      <c r="D18" s="6">
        <f t="shared" si="1"/>
        <v>317.40000000000003</v>
      </c>
      <c r="E18">
        <v>41</v>
      </c>
      <c r="F18" t="s">
        <v>38</v>
      </c>
      <c r="H18" s="1">
        <v>85.8</v>
      </c>
      <c r="I18" s="1">
        <v>18.7</v>
      </c>
      <c r="J18" s="1">
        <v>2</v>
      </c>
      <c r="K18" s="1">
        <v>0.1</v>
      </c>
      <c r="L18" s="1">
        <v>288</v>
      </c>
      <c r="M18" s="1">
        <v>29.3</v>
      </c>
      <c r="O18" s="1">
        <f t="shared" si="2"/>
        <v>423.90000000000003</v>
      </c>
      <c r="P18">
        <v>41</v>
      </c>
      <c r="Q18" s="6">
        <f>SUM(O18:O22)</f>
        <v>3305.1000000000004</v>
      </c>
    </row>
    <row r="19" spans="2:16" ht="12.75">
      <c r="B19" s="6">
        <f t="shared" si="3"/>
        <v>156.9</v>
      </c>
      <c r="C19" s="6"/>
      <c r="D19" s="6">
        <f t="shared" si="1"/>
        <v>252.9</v>
      </c>
      <c r="E19">
        <v>43</v>
      </c>
      <c r="F19" t="s">
        <v>39</v>
      </c>
      <c r="I19" s="1">
        <v>156.9</v>
      </c>
      <c r="J19" s="1">
        <v>69</v>
      </c>
      <c r="K19" s="1">
        <v>38.4</v>
      </c>
      <c r="L19" s="1">
        <v>214.5</v>
      </c>
      <c r="O19" s="1">
        <f t="shared" si="2"/>
        <v>478.8</v>
      </c>
      <c r="P19">
        <v>43</v>
      </c>
    </row>
    <row r="20" spans="2:16" ht="12.75">
      <c r="B20" s="6">
        <f t="shared" si="3"/>
        <v>5.5</v>
      </c>
      <c r="C20" s="6"/>
      <c r="D20" s="6">
        <f t="shared" si="1"/>
        <v>1291.6</v>
      </c>
      <c r="E20">
        <v>44</v>
      </c>
      <c r="F20" t="s">
        <v>40</v>
      </c>
      <c r="H20" s="1">
        <v>1.1</v>
      </c>
      <c r="I20" s="1">
        <v>4.4</v>
      </c>
      <c r="J20" s="1">
        <v>49</v>
      </c>
      <c r="L20" s="1">
        <v>842.5</v>
      </c>
      <c r="M20" s="1">
        <v>431.3</v>
      </c>
      <c r="N20" s="1">
        <v>17.8</v>
      </c>
      <c r="O20" s="1">
        <f t="shared" si="2"/>
        <v>1346.1</v>
      </c>
      <c r="P20">
        <v>44</v>
      </c>
    </row>
    <row r="21" spans="2:16" ht="12.75">
      <c r="B21" s="6">
        <f t="shared" si="3"/>
        <v>189.7</v>
      </c>
      <c r="C21" s="6"/>
      <c r="D21" s="6">
        <f t="shared" si="1"/>
        <v>917.3</v>
      </c>
      <c r="E21">
        <v>45</v>
      </c>
      <c r="F21" t="s">
        <v>41</v>
      </c>
      <c r="G21" s="1">
        <v>112.3</v>
      </c>
      <c r="H21" s="1">
        <v>29.9</v>
      </c>
      <c r="I21" s="1">
        <v>47.5</v>
      </c>
      <c r="J21" s="1">
        <v>-52</v>
      </c>
      <c r="K21" s="1">
        <v>129.2</v>
      </c>
      <c r="L21" s="1">
        <v>350.4</v>
      </c>
      <c r="M21" s="1">
        <v>437.7</v>
      </c>
      <c r="O21" s="1">
        <f t="shared" si="2"/>
        <v>1055</v>
      </c>
      <c r="P21">
        <v>45</v>
      </c>
    </row>
    <row r="22" spans="2:16" ht="12.75">
      <c r="B22" s="6">
        <f t="shared" si="3"/>
        <v>1.3</v>
      </c>
      <c r="C22" s="6"/>
      <c r="D22" s="6">
        <f t="shared" si="1"/>
        <v>0</v>
      </c>
      <c r="E22">
        <v>46</v>
      </c>
      <c r="F22" t="s">
        <v>42</v>
      </c>
      <c r="G22" s="1">
        <v>1.3</v>
      </c>
      <c r="O22" s="1">
        <f t="shared" si="2"/>
        <v>1.3</v>
      </c>
      <c r="P22">
        <v>46</v>
      </c>
    </row>
    <row r="23" spans="2:17" ht="12.75">
      <c r="B23" s="6">
        <f t="shared" si="3"/>
        <v>27.9</v>
      </c>
      <c r="C23" s="6">
        <f>SUM(D23:D29)</f>
        <v>1840.1999999999998</v>
      </c>
      <c r="D23" s="6">
        <f t="shared" si="1"/>
        <v>280.4</v>
      </c>
      <c r="E23">
        <v>51</v>
      </c>
      <c r="F23" t="s">
        <v>43</v>
      </c>
      <c r="G23" s="1">
        <v>11.9</v>
      </c>
      <c r="H23" s="1">
        <v>16</v>
      </c>
      <c r="M23" s="1">
        <v>280.4</v>
      </c>
      <c r="O23" s="1">
        <f t="shared" si="2"/>
        <v>308.29999999999995</v>
      </c>
      <c r="P23">
        <v>51</v>
      </c>
      <c r="Q23" s="6">
        <f>SUM(O23:O29)</f>
        <v>1873.6</v>
      </c>
    </row>
    <row r="24" spans="2:16" ht="12.75">
      <c r="B24" s="6">
        <f t="shared" si="3"/>
        <v>0</v>
      </c>
      <c r="C24" s="6"/>
      <c r="D24" s="6">
        <f t="shared" si="1"/>
        <v>530.1</v>
      </c>
      <c r="E24">
        <v>52</v>
      </c>
      <c r="F24" t="s">
        <v>44</v>
      </c>
      <c r="L24" s="1">
        <v>9.4</v>
      </c>
      <c r="M24" s="1">
        <v>429.1</v>
      </c>
      <c r="N24" s="1">
        <v>91.6</v>
      </c>
      <c r="O24" s="1">
        <f t="shared" si="2"/>
        <v>530.1</v>
      </c>
      <c r="P24">
        <v>52</v>
      </c>
    </row>
    <row r="25" spans="2:16" ht="12.75">
      <c r="B25" s="6">
        <f t="shared" si="3"/>
        <v>0</v>
      </c>
      <c r="C25" s="6"/>
      <c r="D25" s="6">
        <f t="shared" si="1"/>
        <v>329.1</v>
      </c>
      <c r="E25">
        <v>53</v>
      </c>
      <c r="F25" t="s">
        <v>45</v>
      </c>
      <c r="L25" s="1">
        <v>11.1</v>
      </c>
      <c r="M25" s="1">
        <v>299.1</v>
      </c>
      <c r="N25" s="1">
        <v>18.9</v>
      </c>
      <c r="O25" s="1">
        <f t="shared" si="2"/>
        <v>329.1</v>
      </c>
      <c r="P25">
        <v>53</v>
      </c>
    </row>
    <row r="26" spans="2:16" ht="12.75">
      <c r="B26" s="6">
        <f t="shared" si="3"/>
        <v>0</v>
      </c>
      <c r="C26" s="6"/>
      <c r="D26" s="6">
        <f t="shared" si="1"/>
        <v>195.8</v>
      </c>
      <c r="E26">
        <v>54</v>
      </c>
      <c r="F26" t="s">
        <v>46</v>
      </c>
      <c r="M26" s="1">
        <v>195.8</v>
      </c>
      <c r="O26" s="1">
        <f t="shared" si="2"/>
        <v>195.8</v>
      </c>
      <c r="P26">
        <v>54</v>
      </c>
    </row>
    <row r="27" spans="2:16" ht="12.75">
      <c r="B27" s="6">
        <f t="shared" si="3"/>
        <v>0</v>
      </c>
      <c r="C27" s="6"/>
      <c r="D27" s="6">
        <f t="shared" si="1"/>
        <v>179.3</v>
      </c>
      <c r="E27">
        <v>55</v>
      </c>
      <c r="F27" t="s">
        <v>47</v>
      </c>
      <c r="M27" s="1">
        <v>179.3</v>
      </c>
      <c r="O27" s="1">
        <f t="shared" si="2"/>
        <v>179.3</v>
      </c>
      <c r="P27">
        <v>55</v>
      </c>
    </row>
    <row r="28" spans="2:16" ht="12.75">
      <c r="B28" s="6">
        <f t="shared" si="3"/>
        <v>0</v>
      </c>
      <c r="C28" s="6"/>
      <c r="D28" s="6">
        <f t="shared" si="1"/>
        <v>325.5</v>
      </c>
      <c r="E28">
        <v>56</v>
      </c>
      <c r="F28" t="s">
        <v>48</v>
      </c>
      <c r="M28" s="1">
        <v>325.5</v>
      </c>
      <c r="O28" s="1">
        <f t="shared" si="2"/>
        <v>325.5</v>
      </c>
      <c r="P28">
        <v>56</v>
      </c>
    </row>
    <row r="29" spans="2:16" ht="12.75">
      <c r="B29" s="6">
        <f t="shared" si="3"/>
        <v>12.5</v>
      </c>
      <c r="C29" s="6"/>
      <c r="D29" s="6">
        <f t="shared" si="1"/>
        <v>0</v>
      </c>
      <c r="E29">
        <v>58</v>
      </c>
      <c r="F29" t="s">
        <v>49</v>
      </c>
      <c r="I29" s="1">
        <v>12.5</v>
      </c>
      <c r="J29" s="1">
        <v>-7</v>
      </c>
      <c r="O29" s="1">
        <f t="shared" si="2"/>
        <v>5.5</v>
      </c>
      <c r="P29">
        <v>58</v>
      </c>
    </row>
    <row r="30" spans="2:17" ht="12.75">
      <c r="B30" s="6">
        <f t="shared" si="3"/>
        <v>0</v>
      </c>
      <c r="C30" s="6">
        <f>SUM(D30:D33)</f>
        <v>654.1999999999999</v>
      </c>
      <c r="D30" s="6">
        <f t="shared" si="1"/>
        <v>92.3</v>
      </c>
      <c r="E30">
        <v>61</v>
      </c>
      <c r="F30" t="s">
        <v>50</v>
      </c>
      <c r="M30" s="1">
        <v>92.3</v>
      </c>
      <c r="O30" s="1">
        <f t="shared" si="2"/>
        <v>92.3</v>
      </c>
      <c r="P30">
        <v>61</v>
      </c>
      <c r="Q30" s="6">
        <f>SUM(O30:O33)</f>
        <v>678.5999999999999</v>
      </c>
    </row>
    <row r="31" spans="2:16" ht="12.75">
      <c r="B31" s="6">
        <f t="shared" si="3"/>
        <v>0</v>
      </c>
      <c r="C31" s="6"/>
      <c r="D31" s="6">
        <f t="shared" si="1"/>
        <v>455</v>
      </c>
      <c r="E31">
        <v>62</v>
      </c>
      <c r="F31" t="s">
        <v>51</v>
      </c>
      <c r="L31" s="1">
        <v>41.8</v>
      </c>
      <c r="M31" s="1">
        <v>413.2</v>
      </c>
      <c r="O31" s="1">
        <f t="shared" si="2"/>
        <v>455</v>
      </c>
      <c r="P31">
        <v>62</v>
      </c>
    </row>
    <row r="32" spans="2:16" ht="12.75">
      <c r="B32" s="6">
        <f t="shared" si="3"/>
        <v>0</v>
      </c>
      <c r="C32" s="6"/>
      <c r="D32" s="6">
        <f t="shared" si="1"/>
        <v>106.9</v>
      </c>
      <c r="E32">
        <v>63</v>
      </c>
      <c r="F32" t="s">
        <v>52</v>
      </c>
      <c r="M32" s="1">
        <v>106.9</v>
      </c>
      <c r="O32" s="1">
        <f t="shared" si="2"/>
        <v>106.9</v>
      </c>
      <c r="P32">
        <v>63</v>
      </c>
    </row>
    <row r="33" spans="2:16" ht="12.75">
      <c r="B33" s="6">
        <f t="shared" si="3"/>
        <v>24.4</v>
      </c>
      <c r="C33" s="6"/>
      <c r="D33" s="6">
        <f t="shared" si="1"/>
        <v>0</v>
      </c>
      <c r="E33">
        <v>65</v>
      </c>
      <c r="F33" t="s">
        <v>53</v>
      </c>
      <c r="G33" s="1">
        <v>9.4</v>
      </c>
      <c r="H33" s="1">
        <v>15</v>
      </c>
      <c r="O33" s="1">
        <f t="shared" si="2"/>
        <v>24.4</v>
      </c>
      <c r="P33">
        <v>65</v>
      </c>
    </row>
    <row r="34" spans="1:17" ht="12.75">
      <c r="A34" s="6">
        <f>SUM(B34:B39)</f>
        <v>768.6999999999999</v>
      </c>
      <c r="B34" s="6">
        <f t="shared" si="3"/>
        <v>32.2</v>
      </c>
      <c r="C34" s="6">
        <f>SUM(D34:D39)</f>
        <v>3666.9</v>
      </c>
      <c r="D34" s="6">
        <f t="shared" si="1"/>
        <v>0</v>
      </c>
      <c r="E34">
        <v>71</v>
      </c>
      <c r="F34" t="s">
        <v>54</v>
      </c>
      <c r="G34" s="1">
        <v>32.2</v>
      </c>
      <c r="O34" s="1">
        <f t="shared" si="2"/>
        <v>32.2</v>
      </c>
      <c r="P34">
        <v>71</v>
      </c>
      <c r="Q34" s="6">
        <f>SUM(O34:O39)</f>
        <v>4563.1</v>
      </c>
    </row>
    <row r="35" spans="2:17" ht="12.75">
      <c r="B35" s="6">
        <f t="shared" si="3"/>
        <v>0</v>
      </c>
      <c r="C35" s="6"/>
      <c r="D35" s="6">
        <f t="shared" si="1"/>
        <v>9.1</v>
      </c>
      <c r="E35">
        <v>72</v>
      </c>
      <c r="F35" t="s">
        <v>55</v>
      </c>
      <c r="L35" s="1">
        <v>9.1</v>
      </c>
      <c r="O35" s="1">
        <f t="shared" si="2"/>
        <v>9.1</v>
      </c>
      <c r="P35">
        <v>72</v>
      </c>
      <c r="Q35" s="6"/>
    </row>
    <row r="36" spans="2:16" ht="12.75">
      <c r="B36" s="6">
        <f t="shared" si="3"/>
        <v>120.7</v>
      </c>
      <c r="C36" s="6"/>
      <c r="D36" s="6">
        <f t="shared" si="1"/>
        <v>38.3</v>
      </c>
      <c r="E36">
        <v>73</v>
      </c>
      <c r="F36" t="s">
        <v>56</v>
      </c>
      <c r="I36" s="1">
        <v>120.7</v>
      </c>
      <c r="J36" s="1">
        <v>-50</v>
      </c>
      <c r="L36" s="1">
        <v>38.3</v>
      </c>
      <c r="O36" s="1">
        <f t="shared" si="2"/>
        <v>109</v>
      </c>
      <c r="P36">
        <v>73</v>
      </c>
    </row>
    <row r="37" spans="2:16" ht="12.75">
      <c r="B37" s="6">
        <f t="shared" si="3"/>
        <v>615.8</v>
      </c>
      <c r="C37" s="6"/>
      <c r="D37" s="6">
        <f t="shared" si="1"/>
        <v>959.2</v>
      </c>
      <c r="E37">
        <v>74</v>
      </c>
      <c r="F37" t="s">
        <v>57</v>
      </c>
      <c r="G37" s="1">
        <v>164</v>
      </c>
      <c r="H37" s="1">
        <v>238.2</v>
      </c>
      <c r="I37" s="1">
        <v>213.6</v>
      </c>
      <c r="J37" s="1">
        <v>177.5</v>
      </c>
      <c r="K37" s="1">
        <v>17.6</v>
      </c>
      <c r="L37" s="1">
        <v>188.5</v>
      </c>
      <c r="M37" s="1">
        <v>496.1</v>
      </c>
      <c r="N37" s="1">
        <v>257</v>
      </c>
      <c r="O37" s="1">
        <f t="shared" si="2"/>
        <v>1752.5</v>
      </c>
      <c r="P37">
        <v>74</v>
      </c>
    </row>
    <row r="38" spans="2:16" ht="12.75">
      <c r="B38" s="6">
        <f t="shared" si="3"/>
        <v>0</v>
      </c>
      <c r="C38" s="6"/>
      <c r="D38" s="6">
        <f t="shared" si="1"/>
        <v>2422.5</v>
      </c>
      <c r="E38">
        <v>75</v>
      </c>
      <c r="F38" t="s">
        <v>58</v>
      </c>
      <c r="L38" s="1">
        <v>74.6</v>
      </c>
      <c r="M38" s="1">
        <v>1664.4</v>
      </c>
      <c r="N38" s="1">
        <v>683.5</v>
      </c>
      <c r="O38" s="1">
        <f t="shared" si="2"/>
        <v>2422.5</v>
      </c>
      <c r="P38">
        <v>75</v>
      </c>
    </row>
    <row r="39" spans="2:16" ht="12.75">
      <c r="B39" s="6">
        <f t="shared" si="3"/>
        <v>0</v>
      </c>
      <c r="C39" s="6"/>
      <c r="D39" s="6">
        <f t="shared" si="1"/>
        <v>237.8</v>
      </c>
      <c r="E39">
        <v>76</v>
      </c>
      <c r="F39" t="s">
        <v>59</v>
      </c>
      <c r="M39" s="1">
        <v>176.4</v>
      </c>
      <c r="N39" s="1">
        <v>61.4</v>
      </c>
      <c r="O39" s="1">
        <f t="shared" si="2"/>
        <v>237.8</v>
      </c>
      <c r="P39">
        <v>76</v>
      </c>
    </row>
    <row r="40" spans="2:17" ht="12.75">
      <c r="B40" s="6">
        <f t="shared" si="3"/>
        <v>2921.5</v>
      </c>
      <c r="C40" s="6">
        <f>SUM(D40:D43)</f>
        <v>6284.6</v>
      </c>
      <c r="D40" s="6">
        <f t="shared" si="1"/>
        <v>3073.4</v>
      </c>
      <c r="E40">
        <v>81</v>
      </c>
      <c r="F40" t="s">
        <v>60</v>
      </c>
      <c r="G40" s="1">
        <v>557.9</v>
      </c>
      <c r="H40" s="1">
        <v>1221.8</v>
      </c>
      <c r="I40" s="1">
        <v>1141.8</v>
      </c>
      <c r="J40" s="1">
        <v>67</v>
      </c>
      <c r="K40" s="1">
        <v>1138.1</v>
      </c>
      <c r="L40" s="1">
        <v>1044.1</v>
      </c>
      <c r="M40" s="1">
        <v>758.9</v>
      </c>
      <c r="N40" s="1">
        <v>132.3</v>
      </c>
      <c r="O40" s="1">
        <f t="shared" si="2"/>
        <v>6061.900000000001</v>
      </c>
      <c r="P40">
        <v>81</v>
      </c>
      <c r="Q40" s="6">
        <f>SUM(O40:O44)</f>
        <v>12634.3</v>
      </c>
    </row>
    <row r="41" spans="2:16" ht="12.75">
      <c r="B41" s="6">
        <f t="shared" si="3"/>
        <v>2956.2000000000003</v>
      </c>
      <c r="C41" s="6"/>
      <c r="D41" s="6">
        <f t="shared" si="1"/>
        <v>2011.8999999999999</v>
      </c>
      <c r="E41">
        <v>82</v>
      </c>
      <c r="F41" t="s">
        <v>61</v>
      </c>
      <c r="G41" s="1">
        <v>518.9</v>
      </c>
      <c r="H41" s="1">
        <v>1230.9</v>
      </c>
      <c r="I41" s="1">
        <v>1206.4</v>
      </c>
      <c r="J41" s="1">
        <v>-65</v>
      </c>
      <c r="K41" s="1">
        <v>1180.6</v>
      </c>
      <c r="L41" s="1">
        <v>445.9</v>
      </c>
      <c r="M41" s="1">
        <v>322.6</v>
      </c>
      <c r="N41" s="1">
        <v>62.8</v>
      </c>
      <c r="O41" s="1">
        <f t="shared" si="2"/>
        <v>4903.1</v>
      </c>
      <c r="P41">
        <v>82</v>
      </c>
    </row>
    <row r="42" spans="2:16" ht="12.75">
      <c r="B42" s="6">
        <f>SUM(G42:I42)</f>
        <v>470</v>
      </c>
      <c r="C42" s="6"/>
      <c r="D42" s="6">
        <f t="shared" si="1"/>
        <v>0</v>
      </c>
      <c r="E42">
        <v>84</v>
      </c>
      <c r="F42" t="s">
        <v>62</v>
      </c>
      <c r="G42" s="1">
        <v>251.3</v>
      </c>
      <c r="H42" s="1">
        <v>218.7</v>
      </c>
      <c r="O42" s="1">
        <f t="shared" si="2"/>
        <v>470</v>
      </c>
      <c r="P42">
        <v>84</v>
      </c>
    </row>
    <row r="43" spans="4:16" ht="12.75">
      <c r="D43" s="6">
        <f t="shared" si="1"/>
        <v>1199.3000000000002</v>
      </c>
      <c r="E43">
        <v>85</v>
      </c>
      <c r="F43" t="s">
        <v>63</v>
      </c>
      <c r="M43" s="1">
        <v>365.1</v>
      </c>
      <c r="N43" s="1">
        <v>834.2</v>
      </c>
      <c r="O43" s="1">
        <f t="shared" si="2"/>
        <v>1199.3000000000002</v>
      </c>
      <c r="P43">
        <v>85</v>
      </c>
    </row>
    <row r="44" spans="7:14" ht="15">
      <c r="G44" s="2"/>
      <c r="H44" s="2"/>
      <c r="I44" s="2"/>
      <c r="J44" s="2"/>
      <c r="K44" s="2"/>
      <c r="L44" s="2"/>
      <c r="M44" s="2"/>
      <c r="N44" s="2"/>
    </row>
    <row r="45" spans="7:17" ht="12.75">
      <c r="G45" s="3">
        <f>SUM(G2:G44)</f>
        <v>6062.5999999999985</v>
      </c>
      <c r="H45" s="3">
        <f aca="true" t="shared" si="4" ref="H45:O45">SUM(H2:H44)</f>
        <v>13713.8</v>
      </c>
      <c r="I45" s="3">
        <f t="shared" si="4"/>
        <v>16943.5</v>
      </c>
      <c r="J45" s="3">
        <f t="shared" si="4"/>
        <v>1593</v>
      </c>
      <c r="K45" s="3">
        <f t="shared" si="4"/>
        <v>17516.4</v>
      </c>
      <c r="L45" s="3">
        <f t="shared" si="4"/>
        <v>13409.300000000001</v>
      </c>
      <c r="M45" s="3">
        <f t="shared" si="4"/>
        <v>11143.6</v>
      </c>
      <c r="N45" s="3">
        <f t="shared" si="4"/>
        <v>2331.8999999999996</v>
      </c>
      <c r="O45" s="3">
        <f t="shared" si="4"/>
        <v>82714.10000000002</v>
      </c>
      <c r="P45" s="6">
        <f>SUM(G45:N45)</f>
        <v>82714.09999999999</v>
      </c>
      <c r="Q45" s="1">
        <f>SUM(Q1:Q44)</f>
        <v>86659.50000000003</v>
      </c>
    </row>
    <row r="46" spans="9:11" ht="12.75">
      <c r="I46" s="7">
        <f>SUM(G45:I45)</f>
        <v>36719.899999999994</v>
      </c>
      <c r="K46" s="5">
        <f>SUM(K45:N45)</f>
        <v>44401.200000000004</v>
      </c>
    </row>
    <row r="47" spans="5:16" ht="12.75">
      <c r="E47" t="s">
        <v>64</v>
      </c>
      <c r="F47" t="s">
        <v>65</v>
      </c>
      <c r="I47" s="1">
        <v>1582</v>
      </c>
      <c r="J47" s="8">
        <f>+J49-I46</f>
        <v>1593</v>
      </c>
      <c r="K47" s="1">
        <v>1295</v>
      </c>
      <c r="L47" s="1">
        <v>2518</v>
      </c>
      <c r="M47" s="1">
        <v>4750</v>
      </c>
      <c r="N47" s="1">
        <v>1049</v>
      </c>
      <c r="O47" s="1">
        <f>SUM(K47:N47)</f>
        <v>9612</v>
      </c>
      <c r="P47" t="s">
        <v>64</v>
      </c>
    </row>
    <row r="48" spans="7:16" ht="15.75">
      <c r="G48" s="4">
        <f>SUM(G45,G47)</f>
        <v>6062.5999999999985</v>
      </c>
      <c r="H48" s="4">
        <f>SUM(H45,H47)</f>
        <v>13713.8</v>
      </c>
      <c r="I48" s="4">
        <f>SUM(I45:J45)</f>
        <v>18536.5</v>
      </c>
      <c r="J48" s="4"/>
      <c r="K48" s="4">
        <f>SUM(K45,K47)</f>
        <v>18811.4</v>
      </c>
      <c r="L48" s="4">
        <f>SUM(L45,L47)</f>
        <v>15927.300000000001</v>
      </c>
      <c r="M48" s="4">
        <f>SUM(M45,M47)</f>
        <v>15893.6</v>
      </c>
      <c r="N48" s="4">
        <f>SUM(N45,N47)</f>
        <v>3380.8999999999996</v>
      </c>
      <c r="O48" s="4">
        <f>SUM(G48:N48)</f>
        <v>92326.09999999999</v>
      </c>
      <c r="P48" s="6">
        <f>SUM(O45:O47)</f>
        <v>92326.10000000002</v>
      </c>
    </row>
    <row r="49" spans="9:10" ht="12.75">
      <c r="I49" s="7">
        <v>38313</v>
      </c>
      <c r="J49" s="7">
        <f>SUM(G45:J45)</f>
        <v>38312.899999999994</v>
      </c>
    </row>
    <row r="50" spans="5:16" ht="12.75">
      <c r="E50" t="s">
        <v>66</v>
      </c>
      <c r="F50" t="s">
        <v>67</v>
      </c>
      <c r="H50" s="8">
        <v>75</v>
      </c>
      <c r="O50" s="8">
        <v>75</v>
      </c>
      <c r="P50" s="8">
        <v>75</v>
      </c>
    </row>
    <row r="51" ht="12.75">
      <c r="P51" s="1"/>
    </row>
    <row r="52" spans="7:16" ht="15.75">
      <c r="G52" s="4"/>
      <c r="H52" s="4"/>
      <c r="I52" s="4"/>
      <c r="J52" s="4"/>
      <c r="K52" s="4">
        <f>SUM(G48:K48)</f>
        <v>57124.299999999996</v>
      </c>
      <c r="L52" s="4">
        <f>SUM(G48:L48)</f>
        <v>73051.59999999999</v>
      </c>
      <c r="M52" s="4"/>
      <c r="N52" s="4"/>
      <c r="O52" s="4">
        <f>SUM(O48:O50)</f>
        <v>92401.09999999999</v>
      </c>
      <c r="P52" s="4"/>
    </row>
    <row r="55" ht="12.75">
      <c r="I55" s="1">
        <f>SUM(G40:I40,G44:I44)</f>
        <v>2921.5</v>
      </c>
    </row>
    <row r="56" ht="12.75">
      <c r="I56" s="1">
        <f>SUM(G41:I41)</f>
        <v>2956.2000000000003</v>
      </c>
    </row>
    <row r="60" spans="7:14" ht="12.75">
      <c r="G60" s="1">
        <f>SUM(G40,G44)</f>
        <v>557.9</v>
      </c>
      <c r="H60" s="1">
        <f aca="true" t="shared" si="5" ref="H60:N60">SUM(H40,H44)</f>
        <v>1221.8</v>
      </c>
      <c r="I60" s="1">
        <f t="shared" si="5"/>
        <v>1141.8</v>
      </c>
      <c r="J60" s="1">
        <f t="shared" si="5"/>
        <v>67</v>
      </c>
      <c r="K60" s="1">
        <f t="shared" si="5"/>
        <v>1138.1</v>
      </c>
      <c r="L60" s="1">
        <f t="shared" si="5"/>
        <v>1044.1</v>
      </c>
      <c r="M60" s="1">
        <f t="shared" si="5"/>
        <v>758.9</v>
      </c>
      <c r="N60" s="1">
        <f t="shared" si="5"/>
        <v>132.3</v>
      </c>
    </row>
    <row r="65" ht="12.75">
      <c r="I65" s="1">
        <f>SUM(J49,K46,O47,O50)</f>
        <v>92401.1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2005-10-24T19:54:19Z</cp:lastPrinted>
  <dcterms:created xsi:type="dcterms:W3CDTF">2005-10-17T18:42:25Z</dcterms:created>
  <dcterms:modified xsi:type="dcterms:W3CDTF">2005-10-25T16:38:21Z</dcterms:modified>
  <cp:category/>
  <cp:version/>
  <cp:contentType/>
  <cp:contentStatus/>
</cp:coreProperties>
</file>