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tabRatio="872" firstSheet="2" activeTab="7"/>
  </bookViews>
  <sheets>
    <sheet name="RiskOpportunities" sheetId="1" r:id="rId1"/>
    <sheet name="Budget Reconciliation" sheetId="2" r:id="rId2"/>
    <sheet name="EC36 vs EC38 job comparision" sheetId="3" r:id="rId3"/>
    <sheet name="Contingency Analysis" sheetId="4" r:id="rId4"/>
    <sheet name="Budget Summary" sheetId="5" r:id="rId5"/>
    <sheet name="Mpwr job" sheetId="6" r:id="rId6"/>
    <sheet name="Mpwr smry" sheetId="7" r:id="rId7"/>
    <sheet name="Milestones" sheetId="8" r:id="rId8"/>
    <sheet name="EIO IMPACT" sheetId="9" r:id="rId9"/>
    <sheet name="Summary Schedule" sheetId="10" r:id="rId10"/>
    <sheet name="Funding" sheetId="11" r:id="rId11"/>
    <sheet name="wbs2 budgets by fy" sheetId="12" r:id="rId12"/>
  </sheets>
  <definedNames>
    <definedName name="_xlnm.Print_Area" localSheetId="3">'Contingency Analysis'!$C$5:$G$90</definedName>
    <definedName name="_xlnm.Print_Area" localSheetId="11">'wbs2 budgets by fy'!$D$2:$E$44</definedName>
  </definedNames>
  <calcPr fullCalcOnLoad="1"/>
</workbook>
</file>

<file path=xl/sharedStrings.xml><?xml version="1.0" encoding="utf-8"?>
<sst xmlns="http://schemas.openxmlformats.org/spreadsheetml/2006/main" count="982" uniqueCount="590">
  <si>
    <t>pmb puts and takes</t>
  </si>
  <si>
    <t>contingency puts and takes</t>
  </si>
  <si>
    <t>wbs1</t>
  </si>
  <si>
    <t>wbs13</t>
  </si>
  <si>
    <t>wbs 141</t>
  </si>
  <si>
    <t>wbs142</t>
  </si>
  <si>
    <t>wbs18</t>
  </si>
  <si>
    <t>wbs82</t>
  </si>
  <si>
    <t>red</t>
  </si>
  <si>
    <t>BO (PMB + Cont)</t>
  </si>
  <si>
    <t>Cum PMB</t>
  </si>
  <si>
    <t>NCSX Critical Path Summary Schedule</t>
  </si>
  <si>
    <t>FY02</t>
  </si>
  <si>
    <t>M</t>
  </si>
  <si>
    <t>J</t>
  </si>
  <si>
    <t>A</t>
  </si>
  <si>
    <t>S</t>
  </si>
  <si>
    <t>O</t>
  </si>
  <si>
    <t>N</t>
  </si>
  <si>
    <t>D</t>
  </si>
  <si>
    <t>F</t>
  </si>
  <si>
    <t xml:space="preserve"> CDR</t>
  </si>
  <si>
    <t>DOE Milestones</t>
  </si>
  <si>
    <t xml:space="preserve">MC/VV PDR   </t>
  </si>
  <si>
    <t xml:space="preserve">CD-2 </t>
  </si>
  <si>
    <t xml:space="preserve">EIR </t>
  </si>
  <si>
    <t>CD-3 Start of Fab</t>
  </si>
  <si>
    <t>Pumpdown Vac Vsl</t>
  </si>
  <si>
    <t>Start of Preliminary Design</t>
  </si>
  <si>
    <t>Vac Vsl FDR</t>
  </si>
  <si>
    <t>Modular Coil FDR</t>
  </si>
  <si>
    <t xml:space="preserve">Joule #1 Authorize Protype Fab   </t>
  </si>
  <si>
    <t xml:space="preserve">   Joule #1 Award VVSA,MWCF,Cond </t>
  </si>
  <si>
    <t>ORA</t>
  </si>
  <si>
    <t xml:space="preserve">Joule #2 Demonstarte Winding Process  on 3-D Surface     </t>
  </si>
  <si>
    <t xml:space="preserve">   Joule #2 Cmplt Assy TRC</t>
  </si>
  <si>
    <t xml:space="preserve">Joule #3 First Prototype Casting Produced for Machining   </t>
  </si>
  <si>
    <t xml:space="preserve">   Joule #3 Mod Coil Winding Type C FDR</t>
  </si>
  <si>
    <t xml:space="preserve">CD-4 Completion of MIE Project   </t>
  </si>
  <si>
    <t xml:space="preserve">Joule #4 CD-3 Prereq Complete  </t>
  </si>
  <si>
    <t xml:space="preserve">   Joule #4 Cmplt Winding First MC</t>
  </si>
  <si>
    <t>VACUUM VESSEL</t>
  </si>
  <si>
    <t>Title I &amp; II Design</t>
  </si>
  <si>
    <t>Vessel Award</t>
  </si>
  <si>
    <t>Manuf Devel</t>
  </si>
  <si>
    <t>Vessel Fab</t>
  </si>
  <si>
    <t>MODULAR COILS</t>
  </si>
  <si>
    <t>Title I &amp; II MCWF</t>
  </si>
  <si>
    <t>Twisted Racetrack Fabrication</t>
  </si>
  <si>
    <t>Title II Design for Winding</t>
  </si>
  <si>
    <t>Type C</t>
  </si>
  <si>
    <t>Type B</t>
  </si>
  <si>
    <t>Type A</t>
  </si>
  <si>
    <t>Component Fabrication</t>
  </si>
  <si>
    <t>MCWF Manufacturing Development</t>
  </si>
  <si>
    <t>Fabricate Prototype Type  "C"</t>
  </si>
  <si>
    <t xml:space="preserve"> Award Winding Form Contract  </t>
  </si>
  <si>
    <t>Fab Winding Forms</t>
  </si>
  <si>
    <t xml:space="preserve">Station 2-Wind &amp; VPI  </t>
  </si>
  <si>
    <t xml:space="preserve">Station 3-Wind &amp; VPI </t>
  </si>
  <si>
    <t>VPI,Clamps,&amp; Test</t>
  </si>
  <si>
    <t>FIELD PERIOD ASSEMBLY</t>
  </si>
  <si>
    <t>Attach Cooling,Diag, Insulation</t>
  </si>
  <si>
    <t>Pre-Assemble Mod Coils</t>
  </si>
  <si>
    <t>MC Installation</t>
  </si>
  <si>
    <t>Assemble 1st Period</t>
  </si>
  <si>
    <t>Assemble 2nd Period</t>
  </si>
  <si>
    <t>Assemble 3rd Period</t>
  </si>
  <si>
    <t>MACHINE ASSEMBLY</t>
  </si>
  <si>
    <t>Install Supports and Lower PF Coils</t>
  </si>
  <si>
    <t>Install,align, connect Field Period Assemblies</t>
  </si>
  <si>
    <t>Legend:</t>
  </si>
  <si>
    <t xml:space="preserve"> Pump Down</t>
  </si>
  <si>
    <t>Completed Task</t>
  </si>
  <si>
    <t>Connect to Ancilliary Systems</t>
  </si>
  <si>
    <t>Critical Paths</t>
  </si>
  <si>
    <t>Install Cryostat &amp; PTP</t>
  </si>
  <si>
    <t>Off critical path</t>
  </si>
  <si>
    <t>Startup Testing and E-Beam Mapping</t>
  </si>
  <si>
    <t>Ancilliary Systems Installation</t>
  </si>
  <si>
    <t>First Plasma</t>
  </si>
  <si>
    <t>C1</t>
  </si>
  <si>
    <t>B6</t>
  </si>
  <si>
    <t>B5</t>
  </si>
  <si>
    <t>B4</t>
  </si>
  <si>
    <t>B3</t>
  </si>
  <si>
    <t>C2</t>
  </si>
  <si>
    <t>C3</t>
  </si>
  <si>
    <t>C4</t>
  </si>
  <si>
    <t>C5</t>
  </si>
  <si>
    <t>C6</t>
  </si>
  <si>
    <t>A1</t>
  </si>
  <si>
    <t>A3</t>
  </si>
  <si>
    <t>A4</t>
  </si>
  <si>
    <t>A5</t>
  </si>
  <si>
    <t>A6</t>
  </si>
  <si>
    <t>A2</t>
  </si>
  <si>
    <t>B1</t>
  </si>
  <si>
    <t>B2</t>
  </si>
  <si>
    <t>Modular Coil Winding Form Delivery Schedule</t>
  </si>
  <si>
    <t xml:space="preserve">    EIO Forecast</t>
  </si>
  <si>
    <t xml:space="preserve">    Project Plan</t>
  </si>
  <si>
    <t>Free Float</t>
  </si>
  <si>
    <t>3 winding lines 2 shifts</t>
  </si>
  <si>
    <t>2 shfits for field period</t>
  </si>
  <si>
    <t>2 shifts Machine Assembly</t>
  </si>
  <si>
    <t>for coil winding</t>
  </si>
  <si>
    <t>assembly</t>
  </si>
  <si>
    <t>Sep</t>
  </si>
  <si>
    <t>Oct</t>
  </si>
  <si>
    <t>Nov</t>
  </si>
  <si>
    <t>Casting Number</t>
  </si>
  <si>
    <t xml:space="preserve">2) </t>
  </si>
  <si>
    <t>Winding plan basis;</t>
  </si>
  <si>
    <t>a)  first coil taking 50% longer.</t>
  </si>
  <si>
    <t>b)  2 winding stations with 3 winding teams. 3rd team dedicated to 2nd shift for winding only. Chill plate ,bagging VPI pre done on 1st shift only.</t>
  </si>
  <si>
    <t>c) 2nd shift utilized for first 10 coils only.</t>
  </si>
  <si>
    <t>d) all shifts based  5 days/week 70% of winding ops utilize 10hr/days. Some  overtime and all Saturday's held back as contingency.</t>
  </si>
  <si>
    <t>CD-1</t>
  </si>
  <si>
    <t>FY03</t>
  </si>
  <si>
    <t>FY04</t>
  </si>
  <si>
    <t>FY05</t>
  </si>
  <si>
    <t>FY06</t>
  </si>
  <si>
    <t>FY07</t>
  </si>
  <si>
    <t>FY08</t>
  </si>
  <si>
    <t>FY09</t>
  </si>
  <si>
    <t>WBS2</t>
  </si>
  <si>
    <t>ACT CODE</t>
  </si>
  <si>
    <t>DESCRIPTION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</si>
  <si>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</si>
  <si>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</si>
  <si>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</si>
  <si>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</si>
  <si>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</si>
  <si>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</si>
  <si>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 xml:space="preserve">17 - Cryostat and Base Support Structure        </t>
  </si>
  <si>
    <t>18 - Field Period Assembly</t>
  </si>
  <si>
    <t>19 - Stellarator Core Management and Integration</t>
  </si>
  <si>
    <t>21 - Fueling Systems</t>
  </si>
  <si>
    <t xml:space="preserve">22 - Torus Vacuum Pumping Systems               </t>
  </si>
  <si>
    <t xml:space="preserve">25 - Neutral Beam Injection System              </t>
  </si>
  <si>
    <t>31 - Magnetic Diagnostics</t>
  </si>
  <si>
    <t xml:space="preserve">36 - Edge and Divertor Diagnostics              </t>
  </si>
  <si>
    <t xml:space="preserve">38 - Electron Beam (EB) Mapping                 </t>
  </si>
  <si>
    <t>39 - Diagnostics Integration</t>
  </si>
  <si>
    <t>41 - AC Power</t>
  </si>
  <si>
    <t>43 - DC Systems</t>
  </si>
  <si>
    <t xml:space="preserve">44 - Control and protection Systems             </t>
  </si>
  <si>
    <t xml:space="preserve">45 - Power System Design and Integration        </t>
  </si>
  <si>
    <t xml:space="preserve">46 - FCPC Building Modifications                </t>
  </si>
  <si>
    <t xml:space="preserve">51 - TCP/IP Infrastructure Systems              </t>
  </si>
  <si>
    <t xml:space="preserve">52 - Central Instrumentation &amp; Control          </t>
  </si>
  <si>
    <t xml:space="preserve">53 - Data Acquisition &amp; Facility Computing      </t>
  </si>
  <si>
    <t xml:space="preserve">54 - Facility Timing &amp; Synchronization          </t>
  </si>
  <si>
    <t>55 - Real Time Plasma &amp; Power</t>
  </si>
  <si>
    <t>56 - Central Safety Interlock</t>
  </si>
  <si>
    <t xml:space="preserve">58 - Central I&amp;C management and Integration     </t>
  </si>
  <si>
    <t>61 - Water Systems</t>
  </si>
  <si>
    <t>62 - Cryogenic Systems</t>
  </si>
  <si>
    <t>63 - Utility Systems</t>
  </si>
  <si>
    <t xml:space="preserve">65 - Facility Systems Integration               </t>
  </si>
  <si>
    <t xml:space="preserve">71 - Shield Wall Seismic Modifications          </t>
  </si>
  <si>
    <t xml:space="preserve">72 - Control Room Refurbishment                 </t>
  </si>
  <si>
    <t xml:space="preserve">73 - Platform Design &amp; Fabrication              </t>
  </si>
  <si>
    <t xml:space="preserve">74 - Machine Assembly Planning and Oversight    </t>
  </si>
  <si>
    <t xml:space="preserve">75 - Test Cell and Basement Assembly Operations </t>
  </si>
  <si>
    <t xml:space="preserve">76 - Tooling Design &amp; Fabrication               </t>
  </si>
  <si>
    <t xml:space="preserve">81 - Project Management and Control             </t>
  </si>
  <si>
    <t>82 - Project Engineering</t>
  </si>
  <si>
    <t>84 - Project Physics</t>
  </si>
  <si>
    <t xml:space="preserve">85 - Integrated Systems Testing                 </t>
  </si>
  <si>
    <t>CC</t>
  </si>
  <si>
    <t>Contingency</t>
  </si>
  <si>
    <t>DD</t>
  </si>
  <si>
    <t>DCMA</t>
  </si>
  <si>
    <t>FY2003</t>
  </si>
  <si>
    <t>FY2004</t>
  </si>
  <si>
    <t>FY2005</t>
  </si>
  <si>
    <t>FY2006</t>
  </si>
  <si>
    <t>FY2007</t>
  </si>
  <si>
    <t>FY2008</t>
  </si>
  <si>
    <t>FY2009</t>
  </si>
  <si>
    <t>TOTAL</t>
  </si>
  <si>
    <t>Change</t>
  </si>
  <si>
    <t>17 - Cryostat and Base Support Struct</t>
  </si>
  <si>
    <t>19 - Stellarator Core Mgt &amp; Integr</t>
  </si>
  <si>
    <t>1  Stellarator Core Systems</t>
  </si>
  <si>
    <t>2 Heating, Fueling &amp; Vac Sys</t>
  </si>
  <si>
    <t>3 Diagnostics</t>
  </si>
  <si>
    <t>4 Electrical Power Sys</t>
  </si>
  <si>
    <t>5 Central I&amp;C Sys</t>
  </si>
  <si>
    <t>6 Facility Sys</t>
  </si>
  <si>
    <t>7 Test Cell Prep &amp; MachAssy</t>
  </si>
  <si>
    <t>8 Project Oversight &amp; Support</t>
  </si>
  <si>
    <t>subtotal</t>
  </si>
  <si>
    <t>TEC =</t>
  </si>
  <si>
    <t>BCWP</t>
  </si>
  <si>
    <t>ACWP</t>
  </si>
  <si>
    <t>SPI</t>
  </si>
  <si>
    <t>BCWR</t>
  </si>
  <si>
    <t>Contingency balance</t>
  </si>
  <si>
    <t>ECP-38</t>
  </si>
  <si>
    <t>ECP-36</t>
  </si>
  <si>
    <t>PARS thru SEP 30th against ECP-29</t>
  </si>
  <si>
    <t>CV</t>
  </si>
  <si>
    <t>FY05 CV</t>
  </si>
  <si>
    <t>ETC Update</t>
  </si>
  <si>
    <t>Unrecoverable Cost Variances</t>
  </si>
  <si>
    <t>Vacuum Vessel Design incl Title III</t>
  </si>
  <si>
    <t>Modular Coil Winding -Operations</t>
  </si>
  <si>
    <t>Modular Coil Winding -Supervision/Oversight</t>
  </si>
  <si>
    <t>VV Hardware</t>
  </si>
  <si>
    <t>Cheaper tubes and insulation</t>
  </si>
  <si>
    <t>overall duration shortened due to two shift ops</t>
  </si>
  <si>
    <t>re-estimated based on Type C experience</t>
  </si>
  <si>
    <t>Redesign of insulation scheme and cooling tubes</t>
  </si>
  <si>
    <t>Eliminated 350C bakeout of field period assy</t>
  </si>
  <si>
    <t>TF Coil fabrication</t>
  </si>
  <si>
    <t>Facility, Material and winding operation</t>
  </si>
  <si>
    <t>Modular Coil Design for Type A &amp; B incl interface hardware</t>
  </si>
  <si>
    <t>Modular coil-to-coil interface hardware</t>
  </si>
  <si>
    <t>Underestimated cost of shims and high strength bolts</t>
  </si>
  <si>
    <t>Field Period Tooling and Fixturing</t>
  </si>
  <si>
    <t>Only 1 set of fixtures req'd</t>
  </si>
  <si>
    <t>Magnetic Diagnostics</t>
  </si>
  <si>
    <t>MCWF Title III</t>
  </si>
  <si>
    <t>Req'd oversight of contract</t>
  </si>
  <si>
    <t>Coordination of metrology application and design integration</t>
  </si>
  <si>
    <t>Plasma Control</t>
  </si>
  <si>
    <t xml:space="preserve">Simplified Plasma Control </t>
  </si>
  <si>
    <t>E-beam mapping</t>
  </si>
  <si>
    <t>Simplified application</t>
  </si>
  <si>
    <t>PF Coil design/fab</t>
  </si>
  <si>
    <t>Use NSTX PF1a coil for central solenoid</t>
  </si>
  <si>
    <t>Trim Coils</t>
  </si>
  <si>
    <t>Other</t>
  </si>
  <si>
    <t>Project Management</t>
  </si>
  <si>
    <t>Revised FY09 ETC Reqmnt</t>
  </si>
  <si>
    <t>135x</t>
  </si>
  <si>
    <t>5x01</t>
  </si>
  <si>
    <t>TF Design</t>
  </si>
  <si>
    <t>TF Design iterations</t>
  </si>
  <si>
    <t>1350/1351</t>
  </si>
  <si>
    <t>TF Fabrication facilities</t>
  </si>
  <si>
    <t>Modular Coil Type C detail design</t>
  </si>
  <si>
    <t>1414/1409</t>
  </si>
  <si>
    <t>Coil test facility fabrication and TRC testing</t>
  </si>
  <si>
    <t>MCWF 1st production casting</t>
  </si>
  <si>
    <t>(part of prototype contract)</t>
  </si>
  <si>
    <t>MCWF contract oversight</t>
  </si>
  <si>
    <t>Cryostat &amp; base support structure prel dsn</t>
  </si>
  <si>
    <t>Test cell electrical power supply</t>
  </si>
  <si>
    <t>4x01</t>
  </si>
  <si>
    <t>Electrical pwr sys DC sys &amp; coil protection</t>
  </si>
  <si>
    <t>Saddle loops and termination box design/fab</t>
  </si>
  <si>
    <t>Dimensional control</t>
  </si>
  <si>
    <t>Simplify design of trim coils</t>
  </si>
  <si>
    <t>re-scheduling and laboratory rate changes</t>
  </si>
  <si>
    <t>ecp38</t>
  </si>
  <si>
    <t>ecp36</t>
  </si>
  <si>
    <t>ecp38 - 36</t>
  </si>
  <si>
    <t>JJJJ</t>
  </si>
  <si>
    <t>vv dsn</t>
  </si>
  <si>
    <t>vv hw</t>
  </si>
  <si>
    <t>pf1a</t>
  </si>
  <si>
    <t>trim coils</t>
  </si>
  <si>
    <t>tf</t>
  </si>
  <si>
    <t>mc dsn</t>
  </si>
  <si>
    <t>mcwf title iii</t>
  </si>
  <si>
    <t>1421d</t>
  </si>
  <si>
    <t>1421h</t>
  </si>
  <si>
    <t>interface hw</t>
  </si>
  <si>
    <t>winding</t>
  </si>
  <si>
    <t>I set of fixture</t>
  </si>
  <si>
    <t>350c bakeout</t>
  </si>
  <si>
    <t>saddleloops and term boxes</t>
  </si>
  <si>
    <t>ebeam</t>
  </si>
  <si>
    <t>plasama control</t>
  </si>
  <si>
    <t>project mgmt</t>
  </si>
  <si>
    <t>wbs 82</t>
  </si>
  <si>
    <t>CCCP</t>
  </si>
  <si>
    <t>other</t>
  </si>
  <si>
    <t>cont</t>
  </si>
  <si>
    <t>o</t>
  </si>
  <si>
    <t>cv</t>
  </si>
  <si>
    <t>ba</t>
  </si>
  <si>
    <t>cum plan</t>
  </si>
  <si>
    <t>ba cum</t>
  </si>
  <si>
    <t>dcma</t>
  </si>
  <si>
    <t>wbs 12</t>
  </si>
  <si>
    <t>wbs 131</t>
  </si>
  <si>
    <t>wbs 132</t>
  </si>
  <si>
    <t>wbs 133</t>
  </si>
  <si>
    <t>wbs 14</t>
  </si>
  <si>
    <t>wbs 18</t>
  </si>
  <si>
    <t>wbs 31</t>
  </si>
  <si>
    <t>wbs 38</t>
  </si>
  <si>
    <t>wbs 81</t>
  </si>
  <si>
    <t>wbs 5x</t>
  </si>
  <si>
    <t>wbs 13</t>
  </si>
  <si>
    <t>wbs 17</t>
  </si>
  <si>
    <t>wbs 74</t>
  </si>
  <si>
    <t>wbs 4</t>
  </si>
  <si>
    <t>Modular Coil Winding Operations</t>
  </si>
  <si>
    <t>TF Coil Winding Operations</t>
  </si>
  <si>
    <t>Field Period &amp; Machine Assembly</t>
  </si>
  <si>
    <t>Increased time for ground wrap and interlacing and shift differential</t>
  </si>
  <si>
    <t>Re-evaluate after 3 coils are fabricated</t>
  </si>
  <si>
    <t>Process improvement studies challenge to reduce hours by 10%.</t>
  </si>
  <si>
    <t>Accept facility, material and 1st coil fabrication increase only.</t>
  </si>
  <si>
    <t>Two shift field period assy and final machine assy. Accelerates first plasma by 2 months.</t>
  </si>
  <si>
    <t>Risk</t>
  </si>
  <si>
    <t>Opportunity</t>
  </si>
  <si>
    <t>%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</si>
  <si>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</si>
  <si>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</si>
  <si>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</si>
  <si>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</si>
  <si>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</si>
  <si>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</si>
  <si>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</si>
  <si>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</si>
  <si>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21 </t>
  </si>
  <si>
    <t xml:space="preserve">22 </t>
  </si>
  <si>
    <t xml:space="preserve">25 </t>
  </si>
  <si>
    <t xml:space="preserve">31 </t>
  </si>
  <si>
    <t xml:space="preserve">36 </t>
  </si>
  <si>
    <t xml:space="preserve">38 </t>
  </si>
  <si>
    <t xml:space="preserve">39 </t>
  </si>
  <si>
    <t xml:space="preserve">41 </t>
  </si>
  <si>
    <t xml:space="preserve">43 </t>
  </si>
  <si>
    <t xml:space="preserve">44 </t>
  </si>
  <si>
    <t xml:space="preserve">45 </t>
  </si>
  <si>
    <t xml:space="preserve">46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</si>
  <si>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</si>
  <si>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</si>
  <si>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</si>
  <si>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</si>
  <si>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</si>
  <si>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</si>
  <si>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</si>
  <si>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</si>
  <si>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</si>
  <si>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</si>
  <si>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</si>
  <si>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</si>
  <si>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</si>
  <si>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</si>
  <si>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</si>
  <si>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</si>
  <si>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</si>
  <si>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</si>
  <si>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</si>
  <si>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81 </t>
  </si>
  <si>
    <t xml:space="preserve">82 </t>
  </si>
  <si>
    <t xml:space="preserve">84 </t>
  </si>
  <si>
    <t xml:space="preserve">85 </t>
  </si>
  <si>
    <t xml:space="preserve">AA </t>
  </si>
  <si>
    <t>Total Sum of Contingency $</t>
  </si>
  <si>
    <t>VVSA Contract</t>
  </si>
  <si>
    <t>MCWF Contract</t>
  </si>
  <si>
    <t>WBS 12-18</t>
  </si>
  <si>
    <t xml:space="preserve">WBS 19,81 &amp; 82 </t>
  </si>
  <si>
    <t>WBS 2-7 &amp; 85 (BOP)</t>
  </si>
  <si>
    <t>PMB</t>
  </si>
  <si>
    <t>Total</t>
  </si>
  <si>
    <t xml:space="preserve"> %</t>
  </si>
  <si>
    <t>Original BA</t>
  </si>
  <si>
    <t>New BA</t>
  </si>
  <si>
    <t>BA cum old</t>
  </si>
  <si>
    <t>BA cum new</t>
  </si>
  <si>
    <t>PMB cum</t>
  </si>
  <si>
    <t xml:space="preserve"> BA</t>
  </si>
  <si>
    <t>Cum BA</t>
  </si>
  <si>
    <t>Cum BO</t>
  </si>
  <si>
    <t>NCSX Milestone Status</t>
  </si>
  <si>
    <t>CD-2</t>
  </si>
  <si>
    <t>Baseline</t>
  </si>
  <si>
    <t>float</t>
  </si>
  <si>
    <t>Forecast</t>
  </si>
  <si>
    <t>Actual</t>
  </si>
  <si>
    <t>master schedule</t>
  </si>
  <si>
    <t xml:space="preserve">Milestone float </t>
  </si>
  <si>
    <t>Level I</t>
  </si>
  <si>
    <t xml:space="preserve">M-0110     </t>
  </si>
  <si>
    <t xml:space="preserve">CD-2                                             </t>
  </si>
  <si>
    <t xml:space="preserve">M-0115     </t>
  </si>
  <si>
    <t xml:space="preserve">CD-3                                             </t>
  </si>
  <si>
    <t xml:space="preserve">1201-500   </t>
  </si>
  <si>
    <t>Level II</t>
  </si>
  <si>
    <t xml:space="preserve">Vacuum Vessel &amp; Modular Coil Prel Dsn Rvw                           </t>
  </si>
  <si>
    <t xml:space="preserve">1403-08    </t>
  </si>
  <si>
    <t xml:space="preserve">Performance Baseline Review                      </t>
  </si>
  <si>
    <t xml:space="preserve">1203-341   </t>
  </si>
  <si>
    <t xml:space="preserve">Conduct VVSA FDR                                 </t>
  </si>
  <si>
    <t xml:space="preserve">1403-51    </t>
  </si>
  <si>
    <t xml:space="preserve">Mod Coil Winding Form Final Design Review        </t>
  </si>
  <si>
    <t>1408-143.1</t>
  </si>
  <si>
    <t>Award MC Conductor Contract</t>
  </si>
  <si>
    <t xml:space="preserve">121-6-9    </t>
  </si>
  <si>
    <t xml:space="preserve">Award VV Production Vendor </t>
  </si>
  <si>
    <t xml:space="preserve">C-081      </t>
  </si>
  <si>
    <t xml:space="preserve">Award MCWF Mfg Contract       </t>
  </si>
  <si>
    <t xml:space="preserve">C-121.1    </t>
  </si>
  <si>
    <t xml:space="preserve">First MCWF Delivered                             </t>
  </si>
  <si>
    <t xml:space="preserve">131-035    </t>
  </si>
  <si>
    <t>Begin TF Coil fabrication activities</t>
  </si>
  <si>
    <t xml:space="preserve">P1-021.1   </t>
  </si>
  <si>
    <t xml:space="preserve">Complete First Mod Coil Fabrication              </t>
  </si>
  <si>
    <t xml:space="preserve">121-038.1  </t>
  </si>
  <si>
    <t xml:space="preserve">Vacuum Vessel Sectors Delivered                          </t>
  </si>
  <si>
    <t xml:space="preserve">C-501B1    </t>
  </si>
  <si>
    <t xml:space="preserve">Last MCWF Delivered                              </t>
  </si>
  <si>
    <t xml:space="preserve">141-036    </t>
  </si>
  <si>
    <t xml:space="preserve">PF Coils  Awarded                                </t>
  </si>
  <si>
    <t>S3P1-101</t>
  </si>
  <si>
    <t xml:space="preserve">Begin Assembly of First Field Period             </t>
  </si>
  <si>
    <t xml:space="preserve">All TF Coils Delivered                           </t>
  </si>
  <si>
    <t>S4P3-115</t>
  </si>
  <si>
    <t xml:space="preserve">Last Field Period Assembled                      </t>
  </si>
  <si>
    <t>7503-250</t>
  </si>
  <si>
    <t xml:space="preserve">Begin Vac Vsl Pumpdown                           </t>
  </si>
  <si>
    <t>7503-330</t>
  </si>
  <si>
    <t xml:space="preserve">Begin Cryostat Installation                      </t>
  </si>
  <si>
    <t xml:space="preserve">730.1250   </t>
  </si>
  <si>
    <t xml:space="preserve">Operational Readiness                            </t>
  </si>
  <si>
    <t xml:space="preserve">920.004    </t>
  </si>
  <si>
    <t xml:space="preserve">Begin Start-up Testing                           </t>
  </si>
  <si>
    <t xml:space="preserve">M-0120     </t>
  </si>
  <si>
    <t xml:space="preserve">CD-4                                             </t>
  </si>
  <si>
    <t xml:space="preserve">1404-109.J </t>
  </si>
  <si>
    <t>Joule</t>
  </si>
  <si>
    <t xml:space="preserve">FY04 JOULE  #1-Authorize Prototype Fab       </t>
  </si>
  <si>
    <t xml:space="preserve">1406-040   </t>
  </si>
  <si>
    <t xml:space="preserve">FY04 JOULE  #2-Begin winding on 3D surface   </t>
  </si>
  <si>
    <t xml:space="preserve">1404-110.J </t>
  </si>
  <si>
    <t xml:space="preserve">FY04 JOULE  #3-Prototype Casting Ready for Machining      </t>
  </si>
  <si>
    <t xml:space="preserve">C-081.1    </t>
  </si>
  <si>
    <t xml:space="preserve">FY04 JOULE  #4  -  CD-3 Readiness            </t>
  </si>
  <si>
    <t xml:space="preserve">FY05 JOULE  #1- VVSA, MCWF and MC Copper Conductor Awarded      </t>
  </si>
  <si>
    <t>1406-017.3</t>
  </si>
  <si>
    <t xml:space="preserve">FY05 JOULE  #2- Cmplt Assy of twisted racetrack    </t>
  </si>
  <si>
    <t>1403-20</t>
  </si>
  <si>
    <t xml:space="preserve">FY05 JOULE  #3- Mod Coil Winding Type C  FDR        </t>
  </si>
  <si>
    <t>P1-011J</t>
  </si>
  <si>
    <t xml:space="preserve">FY05 JOULE  #4- Complete Winding First MC     </t>
  </si>
  <si>
    <t>1351-195x</t>
  </si>
  <si>
    <t>FY06 JOULE  Receive all VVSA and 1/3 of MCWF's</t>
  </si>
  <si>
    <t>P2-041joul</t>
  </si>
  <si>
    <t>mcwf-311</t>
  </si>
  <si>
    <t>FY07 JOULE Complete Winding of 1/2 of Modular Coils</t>
  </si>
  <si>
    <t xml:space="preserve">RES </t>
  </si>
  <si>
    <t>RESOURCE</t>
  </si>
  <si>
    <t xml:space="preserve">  OCT FY06</t>
  </si>
  <si>
    <t xml:space="preserve">  NOV FY06</t>
  </si>
  <si>
    <t xml:space="preserve">  DEC FY06</t>
  </si>
  <si>
    <t xml:space="preserve">  JAN FY06</t>
  </si>
  <si>
    <t xml:space="preserve">  FEB FY06</t>
  </si>
  <si>
    <t xml:space="preserve">  MAR FY06</t>
  </si>
  <si>
    <t xml:space="preserve">  APR FY06</t>
  </si>
  <si>
    <t xml:space="preserve">  MAY FY06</t>
  </si>
  <si>
    <t xml:space="preserve">  JUN FY06</t>
  </si>
  <si>
    <t xml:space="preserve">  JUL FY06</t>
  </si>
  <si>
    <t xml:space="preserve">  AUG FY06</t>
  </si>
  <si>
    <t xml:space="preserve">  SEP FY06</t>
  </si>
  <si>
    <t xml:space="preserve">  OCT FY07</t>
  </si>
  <si>
    <t xml:space="preserve">  NOV FY07</t>
  </si>
  <si>
    <t xml:space="preserve">  DEC FY07</t>
  </si>
  <si>
    <t xml:space="preserve">  JAN FY07</t>
  </si>
  <si>
    <t xml:space="preserve">  FEB FY07</t>
  </si>
  <si>
    <t xml:space="preserve">  MAR FY07</t>
  </si>
  <si>
    <t xml:space="preserve">  APR FY07</t>
  </si>
  <si>
    <t xml:space="preserve">  MAY FY07</t>
  </si>
  <si>
    <t xml:space="preserve">  JUN FY07</t>
  </si>
  <si>
    <t xml:space="preserve">  JUL FY07</t>
  </si>
  <si>
    <t xml:space="preserve">  AUG FY07</t>
  </si>
  <si>
    <t xml:space="preserve">  SEP FY07</t>
  </si>
  <si>
    <t xml:space="preserve">  OCT FY08</t>
  </si>
  <si>
    <t xml:space="preserve">  NOV FY08</t>
  </si>
  <si>
    <t xml:space="preserve">  DEC FY08</t>
  </si>
  <si>
    <t xml:space="preserve">  JAN FY08</t>
  </si>
  <si>
    <t xml:space="preserve">  FEB FY08</t>
  </si>
  <si>
    <t xml:space="preserve">  MAR FY08</t>
  </si>
  <si>
    <t xml:space="preserve">  APR FY08</t>
  </si>
  <si>
    <t xml:space="preserve">  MAY FY08</t>
  </si>
  <si>
    <t xml:space="preserve">  JUN FY08</t>
  </si>
  <si>
    <t xml:space="preserve">  JUL FY08</t>
  </si>
  <si>
    <t xml:space="preserve">  AUG FY08</t>
  </si>
  <si>
    <t xml:space="preserve">  SEP FY08</t>
  </si>
  <si>
    <t xml:space="preserve">  OCT FY09</t>
  </si>
  <si>
    <t xml:space="preserve">  NOV FY09</t>
  </si>
  <si>
    <t xml:space="preserve">  DEC FY09</t>
  </si>
  <si>
    <t xml:space="preserve">  JAN FY09</t>
  </si>
  <si>
    <t xml:space="preserve">  FEB FY09</t>
  </si>
  <si>
    <t xml:space="preserve">  MAR FY09</t>
  </si>
  <si>
    <t xml:space="preserve">  APR FY09</t>
  </si>
  <si>
    <t xml:space="preserve">  MAY FY09</t>
  </si>
  <si>
    <t xml:space="preserve">  JUN FY09</t>
  </si>
  <si>
    <t xml:space="preserve">  JUL FY09</t>
  </si>
  <si>
    <t xml:space="preserve">  AUG FY09</t>
  </si>
  <si>
    <t xml:space="preserve">  SEP FY09</t>
  </si>
  <si>
    <t>EA//EM</t>
  </si>
  <si>
    <t>EA//SM</t>
  </si>
  <si>
    <t>EC//EM</t>
  </si>
  <si>
    <t>EC//SM</t>
  </si>
  <si>
    <t>EE//AM</t>
  </si>
  <si>
    <t>EE//EM</t>
  </si>
  <si>
    <t>EE//SM</t>
  </si>
  <si>
    <t>EE//TB</t>
  </si>
  <si>
    <t>EM//EM</t>
  </si>
  <si>
    <t>EM//SM</t>
  </si>
  <si>
    <t>EM//TB</t>
  </si>
  <si>
    <t>ORNLEM</t>
  </si>
  <si>
    <t>PPPL Engr</t>
  </si>
  <si>
    <t>PPPL Tecnicians</t>
  </si>
  <si>
    <t>ORNL Engrs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</si>
  <si>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</si>
  <si>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</si>
  <si>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</si>
  <si>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</si>
  <si>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</si>
  <si>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</si>
  <si>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</si>
  <si>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</si>
  <si>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</si>
  <si>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</si>
  <si>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</si>
  <si>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</si>
  <si>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Techs ecp36</t>
  </si>
  <si>
    <t>incl cont risk</t>
  </si>
  <si>
    <t/>
  </si>
  <si>
    <t>OCT FY06</t>
  </si>
  <si>
    <t>NOV FY06</t>
  </si>
  <si>
    <t>DEC FY06</t>
  </si>
  <si>
    <t>JAN FY06</t>
  </si>
  <si>
    <t>FEB FY06</t>
  </si>
  <si>
    <t>MAR FY06</t>
  </si>
  <si>
    <t>APR FY06</t>
  </si>
  <si>
    <t>MAY FY06</t>
  </si>
  <si>
    <t>JUN FY06</t>
  </si>
  <si>
    <t>JUL FY06</t>
  </si>
  <si>
    <t>AUG FY06</t>
  </si>
  <si>
    <t>SEP FY06</t>
  </si>
  <si>
    <t>OCT FY07</t>
  </si>
  <si>
    <t>NOV FY07</t>
  </si>
  <si>
    <t>DEC FY07</t>
  </si>
  <si>
    <t>JAN FY07</t>
  </si>
  <si>
    <t>FEB FY07</t>
  </si>
  <si>
    <t>MAR FY07</t>
  </si>
  <si>
    <t>APR FY07</t>
  </si>
  <si>
    <t>MAY FY07</t>
  </si>
  <si>
    <t>JUN FY07</t>
  </si>
  <si>
    <t>JUL FY07</t>
  </si>
  <si>
    <t>AUG FY07</t>
  </si>
  <si>
    <t>SEP FY07</t>
  </si>
  <si>
    <t>OCT FY08</t>
  </si>
  <si>
    <t>NOV FY08</t>
  </si>
  <si>
    <t>DEC FY08</t>
  </si>
  <si>
    <t>JAN FY08</t>
  </si>
  <si>
    <t>FEB FY08</t>
  </si>
  <si>
    <t>MAR FY08</t>
  </si>
  <si>
    <t>APR FY08</t>
  </si>
  <si>
    <t>MAY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</si>
  <si>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</si>
  <si>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</si>
  <si>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</si>
  <si>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</si>
  <si>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</si>
  <si>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</si>
  <si>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</si>
  <si>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</si>
  <si>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</si>
  <si>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</si>
  <si>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</si>
  <si>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MAY FY09</t>
  </si>
  <si>
    <t>JUN FY09</t>
  </si>
  <si>
    <t>JUL FY09</t>
  </si>
  <si>
    <t>AUG FY09</t>
  </si>
  <si>
    <t>SEP FY09</t>
  </si>
  <si>
    <t>OCT FY10</t>
  </si>
  <si>
    <t>NOV FY10</t>
  </si>
  <si>
    <t>DEC FY10</t>
  </si>
  <si>
    <t>Modular Coil</t>
  </si>
  <si>
    <t>TF Coil</t>
  </si>
  <si>
    <t>Field Period Assy</t>
  </si>
  <si>
    <t>Machine Assy</t>
  </si>
  <si>
    <t>risk</t>
  </si>
  <si>
    <t>FP Assy</t>
  </si>
  <si>
    <t>Mach Assy</t>
  </si>
  <si>
    <t>Mod Coil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</si>
</sst>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.0_);[Red]\(&quot;$&quot;#,##0.0\)"/>
    <numFmt numFmtId="168" formatCode="_(* #,##0.0_);_(* \(#,##0.0\);_(* &quot;-&quot;?_);_(@_)"/>
    <numFmt numFmtId="169" formatCode="0.000%"/>
    <numFmt numFmtId="170" formatCode="\+\ 0.00;\-\ 0.00"/>
    <numFmt numFmtId="171" formatCode="[Red]\+\ 0.00;[Blue]\-\ 0.00"/>
    <numFmt numFmtId="172" formatCode="[Red]\+\ 0.0;[Blue]\-\ 0.0"/>
    <numFmt numFmtId="173" formatCode="[Red]\+\ 0;[Blue]\-\ 0"/>
    <numFmt numFmtId="174" formatCode="0.0000"/>
    <numFmt numFmtId="175" formatCode="0.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?_);_(@_)"/>
    <numFmt numFmtId="182" formatCode="_(&quot;$&quot;* #,##0_);_(&quot;$&quot;* \(#,##0\);_(&quot;$&quot;* &quot;-&quot;??_);_(@_)"/>
    <numFmt numFmtId="183" formatCode="_(&quot;$&quot;* #,##0.0_);_(&quot;$&quot;* \(#,##0.0\);_(&quot;$&quot;* &quot;-&quot;??_);_(@_)"/>
    <numFmt numFmtId="184" formatCode="[$-409]mmm\-yy;@"/>
    <numFmt numFmtId="185" formatCode="0.00_)"/>
    <numFmt numFmtId="186" formatCode="0.00000"/>
    <numFmt numFmtId="187" formatCode="_(&quot;$&quot;* #,##0.000_);_(&quot;$&quot;* \(#,##0.000\);_(&quot;$&quot;* &quot;-&quot;??_);_(@_)"/>
    <numFmt numFmtId="188" formatCode="0.0000%"/>
    <numFmt numFmtId="189" formatCode="_(&quot;$&quot;* #,##0.0000_);_(&quot;$&quot;* \(#,##0.0000\);_(&quot;$&quot;* &quot;-&quot;??_);_(@_)"/>
    <numFmt numFmtId="190" formatCode="0.00000000"/>
    <numFmt numFmtId="191" formatCode="0.0000000"/>
    <numFmt numFmtId="192" formatCode="0.000000"/>
    <numFmt numFmtId="193" formatCode="_(* #,##0.000_);_(* \(#,##0.000\);_(* &quot;-&quot;??_);_(@_)"/>
    <numFmt numFmtId="194" formatCode="mmm\-yyyy"/>
    <numFmt numFmtId="195" formatCode="dd\-mmm\-yy_)"/>
    <numFmt numFmtId="196" formatCode="m/d/yy;@"/>
    <numFmt numFmtId="197" formatCode="mmm"/>
    <numFmt numFmtId="198" formatCode="m"/>
    <numFmt numFmtId="199" formatCode="mm"/>
    <numFmt numFmtId="200" formatCode="[$-409]dddd\,\ mmmm\ dd\,\ yyyy"/>
    <numFmt numFmtId="201" formatCode="[$-409]mmmmm;@"/>
    <numFmt numFmtId="202" formatCode="\ "/>
  </numFmts>
  <fonts count="58">
    <font>
      <sz val="10"/>
      <name val="Arial"/>
      <family val="0"/>
    </font>
    <font>
      <u val="singleAccounting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u val="single"/>
      <sz val="11"/>
      <color indexed="12"/>
      <name val="Arial"/>
      <family val="0"/>
    </font>
    <font>
      <b/>
      <u val="single"/>
      <sz val="11"/>
      <name val="Arial"/>
      <family val="0"/>
    </font>
    <font>
      <b/>
      <u val="single"/>
      <sz val="11"/>
      <color indexed="10"/>
      <name val="Arial"/>
      <family val="0"/>
    </font>
    <font>
      <b/>
      <sz val="11"/>
      <name val="Arial"/>
      <family val="0"/>
    </font>
    <font>
      <b/>
      <sz val="11"/>
      <color indexed="12"/>
      <name val="Arial"/>
      <family val="0"/>
    </font>
    <font>
      <b/>
      <sz val="11"/>
      <color indexed="10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u val="single"/>
      <sz val="14"/>
      <color indexed="8"/>
      <name val="Arial"/>
      <family val="0"/>
    </font>
    <font>
      <b/>
      <sz val="14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0"/>
      <name val="Courier"/>
      <family val="3"/>
    </font>
    <font>
      <i/>
      <sz val="10"/>
      <name val="Arial"/>
      <family val="2"/>
    </font>
    <font>
      <i/>
      <u val="singleAccounting"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.75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i/>
      <sz val="16"/>
      <name val="Arial"/>
      <family val="2"/>
    </font>
    <font>
      <b/>
      <sz val="16"/>
      <color indexed="12"/>
      <name val="Arial"/>
      <family val="2"/>
    </font>
    <font>
      <i/>
      <sz val="14"/>
      <name val="Arial"/>
      <family val="2"/>
    </font>
    <font>
      <sz val="48"/>
      <name val="Arial"/>
      <family val="2"/>
    </font>
    <font>
      <sz val="9"/>
      <name val="Arial Narrow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8"/>
      <name val="Arial"/>
      <family val="2"/>
    </font>
    <font>
      <u val="single"/>
      <sz val="14"/>
      <name val="Arial"/>
      <family val="2"/>
    </font>
    <font>
      <i/>
      <sz val="8"/>
      <color indexed="23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8"/>
      <name val="Arial Narrow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22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sz val="9"/>
      <name val="Arial"/>
      <family val="2"/>
    </font>
    <font>
      <b/>
      <sz val="13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Dashed">
        <color indexed="23"/>
      </left>
      <right style="mediumDashed">
        <color indexed="23"/>
      </right>
      <top>
        <color indexed="63"/>
      </top>
      <bottom>
        <color indexed="63"/>
      </bottom>
    </border>
    <border>
      <left style="mediumDashed">
        <color indexed="23"/>
      </left>
      <right style="mediumDashed">
        <color indexed="23"/>
      </right>
      <top style="mediumDashed">
        <color indexed="23"/>
      </top>
      <bottom>
        <color indexed="63"/>
      </bottom>
    </border>
    <border>
      <left style="mediumDashed">
        <color indexed="23"/>
      </left>
      <right>
        <color indexed="63"/>
      </right>
      <top style="mediumDashed">
        <color indexed="23"/>
      </top>
      <bottom>
        <color indexed="63"/>
      </bottom>
    </border>
    <border>
      <left>
        <color indexed="63"/>
      </left>
      <right style="mediumDashed">
        <color indexed="23"/>
      </right>
      <top style="mediumDashed">
        <color indexed="23"/>
      </top>
      <bottom>
        <color indexed="63"/>
      </bottom>
    </border>
    <border>
      <left style="mediumDashed">
        <color indexed="23"/>
      </left>
      <right style="mediumDashed">
        <color indexed="55"/>
      </right>
      <top style="medium"/>
      <bottom>
        <color indexed="63"/>
      </bottom>
    </border>
    <border>
      <left>
        <color indexed="63"/>
      </left>
      <right style="mediumDashed">
        <color indexed="55"/>
      </right>
      <top style="medium"/>
      <bottom>
        <color indexed="63"/>
      </bottom>
    </border>
    <border>
      <left style="mediumDash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23"/>
      </right>
      <top>
        <color indexed="63"/>
      </top>
      <bottom>
        <color indexed="63"/>
      </bottom>
    </border>
    <border>
      <left style="mediumDashed">
        <color indexed="23"/>
      </left>
      <right style="mediumDashed">
        <color indexed="55"/>
      </right>
      <top>
        <color indexed="63"/>
      </top>
      <bottom>
        <color indexed="63"/>
      </bottom>
    </border>
    <border>
      <left>
        <color indexed="63"/>
      </left>
      <right style="mediumDashed">
        <color indexed="55"/>
      </right>
      <top>
        <color indexed="63"/>
      </top>
      <bottom>
        <color indexed="63"/>
      </bottom>
    </border>
    <border>
      <left style="mediumDashed">
        <color indexed="23"/>
      </left>
      <right style="mediumDashed">
        <color indexed="23"/>
      </right>
      <top>
        <color indexed="63"/>
      </top>
      <bottom style="medium"/>
    </border>
    <border>
      <left style="mediumDashed">
        <color indexed="23"/>
      </left>
      <right style="mediumDashed">
        <color indexed="55"/>
      </right>
      <top>
        <color indexed="63"/>
      </top>
      <bottom style="medium"/>
    </border>
    <border>
      <left>
        <color indexed="63"/>
      </left>
      <right style="mediumDashed">
        <color indexed="55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4" fillId="2" borderId="0" xfId="15" applyNumberFormat="1" applyFont="1" applyFill="1" applyAlignment="1">
      <alignment/>
    </xf>
    <xf numFmtId="165" fontId="0" fillId="2" borderId="0" xfId="15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9" fontId="0" fillId="0" borderId="0" xfId="21" applyFont="1" applyFill="1" applyAlignment="1">
      <alignment horizontal="left"/>
    </xf>
    <xf numFmtId="165" fontId="2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15" applyNumberFormat="1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ill="1" applyBorder="1" applyAlignment="1">
      <alignment/>
    </xf>
    <xf numFmtId="166" fontId="0" fillId="0" borderId="0" xfId="21" applyNumberFormat="1" applyFill="1" applyBorder="1" applyAlignment="1">
      <alignment horizontal="left"/>
    </xf>
    <xf numFmtId="166" fontId="0" fillId="0" borderId="0" xfId="21" applyNumberFormat="1" applyFill="1" applyAlignment="1">
      <alignment horizontal="left"/>
    </xf>
    <xf numFmtId="0" fontId="6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15" applyNumberFormat="1" applyFont="1" applyAlignment="1">
      <alignment/>
    </xf>
    <xf numFmtId="6" fontId="0" fillId="0" borderId="0" xfId="0" applyNumberFormat="1" applyAlignment="1">
      <alignment/>
    </xf>
    <xf numFmtId="6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167" fontId="2" fillId="0" borderId="0" xfId="0" applyNumberFormat="1" applyFont="1" applyAlignment="1">
      <alignment/>
    </xf>
    <xf numFmtId="164" fontId="0" fillId="0" borderId="0" xfId="15" applyNumberFormat="1" applyAlignment="1">
      <alignment/>
    </xf>
    <xf numFmtId="164" fontId="0" fillId="3" borderId="0" xfId="0" applyNumberFormat="1" applyFill="1" applyAlignment="1">
      <alignment/>
    </xf>
    <xf numFmtId="164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164" fontId="0" fillId="4" borderId="1" xfId="0" applyNumberFormat="1" applyFill="1" applyBorder="1" applyAlignment="1">
      <alignment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5" borderId="1" xfId="0" applyNumberFormat="1" applyFill="1" applyBorder="1" applyAlignment="1">
      <alignment/>
    </xf>
    <xf numFmtId="0" fontId="0" fillId="5" borderId="0" xfId="0" applyFill="1" applyAlignment="1">
      <alignment/>
    </xf>
    <xf numFmtId="164" fontId="0" fillId="6" borderId="0" xfId="0" applyNumberFormat="1" applyFill="1" applyAlignment="1">
      <alignment/>
    </xf>
    <xf numFmtId="164" fontId="0" fillId="6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8" borderId="1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9" borderId="2" xfId="0" applyNumberFormat="1" applyFill="1" applyBorder="1" applyAlignment="1">
      <alignment/>
    </xf>
    <xf numFmtId="0" fontId="0" fillId="9" borderId="4" xfId="0" applyFill="1" applyBorder="1" applyAlignment="1">
      <alignment/>
    </xf>
    <xf numFmtId="0" fontId="0" fillId="9" borderId="2" xfId="0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2" fillId="0" borderId="0" xfId="15" applyNumberFormat="1" applyFont="1" applyAlignment="1">
      <alignment/>
    </xf>
    <xf numFmtId="168" fontId="0" fillId="0" borderId="0" xfId="0" applyNumberFormat="1" applyAlignment="1">
      <alignment/>
    </xf>
    <xf numFmtId="0" fontId="0" fillId="10" borderId="0" xfId="0" applyFill="1" applyAlignment="1">
      <alignment/>
    </xf>
    <xf numFmtId="164" fontId="0" fillId="10" borderId="0" xfId="15" applyNumberFormat="1" applyFill="1" applyAlignment="1">
      <alignment/>
    </xf>
    <xf numFmtId="164" fontId="0" fillId="10" borderId="1" xfId="15" applyNumberFormat="1" applyFill="1" applyBorder="1" applyAlignment="1">
      <alignment/>
    </xf>
    <xf numFmtId="166" fontId="0" fillId="0" borderId="0" xfId="21" applyNumberFormat="1" applyAlignment="1">
      <alignment/>
    </xf>
    <xf numFmtId="164" fontId="0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6" fontId="6" fillId="0" borderId="0" xfId="0" applyNumberFormat="1" applyFont="1" applyAlignment="1">
      <alignment vertical="top"/>
    </xf>
    <xf numFmtId="6" fontId="2" fillId="0" borderId="13" xfId="0" applyNumberFormat="1" applyFont="1" applyBorder="1" applyAlignment="1">
      <alignment vertical="top"/>
    </xf>
    <xf numFmtId="6" fontId="2" fillId="0" borderId="0" xfId="0" applyNumberFormat="1" applyFont="1" applyAlignment="1">
      <alignment vertical="top"/>
    </xf>
    <xf numFmtId="6" fontId="0" fillId="0" borderId="0" xfId="0" applyNumberFormat="1" applyAlignment="1">
      <alignment vertical="top"/>
    </xf>
    <xf numFmtId="6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Continuous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Continuous"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6" fontId="16" fillId="0" borderId="0" xfId="0" applyNumberFormat="1" applyFont="1" applyAlignment="1">
      <alignment vertical="top"/>
    </xf>
    <xf numFmtId="6" fontId="16" fillId="0" borderId="0" xfId="0" applyNumberFormat="1" applyFont="1" applyAlignment="1">
      <alignment vertical="top" wrapText="1"/>
    </xf>
    <xf numFmtId="6" fontId="11" fillId="0" borderId="0" xfId="0" applyNumberFormat="1" applyFont="1" applyAlignment="1">
      <alignment vertical="top" wrapText="1"/>
    </xf>
    <xf numFmtId="6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6" fontId="16" fillId="0" borderId="13" xfId="0" applyNumberFormat="1" applyFont="1" applyBorder="1" applyAlignment="1">
      <alignment vertical="top"/>
    </xf>
    <xf numFmtId="6" fontId="17" fillId="0" borderId="13" xfId="0" applyNumberFormat="1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6" fontId="19" fillId="0" borderId="0" xfId="0" applyNumberFormat="1" applyFont="1" applyAlignment="1">
      <alignment vertical="top"/>
    </xf>
    <xf numFmtId="6" fontId="19" fillId="0" borderId="0" xfId="0" applyNumberFormat="1" applyFont="1" applyAlignment="1">
      <alignment vertical="top" wrapText="1"/>
    </xf>
    <xf numFmtId="6" fontId="20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6" fontId="19" fillId="0" borderId="13" xfId="0" applyNumberFormat="1" applyFont="1" applyBorder="1" applyAlignment="1">
      <alignment vertical="top"/>
    </xf>
    <xf numFmtId="6" fontId="19" fillId="0" borderId="13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Continuous" vertical="top"/>
    </xf>
    <xf numFmtId="0" fontId="18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6" fontId="19" fillId="0" borderId="0" xfId="0" applyNumberFormat="1" applyFont="1" applyBorder="1" applyAlignment="1">
      <alignment vertical="top"/>
    </xf>
    <xf numFmtId="6" fontId="19" fillId="0" borderId="0" xfId="0" applyNumberFormat="1" applyFont="1" applyBorder="1" applyAlignment="1">
      <alignment vertical="top" wrapText="1"/>
    </xf>
    <xf numFmtId="6" fontId="20" fillId="0" borderId="0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1" fillId="0" borderId="0" xfId="0" applyFont="1" applyAlignment="1">
      <alignment horizontal="centerContinuous"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6" fontId="23" fillId="0" borderId="0" xfId="0" applyNumberFormat="1" applyFont="1" applyAlignment="1">
      <alignment vertical="top"/>
    </xf>
    <xf numFmtId="6" fontId="23" fillId="0" borderId="0" xfId="0" applyNumberFormat="1" applyFont="1" applyAlignment="1">
      <alignment vertical="top" wrapText="1"/>
    </xf>
    <xf numFmtId="6" fontId="24" fillId="0" borderId="0" xfId="0" applyNumberFormat="1" applyFont="1" applyAlignment="1">
      <alignment vertical="top" wrapText="1"/>
    </xf>
    <xf numFmtId="165" fontId="0" fillId="0" borderId="0" xfId="15" applyNumberFormat="1" applyBorder="1" applyAlignment="1">
      <alignment/>
    </xf>
    <xf numFmtId="9" fontId="0" fillId="0" borderId="0" xfId="21" applyBorder="1" applyAlignment="1">
      <alignment/>
    </xf>
    <xf numFmtId="166" fontId="0" fillId="0" borderId="0" xfId="21" applyNumberFormat="1" applyBorder="1" applyAlignment="1">
      <alignment/>
    </xf>
    <xf numFmtId="165" fontId="25" fillId="0" borderId="0" xfId="15" applyNumberFormat="1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15" applyNumberFormat="1" applyAlignment="1">
      <alignment horizontal="center"/>
    </xf>
    <xf numFmtId="9" fontId="0" fillId="0" borderId="0" xfId="2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21" applyNumberForma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1" fillId="0" borderId="0" xfId="15" applyNumberFormat="1" applyFont="1" applyAlignment="1">
      <alignment horizontal="center"/>
    </xf>
    <xf numFmtId="0" fontId="26" fillId="0" borderId="5" xfId="0" applyFont="1" applyBorder="1" applyAlignment="1">
      <alignment/>
    </xf>
    <xf numFmtId="165" fontId="26" fillId="0" borderId="9" xfId="0" applyNumberFormat="1" applyFont="1" applyBorder="1" applyAlignment="1">
      <alignment horizontal="center"/>
    </xf>
    <xf numFmtId="9" fontId="26" fillId="0" borderId="6" xfId="21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 horizontal="center"/>
    </xf>
    <xf numFmtId="9" fontId="26" fillId="0" borderId="11" xfId="2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9" fontId="27" fillId="0" borderId="11" xfId="21" applyFont="1" applyBorder="1" applyAlignment="1">
      <alignment horizontal="center"/>
    </xf>
    <xf numFmtId="0" fontId="26" fillId="0" borderId="7" xfId="0" applyFont="1" applyBorder="1" applyAlignment="1">
      <alignment/>
    </xf>
    <xf numFmtId="165" fontId="26" fillId="0" borderId="12" xfId="0" applyNumberFormat="1" applyFont="1" applyBorder="1" applyAlignment="1">
      <alignment horizontal="center"/>
    </xf>
    <xf numFmtId="166" fontId="26" fillId="0" borderId="8" xfId="21" applyNumberFormat="1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183" fontId="0" fillId="0" borderId="0" xfId="17" applyNumberFormat="1" applyFill="1" applyAlignment="1">
      <alignment/>
    </xf>
    <xf numFmtId="183" fontId="0" fillId="0" borderId="0" xfId="17" applyNumberFormat="1" applyFont="1" applyFill="1" applyAlignment="1">
      <alignment/>
    </xf>
    <xf numFmtId="183" fontId="2" fillId="0" borderId="0" xfId="17" applyNumberFormat="1" applyFont="1" applyFill="1" applyAlignment="1">
      <alignment/>
    </xf>
    <xf numFmtId="9" fontId="0" fillId="0" borderId="0" xfId="21" applyFill="1" applyAlignment="1">
      <alignment/>
    </xf>
    <xf numFmtId="165" fontId="0" fillId="0" borderId="0" xfId="15" applyNumberFormat="1" applyFill="1" applyAlignment="1">
      <alignment/>
    </xf>
    <xf numFmtId="0" fontId="32" fillId="7" borderId="0" xfId="0" applyFont="1" applyFill="1" applyAlignment="1">
      <alignment/>
    </xf>
    <xf numFmtId="0" fontId="32" fillId="7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183" fontId="32" fillId="7" borderId="0" xfId="17" applyNumberFormat="1" applyFont="1" applyFill="1" applyAlignment="1">
      <alignment/>
    </xf>
    <xf numFmtId="0" fontId="33" fillId="7" borderId="0" xfId="0" applyFont="1" applyFill="1" applyAlignment="1">
      <alignment/>
    </xf>
    <xf numFmtId="183" fontId="33" fillId="7" borderId="0" xfId="17" applyNumberFormat="1" applyFont="1" applyFill="1" applyAlignment="1">
      <alignment/>
    </xf>
    <xf numFmtId="44" fontId="34" fillId="0" borderId="0" xfId="17" applyNumberFormat="1" applyFont="1" applyFill="1" applyAlignment="1">
      <alignment/>
    </xf>
    <xf numFmtId="0" fontId="35" fillId="7" borderId="0" xfId="0" applyFont="1" applyFill="1" applyAlignment="1">
      <alignment/>
    </xf>
    <xf numFmtId="183" fontId="35" fillId="7" borderId="0" xfId="17" applyNumberFormat="1" applyFont="1" applyFill="1" applyAlignment="1">
      <alignment/>
    </xf>
    <xf numFmtId="183" fontId="32" fillId="7" borderId="0" xfId="0" applyNumberFormat="1" applyFont="1" applyFill="1" applyAlignment="1">
      <alignment/>
    </xf>
    <xf numFmtId="44" fontId="34" fillId="0" borderId="0" xfId="0" applyNumberFormat="1" applyFont="1" applyFill="1" applyAlignment="1">
      <alignment/>
    </xf>
    <xf numFmtId="183" fontId="36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83" fontId="32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83" fontId="33" fillId="0" borderId="0" xfId="0" applyNumberFormat="1" applyFont="1" applyFill="1" applyAlignment="1">
      <alignment/>
    </xf>
    <xf numFmtId="183" fontId="33" fillId="0" borderId="0" xfId="17" applyNumberFormat="1" applyFont="1" applyFill="1" applyAlignment="1">
      <alignment/>
    </xf>
    <xf numFmtId="0" fontId="32" fillId="9" borderId="0" xfId="0" applyFont="1" applyFill="1" applyAlignment="1">
      <alignment/>
    </xf>
    <xf numFmtId="183" fontId="32" fillId="9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39" fillId="0" borderId="11" xfId="0" applyFont="1" applyBorder="1" applyAlignment="1">
      <alignment/>
    </xf>
    <xf numFmtId="0" fontId="3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Continuous"/>
    </xf>
    <xf numFmtId="0" fontId="11" fillId="0" borderId="19" xfId="0" applyFont="1" applyFill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1" fillId="0" borderId="25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11" borderId="14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11" borderId="14" xfId="0" applyFont="1" applyFill="1" applyBorder="1" applyAlignment="1">
      <alignment vertical="center"/>
    </xf>
    <xf numFmtId="0" fontId="0" fillId="11" borderId="15" xfId="0" applyFont="1" applyFill="1" applyBorder="1" applyAlignment="1">
      <alignment vertical="center"/>
    </xf>
    <xf numFmtId="0" fontId="11" fillId="11" borderId="15" xfId="0" applyFont="1" applyFill="1" applyBorder="1" applyAlignment="1">
      <alignment vertical="center"/>
    </xf>
    <xf numFmtId="0" fontId="11" fillId="11" borderId="23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" borderId="15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11" borderId="17" xfId="0" applyFont="1" applyFill="1" applyBorder="1" applyAlignment="1">
      <alignment vertical="center"/>
    </xf>
    <xf numFmtId="0" fontId="0" fillId="11" borderId="17" xfId="0" applyFont="1" applyFill="1" applyBorder="1" applyAlignment="1">
      <alignment vertical="center"/>
    </xf>
    <xf numFmtId="0" fontId="0" fillId="11" borderId="1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5" fillId="11" borderId="14" xfId="0" applyFont="1" applyFill="1" applyBorder="1" applyAlignment="1">
      <alignment horizontal="left" vertical="center"/>
    </xf>
    <xf numFmtId="0" fontId="20" fillId="11" borderId="15" xfId="0" applyFont="1" applyFill="1" applyBorder="1" applyAlignment="1">
      <alignment vertical="center"/>
    </xf>
    <xf numFmtId="0" fontId="44" fillId="11" borderId="15" xfId="0" applyFont="1" applyFill="1" applyBorder="1" applyAlignment="1">
      <alignment vertical="center"/>
    </xf>
    <xf numFmtId="0" fontId="45" fillId="11" borderId="15" xfId="0" applyFont="1" applyFill="1" applyBorder="1" applyAlignment="1">
      <alignment horizontal="left" vertical="center"/>
    </xf>
    <xf numFmtId="0" fontId="20" fillId="12" borderId="15" xfId="0" applyFont="1" applyFill="1" applyBorder="1" applyAlignment="1">
      <alignment vertical="center"/>
    </xf>
    <xf numFmtId="0" fontId="44" fillId="11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11" borderId="27" xfId="0" applyFont="1" applyFill="1" applyBorder="1" applyAlignment="1">
      <alignment vertical="center"/>
    </xf>
    <xf numFmtId="0" fontId="0" fillId="11" borderId="28" xfId="0" applyFont="1" applyFill="1" applyBorder="1" applyAlignment="1">
      <alignment vertical="center"/>
    </xf>
    <xf numFmtId="0" fontId="43" fillId="11" borderId="15" xfId="0" applyFont="1" applyFill="1" applyBorder="1" applyAlignment="1">
      <alignment vertical="center"/>
    </xf>
    <xf numFmtId="0" fontId="44" fillId="11" borderId="14" xfId="0" applyFont="1" applyFill="1" applyBorder="1" applyAlignment="1">
      <alignment vertical="center"/>
    </xf>
    <xf numFmtId="0" fontId="11" fillId="11" borderId="0" xfId="0" applyFont="1" applyFill="1" applyBorder="1" applyAlignment="1">
      <alignment vertical="center"/>
    </xf>
    <xf numFmtId="0" fontId="46" fillId="11" borderId="14" xfId="0" applyFont="1" applyFill="1" applyBorder="1" applyAlignment="1">
      <alignment vertical="center"/>
    </xf>
    <xf numFmtId="0" fontId="11" fillId="12" borderId="15" xfId="0" applyFont="1" applyFill="1" applyBorder="1" applyAlignment="1">
      <alignment vertical="center"/>
    </xf>
    <xf numFmtId="0" fontId="20" fillId="12" borderId="23" xfId="0" applyFont="1" applyFill="1" applyBorder="1" applyAlignment="1">
      <alignment vertical="center"/>
    </xf>
    <xf numFmtId="0" fontId="44" fillId="13" borderId="14" xfId="0" applyFont="1" applyFill="1" applyBorder="1" applyAlignment="1">
      <alignment horizontal="left" vertical="center"/>
    </xf>
    <xf numFmtId="0" fontId="45" fillId="13" borderId="15" xfId="0" applyFont="1" applyFill="1" applyBorder="1" applyAlignment="1">
      <alignment horizontal="right" vertical="center"/>
    </xf>
    <xf numFmtId="0" fontId="45" fillId="13" borderId="15" xfId="0" applyFont="1" applyFill="1" applyBorder="1" applyAlignment="1">
      <alignment vertical="center"/>
    </xf>
    <xf numFmtId="0" fontId="44" fillId="13" borderId="23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5" fillId="11" borderId="14" xfId="0" applyFont="1" applyFill="1" applyBorder="1" applyAlignment="1">
      <alignment vertical="center"/>
    </xf>
    <xf numFmtId="0" fontId="0" fillId="12" borderId="15" xfId="0" applyFont="1" applyFill="1" applyBorder="1" applyAlignment="1">
      <alignment vertical="center"/>
    </xf>
    <xf numFmtId="0" fontId="0" fillId="11" borderId="23" xfId="0" applyFont="1" applyFill="1" applyBorder="1" applyAlignment="1">
      <alignment vertical="center"/>
    </xf>
    <xf numFmtId="0" fontId="11" fillId="11" borderId="21" xfId="0" applyFont="1" applyFill="1" applyBorder="1" applyAlignment="1">
      <alignment vertical="center"/>
    </xf>
    <xf numFmtId="0" fontId="11" fillId="12" borderId="14" xfId="0" applyFont="1" applyFill="1" applyBorder="1" applyAlignment="1">
      <alignment vertical="center"/>
    </xf>
    <xf numFmtId="0" fontId="0" fillId="12" borderId="1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0" fillId="3" borderId="15" xfId="0" applyFont="1" applyFill="1" applyBorder="1" applyAlignment="1">
      <alignment horizontal="right" vertical="center"/>
    </xf>
    <xf numFmtId="0" fontId="0" fillId="12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12" borderId="23" xfId="0" applyFont="1" applyFill="1" applyBorder="1" applyAlignment="1">
      <alignment vertical="center"/>
    </xf>
    <xf numFmtId="0" fontId="47" fillId="11" borderId="10" xfId="0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0" fillId="12" borderId="21" xfId="0" applyFont="1" applyFill="1" applyBorder="1" applyAlignment="1">
      <alignment vertical="center"/>
    </xf>
    <xf numFmtId="0" fontId="11" fillId="12" borderId="29" xfId="0" applyFont="1" applyFill="1" applyBorder="1" applyAlignment="1">
      <alignment vertical="center"/>
    </xf>
    <xf numFmtId="0" fontId="11" fillId="12" borderId="0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23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8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26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centerContinuous"/>
    </xf>
    <xf numFmtId="0" fontId="39" fillId="9" borderId="0" xfId="0" applyFont="1" applyFill="1" applyBorder="1" applyAlignment="1">
      <alignment horizontal="centerContinuous"/>
    </xf>
    <xf numFmtId="0" fontId="49" fillId="9" borderId="5" xfId="0" applyFont="1" applyFill="1" applyBorder="1" applyAlignment="1">
      <alignment horizontal="centerContinuous" vertical="center"/>
    </xf>
    <xf numFmtId="0" fontId="39" fillId="9" borderId="9" xfId="0" applyFont="1" applyFill="1" applyBorder="1" applyAlignment="1">
      <alignment horizontal="centerContinuous"/>
    </xf>
    <xf numFmtId="0" fontId="39" fillId="9" borderId="9" xfId="0" applyFont="1" applyFill="1" applyBorder="1" applyAlignment="1">
      <alignment/>
    </xf>
    <xf numFmtId="0" fontId="39" fillId="9" borderId="6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50" fillId="9" borderId="0" xfId="0" applyFont="1" applyFill="1" applyBorder="1" applyAlignment="1">
      <alignment/>
    </xf>
    <xf numFmtId="0" fontId="50" fillId="9" borderId="1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50" fillId="9" borderId="0" xfId="0" applyFont="1" applyFill="1" applyAlignment="1">
      <alignment/>
    </xf>
    <xf numFmtId="0" fontId="50" fillId="7" borderId="0" xfId="0" applyFont="1" applyFill="1" applyBorder="1" applyAlignment="1">
      <alignment/>
    </xf>
    <xf numFmtId="0" fontId="50" fillId="13" borderId="0" xfId="0" applyFont="1" applyFill="1" applyBorder="1" applyAlignment="1">
      <alignment/>
    </xf>
    <xf numFmtId="0" fontId="50" fillId="8" borderId="0" xfId="0" applyFont="1" applyFill="1" applyBorder="1" applyAlignment="1">
      <alignment/>
    </xf>
    <xf numFmtId="0" fontId="50" fillId="8" borderId="0" xfId="0" applyFont="1" applyFill="1" applyAlignment="1">
      <alignment/>
    </xf>
    <xf numFmtId="0" fontId="50" fillId="9" borderId="11" xfId="0" applyFont="1" applyFill="1" applyBorder="1" applyAlignment="1">
      <alignment/>
    </xf>
    <xf numFmtId="0" fontId="50" fillId="0" borderId="0" xfId="0" applyFont="1" applyFill="1" applyAlignment="1">
      <alignment/>
    </xf>
    <xf numFmtId="0" fontId="51" fillId="9" borderId="10" xfId="0" applyFont="1" applyFill="1" applyBorder="1" applyAlignment="1">
      <alignment vertical="center"/>
    </xf>
    <xf numFmtId="0" fontId="11" fillId="9" borderId="0" xfId="0" applyFont="1" applyFill="1" applyBorder="1" applyAlignment="1">
      <alignment/>
    </xf>
    <xf numFmtId="0" fontId="50" fillId="9" borderId="2" xfId="0" applyFont="1" applyFill="1" applyBorder="1" applyAlignment="1">
      <alignment horizontal="centerContinuous"/>
    </xf>
    <xf numFmtId="0" fontId="50" fillId="9" borderId="3" xfId="0" applyFont="1" applyFill="1" applyBorder="1" applyAlignment="1">
      <alignment horizontal="centerContinuous"/>
    </xf>
    <xf numFmtId="0" fontId="50" fillId="9" borderId="4" xfId="0" applyFont="1" applyFill="1" applyBorder="1" applyAlignment="1">
      <alignment horizontal="centerContinuous"/>
    </xf>
    <xf numFmtId="0" fontId="50" fillId="9" borderId="4" xfId="0" applyFont="1" applyFill="1" applyBorder="1" applyAlignment="1">
      <alignment/>
    </xf>
    <xf numFmtId="197" fontId="50" fillId="0" borderId="0" xfId="0" applyNumberFormat="1" applyFont="1" applyFill="1" applyAlignment="1">
      <alignment horizontal="center" vertical="center" wrapText="1"/>
    </xf>
    <xf numFmtId="197" fontId="50" fillId="0" borderId="0" xfId="0" applyNumberFormat="1" applyFont="1" applyFill="1" applyAlignment="1">
      <alignment horizontal="center" wrapText="1"/>
    </xf>
    <xf numFmtId="197" fontId="50" fillId="9" borderId="1" xfId="0" applyNumberFormat="1" applyFont="1" applyFill="1" applyBorder="1" applyAlignment="1">
      <alignment horizontal="center" wrapText="1"/>
    </xf>
    <xf numFmtId="197" fontId="50" fillId="9" borderId="2" xfId="0" applyNumberFormat="1" applyFont="1" applyFill="1" applyBorder="1" applyAlignment="1">
      <alignment horizontal="center" wrapText="1"/>
    </xf>
    <xf numFmtId="197" fontId="50" fillId="9" borderId="4" xfId="0" applyNumberFormat="1" applyFont="1" applyFill="1" applyBorder="1" applyAlignment="1">
      <alignment horizontal="center" wrapText="1"/>
    </xf>
    <xf numFmtId="197" fontId="50" fillId="9" borderId="31" xfId="0" applyNumberFormat="1" applyFont="1" applyFill="1" applyBorder="1" applyAlignment="1">
      <alignment horizontal="center" wrapText="1"/>
    </xf>
    <xf numFmtId="197" fontId="50" fillId="9" borderId="7" xfId="0" applyNumberFormat="1" applyFont="1" applyFill="1" applyBorder="1" applyAlignment="1">
      <alignment horizontal="center" wrapText="1"/>
    </xf>
    <xf numFmtId="197" fontId="50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0" fillId="9" borderId="0" xfId="0" applyFont="1" applyFill="1" applyBorder="1" applyAlignment="1">
      <alignment/>
    </xf>
    <xf numFmtId="0" fontId="2" fillId="9" borderId="10" xfId="0" applyFont="1" applyFill="1" applyBorder="1" applyAlignment="1">
      <alignment vertical="center"/>
    </xf>
    <xf numFmtId="0" fontId="0" fillId="9" borderId="32" xfId="0" applyFont="1" applyFill="1" applyBorder="1" applyAlignment="1">
      <alignment/>
    </xf>
    <xf numFmtId="0" fontId="0" fillId="9" borderId="33" xfId="0" applyFont="1" applyFill="1" applyBorder="1" applyAlignment="1">
      <alignment/>
    </xf>
    <xf numFmtId="0" fontId="0" fillId="9" borderId="34" xfId="0" applyFont="1" applyFill="1" applyBorder="1" applyAlignment="1">
      <alignment/>
    </xf>
    <xf numFmtId="0" fontId="0" fillId="9" borderId="35" xfId="0" applyFont="1" applyFill="1" applyBorder="1" applyAlignment="1">
      <alignment/>
    </xf>
    <xf numFmtId="0" fontId="0" fillId="9" borderId="36" xfId="0" applyFont="1" applyFill="1" applyBorder="1" applyAlignment="1">
      <alignment/>
    </xf>
    <xf numFmtId="0" fontId="0" fillId="9" borderId="37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2" fillId="9" borderId="10" xfId="0" applyFont="1" applyFill="1" applyBorder="1" applyAlignment="1">
      <alignment horizontal="right" vertical="center"/>
    </xf>
    <xf numFmtId="0" fontId="2" fillId="9" borderId="38" xfId="0" applyFont="1" applyFill="1" applyBorder="1" applyAlignment="1">
      <alignment horizontal="left" vertical="center"/>
    </xf>
    <xf numFmtId="0" fontId="2" fillId="9" borderId="32" xfId="0" applyFont="1" applyFill="1" applyBorder="1" applyAlignment="1">
      <alignment vertical="center"/>
    </xf>
    <xf numFmtId="0" fontId="2" fillId="9" borderId="32" xfId="0" applyFont="1" applyFill="1" applyBorder="1" applyAlignment="1">
      <alignment/>
    </xf>
    <xf numFmtId="0" fontId="2" fillId="9" borderId="39" xfId="0" applyFont="1" applyFill="1" applyBorder="1" applyAlignment="1">
      <alignment/>
    </xf>
    <xf numFmtId="0" fontId="2" fillId="9" borderId="40" xfId="0" applyFont="1" applyFill="1" applyBorder="1" applyAlignment="1">
      <alignment/>
    </xf>
    <xf numFmtId="0" fontId="2" fillId="9" borderId="41" xfId="0" applyFont="1" applyFill="1" applyBorder="1" applyAlignment="1">
      <alignment/>
    </xf>
    <xf numFmtId="0" fontId="0" fillId="9" borderId="41" xfId="0" applyFont="1" applyFill="1" applyBorder="1" applyAlignment="1">
      <alignment/>
    </xf>
    <xf numFmtId="0" fontId="2" fillId="9" borderId="0" xfId="0" applyFont="1" applyFill="1" applyBorder="1" applyAlignment="1">
      <alignment/>
    </xf>
    <xf numFmtId="0" fontId="2" fillId="9" borderId="32" xfId="0" applyFont="1" applyFill="1" applyBorder="1" applyAlignment="1">
      <alignment horizontal="right" vertical="center"/>
    </xf>
    <xf numFmtId="0" fontId="2" fillId="9" borderId="38" xfId="0" applyFont="1" applyFill="1" applyBorder="1" applyAlignment="1">
      <alignment vertical="center"/>
    </xf>
    <xf numFmtId="0" fontId="2" fillId="9" borderId="39" xfId="0" applyFont="1" applyFill="1" applyBorder="1" applyAlignment="1">
      <alignment vertical="center"/>
    </xf>
    <xf numFmtId="0" fontId="2" fillId="9" borderId="38" xfId="0" applyFont="1" applyFill="1" applyBorder="1" applyAlignment="1">
      <alignment/>
    </xf>
    <xf numFmtId="0" fontId="2" fillId="9" borderId="32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left" vertical="center"/>
    </xf>
    <xf numFmtId="0" fontId="2" fillId="9" borderId="40" xfId="0" applyFont="1" applyFill="1" applyBorder="1" applyAlignment="1">
      <alignment horizontal="left" vertical="top"/>
    </xf>
    <xf numFmtId="0" fontId="2" fillId="9" borderId="41" xfId="0" applyFont="1" applyFill="1" applyBorder="1" applyAlignment="1">
      <alignment horizontal="right" vertical="center"/>
    </xf>
    <xf numFmtId="0" fontId="2" fillId="9" borderId="7" xfId="0" applyFont="1" applyFill="1" applyBorder="1" applyAlignment="1">
      <alignment horizontal="right" vertical="center"/>
    </xf>
    <xf numFmtId="0" fontId="0" fillId="9" borderId="42" xfId="0" applyFont="1" applyFill="1" applyBorder="1" applyAlignment="1">
      <alignment/>
    </xf>
    <xf numFmtId="0" fontId="2" fillId="9" borderId="42" xfId="0" applyFont="1" applyFill="1" applyBorder="1" applyAlignment="1">
      <alignment/>
    </xf>
    <xf numFmtId="0" fontId="2" fillId="9" borderId="43" xfId="0" applyFont="1" applyFill="1" applyBorder="1" applyAlignment="1">
      <alignment/>
    </xf>
    <xf numFmtId="0" fontId="2" fillId="9" borderId="44" xfId="0" applyFont="1" applyFill="1" applyBorder="1" applyAlignment="1">
      <alignment horizontal="left" vertical="top"/>
    </xf>
    <xf numFmtId="0" fontId="2" fillId="9" borderId="44" xfId="0" applyFont="1" applyFill="1" applyBorder="1" applyAlignment="1">
      <alignment horizontal="center" vertical="center"/>
    </xf>
    <xf numFmtId="0" fontId="0" fillId="9" borderId="44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52" fillId="0" borderId="0" xfId="0" applyFont="1" applyFill="1" applyAlignment="1">
      <alignment horizontal="centerContinuous"/>
    </xf>
    <xf numFmtId="0" fontId="30" fillId="0" borderId="0" xfId="0" applyFont="1" applyFill="1" applyAlignment="1">
      <alignment horizontal="centerContinuous"/>
    </xf>
    <xf numFmtId="194" fontId="30" fillId="0" borderId="0" xfId="0" applyNumberFormat="1" applyFont="1" applyFill="1" applyAlignment="1">
      <alignment horizontal="centerContinuous"/>
    </xf>
    <xf numFmtId="0" fontId="53" fillId="0" borderId="0" xfId="0" applyFont="1" applyFill="1" applyAlignment="1">
      <alignment horizontal="centerContinuous"/>
    </xf>
    <xf numFmtId="0" fontId="30" fillId="0" borderId="0" xfId="0" applyFont="1" applyFill="1" applyAlignment="1" applyProtection="1">
      <alignment horizontal="left"/>
      <protection/>
    </xf>
    <xf numFmtId="0" fontId="54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"/>
      <protection/>
    </xf>
    <xf numFmtId="194" fontId="53" fillId="0" borderId="0" xfId="0" applyNumberFormat="1" applyFont="1" applyFill="1" applyAlignment="1" applyProtection="1">
      <alignment horizontal="center"/>
      <protection/>
    </xf>
    <xf numFmtId="0" fontId="53" fillId="0" borderId="0" xfId="0" applyFont="1" applyFill="1" applyAlignment="1" applyProtection="1">
      <alignment horizontal="center"/>
      <protection/>
    </xf>
    <xf numFmtId="0" fontId="54" fillId="0" borderId="0" xfId="0" applyFont="1" applyFill="1" applyAlignment="1" applyProtection="1">
      <alignment horizontal="left"/>
      <protection/>
    </xf>
    <xf numFmtId="0" fontId="54" fillId="0" borderId="0" xfId="0" applyFont="1" applyFill="1" applyAlignment="1" applyProtection="1">
      <alignment horizontal="center"/>
      <protection/>
    </xf>
    <xf numFmtId="194" fontId="55" fillId="0" borderId="0" xfId="0" applyNumberFormat="1" applyFont="1" applyFill="1" applyAlignment="1" applyProtection="1">
      <alignment horizontal="center"/>
      <protection/>
    </xf>
    <xf numFmtId="0" fontId="55" fillId="0" borderId="0" xfId="0" applyFont="1" applyFill="1" applyAlignment="1" applyProtection="1">
      <alignment horizontal="center"/>
      <protection/>
    </xf>
    <xf numFmtId="0" fontId="55" fillId="0" borderId="0" xfId="0" applyFont="1" applyFill="1" applyAlignment="1" applyProtection="1">
      <alignment horizontal="center" wrapText="1"/>
      <protection/>
    </xf>
    <xf numFmtId="194" fontId="36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194" fontId="30" fillId="0" borderId="0" xfId="0" applyNumberFormat="1" applyFont="1" applyFill="1" applyAlignment="1">
      <alignment horizontal="center"/>
    </xf>
    <xf numFmtId="43" fontId="30" fillId="0" borderId="0" xfId="15" applyFont="1" applyFill="1" applyAlignment="1">
      <alignment horizontal="center"/>
    </xf>
    <xf numFmtId="194" fontId="53" fillId="0" borderId="0" xfId="0" applyNumberFormat="1" applyFont="1" applyFill="1" applyAlignment="1">
      <alignment horizontal="center"/>
    </xf>
    <xf numFmtId="195" fontId="30" fillId="0" borderId="0" xfId="0" applyNumberFormat="1" applyFont="1" applyFill="1" applyAlignment="1" applyProtection="1">
      <alignment/>
      <protection/>
    </xf>
    <xf numFmtId="194" fontId="30" fillId="0" borderId="0" xfId="0" applyNumberFormat="1" applyFont="1" applyFill="1" applyAlignment="1" applyProtection="1">
      <alignment horizontal="center"/>
      <protection/>
    </xf>
    <xf numFmtId="196" fontId="30" fillId="0" borderId="0" xfId="0" applyNumberFormat="1" applyFont="1" applyFill="1" applyAlignment="1" applyProtection="1">
      <alignment horizontal="center"/>
      <protection/>
    </xf>
    <xf numFmtId="164" fontId="30" fillId="0" borderId="0" xfId="15" applyNumberFormat="1" applyFont="1" applyFill="1" applyAlignment="1" applyProtection="1">
      <alignment horizontal="left"/>
      <protection/>
    </xf>
    <xf numFmtId="0" fontId="30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96" fontId="30" fillId="0" borderId="0" xfId="0" applyNumberFormat="1" applyFont="1" applyFill="1" applyAlignment="1">
      <alignment horizontal="center"/>
    </xf>
    <xf numFmtId="164" fontId="30" fillId="0" borderId="0" xfId="15" applyNumberFormat="1" applyFont="1" applyFill="1" applyAlignment="1">
      <alignment/>
    </xf>
    <xf numFmtId="194" fontId="30" fillId="7" borderId="0" xfId="0" applyNumberFormat="1" applyFont="1" applyFill="1" applyAlignment="1" applyProtection="1">
      <alignment horizontal="center"/>
      <protection/>
    </xf>
    <xf numFmtId="164" fontId="30" fillId="7" borderId="0" xfId="15" applyNumberFormat="1" applyFont="1" applyFill="1" applyAlignment="1" applyProtection="1">
      <alignment horizontal="left"/>
      <protection/>
    </xf>
    <xf numFmtId="194" fontId="53" fillId="7" borderId="0" xfId="0" applyNumberFormat="1" applyFont="1" applyFill="1" applyAlignment="1" applyProtection="1">
      <alignment horizontal="center"/>
      <protection/>
    </xf>
    <xf numFmtId="164" fontId="53" fillId="0" borderId="0" xfId="15" applyNumberFormat="1" applyFont="1" applyFill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194" fontId="30" fillId="0" borderId="0" xfId="0" applyNumberFormat="1" applyFont="1" applyFill="1" applyBorder="1" applyAlignment="1" applyProtection="1">
      <alignment horizontal="center"/>
      <protection/>
    </xf>
    <xf numFmtId="43" fontId="30" fillId="0" borderId="0" xfId="15" applyFont="1" applyFill="1" applyBorder="1" applyAlignment="1">
      <alignment horizontal="center"/>
    </xf>
    <xf numFmtId="194" fontId="30" fillId="6" borderId="0" xfId="0" applyNumberFormat="1" applyFont="1" applyFill="1" applyBorder="1" applyAlignment="1" applyProtection="1">
      <alignment horizontal="center"/>
      <protection/>
    </xf>
    <xf numFmtId="164" fontId="30" fillId="6" borderId="0" xfId="15" applyNumberFormat="1" applyFont="1" applyFill="1" applyBorder="1" applyAlignment="1" applyProtection="1">
      <alignment horizontal="left"/>
      <protection/>
    </xf>
    <xf numFmtId="194" fontId="53" fillId="6" borderId="0" xfId="0" applyNumberFormat="1" applyFont="1" applyFill="1" applyBorder="1" applyAlignment="1" applyProtection="1">
      <alignment horizontal="center"/>
      <protection/>
    </xf>
    <xf numFmtId="194" fontId="53" fillId="6" borderId="0" xfId="0" applyNumberFormat="1" applyFont="1" applyFill="1" applyAlignment="1" applyProtection="1">
      <alignment horizontal="center"/>
      <protection/>
    </xf>
    <xf numFmtId="196" fontId="30" fillId="0" borderId="0" xfId="0" applyNumberFormat="1" applyFont="1" applyFill="1" applyBorder="1" applyAlignment="1" applyProtection="1">
      <alignment horizontal="center"/>
      <protection/>
    </xf>
    <xf numFmtId="194" fontId="36" fillId="0" borderId="0" xfId="0" applyNumberFormat="1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 quotePrefix="1">
      <alignment horizontal="left"/>
      <protection/>
    </xf>
    <xf numFmtId="0" fontId="30" fillId="0" borderId="0" xfId="0" applyFont="1" applyFill="1" applyAlignment="1" quotePrefix="1">
      <alignment/>
    </xf>
    <xf numFmtId="196" fontId="30" fillId="0" borderId="0" xfId="0" applyNumberFormat="1" applyFont="1" applyFill="1" applyAlignment="1">
      <alignment/>
    </xf>
    <xf numFmtId="194" fontId="22" fillId="0" borderId="0" xfId="0" applyNumberFormat="1" applyFont="1" applyFill="1" applyAlignment="1">
      <alignment horizontal="center"/>
    </xf>
    <xf numFmtId="196" fontId="30" fillId="6" borderId="0" xfId="0" applyNumberFormat="1" applyFont="1" applyFill="1" applyAlignment="1" applyProtection="1">
      <alignment horizontal="center"/>
      <protection/>
    </xf>
    <xf numFmtId="194" fontId="36" fillId="7" borderId="0" xfId="0" applyNumberFormat="1" applyFont="1" applyFill="1" applyAlignment="1" applyProtection="1">
      <alignment horizontal="center"/>
      <protection/>
    </xf>
    <xf numFmtId="194" fontId="30" fillId="6" borderId="0" xfId="0" applyNumberFormat="1" applyFont="1" applyFill="1" applyAlignment="1" applyProtection="1">
      <alignment horizontal="center"/>
      <protection/>
    </xf>
    <xf numFmtId="164" fontId="30" fillId="6" borderId="0" xfId="15" applyNumberFormat="1" applyFont="1" applyFill="1" applyAlignment="1" applyProtection="1">
      <alignment horizontal="left"/>
      <protection/>
    </xf>
    <xf numFmtId="194" fontId="53" fillId="6" borderId="0" xfId="0" applyNumberFormat="1" applyFont="1" applyFill="1" applyAlignment="1">
      <alignment horizontal="center"/>
    </xf>
    <xf numFmtId="194" fontId="30" fillId="6" borderId="0" xfId="0" applyNumberFormat="1" applyFont="1" applyFill="1" applyAlignment="1">
      <alignment horizontal="center"/>
    </xf>
    <xf numFmtId="197" fontId="0" fillId="0" borderId="0" xfId="0" applyNumberFormat="1" applyAlignment="1">
      <alignment/>
    </xf>
    <xf numFmtId="0" fontId="0" fillId="14" borderId="0" xfId="0" applyFill="1" applyAlignment="1">
      <alignment/>
    </xf>
    <xf numFmtId="197" fontId="0" fillId="14" borderId="0" xfId="0" applyNumberFormat="1" applyFill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0425"/>
          <c:w val="0.964"/>
          <c:h val="0.96625"/>
        </c:manualLayout>
      </c:layout>
      <c:areaChart>
        <c:grouping val="stacked"/>
        <c:varyColors val="0"/>
        <c:ser>
          <c:idx val="4"/>
          <c:order val="0"/>
          <c:tx>
            <c:strRef>
              <c:f>'Mpwr job'!$D$41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'Mpwr job'!$E$36:$AT$36</c:f>
              <c:strCache>
                <c:ptCount val="42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  <c:pt idx="24">
                  <c:v>O</c:v>
                </c:pt>
                <c:pt idx="25">
                  <c:v>N</c:v>
                </c:pt>
                <c:pt idx="26">
                  <c:v>D</c:v>
                </c:pt>
                <c:pt idx="27">
                  <c:v>J</c:v>
                </c:pt>
                <c:pt idx="28">
                  <c:v>F</c:v>
                </c:pt>
                <c:pt idx="29">
                  <c:v>M</c:v>
                </c:pt>
                <c:pt idx="30">
                  <c:v>A</c:v>
                </c:pt>
                <c:pt idx="31">
                  <c:v>M</c:v>
                </c:pt>
                <c:pt idx="32">
                  <c:v>J</c:v>
                </c:pt>
                <c:pt idx="33">
                  <c:v>J</c:v>
                </c:pt>
                <c:pt idx="34">
                  <c:v>A</c:v>
                </c:pt>
                <c:pt idx="35">
                  <c:v>S</c:v>
                </c:pt>
                <c:pt idx="36">
                  <c:v>O</c:v>
                </c:pt>
                <c:pt idx="37">
                  <c:v>N</c:v>
                </c:pt>
                <c:pt idx="38">
                  <c:v>D</c:v>
                </c:pt>
                <c:pt idx="39">
                  <c:v>J</c:v>
                </c:pt>
                <c:pt idx="40">
                  <c:v>F</c:v>
                </c:pt>
                <c:pt idx="41">
                  <c:v>M</c:v>
                </c:pt>
              </c:strCache>
            </c:strRef>
          </c:cat>
          <c:val>
            <c:numRef>
              <c:f>'Mpwr job'!$E$41:$AT$41</c:f>
              <c:numCache>
                <c:ptCount val="42"/>
                <c:pt idx="0">
                  <c:v>0.5</c:v>
                </c:pt>
                <c:pt idx="1">
                  <c:v>0.8666666666666667</c:v>
                </c:pt>
                <c:pt idx="2">
                  <c:v>0.7</c:v>
                </c:pt>
                <c:pt idx="3">
                  <c:v>0.525</c:v>
                </c:pt>
                <c:pt idx="4">
                  <c:v>0.4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0.425</c:v>
                </c:pt>
                <c:pt idx="9">
                  <c:v>0.325</c:v>
                </c:pt>
                <c:pt idx="10">
                  <c:v>0.7</c:v>
                </c:pt>
                <c:pt idx="11">
                  <c:v>0.725</c:v>
                </c:pt>
                <c:pt idx="12">
                  <c:v>0.75</c:v>
                </c:pt>
                <c:pt idx="13">
                  <c:v>0.675</c:v>
                </c:pt>
                <c:pt idx="14">
                  <c:v>0.425</c:v>
                </c:pt>
                <c:pt idx="15">
                  <c:v>0.55</c:v>
                </c:pt>
                <c:pt idx="16">
                  <c:v>0.525</c:v>
                </c:pt>
                <c:pt idx="17">
                  <c:v>0.55</c:v>
                </c:pt>
                <c:pt idx="18">
                  <c:v>0.475</c:v>
                </c:pt>
                <c:pt idx="19">
                  <c:v>0.325</c:v>
                </c:pt>
                <c:pt idx="20">
                  <c:v>0.2</c:v>
                </c:pt>
                <c:pt idx="21">
                  <c:v>0.05</c:v>
                </c:pt>
                <c:pt idx="22">
                  <c:v>0.025</c:v>
                </c:pt>
                <c:pt idx="23">
                  <c:v>0.05</c:v>
                </c:pt>
                <c:pt idx="24">
                  <c:v>0.3</c:v>
                </c:pt>
                <c:pt idx="25">
                  <c:v>0.725</c:v>
                </c:pt>
                <c:pt idx="26">
                  <c:v>1.025</c:v>
                </c:pt>
                <c:pt idx="27">
                  <c:v>1.8</c:v>
                </c:pt>
                <c:pt idx="28">
                  <c:v>2.6</c:v>
                </c:pt>
                <c:pt idx="29">
                  <c:v>3</c:v>
                </c:pt>
                <c:pt idx="30">
                  <c:v>3.375</c:v>
                </c:pt>
                <c:pt idx="31">
                  <c:v>3.175</c:v>
                </c:pt>
                <c:pt idx="32">
                  <c:v>2.275</c:v>
                </c:pt>
                <c:pt idx="33">
                  <c:v>1.525</c:v>
                </c:pt>
                <c:pt idx="34">
                  <c:v>1.1</c:v>
                </c:pt>
                <c:pt idx="35">
                  <c:v>0.65</c:v>
                </c:pt>
                <c:pt idx="36">
                  <c:v>0.5</c:v>
                </c:pt>
                <c:pt idx="37">
                  <c:v>0.475</c:v>
                </c:pt>
                <c:pt idx="38">
                  <c:v>0.425</c:v>
                </c:pt>
                <c:pt idx="39">
                  <c:v>0.5</c:v>
                </c:pt>
                <c:pt idx="40">
                  <c:v>0.7</c:v>
                </c:pt>
                <c:pt idx="41">
                  <c:v>0.6</c:v>
                </c:pt>
              </c:numCache>
            </c:numRef>
          </c:val>
        </c:ser>
        <c:ser>
          <c:idx val="0"/>
          <c:order val="1"/>
          <c:tx>
            <c:strRef>
              <c:f>'Mpwr job'!$D$37</c:f>
              <c:strCache>
                <c:ptCount val="1"/>
                <c:pt idx="0">
                  <c:v>Mod Coil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'Mpwr job'!$E$36:$AT$36</c:f>
              <c:strCache>
                <c:ptCount val="42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  <c:pt idx="24">
                  <c:v>O</c:v>
                </c:pt>
                <c:pt idx="25">
                  <c:v>N</c:v>
                </c:pt>
                <c:pt idx="26">
                  <c:v>D</c:v>
                </c:pt>
                <c:pt idx="27">
                  <c:v>J</c:v>
                </c:pt>
                <c:pt idx="28">
                  <c:v>F</c:v>
                </c:pt>
                <c:pt idx="29">
                  <c:v>M</c:v>
                </c:pt>
                <c:pt idx="30">
                  <c:v>A</c:v>
                </c:pt>
                <c:pt idx="31">
                  <c:v>M</c:v>
                </c:pt>
                <c:pt idx="32">
                  <c:v>J</c:v>
                </c:pt>
                <c:pt idx="33">
                  <c:v>J</c:v>
                </c:pt>
                <c:pt idx="34">
                  <c:v>A</c:v>
                </c:pt>
                <c:pt idx="35">
                  <c:v>S</c:v>
                </c:pt>
                <c:pt idx="36">
                  <c:v>O</c:v>
                </c:pt>
                <c:pt idx="37">
                  <c:v>N</c:v>
                </c:pt>
                <c:pt idx="38">
                  <c:v>D</c:v>
                </c:pt>
                <c:pt idx="39">
                  <c:v>J</c:v>
                </c:pt>
                <c:pt idx="40">
                  <c:v>F</c:v>
                </c:pt>
                <c:pt idx="41">
                  <c:v>M</c:v>
                </c:pt>
              </c:strCache>
            </c:strRef>
          </c:cat>
          <c:val>
            <c:numRef>
              <c:f>'Mpwr job'!$E$37:$AT$37</c:f>
              <c:numCache>
                <c:ptCount val="42"/>
                <c:pt idx="0">
                  <c:v>9</c:v>
                </c:pt>
                <c:pt idx="1">
                  <c:v>9.86666666666667</c:v>
                </c:pt>
                <c:pt idx="2">
                  <c:v>10.1</c:v>
                </c:pt>
                <c:pt idx="3">
                  <c:v>10.625</c:v>
                </c:pt>
                <c:pt idx="4">
                  <c:v>12.652075</c:v>
                </c:pt>
                <c:pt idx="5">
                  <c:v>12.85415</c:v>
                </c:pt>
                <c:pt idx="6">
                  <c:v>14.331225</c:v>
                </c:pt>
                <c:pt idx="7">
                  <c:v>15.7083</c:v>
                </c:pt>
                <c:pt idx="8">
                  <c:v>15.6583</c:v>
                </c:pt>
                <c:pt idx="9">
                  <c:v>17.1583</c:v>
                </c:pt>
                <c:pt idx="10">
                  <c:v>17.258300000000002</c:v>
                </c:pt>
                <c:pt idx="11">
                  <c:v>16.7833</c:v>
                </c:pt>
                <c:pt idx="12">
                  <c:v>15.983300000000002</c:v>
                </c:pt>
                <c:pt idx="13">
                  <c:v>15.083300000000001</c:v>
                </c:pt>
                <c:pt idx="14">
                  <c:v>13.4583</c:v>
                </c:pt>
                <c:pt idx="15">
                  <c:v>13.4333</c:v>
                </c:pt>
                <c:pt idx="16">
                  <c:v>12.7333</c:v>
                </c:pt>
                <c:pt idx="17">
                  <c:v>12.008299999999998</c:v>
                </c:pt>
                <c:pt idx="18">
                  <c:v>12.6333</c:v>
                </c:pt>
                <c:pt idx="19">
                  <c:v>11.3083</c:v>
                </c:pt>
                <c:pt idx="20">
                  <c:v>11.2333</c:v>
                </c:pt>
                <c:pt idx="21">
                  <c:v>11.208300000000001</c:v>
                </c:pt>
                <c:pt idx="22">
                  <c:v>11.0833</c:v>
                </c:pt>
                <c:pt idx="23">
                  <c:v>10.7333</c:v>
                </c:pt>
                <c:pt idx="24">
                  <c:v>10.0083</c:v>
                </c:pt>
                <c:pt idx="25">
                  <c:v>8.3833</c:v>
                </c:pt>
                <c:pt idx="26">
                  <c:v>6.2333</c:v>
                </c:pt>
                <c:pt idx="27">
                  <c:v>4.5333000000000006</c:v>
                </c:pt>
                <c:pt idx="28">
                  <c:v>2.606225</c:v>
                </c:pt>
                <c:pt idx="29">
                  <c:v>1.27915</c:v>
                </c:pt>
                <c:pt idx="30">
                  <c:v>0.552075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2"/>
          <c:tx>
            <c:strRef>
              <c:f>'Mpwr job'!$D$38</c:f>
              <c:strCache>
                <c:ptCount val="1"/>
                <c:pt idx="0">
                  <c:v>TF Coil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'Mpwr job'!$E$36:$AT$36</c:f>
              <c:strCache>
                <c:ptCount val="42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  <c:pt idx="24">
                  <c:v>O</c:v>
                </c:pt>
                <c:pt idx="25">
                  <c:v>N</c:v>
                </c:pt>
                <c:pt idx="26">
                  <c:v>D</c:v>
                </c:pt>
                <c:pt idx="27">
                  <c:v>J</c:v>
                </c:pt>
                <c:pt idx="28">
                  <c:v>F</c:v>
                </c:pt>
                <c:pt idx="29">
                  <c:v>M</c:v>
                </c:pt>
                <c:pt idx="30">
                  <c:v>A</c:v>
                </c:pt>
                <c:pt idx="31">
                  <c:v>M</c:v>
                </c:pt>
                <c:pt idx="32">
                  <c:v>J</c:v>
                </c:pt>
                <c:pt idx="33">
                  <c:v>J</c:v>
                </c:pt>
                <c:pt idx="34">
                  <c:v>A</c:v>
                </c:pt>
                <c:pt idx="35">
                  <c:v>S</c:v>
                </c:pt>
                <c:pt idx="36">
                  <c:v>O</c:v>
                </c:pt>
                <c:pt idx="37">
                  <c:v>N</c:v>
                </c:pt>
                <c:pt idx="38">
                  <c:v>D</c:v>
                </c:pt>
                <c:pt idx="39">
                  <c:v>J</c:v>
                </c:pt>
                <c:pt idx="40">
                  <c:v>F</c:v>
                </c:pt>
                <c:pt idx="41">
                  <c:v>M</c:v>
                </c:pt>
              </c:strCache>
            </c:strRef>
          </c:cat>
          <c:val>
            <c:numRef>
              <c:f>'Mpwr job'!$E$38:$AT$38</c:f>
              <c:numCache>
                <c:ptCount val="42"/>
                <c:pt idx="0">
                  <c:v>1.2</c:v>
                </c:pt>
                <c:pt idx="1">
                  <c:v>1.2666666666666666</c:v>
                </c:pt>
                <c:pt idx="2">
                  <c:v>1.7333333333333332</c:v>
                </c:pt>
                <c:pt idx="3">
                  <c:v>1.975</c:v>
                </c:pt>
                <c:pt idx="4">
                  <c:v>2.3</c:v>
                </c:pt>
                <c:pt idx="5">
                  <c:v>2.05</c:v>
                </c:pt>
                <c:pt idx="6">
                  <c:v>1.775</c:v>
                </c:pt>
                <c:pt idx="7">
                  <c:v>1.1</c:v>
                </c:pt>
                <c:pt idx="8">
                  <c:v>0.6</c:v>
                </c:pt>
                <c:pt idx="9">
                  <c:v>0.5</c:v>
                </c:pt>
                <c:pt idx="10">
                  <c:v>0.125</c:v>
                </c:pt>
                <c:pt idx="11">
                  <c:v>0.125</c:v>
                </c:pt>
                <c:pt idx="12">
                  <c:v>1.025</c:v>
                </c:pt>
                <c:pt idx="13">
                  <c:v>2.475</c:v>
                </c:pt>
                <c:pt idx="14">
                  <c:v>3.35</c:v>
                </c:pt>
                <c:pt idx="15">
                  <c:v>4.9</c:v>
                </c:pt>
                <c:pt idx="16">
                  <c:v>5</c:v>
                </c:pt>
                <c:pt idx="17">
                  <c:v>5.225</c:v>
                </c:pt>
                <c:pt idx="18">
                  <c:v>5.4</c:v>
                </c:pt>
                <c:pt idx="19">
                  <c:v>5.15</c:v>
                </c:pt>
                <c:pt idx="20">
                  <c:v>4.675</c:v>
                </c:pt>
                <c:pt idx="21">
                  <c:v>3.575</c:v>
                </c:pt>
                <c:pt idx="22">
                  <c:v>3.15</c:v>
                </c:pt>
                <c:pt idx="23">
                  <c:v>2.375</c:v>
                </c:pt>
                <c:pt idx="24">
                  <c:v>2.35</c:v>
                </c:pt>
                <c:pt idx="25">
                  <c:v>2.325</c:v>
                </c:pt>
                <c:pt idx="26">
                  <c:v>2.1</c:v>
                </c:pt>
                <c:pt idx="27">
                  <c:v>2.2</c:v>
                </c:pt>
                <c:pt idx="28">
                  <c:v>1.575</c:v>
                </c:pt>
                <c:pt idx="29">
                  <c:v>1.025</c:v>
                </c:pt>
                <c:pt idx="30">
                  <c:v>0.625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3"/>
          <c:tx>
            <c:strRef>
              <c:f>'Mpwr job'!$D$39</c:f>
              <c:strCache>
                <c:ptCount val="1"/>
                <c:pt idx="0">
                  <c:v>FP Assy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'Mpwr job'!$E$36:$AT$36</c:f>
              <c:strCache>
                <c:ptCount val="42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  <c:pt idx="24">
                  <c:v>O</c:v>
                </c:pt>
                <c:pt idx="25">
                  <c:v>N</c:v>
                </c:pt>
                <c:pt idx="26">
                  <c:v>D</c:v>
                </c:pt>
                <c:pt idx="27">
                  <c:v>J</c:v>
                </c:pt>
                <c:pt idx="28">
                  <c:v>F</c:v>
                </c:pt>
                <c:pt idx="29">
                  <c:v>M</c:v>
                </c:pt>
                <c:pt idx="30">
                  <c:v>A</c:v>
                </c:pt>
                <c:pt idx="31">
                  <c:v>M</c:v>
                </c:pt>
                <c:pt idx="32">
                  <c:v>J</c:v>
                </c:pt>
                <c:pt idx="33">
                  <c:v>J</c:v>
                </c:pt>
                <c:pt idx="34">
                  <c:v>A</c:v>
                </c:pt>
                <c:pt idx="35">
                  <c:v>S</c:v>
                </c:pt>
                <c:pt idx="36">
                  <c:v>O</c:v>
                </c:pt>
                <c:pt idx="37">
                  <c:v>N</c:v>
                </c:pt>
                <c:pt idx="38">
                  <c:v>D</c:v>
                </c:pt>
                <c:pt idx="39">
                  <c:v>J</c:v>
                </c:pt>
                <c:pt idx="40">
                  <c:v>F</c:v>
                </c:pt>
                <c:pt idx="41">
                  <c:v>M</c:v>
                </c:pt>
              </c:strCache>
            </c:strRef>
          </c:cat>
          <c:val>
            <c:numRef>
              <c:f>'Mpwr job'!$E$39:$AT$39</c:f>
              <c:numCache>
                <c:ptCount val="42"/>
                <c:pt idx="0">
                  <c:v>0.6</c:v>
                </c:pt>
                <c:pt idx="1">
                  <c:v>0.6</c:v>
                </c:pt>
                <c:pt idx="2">
                  <c:v>0.5666666666666667</c:v>
                </c:pt>
                <c:pt idx="3">
                  <c:v>0.575</c:v>
                </c:pt>
                <c:pt idx="4">
                  <c:v>0.525</c:v>
                </c:pt>
                <c:pt idx="5">
                  <c:v>0.375</c:v>
                </c:pt>
                <c:pt idx="6">
                  <c:v>0.975</c:v>
                </c:pt>
                <c:pt idx="7">
                  <c:v>1.8</c:v>
                </c:pt>
                <c:pt idx="8">
                  <c:v>2.6</c:v>
                </c:pt>
                <c:pt idx="9">
                  <c:v>3.625</c:v>
                </c:pt>
                <c:pt idx="10">
                  <c:v>3.3</c:v>
                </c:pt>
                <c:pt idx="11">
                  <c:v>2.325</c:v>
                </c:pt>
                <c:pt idx="12">
                  <c:v>2.325</c:v>
                </c:pt>
                <c:pt idx="13">
                  <c:v>2.35</c:v>
                </c:pt>
                <c:pt idx="14">
                  <c:v>2.8</c:v>
                </c:pt>
                <c:pt idx="15">
                  <c:v>4.95</c:v>
                </c:pt>
                <c:pt idx="16">
                  <c:v>6.375</c:v>
                </c:pt>
                <c:pt idx="17">
                  <c:v>7.125</c:v>
                </c:pt>
                <c:pt idx="18">
                  <c:v>9.25</c:v>
                </c:pt>
                <c:pt idx="19">
                  <c:v>10.375</c:v>
                </c:pt>
                <c:pt idx="20">
                  <c:v>10.475</c:v>
                </c:pt>
                <c:pt idx="21">
                  <c:v>9.35</c:v>
                </c:pt>
                <c:pt idx="22">
                  <c:v>8.825</c:v>
                </c:pt>
                <c:pt idx="23">
                  <c:v>6.675</c:v>
                </c:pt>
                <c:pt idx="24">
                  <c:v>6.425</c:v>
                </c:pt>
                <c:pt idx="25">
                  <c:v>8.025</c:v>
                </c:pt>
                <c:pt idx="26">
                  <c:v>7.475</c:v>
                </c:pt>
                <c:pt idx="27">
                  <c:v>8.775</c:v>
                </c:pt>
                <c:pt idx="28">
                  <c:v>8.825</c:v>
                </c:pt>
                <c:pt idx="29">
                  <c:v>7.65</c:v>
                </c:pt>
                <c:pt idx="30">
                  <c:v>7.425</c:v>
                </c:pt>
                <c:pt idx="31">
                  <c:v>6.55</c:v>
                </c:pt>
                <c:pt idx="32">
                  <c:v>4.775</c:v>
                </c:pt>
                <c:pt idx="33">
                  <c:v>3.675</c:v>
                </c:pt>
                <c:pt idx="34">
                  <c:v>2</c:v>
                </c:pt>
                <c:pt idx="35">
                  <c:v>0.45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3"/>
          <c:order val="4"/>
          <c:tx>
            <c:strRef>
              <c:f>'Mpwr job'!$D$40</c:f>
              <c:strCache>
                <c:ptCount val="1"/>
                <c:pt idx="0">
                  <c:v>Mach Assy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'Mpwr job'!$E$36:$AT$36</c:f>
              <c:strCache>
                <c:ptCount val="42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J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  <c:pt idx="13">
                  <c:v>N</c:v>
                </c:pt>
                <c:pt idx="14">
                  <c:v>D</c:v>
                </c:pt>
                <c:pt idx="15">
                  <c:v>J</c:v>
                </c:pt>
                <c:pt idx="16">
                  <c:v>F</c:v>
                </c:pt>
                <c:pt idx="17">
                  <c:v>M</c:v>
                </c:pt>
                <c:pt idx="18">
                  <c:v>A</c:v>
                </c:pt>
                <c:pt idx="19">
                  <c:v>M</c:v>
                </c:pt>
                <c:pt idx="20">
                  <c:v>J</c:v>
                </c:pt>
                <c:pt idx="21">
                  <c:v>J</c:v>
                </c:pt>
                <c:pt idx="22">
                  <c:v>A</c:v>
                </c:pt>
                <c:pt idx="23">
                  <c:v>S</c:v>
                </c:pt>
                <c:pt idx="24">
                  <c:v>O</c:v>
                </c:pt>
                <c:pt idx="25">
                  <c:v>N</c:v>
                </c:pt>
                <c:pt idx="26">
                  <c:v>D</c:v>
                </c:pt>
                <c:pt idx="27">
                  <c:v>J</c:v>
                </c:pt>
                <c:pt idx="28">
                  <c:v>F</c:v>
                </c:pt>
                <c:pt idx="29">
                  <c:v>M</c:v>
                </c:pt>
                <c:pt idx="30">
                  <c:v>A</c:v>
                </c:pt>
                <c:pt idx="31">
                  <c:v>M</c:v>
                </c:pt>
                <c:pt idx="32">
                  <c:v>J</c:v>
                </c:pt>
                <c:pt idx="33">
                  <c:v>J</c:v>
                </c:pt>
                <c:pt idx="34">
                  <c:v>A</c:v>
                </c:pt>
                <c:pt idx="35">
                  <c:v>S</c:v>
                </c:pt>
                <c:pt idx="36">
                  <c:v>O</c:v>
                </c:pt>
                <c:pt idx="37">
                  <c:v>N</c:v>
                </c:pt>
                <c:pt idx="38">
                  <c:v>D</c:v>
                </c:pt>
                <c:pt idx="39">
                  <c:v>J</c:v>
                </c:pt>
                <c:pt idx="40">
                  <c:v>F</c:v>
                </c:pt>
                <c:pt idx="41">
                  <c:v>M</c:v>
                </c:pt>
              </c:strCache>
            </c:strRef>
          </c:cat>
          <c:val>
            <c:numRef>
              <c:f>'Mpwr job'!$E$40:$AT$40</c:f>
              <c:numCache>
                <c:ptCount val="42"/>
                <c:pt idx="0">
                  <c:v>0.8</c:v>
                </c:pt>
                <c:pt idx="1">
                  <c:v>0.7666666666666666</c:v>
                </c:pt>
                <c:pt idx="2">
                  <c:v>0.5333333333333333</c:v>
                </c:pt>
                <c:pt idx="3">
                  <c:v>0.4</c:v>
                </c:pt>
                <c:pt idx="4">
                  <c:v>0.2</c:v>
                </c:pt>
                <c:pt idx="5">
                  <c:v>0.025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0.075</c:v>
                </c:pt>
                <c:pt idx="13">
                  <c:v>0.15</c:v>
                </c:pt>
                <c:pt idx="14">
                  <c:v>0.2</c:v>
                </c:pt>
                <c:pt idx="15">
                  <c:v>0.275</c:v>
                </c:pt>
                <c:pt idx="16">
                  <c:v>0.275</c:v>
                </c:pt>
                <c:pt idx="17">
                  <c:v>0.275</c:v>
                </c:pt>
                <c:pt idx="18">
                  <c:v>0.25</c:v>
                </c:pt>
                <c:pt idx="19">
                  <c:v>0.175</c:v>
                </c:pt>
                <c:pt idx="20">
                  <c:v>0.1</c:v>
                </c:pt>
                <c:pt idx="21">
                  <c:v>0.025</c:v>
                </c:pt>
                <c:pt idx="22">
                  <c:v>0</c:v>
                </c:pt>
                <c:pt idx="23">
                  <c:v>0</c:v>
                </c:pt>
                <c:pt idx="24">
                  <c:v>2.15</c:v>
                </c:pt>
                <c:pt idx="25">
                  <c:v>4.05</c:v>
                </c:pt>
                <c:pt idx="26">
                  <c:v>5.45</c:v>
                </c:pt>
                <c:pt idx="27">
                  <c:v>6.75</c:v>
                </c:pt>
                <c:pt idx="28">
                  <c:v>5.45</c:v>
                </c:pt>
                <c:pt idx="29">
                  <c:v>5.2</c:v>
                </c:pt>
                <c:pt idx="30">
                  <c:v>4.75</c:v>
                </c:pt>
                <c:pt idx="31">
                  <c:v>4.3</c:v>
                </c:pt>
                <c:pt idx="32">
                  <c:v>4.45</c:v>
                </c:pt>
                <c:pt idx="33">
                  <c:v>4.975</c:v>
                </c:pt>
                <c:pt idx="34">
                  <c:v>6.55</c:v>
                </c:pt>
                <c:pt idx="35">
                  <c:v>9.1</c:v>
                </c:pt>
                <c:pt idx="36">
                  <c:v>11.15</c:v>
                </c:pt>
                <c:pt idx="37">
                  <c:v>10.725</c:v>
                </c:pt>
                <c:pt idx="38">
                  <c:v>10.125</c:v>
                </c:pt>
                <c:pt idx="39">
                  <c:v>8.075</c:v>
                </c:pt>
                <c:pt idx="40">
                  <c:v>5.9</c:v>
                </c:pt>
                <c:pt idx="41">
                  <c:v>3.5</c:v>
                </c:pt>
              </c:numCache>
            </c:numRef>
          </c:val>
        </c:ser>
        <c:axId val="46493111"/>
        <c:axId val="15784816"/>
      </c:areaChart>
      <c:catAx>
        <c:axId val="464931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84816"/>
        <c:crosses val="autoZero"/>
        <c:auto val="1"/>
        <c:lblOffset val="100"/>
        <c:noMultiLvlLbl val="0"/>
      </c:catAx>
      <c:valAx>
        <c:axId val="15784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4931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04"/>
          <c:w val="0.20925"/>
          <c:h val="0.2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325"/>
          <c:w val="0.956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'Mpwr smry'!$B$17</c:f>
              <c:strCache>
                <c:ptCount val="1"/>
                <c:pt idx="0">
                  <c:v>PPPL Engr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'Mpwr smry'!$C$16:$AS$16</c:f>
              <c:strCache>
                <c:ptCount val="43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</c:strCache>
            </c:strRef>
          </c:cat>
          <c:val>
            <c:numRef>
              <c:f>'Mpwr smry'!$C$17:$AS$17</c:f>
              <c:numCache>
                <c:ptCount val="43"/>
                <c:pt idx="0">
                  <c:v>10.6</c:v>
                </c:pt>
                <c:pt idx="1">
                  <c:v>8.9</c:v>
                </c:pt>
                <c:pt idx="2">
                  <c:v>6.799999999999999</c:v>
                </c:pt>
                <c:pt idx="3">
                  <c:v>8.5</c:v>
                </c:pt>
                <c:pt idx="4">
                  <c:v>8.2</c:v>
                </c:pt>
                <c:pt idx="5">
                  <c:v>9.1</c:v>
                </c:pt>
                <c:pt idx="6">
                  <c:v>7.5</c:v>
                </c:pt>
                <c:pt idx="7">
                  <c:v>8.1</c:v>
                </c:pt>
                <c:pt idx="8">
                  <c:v>7.699999999999999</c:v>
                </c:pt>
                <c:pt idx="9">
                  <c:v>5.2</c:v>
                </c:pt>
                <c:pt idx="10">
                  <c:v>6.1000000000000005</c:v>
                </c:pt>
                <c:pt idx="11">
                  <c:v>5.7</c:v>
                </c:pt>
                <c:pt idx="12">
                  <c:v>9.8</c:v>
                </c:pt>
                <c:pt idx="13">
                  <c:v>9</c:v>
                </c:pt>
                <c:pt idx="14">
                  <c:v>6.800000000000001</c:v>
                </c:pt>
                <c:pt idx="15">
                  <c:v>10.1</c:v>
                </c:pt>
                <c:pt idx="16">
                  <c:v>8.5</c:v>
                </c:pt>
                <c:pt idx="17">
                  <c:v>8.3</c:v>
                </c:pt>
                <c:pt idx="18">
                  <c:v>6.9</c:v>
                </c:pt>
                <c:pt idx="19">
                  <c:v>6.3</c:v>
                </c:pt>
                <c:pt idx="20">
                  <c:v>6.1</c:v>
                </c:pt>
                <c:pt idx="21">
                  <c:v>6.8</c:v>
                </c:pt>
                <c:pt idx="22">
                  <c:v>7.4</c:v>
                </c:pt>
                <c:pt idx="23">
                  <c:v>7.799999999999999</c:v>
                </c:pt>
                <c:pt idx="24">
                  <c:v>11</c:v>
                </c:pt>
                <c:pt idx="25">
                  <c:v>9.100000000000001</c:v>
                </c:pt>
                <c:pt idx="26">
                  <c:v>6.699999999999999</c:v>
                </c:pt>
                <c:pt idx="27">
                  <c:v>10</c:v>
                </c:pt>
                <c:pt idx="28">
                  <c:v>9.5</c:v>
                </c:pt>
                <c:pt idx="29">
                  <c:v>9.3</c:v>
                </c:pt>
                <c:pt idx="30">
                  <c:v>9</c:v>
                </c:pt>
                <c:pt idx="31">
                  <c:v>8.4</c:v>
                </c:pt>
                <c:pt idx="32">
                  <c:v>8.2</c:v>
                </c:pt>
                <c:pt idx="33">
                  <c:v>7</c:v>
                </c:pt>
                <c:pt idx="34">
                  <c:v>6.299999999999999</c:v>
                </c:pt>
                <c:pt idx="35">
                  <c:v>5.8</c:v>
                </c:pt>
                <c:pt idx="36">
                  <c:v>3.9</c:v>
                </c:pt>
                <c:pt idx="37">
                  <c:v>3.7</c:v>
                </c:pt>
                <c:pt idx="38">
                  <c:v>6.300000000000001</c:v>
                </c:pt>
                <c:pt idx="39">
                  <c:v>5.5</c:v>
                </c:pt>
                <c:pt idx="40">
                  <c:v>4.6</c:v>
                </c:pt>
                <c:pt idx="41">
                  <c:v>1.1</c:v>
                </c:pt>
                <c:pt idx="42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'Mpwr smry'!$B$18</c:f>
              <c:strCache>
                <c:ptCount val="1"/>
                <c:pt idx="0">
                  <c:v>PPPL Tecnicians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'Mpwr smry'!$C$16:$AS$16</c:f>
              <c:strCache>
                <c:ptCount val="43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</c:strCache>
            </c:strRef>
          </c:cat>
          <c:val>
            <c:numRef>
              <c:f>'Mpwr smry'!$C$18:$AS$18</c:f>
              <c:numCache>
                <c:ptCount val="43"/>
                <c:pt idx="0">
                  <c:v>13.6</c:v>
                </c:pt>
                <c:pt idx="1">
                  <c:v>17</c:v>
                </c:pt>
                <c:pt idx="2">
                  <c:v>14</c:v>
                </c:pt>
                <c:pt idx="3">
                  <c:v>20</c:v>
                </c:pt>
                <c:pt idx="4">
                  <c:v>18</c:v>
                </c:pt>
                <c:pt idx="5">
                  <c:v>27.9</c:v>
                </c:pt>
                <c:pt idx="6">
                  <c:v>25.099999999999998</c:v>
                </c:pt>
                <c:pt idx="7">
                  <c:v>26</c:v>
                </c:pt>
                <c:pt idx="8">
                  <c:v>25.9</c:v>
                </c:pt>
                <c:pt idx="9">
                  <c:v>19.599999999999998</c:v>
                </c:pt>
                <c:pt idx="10">
                  <c:v>23.3</c:v>
                </c:pt>
                <c:pt idx="11">
                  <c:v>20.3</c:v>
                </c:pt>
                <c:pt idx="12">
                  <c:v>33.5</c:v>
                </c:pt>
                <c:pt idx="13">
                  <c:v>31.1</c:v>
                </c:pt>
                <c:pt idx="14">
                  <c:v>22.4</c:v>
                </c:pt>
                <c:pt idx="15">
                  <c:v>37.9</c:v>
                </c:pt>
                <c:pt idx="16">
                  <c:v>29.2</c:v>
                </c:pt>
                <c:pt idx="17">
                  <c:v>28.3</c:v>
                </c:pt>
                <c:pt idx="18">
                  <c:v>32.3</c:v>
                </c:pt>
                <c:pt idx="19">
                  <c:v>34.2</c:v>
                </c:pt>
                <c:pt idx="20">
                  <c:v>36.2</c:v>
                </c:pt>
                <c:pt idx="21">
                  <c:v>41</c:v>
                </c:pt>
                <c:pt idx="22">
                  <c:v>42.5</c:v>
                </c:pt>
                <c:pt idx="23">
                  <c:v>23.5</c:v>
                </c:pt>
                <c:pt idx="24">
                  <c:v>37.099999999999994</c:v>
                </c:pt>
                <c:pt idx="25">
                  <c:v>32.6</c:v>
                </c:pt>
                <c:pt idx="26">
                  <c:v>23.4</c:v>
                </c:pt>
                <c:pt idx="27">
                  <c:v>27</c:v>
                </c:pt>
                <c:pt idx="28">
                  <c:v>23.5</c:v>
                </c:pt>
                <c:pt idx="29">
                  <c:v>19.8</c:v>
                </c:pt>
                <c:pt idx="30">
                  <c:v>21.5</c:v>
                </c:pt>
                <c:pt idx="31">
                  <c:v>17.2</c:v>
                </c:pt>
                <c:pt idx="32">
                  <c:v>15</c:v>
                </c:pt>
                <c:pt idx="33">
                  <c:v>18</c:v>
                </c:pt>
                <c:pt idx="34">
                  <c:v>20.1</c:v>
                </c:pt>
                <c:pt idx="35">
                  <c:v>19.5</c:v>
                </c:pt>
                <c:pt idx="36">
                  <c:v>18.7</c:v>
                </c:pt>
                <c:pt idx="37">
                  <c:v>12.1</c:v>
                </c:pt>
                <c:pt idx="38">
                  <c:v>16.3</c:v>
                </c:pt>
                <c:pt idx="39">
                  <c:v>10.899999999999999</c:v>
                </c:pt>
                <c:pt idx="40">
                  <c:v>8.5</c:v>
                </c:pt>
                <c:pt idx="41">
                  <c:v>2</c:v>
                </c:pt>
                <c:pt idx="4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'Mpwr smry'!$B$19</c:f>
              <c:strCache>
                <c:ptCount val="1"/>
                <c:pt idx="0">
                  <c:v>ORNL Engrs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ly"/>
            <c:order val="5"/>
            <c:dispEq val="0"/>
            <c:dispRSqr val="0"/>
          </c:trendline>
          <c:cat>
            <c:strRef>
              <c:f>'Mpwr smry'!$C$16:$AS$16</c:f>
              <c:strCache>
                <c:ptCount val="43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</c:strCache>
            </c:strRef>
          </c:cat>
          <c:val>
            <c:numRef>
              <c:f>'Mpwr smry'!$C$19:$AS$19</c:f>
              <c:numCache>
                <c:ptCount val="43"/>
                <c:pt idx="0">
                  <c:v>10.7</c:v>
                </c:pt>
                <c:pt idx="1">
                  <c:v>8.5</c:v>
                </c:pt>
                <c:pt idx="2">
                  <c:v>6.1</c:v>
                </c:pt>
                <c:pt idx="3">
                  <c:v>6.8</c:v>
                </c:pt>
                <c:pt idx="4">
                  <c:v>5.8</c:v>
                </c:pt>
                <c:pt idx="5">
                  <c:v>4.7</c:v>
                </c:pt>
                <c:pt idx="6">
                  <c:v>4.1</c:v>
                </c:pt>
                <c:pt idx="7">
                  <c:v>3.1</c:v>
                </c:pt>
                <c:pt idx="8">
                  <c:v>2.5</c:v>
                </c:pt>
                <c:pt idx="9">
                  <c:v>2.2</c:v>
                </c:pt>
                <c:pt idx="10">
                  <c:v>3</c:v>
                </c:pt>
                <c:pt idx="11">
                  <c:v>2.4</c:v>
                </c:pt>
                <c:pt idx="12">
                  <c:v>3.4</c:v>
                </c:pt>
                <c:pt idx="13">
                  <c:v>3</c:v>
                </c:pt>
                <c:pt idx="14">
                  <c:v>2.3</c:v>
                </c:pt>
                <c:pt idx="15">
                  <c:v>3.6</c:v>
                </c:pt>
                <c:pt idx="16">
                  <c:v>3.5</c:v>
                </c:pt>
                <c:pt idx="17">
                  <c:v>3.6</c:v>
                </c:pt>
                <c:pt idx="18">
                  <c:v>2.4</c:v>
                </c:pt>
                <c:pt idx="19">
                  <c:v>2.3</c:v>
                </c:pt>
                <c:pt idx="20">
                  <c:v>2.2</c:v>
                </c:pt>
                <c:pt idx="21">
                  <c:v>2.2</c:v>
                </c:pt>
                <c:pt idx="22">
                  <c:v>2.5</c:v>
                </c:pt>
                <c:pt idx="23">
                  <c:v>1.9</c:v>
                </c:pt>
                <c:pt idx="24">
                  <c:v>1.7</c:v>
                </c:pt>
                <c:pt idx="25">
                  <c:v>1</c:v>
                </c:pt>
                <c:pt idx="26">
                  <c:v>0.7</c:v>
                </c:pt>
                <c:pt idx="27">
                  <c:v>1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0.5</c:v>
                </c:pt>
                <c:pt idx="36">
                  <c:v>0.7</c:v>
                </c:pt>
                <c:pt idx="37">
                  <c:v>0.7</c:v>
                </c:pt>
                <c:pt idx="38">
                  <c:v>0.8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</c:v>
                </c:pt>
              </c:numCache>
            </c:numRef>
          </c:val>
          <c:smooth val="0"/>
        </c:ser>
        <c:axId val="7845617"/>
        <c:axId val="3501690"/>
      </c:lineChart>
      <c:catAx>
        <c:axId val="7845617"/>
        <c:scaling>
          <c:orientation val="minMax"/>
        </c:scaling>
        <c:axPos val="b"/>
        <c:majorGridlines/>
        <c:delete val="0"/>
        <c:numFmt formatCode="\ " sourceLinked="0"/>
        <c:majorTickMark val="out"/>
        <c:minorTickMark val="out"/>
        <c:tickLblPos val="nextTo"/>
        <c:crossAx val="3501690"/>
        <c:crosses val="autoZero"/>
        <c:auto val="1"/>
        <c:lblOffset val="100"/>
        <c:noMultiLvlLbl val="0"/>
      </c:catAx>
      <c:valAx>
        <c:axId val="3501690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45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Cost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1175"/>
          <c:w val="0.88175"/>
          <c:h val="0.869"/>
        </c:manualLayout>
      </c:layout>
      <c:lineChart>
        <c:grouping val="standard"/>
        <c:varyColors val="0"/>
        <c:ser>
          <c:idx val="2"/>
          <c:order val="0"/>
          <c:tx>
            <c:strRef>
              <c:f>Funding!$E$42:$K$42</c:f>
              <c:strCache>
                <c:ptCount val="1"/>
                <c:pt idx="0">
                  <c:v>FY03 FY04 FY05 FY06 FY07 FY08 FY09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Funding!$E$49:$K$49</c:f>
              <c:numCache>
                <c:ptCount val="7"/>
                <c:pt idx="0">
                  <c:v>5.9419</c:v>
                </c:pt>
                <c:pt idx="1">
                  <c:v>20.181249</c:v>
                </c:pt>
                <c:pt idx="2">
                  <c:v>38.343249</c:v>
                </c:pt>
                <c:pt idx="3">
                  <c:v>55.858249</c:v>
                </c:pt>
                <c:pt idx="4">
                  <c:v>69.267249</c:v>
                </c:pt>
                <c:pt idx="5">
                  <c:v>80.40724900000001</c:v>
                </c:pt>
                <c:pt idx="6">
                  <c:v>82.73824900000001</c:v>
                </c:pt>
              </c:numCache>
            </c:numRef>
          </c:val>
          <c:smooth val="0"/>
        </c:ser>
        <c:axId val="31515211"/>
        <c:axId val="15201444"/>
      </c:lineChart>
      <c:catAx>
        <c:axId val="31515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201444"/>
        <c:crosses val="autoZero"/>
        <c:auto val="1"/>
        <c:lblOffset val="100"/>
        <c:noMultiLvlLbl val="0"/>
      </c:catAx>
      <c:valAx>
        <c:axId val="15201444"/>
        <c:scaling>
          <c:orientation val="minMax"/>
          <c:max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15211"/>
        <c:crossesAt val="1"/>
        <c:crossBetween val="midCat"/>
        <c:dispUnits/>
        <c:majorUnit val="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0.966</cdr:y>
    </cdr:from>
    <cdr:to>
      <cdr:x>0.99975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5781675"/>
          <a:ext cx="5267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FY06                                              FY07                                                      FY08                                             FY09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41</xdr:row>
      <xdr:rowOff>47625</xdr:rowOff>
    </xdr:from>
    <xdr:to>
      <xdr:col>14</xdr:col>
      <xdr:colOff>485775</xdr:colOff>
      <xdr:row>78</xdr:row>
      <xdr:rowOff>47625</xdr:rowOff>
    </xdr:to>
    <xdr:graphicFrame>
      <xdr:nvGraphicFramePr>
        <xdr:cNvPr id="1" name="Chart 2"/>
        <xdr:cNvGraphicFramePr/>
      </xdr:nvGraphicFramePr>
      <xdr:xfrm>
        <a:off x="2619375" y="6686550"/>
        <a:ext cx="64008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0.1715</cdr:x>
      <cdr:y>0.91425</cdr:y>
    </cdr:from>
    <cdr:to>
      <cdr:x>0.987</cdr:x>
      <cdr:y>0.952</cdr:y>
    </cdr:to>
    <cdr:sp>
      <cdr:nvSpPr>
        <cdr:cNvPr id="1" name="TextBox 3"/>
        <cdr:cNvSpPr txBox="1">
          <a:spLocks noChangeArrowheads="1"/>
        </cdr:cNvSpPr>
      </cdr:nvSpPr>
      <cdr:spPr>
        <a:xfrm>
          <a:off x="1495425" y="8067675"/>
          <a:ext cx="7153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FY06                                   FY07                               FY08                         FY09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26</xdr:row>
      <xdr:rowOff>152400</xdr:rowOff>
    </xdr:from>
    <xdr:to>
      <xdr:col>14</xdr:col>
      <xdr:colOff>476250</xdr:colOff>
      <xdr:row>81</xdr:row>
      <xdr:rowOff>76200</xdr:rowOff>
    </xdr:to>
    <xdr:graphicFrame>
      <xdr:nvGraphicFramePr>
        <xdr:cNvPr id="1" name="Chart 1"/>
        <xdr:cNvGraphicFramePr/>
      </xdr:nvGraphicFramePr>
      <xdr:xfrm>
        <a:off x="971550" y="4362450"/>
        <a:ext cx="877252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7</xdr:row>
      <xdr:rowOff>76200</xdr:rowOff>
    </xdr:from>
    <xdr:to>
      <xdr:col>10</xdr:col>
      <xdr:colOff>371475</xdr:colOff>
      <xdr:row>7</xdr:row>
      <xdr:rowOff>238125</xdr:rowOff>
    </xdr:to>
    <xdr:sp>
      <xdr:nvSpPr>
        <xdr:cNvPr id="1" name="AutoShape 1"/>
        <xdr:cNvSpPr>
          <a:spLocks/>
        </xdr:cNvSpPr>
      </xdr:nvSpPr>
      <xdr:spPr>
        <a:xfrm rot="10800000">
          <a:off x="2876550" y="1695450"/>
          <a:ext cx="0" cy="161925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35</xdr:row>
      <xdr:rowOff>0</xdr:rowOff>
    </xdr:from>
    <xdr:to>
      <xdr:col>14</xdr:col>
      <xdr:colOff>171450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52775" y="9972675"/>
          <a:ext cx="1009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8</xdr:row>
      <xdr:rowOff>76200</xdr:rowOff>
    </xdr:from>
    <xdr:to>
      <xdr:col>11</xdr:col>
      <xdr:colOff>0</xdr:colOff>
      <xdr:row>8</xdr:row>
      <xdr:rowOff>238125</xdr:rowOff>
    </xdr:to>
    <xdr:sp>
      <xdr:nvSpPr>
        <xdr:cNvPr id="3" name="AutoShape 3"/>
        <xdr:cNvSpPr>
          <a:spLocks/>
        </xdr:cNvSpPr>
      </xdr:nvSpPr>
      <xdr:spPr>
        <a:xfrm rot="10800000">
          <a:off x="2876550" y="2057400"/>
          <a:ext cx="0" cy="161925"/>
        </a:xfrm>
        <a:prstGeom prst="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11</xdr:row>
      <xdr:rowOff>28575</xdr:rowOff>
    </xdr:from>
    <xdr:to>
      <xdr:col>12</xdr:col>
      <xdr:colOff>371475</xdr:colOff>
      <xdr:row>11</xdr:row>
      <xdr:rowOff>190500</xdr:rowOff>
    </xdr:to>
    <xdr:sp>
      <xdr:nvSpPr>
        <xdr:cNvPr id="4" name="AutoShape 4"/>
        <xdr:cNvSpPr>
          <a:spLocks/>
        </xdr:cNvSpPr>
      </xdr:nvSpPr>
      <xdr:spPr>
        <a:xfrm rot="10800000">
          <a:off x="3619500" y="3095625"/>
          <a:ext cx="0" cy="161925"/>
        </a:xfrm>
        <a:prstGeom prst="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14</xdr:row>
      <xdr:rowOff>57150</xdr:rowOff>
    </xdr:from>
    <xdr:to>
      <xdr:col>14</xdr:col>
      <xdr:colOff>371475</xdr:colOff>
      <xdr:row>14</xdr:row>
      <xdr:rowOff>219075</xdr:rowOff>
    </xdr:to>
    <xdr:sp>
      <xdr:nvSpPr>
        <xdr:cNvPr id="5" name="AutoShape 5"/>
        <xdr:cNvSpPr>
          <a:spLocks/>
        </xdr:cNvSpPr>
      </xdr:nvSpPr>
      <xdr:spPr>
        <a:xfrm rot="10800000">
          <a:off x="4362450" y="4210050"/>
          <a:ext cx="0" cy="161925"/>
        </a:xfrm>
        <a:prstGeom prst="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18</xdr:row>
      <xdr:rowOff>95250</xdr:rowOff>
    </xdr:from>
    <xdr:to>
      <xdr:col>17</xdr:col>
      <xdr:colOff>371475</xdr:colOff>
      <xdr:row>18</xdr:row>
      <xdr:rowOff>257175</xdr:rowOff>
    </xdr:to>
    <xdr:sp>
      <xdr:nvSpPr>
        <xdr:cNvPr id="6" name="AutoShape 6"/>
        <xdr:cNvSpPr>
          <a:spLocks/>
        </xdr:cNvSpPr>
      </xdr:nvSpPr>
      <xdr:spPr>
        <a:xfrm rot="10800000">
          <a:off x="5476875" y="5695950"/>
          <a:ext cx="0" cy="161925"/>
        </a:xfrm>
        <a:prstGeom prst="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295275</xdr:rowOff>
    </xdr:from>
    <xdr:to>
      <xdr:col>11</xdr:col>
      <xdr:colOff>19050</xdr:colOff>
      <xdr:row>24</xdr:row>
      <xdr:rowOff>304800</xdr:rowOff>
    </xdr:to>
    <xdr:sp>
      <xdr:nvSpPr>
        <xdr:cNvPr id="7" name="Line 7"/>
        <xdr:cNvSpPr>
          <a:spLocks/>
        </xdr:cNvSpPr>
      </xdr:nvSpPr>
      <xdr:spPr>
        <a:xfrm>
          <a:off x="2895600" y="1362075"/>
          <a:ext cx="0" cy="6715125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7</xdr:row>
      <xdr:rowOff>76200</xdr:rowOff>
    </xdr:from>
    <xdr:to>
      <xdr:col>11</xdr:col>
      <xdr:colOff>104775</xdr:colOff>
      <xdr:row>7</xdr:row>
      <xdr:rowOff>352425</xdr:rowOff>
    </xdr:to>
    <xdr:sp>
      <xdr:nvSpPr>
        <xdr:cNvPr id="8" name="AutoShape 8"/>
        <xdr:cNvSpPr>
          <a:spLocks/>
        </xdr:cNvSpPr>
      </xdr:nvSpPr>
      <xdr:spPr>
        <a:xfrm>
          <a:off x="2705100" y="1695450"/>
          <a:ext cx="276225" cy="276225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0</xdr:row>
      <xdr:rowOff>266700</xdr:rowOff>
    </xdr:from>
    <xdr:to>
      <xdr:col>12</xdr:col>
      <xdr:colOff>161925</xdr:colOff>
      <xdr:row>2</xdr:row>
      <xdr:rowOff>47625</xdr:rowOff>
    </xdr:to>
    <xdr:sp>
      <xdr:nvSpPr>
        <xdr:cNvPr id="9" name="AutoShape 9"/>
        <xdr:cNvSpPr>
          <a:spLocks/>
        </xdr:cNvSpPr>
      </xdr:nvSpPr>
      <xdr:spPr>
        <a:xfrm>
          <a:off x="3133725" y="266700"/>
          <a:ext cx="276225" cy="276225"/>
        </a:xfrm>
        <a:prstGeom prst="star5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8</xdr:row>
      <xdr:rowOff>76200</xdr:rowOff>
    </xdr:from>
    <xdr:to>
      <xdr:col>12</xdr:col>
      <xdr:colOff>295275</xdr:colOff>
      <xdr:row>8</xdr:row>
      <xdr:rowOff>333375</xdr:rowOff>
    </xdr:to>
    <xdr:sp>
      <xdr:nvSpPr>
        <xdr:cNvPr id="10" name="AutoShape 10"/>
        <xdr:cNvSpPr>
          <a:spLocks/>
        </xdr:cNvSpPr>
      </xdr:nvSpPr>
      <xdr:spPr>
        <a:xfrm>
          <a:off x="3409950" y="2057400"/>
          <a:ext cx="1333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13</xdr:col>
      <xdr:colOff>228600</xdr:colOff>
      <xdr:row>9</xdr:row>
      <xdr:rowOff>76200</xdr:rowOff>
    </xdr:from>
    <xdr:to>
      <xdr:col>13</xdr:col>
      <xdr:colOff>361950</xdr:colOff>
      <xdr:row>9</xdr:row>
      <xdr:rowOff>333375</xdr:rowOff>
    </xdr:to>
    <xdr:sp>
      <xdr:nvSpPr>
        <xdr:cNvPr id="11" name="AutoShape 11"/>
        <xdr:cNvSpPr>
          <a:spLocks/>
        </xdr:cNvSpPr>
      </xdr:nvSpPr>
      <xdr:spPr>
        <a:xfrm>
          <a:off x="3848100" y="2419350"/>
          <a:ext cx="1333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14</xdr:col>
      <xdr:colOff>133350</xdr:colOff>
      <xdr:row>10</xdr:row>
      <xdr:rowOff>66675</xdr:rowOff>
    </xdr:from>
    <xdr:to>
      <xdr:col>14</xdr:col>
      <xdr:colOff>247650</xdr:colOff>
      <xdr:row>10</xdr:row>
      <xdr:rowOff>285750</xdr:rowOff>
    </xdr:to>
    <xdr:sp>
      <xdr:nvSpPr>
        <xdr:cNvPr id="12" name="AutoShape 12"/>
        <xdr:cNvSpPr>
          <a:spLocks/>
        </xdr:cNvSpPr>
      </xdr:nvSpPr>
      <xdr:spPr>
        <a:xfrm>
          <a:off x="4124325" y="2771775"/>
          <a:ext cx="1143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15</xdr:col>
      <xdr:colOff>304800</xdr:colOff>
      <xdr:row>13</xdr:row>
      <xdr:rowOff>66675</xdr:rowOff>
    </xdr:from>
    <xdr:to>
      <xdr:col>16</xdr:col>
      <xdr:colOff>28575</xdr:colOff>
      <xdr:row>13</xdr:row>
      <xdr:rowOff>276225</xdr:rowOff>
    </xdr:to>
    <xdr:sp>
      <xdr:nvSpPr>
        <xdr:cNvPr id="13" name="AutoShape 13"/>
        <xdr:cNvSpPr>
          <a:spLocks/>
        </xdr:cNvSpPr>
      </xdr:nvSpPr>
      <xdr:spPr>
        <a:xfrm>
          <a:off x="4667250" y="3857625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8</xdr:col>
      <xdr:colOff>28575</xdr:colOff>
      <xdr:row>0</xdr:row>
      <xdr:rowOff>276225</xdr:rowOff>
    </xdr:from>
    <xdr:to>
      <xdr:col>8</xdr:col>
      <xdr:colOff>142875</xdr:colOff>
      <xdr:row>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790700" y="276225"/>
          <a:ext cx="1143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15</xdr:col>
      <xdr:colOff>133350</xdr:colOff>
      <xdr:row>0</xdr:row>
      <xdr:rowOff>295275</xdr:rowOff>
    </xdr:from>
    <xdr:to>
      <xdr:col>15</xdr:col>
      <xdr:colOff>333375</xdr:colOff>
      <xdr:row>2</xdr:row>
      <xdr:rowOff>0</xdr:rowOff>
    </xdr:to>
    <xdr:sp>
      <xdr:nvSpPr>
        <xdr:cNvPr id="15" name="Oval 16"/>
        <xdr:cNvSpPr>
          <a:spLocks/>
        </xdr:cNvSpPr>
      </xdr:nvSpPr>
      <xdr:spPr>
        <a:xfrm>
          <a:off x="4495800" y="295275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14</xdr:col>
      <xdr:colOff>19050</xdr:colOff>
      <xdr:row>35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248025" y="9972675"/>
          <a:ext cx="762000" cy="0"/>
        </a:xfrm>
        <a:custGeom>
          <a:pathLst>
            <a:path h="20" w="80">
              <a:moveTo>
                <a:pt x="0" y="20"/>
              </a:moveTo>
              <a:cubicBezTo>
                <a:pt x="13" y="10"/>
                <a:pt x="26" y="0"/>
                <a:pt x="39" y="0"/>
              </a:cubicBezTo>
              <a:cubicBezTo>
                <a:pt x="52" y="0"/>
                <a:pt x="66" y="9"/>
                <a:pt x="80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248025" y="9972675"/>
          <a:ext cx="1114425" cy="0"/>
        </a:xfrm>
        <a:custGeom>
          <a:pathLst>
            <a:path h="24" w="117">
              <a:moveTo>
                <a:pt x="0" y="24"/>
              </a:moveTo>
              <a:cubicBezTo>
                <a:pt x="13" y="16"/>
                <a:pt x="26" y="8"/>
                <a:pt x="39" y="5"/>
              </a:cubicBezTo>
              <a:cubicBezTo>
                <a:pt x="52" y="2"/>
                <a:pt x="67" y="0"/>
                <a:pt x="80" y="3"/>
              </a:cubicBezTo>
              <a:cubicBezTo>
                <a:pt x="93" y="6"/>
                <a:pt x="105" y="15"/>
                <a:pt x="117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35</xdr:row>
      <xdr:rowOff>0</xdr:rowOff>
    </xdr:from>
    <xdr:to>
      <xdr:col>19</xdr:col>
      <xdr:colOff>19050</xdr:colOff>
      <xdr:row>35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4886325" y="9972675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35</xdr:row>
      <xdr:rowOff>0</xdr:rowOff>
    </xdr:from>
    <xdr:to>
      <xdr:col>19</xdr:col>
      <xdr:colOff>38100</xdr:colOff>
      <xdr:row>35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4876800" y="9972675"/>
          <a:ext cx="1009650" cy="0"/>
        </a:xfrm>
        <a:custGeom>
          <a:pathLst>
            <a:path h="81" w="106">
              <a:moveTo>
                <a:pt x="0" y="43"/>
              </a:moveTo>
              <a:cubicBezTo>
                <a:pt x="0" y="30"/>
                <a:pt x="36" y="0"/>
                <a:pt x="54" y="0"/>
              </a:cubicBezTo>
              <a:cubicBezTo>
                <a:pt x="72" y="0"/>
                <a:pt x="106" y="30"/>
                <a:pt x="106" y="43"/>
              </a:cubicBezTo>
              <a:cubicBezTo>
                <a:pt x="106" y="56"/>
                <a:pt x="74" y="79"/>
                <a:pt x="57" y="80"/>
              </a:cubicBezTo>
              <a:cubicBezTo>
                <a:pt x="40" y="81"/>
                <a:pt x="0" y="56"/>
                <a:pt x="0" y="43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304800</xdr:colOff>
      <xdr:row>18</xdr:row>
      <xdr:rowOff>209550</xdr:rowOff>
    </xdr:from>
    <xdr:to>
      <xdr:col>55</xdr:col>
      <xdr:colOff>209550</xdr:colOff>
      <xdr:row>35</xdr:row>
      <xdr:rowOff>0</xdr:rowOff>
    </xdr:to>
    <xdr:grpSp>
      <xdr:nvGrpSpPr>
        <xdr:cNvPr id="20" name="Group 21"/>
        <xdr:cNvGrpSpPr>
          <a:grpSpLocks/>
        </xdr:cNvGrpSpPr>
      </xdr:nvGrpSpPr>
      <xdr:grpSpPr>
        <a:xfrm>
          <a:off x="14516100" y="5810250"/>
          <a:ext cx="8334375" cy="4162425"/>
          <a:chOff x="294" y="181"/>
          <a:chExt cx="875" cy="660"/>
        </a:xfrm>
        <a:solidFill>
          <a:srgbClr val="FFFFFF"/>
        </a:solidFill>
      </xdr:grpSpPr>
      <xdr:sp>
        <xdr:nvSpPr>
          <xdr:cNvPr id="21" name="AutoShape 22"/>
          <xdr:cNvSpPr>
            <a:spLocks/>
          </xdr:cNvSpPr>
        </xdr:nvSpPr>
        <xdr:spPr>
          <a:xfrm rot="10800000">
            <a:off x="1155" y="824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3"/>
          <xdr:cNvSpPr>
            <a:spLocks/>
          </xdr:cNvSpPr>
        </xdr:nvSpPr>
        <xdr:spPr>
          <a:xfrm rot="10800000">
            <a:off x="357" y="217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4"/>
          <xdr:cNvSpPr>
            <a:spLocks/>
          </xdr:cNvSpPr>
        </xdr:nvSpPr>
        <xdr:spPr>
          <a:xfrm rot="10800000">
            <a:off x="397" y="253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5"/>
          <xdr:cNvSpPr>
            <a:spLocks/>
          </xdr:cNvSpPr>
        </xdr:nvSpPr>
        <xdr:spPr>
          <a:xfrm rot="10800000">
            <a:off x="440" y="292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6"/>
          <xdr:cNvSpPr>
            <a:spLocks/>
          </xdr:cNvSpPr>
        </xdr:nvSpPr>
        <xdr:spPr>
          <a:xfrm rot="10800000">
            <a:off x="491" y="332"/>
            <a:ext cx="17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7"/>
          <xdr:cNvSpPr>
            <a:spLocks/>
          </xdr:cNvSpPr>
        </xdr:nvSpPr>
        <xdr:spPr>
          <a:xfrm rot="10800000">
            <a:off x="526" y="369"/>
            <a:ext cx="17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8"/>
          <xdr:cNvSpPr>
            <a:spLocks/>
          </xdr:cNvSpPr>
        </xdr:nvSpPr>
        <xdr:spPr>
          <a:xfrm rot="10800000">
            <a:off x="615" y="442"/>
            <a:ext cx="17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9"/>
          <xdr:cNvSpPr>
            <a:spLocks/>
          </xdr:cNvSpPr>
        </xdr:nvSpPr>
        <xdr:spPr>
          <a:xfrm rot="10800000">
            <a:off x="660" y="487"/>
            <a:ext cx="17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30"/>
          <xdr:cNvSpPr>
            <a:spLocks/>
          </xdr:cNvSpPr>
        </xdr:nvSpPr>
        <xdr:spPr>
          <a:xfrm rot="10800000">
            <a:off x="704" y="522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1"/>
          <xdr:cNvSpPr>
            <a:spLocks/>
          </xdr:cNvSpPr>
        </xdr:nvSpPr>
        <xdr:spPr>
          <a:xfrm rot="10800000">
            <a:off x="908" y="640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2"/>
          <xdr:cNvSpPr>
            <a:spLocks/>
          </xdr:cNvSpPr>
        </xdr:nvSpPr>
        <xdr:spPr>
          <a:xfrm rot="10800000">
            <a:off x="938" y="671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3"/>
          <xdr:cNvSpPr>
            <a:spLocks/>
          </xdr:cNvSpPr>
        </xdr:nvSpPr>
        <xdr:spPr>
          <a:xfrm rot="10800000">
            <a:off x="1015" y="710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4"/>
          <xdr:cNvSpPr>
            <a:spLocks/>
          </xdr:cNvSpPr>
        </xdr:nvSpPr>
        <xdr:spPr>
          <a:xfrm rot="10800000">
            <a:off x="1045" y="746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 flipV="1">
            <a:off x="728" y="804"/>
            <a:ext cx="411" cy="1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6"/>
          <xdr:cNvSpPr>
            <a:spLocks/>
          </xdr:cNvSpPr>
        </xdr:nvSpPr>
        <xdr:spPr>
          <a:xfrm rot="10800000">
            <a:off x="294" y="181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7"/>
          <xdr:cNvSpPr>
            <a:spLocks/>
          </xdr:cNvSpPr>
        </xdr:nvSpPr>
        <xdr:spPr>
          <a:xfrm rot="10800000">
            <a:off x="574" y="411"/>
            <a:ext cx="17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8"/>
          <xdr:cNvSpPr>
            <a:spLocks/>
          </xdr:cNvSpPr>
        </xdr:nvSpPr>
        <xdr:spPr>
          <a:xfrm rot="10800000">
            <a:off x="789" y="600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9"/>
          <xdr:cNvSpPr>
            <a:spLocks/>
          </xdr:cNvSpPr>
        </xdr:nvSpPr>
        <xdr:spPr>
          <a:xfrm rot="10800000">
            <a:off x="755" y="560"/>
            <a:ext cx="14" cy="17"/>
          </a:xfrm>
          <a:prstGeom prst="triangle">
            <a:avLst/>
          </a:prstGeom>
          <a:solidFill>
            <a:srgbClr val="FF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381000</xdr:colOff>
      <xdr:row>7</xdr:row>
      <xdr:rowOff>342900</xdr:rowOff>
    </xdr:from>
    <xdr:to>
      <xdr:col>38</xdr:col>
      <xdr:colOff>19050</xdr:colOff>
      <xdr:row>8</xdr:row>
      <xdr:rowOff>180975</xdr:rowOff>
    </xdr:to>
    <xdr:sp>
      <xdr:nvSpPr>
        <xdr:cNvPr id="39" name="Oval 40"/>
        <xdr:cNvSpPr>
          <a:spLocks/>
        </xdr:cNvSpPr>
      </xdr:nvSpPr>
      <xdr:spPr>
        <a:xfrm>
          <a:off x="12906375" y="1962150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26</xdr:row>
      <xdr:rowOff>57150</xdr:rowOff>
    </xdr:from>
    <xdr:to>
      <xdr:col>39</xdr:col>
      <xdr:colOff>66675</xdr:colOff>
      <xdr:row>27</xdr:row>
      <xdr:rowOff>66675</xdr:rowOff>
    </xdr:to>
    <xdr:sp>
      <xdr:nvSpPr>
        <xdr:cNvPr id="40" name="Oval 41"/>
        <xdr:cNvSpPr>
          <a:spLocks/>
        </xdr:cNvSpPr>
      </xdr:nvSpPr>
      <xdr:spPr>
        <a:xfrm>
          <a:off x="13515975" y="8315325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314325</xdr:colOff>
      <xdr:row>9</xdr:row>
      <xdr:rowOff>9525</xdr:rowOff>
    </xdr:from>
    <xdr:to>
      <xdr:col>37</xdr:col>
      <xdr:colOff>514350</xdr:colOff>
      <xdr:row>9</xdr:row>
      <xdr:rowOff>209550</xdr:rowOff>
    </xdr:to>
    <xdr:sp>
      <xdr:nvSpPr>
        <xdr:cNvPr id="41" name="Oval 42"/>
        <xdr:cNvSpPr>
          <a:spLocks/>
        </xdr:cNvSpPr>
      </xdr:nvSpPr>
      <xdr:spPr>
        <a:xfrm>
          <a:off x="12839700" y="2352675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476250</xdr:colOff>
      <xdr:row>9</xdr:row>
      <xdr:rowOff>266700</xdr:rowOff>
    </xdr:from>
    <xdr:to>
      <xdr:col>38</xdr:col>
      <xdr:colOff>114300</xdr:colOff>
      <xdr:row>10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13001625" y="2609850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66675</xdr:colOff>
      <xdr:row>22</xdr:row>
      <xdr:rowOff>304800</xdr:rowOff>
    </xdr:from>
    <xdr:to>
      <xdr:col>39</xdr:col>
      <xdr:colOff>266700</xdr:colOff>
      <xdr:row>23</xdr:row>
      <xdr:rowOff>142875</xdr:rowOff>
    </xdr:to>
    <xdr:sp>
      <xdr:nvSpPr>
        <xdr:cNvPr id="43" name="Oval 44"/>
        <xdr:cNvSpPr>
          <a:spLocks/>
        </xdr:cNvSpPr>
      </xdr:nvSpPr>
      <xdr:spPr>
        <a:xfrm>
          <a:off x="13716000" y="7353300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10</xdr:row>
      <xdr:rowOff>276225</xdr:rowOff>
    </xdr:from>
    <xdr:to>
      <xdr:col>37</xdr:col>
      <xdr:colOff>419100</xdr:colOff>
      <xdr:row>11</xdr:row>
      <xdr:rowOff>114300</xdr:rowOff>
    </xdr:to>
    <xdr:sp>
      <xdr:nvSpPr>
        <xdr:cNvPr id="44" name="Oval 45"/>
        <xdr:cNvSpPr>
          <a:spLocks/>
        </xdr:cNvSpPr>
      </xdr:nvSpPr>
      <xdr:spPr>
        <a:xfrm>
          <a:off x="12744450" y="2981325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12</xdr:row>
      <xdr:rowOff>276225</xdr:rowOff>
    </xdr:from>
    <xdr:to>
      <xdr:col>40</xdr:col>
      <xdr:colOff>276225</xdr:colOff>
      <xdr:row>13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14287500" y="3705225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13</xdr:row>
      <xdr:rowOff>314325</xdr:rowOff>
    </xdr:from>
    <xdr:to>
      <xdr:col>37</xdr:col>
      <xdr:colOff>428625</xdr:colOff>
      <xdr:row>14</xdr:row>
      <xdr:rowOff>152400</xdr:rowOff>
    </xdr:to>
    <xdr:sp>
      <xdr:nvSpPr>
        <xdr:cNvPr id="46" name="Oval 47"/>
        <xdr:cNvSpPr>
          <a:spLocks/>
        </xdr:cNvSpPr>
      </xdr:nvSpPr>
      <xdr:spPr>
        <a:xfrm>
          <a:off x="12753975" y="4105275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342900</xdr:colOff>
      <xdr:row>12</xdr:row>
      <xdr:rowOff>304800</xdr:rowOff>
    </xdr:from>
    <xdr:to>
      <xdr:col>37</xdr:col>
      <xdr:colOff>542925</xdr:colOff>
      <xdr:row>13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12868275" y="3733800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361950</xdr:colOff>
      <xdr:row>16</xdr:row>
      <xdr:rowOff>323850</xdr:rowOff>
    </xdr:from>
    <xdr:to>
      <xdr:col>39</xdr:col>
      <xdr:colOff>0</xdr:colOff>
      <xdr:row>17</xdr:row>
      <xdr:rowOff>161925</xdr:rowOff>
    </xdr:to>
    <xdr:sp>
      <xdr:nvSpPr>
        <xdr:cNvPr id="48" name="Oval 49"/>
        <xdr:cNvSpPr>
          <a:spLocks/>
        </xdr:cNvSpPr>
      </xdr:nvSpPr>
      <xdr:spPr>
        <a:xfrm>
          <a:off x="13449300" y="5200650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85725</xdr:colOff>
      <xdr:row>16</xdr:row>
      <xdr:rowOff>133350</xdr:rowOff>
    </xdr:from>
    <xdr:to>
      <xdr:col>38</xdr:col>
      <xdr:colOff>285750</xdr:colOff>
      <xdr:row>16</xdr:row>
      <xdr:rowOff>333375</xdr:rowOff>
    </xdr:to>
    <xdr:sp>
      <xdr:nvSpPr>
        <xdr:cNvPr id="49" name="Oval 50"/>
        <xdr:cNvSpPr>
          <a:spLocks/>
        </xdr:cNvSpPr>
      </xdr:nvSpPr>
      <xdr:spPr>
        <a:xfrm>
          <a:off x="13173075" y="5010150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400050</xdr:colOff>
      <xdr:row>17</xdr:row>
      <xdr:rowOff>333375</xdr:rowOff>
    </xdr:from>
    <xdr:to>
      <xdr:col>39</xdr:col>
      <xdr:colOff>38100</xdr:colOff>
      <xdr:row>18</xdr:row>
      <xdr:rowOff>171450</xdr:rowOff>
    </xdr:to>
    <xdr:sp>
      <xdr:nvSpPr>
        <xdr:cNvPr id="50" name="Oval 51"/>
        <xdr:cNvSpPr>
          <a:spLocks/>
        </xdr:cNvSpPr>
      </xdr:nvSpPr>
      <xdr:spPr>
        <a:xfrm>
          <a:off x="13487400" y="5572125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476250</xdr:colOff>
      <xdr:row>18</xdr:row>
      <xdr:rowOff>171450</xdr:rowOff>
    </xdr:from>
    <xdr:to>
      <xdr:col>39</xdr:col>
      <xdr:colOff>114300</xdr:colOff>
      <xdr:row>19</xdr:row>
      <xdr:rowOff>9525</xdr:rowOff>
    </xdr:to>
    <xdr:sp>
      <xdr:nvSpPr>
        <xdr:cNvPr id="51" name="Oval 52"/>
        <xdr:cNvSpPr>
          <a:spLocks/>
        </xdr:cNvSpPr>
      </xdr:nvSpPr>
      <xdr:spPr>
        <a:xfrm>
          <a:off x="13563600" y="5772150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18</xdr:row>
      <xdr:rowOff>323850</xdr:rowOff>
    </xdr:from>
    <xdr:to>
      <xdr:col>39</xdr:col>
      <xdr:colOff>438150</xdr:colOff>
      <xdr:row>19</xdr:row>
      <xdr:rowOff>161925</xdr:rowOff>
    </xdr:to>
    <xdr:sp>
      <xdr:nvSpPr>
        <xdr:cNvPr id="52" name="Oval 53"/>
        <xdr:cNvSpPr>
          <a:spLocks/>
        </xdr:cNvSpPr>
      </xdr:nvSpPr>
      <xdr:spPr>
        <a:xfrm>
          <a:off x="13887450" y="5924550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20</xdr:row>
      <xdr:rowOff>95250</xdr:rowOff>
    </xdr:from>
    <xdr:to>
      <xdr:col>39</xdr:col>
      <xdr:colOff>209550</xdr:colOff>
      <xdr:row>20</xdr:row>
      <xdr:rowOff>295275</xdr:rowOff>
    </xdr:to>
    <xdr:sp>
      <xdr:nvSpPr>
        <xdr:cNvPr id="53" name="Oval 54"/>
        <xdr:cNvSpPr>
          <a:spLocks/>
        </xdr:cNvSpPr>
      </xdr:nvSpPr>
      <xdr:spPr>
        <a:xfrm>
          <a:off x="13658850" y="6419850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20</xdr:row>
      <xdr:rowOff>238125</xdr:rowOff>
    </xdr:from>
    <xdr:to>
      <xdr:col>37</xdr:col>
      <xdr:colOff>352425</xdr:colOff>
      <xdr:row>21</xdr:row>
      <xdr:rowOff>76200</xdr:rowOff>
    </xdr:to>
    <xdr:sp>
      <xdr:nvSpPr>
        <xdr:cNvPr id="54" name="Oval 55"/>
        <xdr:cNvSpPr>
          <a:spLocks/>
        </xdr:cNvSpPr>
      </xdr:nvSpPr>
      <xdr:spPr>
        <a:xfrm>
          <a:off x="12677775" y="6562725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409575</xdr:colOff>
      <xdr:row>22</xdr:row>
      <xdr:rowOff>123825</xdr:rowOff>
    </xdr:from>
    <xdr:to>
      <xdr:col>39</xdr:col>
      <xdr:colOff>47625</xdr:colOff>
      <xdr:row>22</xdr:row>
      <xdr:rowOff>323850</xdr:rowOff>
    </xdr:to>
    <xdr:sp>
      <xdr:nvSpPr>
        <xdr:cNvPr id="55" name="Oval 56"/>
        <xdr:cNvSpPr>
          <a:spLocks/>
        </xdr:cNvSpPr>
      </xdr:nvSpPr>
      <xdr:spPr>
        <a:xfrm>
          <a:off x="13496925" y="7172325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352425</xdr:colOff>
      <xdr:row>11</xdr:row>
      <xdr:rowOff>266700</xdr:rowOff>
    </xdr:from>
    <xdr:to>
      <xdr:col>37</xdr:col>
      <xdr:colOff>552450</xdr:colOff>
      <xdr:row>12</xdr:row>
      <xdr:rowOff>104775</xdr:rowOff>
    </xdr:to>
    <xdr:sp>
      <xdr:nvSpPr>
        <xdr:cNvPr id="56" name="Oval 57"/>
        <xdr:cNvSpPr>
          <a:spLocks/>
        </xdr:cNvSpPr>
      </xdr:nvSpPr>
      <xdr:spPr>
        <a:xfrm>
          <a:off x="12877800" y="3333750"/>
          <a:ext cx="200025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200025</xdr:rowOff>
    </xdr:from>
    <xdr:to>
      <xdr:col>36</xdr:col>
      <xdr:colOff>19050</xdr:colOff>
      <xdr:row>22</xdr:row>
      <xdr:rowOff>200025</xdr:rowOff>
    </xdr:to>
    <xdr:sp>
      <xdr:nvSpPr>
        <xdr:cNvPr id="57" name="Line 58"/>
        <xdr:cNvSpPr>
          <a:spLocks/>
        </xdr:cNvSpPr>
      </xdr:nvSpPr>
      <xdr:spPr>
        <a:xfrm>
          <a:off x="666750" y="7248525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23</xdr:row>
      <xdr:rowOff>171450</xdr:rowOff>
    </xdr:from>
    <xdr:to>
      <xdr:col>35</xdr:col>
      <xdr:colOff>342900</xdr:colOff>
      <xdr:row>23</xdr:row>
      <xdr:rowOff>171450</xdr:rowOff>
    </xdr:to>
    <xdr:sp>
      <xdr:nvSpPr>
        <xdr:cNvPr id="58" name="Line 59"/>
        <xdr:cNvSpPr>
          <a:spLocks/>
        </xdr:cNvSpPr>
      </xdr:nvSpPr>
      <xdr:spPr>
        <a:xfrm flipV="1">
          <a:off x="638175" y="7581900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24</xdr:row>
      <xdr:rowOff>190500</xdr:rowOff>
    </xdr:from>
    <xdr:to>
      <xdr:col>36</xdr:col>
      <xdr:colOff>19050</xdr:colOff>
      <xdr:row>24</xdr:row>
      <xdr:rowOff>190500</xdr:rowOff>
    </xdr:to>
    <xdr:sp>
      <xdr:nvSpPr>
        <xdr:cNvPr id="59" name="Line 60"/>
        <xdr:cNvSpPr>
          <a:spLocks/>
        </xdr:cNvSpPr>
      </xdr:nvSpPr>
      <xdr:spPr>
        <a:xfrm>
          <a:off x="666750" y="7962900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8</xdr:row>
      <xdr:rowOff>104775</xdr:rowOff>
    </xdr:from>
    <xdr:to>
      <xdr:col>13</xdr:col>
      <xdr:colOff>85725</xdr:colOff>
      <xdr:row>8</xdr:row>
      <xdr:rowOff>304800</xdr:rowOff>
    </xdr:to>
    <xdr:sp>
      <xdr:nvSpPr>
        <xdr:cNvPr id="60" name="Oval 61"/>
        <xdr:cNvSpPr>
          <a:spLocks/>
        </xdr:cNvSpPr>
      </xdr:nvSpPr>
      <xdr:spPr>
        <a:xfrm>
          <a:off x="3505200" y="2085975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9</xdr:row>
      <xdr:rowOff>114300</xdr:rowOff>
    </xdr:from>
    <xdr:to>
      <xdr:col>14</xdr:col>
      <xdr:colOff>142875</xdr:colOff>
      <xdr:row>9</xdr:row>
      <xdr:rowOff>314325</xdr:rowOff>
    </xdr:to>
    <xdr:sp>
      <xdr:nvSpPr>
        <xdr:cNvPr id="61" name="Oval 62"/>
        <xdr:cNvSpPr>
          <a:spLocks/>
        </xdr:cNvSpPr>
      </xdr:nvSpPr>
      <xdr:spPr>
        <a:xfrm>
          <a:off x="3933825" y="2457450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295275</xdr:colOff>
      <xdr:row>24</xdr:row>
      <xdr:rowOff>85725</xdr:rowOff>
    </xdr:from>
    <xdr:to>
      <xdr:col>32</xdr:col>
      <xdr:colOff>123825</xdr:colOff>
      <xdr:row>24</xdr:row>
      <xdr:rowOff>285750</xdr:rowOff>
    </xdr:to>
    <xdr:sp>
      <xdr:nvSpPr>
        <xdr:cNvPr id="62" name="Oval 63"/>
        <xdr:cNvSpPr>
          <a:spLocks/>
        </xdr:cNvSpPr>
      </xdr:nvSpPr>
      <xdr:spPr>
        <a:xfrm>
          <a:off x="10648950" y="7858125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10</xdr:row>
      <xdr:rowOff>95250</xdr:rowOff>
    </xdr:from>
    <xdr:to>
      <xdr:col>15</xdr:col>
      <xdr:colOff>180975</xdr:colOff>
      <xdr:row>10</xdr:row>
      <xdr:rowOff>295275</xdr:rowOff>
    </xdr:to>
    <xdr:sp>
      <xdr:nvSpPr>
        <xdr:cNvPr id="63" name="Oval 64"/>
        <xdr:cNvSpPr>
          <a:spLocks/>
        </xdr:cNvSpPr>
      </xdr:nvSpPr>
      <xdr:spPr>
        <a:xfrm>
          <a:off x="4343400" y="2800350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11</xdr:row>
      <xdr:rowOff>76200</xdr:rowOff>
    </xdr:from>
    <xdr:to>
      <xdr:col>16</xdr:col>
      <xdr:colOff>276225</xdr:colOff>
      <xdr:row>11</xdr:row>
      <xdr:rowOff>276225</xdr:rowOff>
    </xdr:to>
    <xdr:sp>
      <xdr:nvSpPr>
        <xdr:cNvPr id="64" name="Oval 65"/>
        <xdr:cNvSpPr>
          <a:spLocks/>
        </xdr:cNvSpPr>
      </xdr:nvSpPr>
      <xdr:spPr>
        <a:xfrm>
          <a:off x="4810125" y="3143250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247650</xdr:colOff>
      <xdr:row>19</xdr:row>
      <xdr:rowOff>85725</xdr:rowOff>
    </xdr:from>
    <xdr:to>
      <xdr:col>25</xdr:col>
      <xdr:colOff>66675</xdr:colOff>
      <xdr:row>19</xdr:row>
      <xdr:rowOff>285750</xdr:rowOff>
    </xdr:to>
    <xdr:sp>
      <xdr:nvSpPr>
        <xdr:cNvPr id="65" name="Oval 66"/>
        <xdr:cNvSpPr>
          <a:spLocks/>
        </xdr:cNvSpPr>
      </xdr:nvSpPr>
      <xdr:spPr>
        <a:xfrm>
          <a:off x="7981950" y="6048375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23</xdr:row>
      <xdr:rowOff>76200</xdr:rowOff>
    </xdr:from>
    <xdr:to>
      <xdr:col>31</xdr:col>
      <xdr:colOff>9525</xdr:colOff>
      <xdr:row>23</xdr:row>
      <xdr:rowOff>276225</xdr:rowOff>
    </xdr:to>
    <xdr:sp>
      <xdr:nvSpPr>
        <xdr:cNvPr id="66" name="Oval 67"/>
        <xdr:cNvSpPr>
          <a:spLocks/>
        </xdr:cNvSpPr>
      </xdr:nvSpPr>
      <xdr:spPr>
        <a:xfrm>
          <a:off x="10163175" y="7486650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18</xdr:row>
      <xdr:rowOff>85725</xdr:rowOff>
    </xdr:from>
    <xdr:to>
      <xdr:col>24</xdr:col>
      <xdr:colOff>257175</xdr:colOff>
      <xdr:row>18</xdr:row>
      <xdr:rowOff>285750</xdr:rowOff>
    </xdr:to>
    <xdr:sp>
      <xdr:nvSpPr>
        <xdr:cNvPr id="67" name="Oval 68"/>
        <xdr:cNvSpPr>
          <a:spLocks/>
        </xdr:cNvSpPr>
      </xdr:nvSpPr>
      <xdr:spPr>
        <a:xfrm>
          <a:off x="7791450" y="5686425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323850</xdr:colOff>
      <xdr:row>22</xdr:row>
      <xdr:rowOff>85725</xdr:rowOff>
    </xdr:from>
    <xdr:to>
      <xdr:col>29</xdr:col>
      <xdr:colOff>152400</xdr:colOff>
      <xdr:row>22</xdr:row>
      <xdr:rowOff>285750</xdr:rowOff>
    </xdr:to>
    <xdr:sp>
      <xdr:nvSpPr>
        <xdr:cNvPr id="68" name="Oval 69"/>
        <xdr:cNvSpPr>
          <a:spLocks/>
        </xdr:cNvSpPr>
      </xdr:nvSpPr>
      <xdr:spPr>
        <a:xfrm>
          <a:off x="9563100" y="7134225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12</xdr:row>
      <xdr:rowOff>85725</xdr:rowOff>
    </xdr:from>
    <xdr:to>
      <xdr:col>17</xdr:col>
      <xdr:colOff>257175</xdr:colOff>
      <xdr:row>12</xdr:row>
      <xdr:rowOff>285750</xdr:rowOff>
    </xdr:to>
    <xdr:sp>
      <xdr:nvSpPr>
        <xdr:cNvPr id="69" name="Oval 70"/>
        <xdr:cNvSpPr>
          <a:spLocks/>
        </xdr:cNvSpPr>
      </xdr:nvSpPr>
      <xdr:spPr>
        <a:xfrm>
          <a:off x="5162550" y="3514725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13</xdr:row>
      <xdr:rowOff>85725</xdr:rowOff>
    </xdr:from>
    <xdr:to>
      <xdr:col>18</xdr:col>
      <xdr:colOff>266700</xdr:colOff>
      <xdr:row>13</xdr:row>
      <xdr:rowOff>285750</xdr:rowOff>
    </xdr:to>
    <xdr:sp>
      <xdr:nvSpPr>
        <xdr:cNvPr id="70" name="Oval 71"/>
        <xdr:cNvSpPr>
          <a:spLocks/>
        </xdr:cNvSpPr>
      </xdr:nvSpPr>
      <xdr:spPr>
        <a:xfrm>
          <a:off x="5543550" y="3876675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257175</xdr:colOff>
      <xdr:row>21</xdr:row>
      <xdr:rowOff>95250</xdr:rowOff>
    </xdr:from>
    <xdr:to>
      <xdr:col>28</xdr:col>
      <xdr:colOff>85725</xdr:colOff>
      <xdr:row>21</xdr:row>
      <xdr:rowOff>295275</xdr:rowOff>
    </xdr:to>
    <xdr:sp>
      <xdr:nvSpPr>
        <xdr:cNvPr id="71" name="Oval 72"/>
        <xdr:cNvSpPr>
          <a:spLocks/>
        </xdr:cNvSpPr>
      </xdr:nvSpPr>
      <xdr:spPr>
        <a:xfrm>
          <a:off x="9124950" y="6781800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104775</xdr:colOff>
      <xdr:row>20</xdr:row>
      <xdr:rowOff>95250</xdr:rowOff>
    </xdr:from>
    <xdr:to>
      <xdr:col>25</xdr:col>
      <xdr:colOff>304800</xdr:colOff>
      <xdr:row>20</xdr:row>
      <xdr:rowOff>295275</xdr:rowOff>
    </xdr:to>
    <xdr:sp>
      <xdr:nvSpPr>
        <xdr:cNvPr id="72" name="Oval 73"/>
        <xdr:cNvSpPr>
          <a:spLocks/>
        </xdr:cNvSpPr>
      </xdr:nvSpPr>
      <xdr:spPr>
        <a:xfrm>
          <a:off x="8220075" y="6419850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14</xdr:row>
      <xdr:rowOff>66675</xdr:rowOff>
    </xdr:from>
    <xdr:to>
      <xdr:col>20</xdr:col>
      <xdr:colOff>66675</xdr:colOff>
      <xdr:row>14</xdr:row>
      <xdr:rowOff>266700</xdr:rowOff>
    </xdr:to>
    <xdr:sp>
      <xdr:nvSpPr>
        <xdr:cNvPr id="73" name="Oval 74"/>
        <xdr:cNvSpPr>
          <a:spLocks/>
        </xdr:cNvSpPr>
      </xdr:nvSpPr>
      <xdr:spPr>
        <a:xfrm>
          <a:off x="6086475" y="4219575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15</xdr:row>
      <xdr:rowOff>76200</xdr:rowOff>
    </xdr:from>
    <xdr:to>
      <xdr:col>21</xdr:col>
      <xdr:colOff>104775</xdr:colOff>
      <xdr:row>15</xdr:row>
      <xdr:rowOff>276225</xdr:rowOff>
    </xdr:to>
    <xdr:sp>
      <xdr:nvSpPr>
        <xdr:cNvPr id="74" name="Oval 75"/>
        <xdr:cNvSpPr>
          <a:spLocks/>
        </xdr:cNvSpPr>
      </xdr:nvSpPr>
      <xdr:spPr>
        <a:xfrm>
          <a:off x="6496050" y="4591050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17</xdr:row>
      <xdr:rowOff>47625</xdr:rowOff>
    </xdr:from>
    <xdr:to>
      <xdr:col>23</xdr:col>
      <xdr:colOff>247650</xdr:colOff>
      <xdr:row>17</xdr:row>
      <xdr:rowOff>247650</xdr:rowOff>
    </xdr:to>
    <xdr:sp>
      <xdr:nvSpPr>
        <xdr:cNvPr id="75" name="Oval 76"/>
        <xdr:cNvSpPr>
          <a:spLocks/>
        </xdr:cNvSpPr>
      </xdr:nvSpPr>
      <xdr:spPr>
        <a:xfrm>
          <a:off x="7400925" y="5286375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16</xdr:row>
      <xdr:rowOff>95250</xdr:rowOff>
    </xdr:from>
    <xdr:to>
      <xdr:col>22</xdr:col>
      <xdr:colOff>352425</xdr:colOff>
      <xdr:row>16</xdr:row>
      <xdr:rowOff>295275</xdr:rowOff>
    </xdr:to>
    <xdr:sp>
      <xdr:nvSpPr>
        <xdr:cNvPr id="76" name="Oval 77"/>
        <xdr:cNvSpPr>
          <a:spLocks/>
        </xdr:cNvSpPr>
      </xdr:nvSpPr>
      <xdr:spPr>
        <a:xfrm>
          <a:off x="7124700" y="4972050"/>
          <a:ext cx="200025" cy="2000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8</xdr:row>
      <xdr:rowOff>47625</xdr:rowOff>
    </xdr:from>
    <xdr:to>
      <xdr:col>13</xdr:col>
      <xdr:colOff>76200</xdr:colOff>
      <xdr:row>8</xdr:row>
      <xdr:rowOff>323850</xdr:rowOff>
    </xdr:to>
    <xdr:sp>
      <xdr:nvSpPr>
        <xdr:cNvPr id="77" name="AutoShape 78"/>
        <xdr:cNvSpPr>
          <a:spLocks/>
        </xdr:cNvSpPr>
      </xdr:nvSpPr>
      <xdr:spPr>
        <a:xfrm>
          <a:off x="3419475" y="2028825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9</xdr:row>
      <xdr:rowOff>57150</xdr:rowOff>
    </xdr:from>
    <xdr:to>
      <xdr:col>14</xdr:col>
      <xdr:colOff>152400</xdr:colOff>
      <xdr:row>9</xdr:row>
      <xdr:rowOff>333375</xdr:rowOff>
    </xdr:to>
    <xdr:sp>
      <xdr:nvSpPr>
        <xdr:cNvPr id="78" name="AutoShape 79"/>
        <xdr:cNvSpPr>
          <a:spLocks/>
        </xdr:cNvSpPr>
      </xdr:nvSpPr>
      <xdr:spPr>
        <a:xfrm>
          <a:off x="3867150" y="2400300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10</xdr:row>
      <xdr:rowOff>47625</xdr:rowOff>
    </xdr:from>
    <xdr:to>
      <xdr:col>15</xdr:col>
      <xdr:colOff>171450</xdr:colOff>
      <xdr:row>10</xdr:row>
      <xdr:rowOff>323850</xdr:rowOff>
    </xdr:to>
    <xdr:sp>
      <xdr:nvSpPr>
        <xdr:cNvPr id="79" name="AutoShape 80"/>
        <xdr:cNvSpPr>
          <a:spLocks/>
        </xdr:cNvSpPr>
      </xdr:nvSpPr>
      <xdr:spPr>
        <a:xfrm>
          <a:off x="4257675" y="2752725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28575</xdr:rowOff>
    </xdr:from>
    <xdr:to>
      <xdr:col>16</xdr:col>
      <xdr:colOff>133350</xdr:colOff>
      <xdr:row>11</xdr:row>
      <xdr:rowOff>304800</xdr:rowOff>
    </xdr:to>
    <xdr:sp>
      <xdr:nvSpPr>
        <xdr:cNvPr id="80" name="AutoShape 81"/>
        <xdr:cNvSpPr>
          <a:spLocks/>
        </xdr:cNvSpPr>
      </xdr:nvSpPr>
      <xdr:spPr>
        <a:xfrm>
          <a:off x="4591050" y="3095625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12</xdr:row>
      <xdr:rowOff>38100</xdr:rowOff>
    </xdr:from>
    <xdr:to>
      <xdr:col>17</xdr:col>
      <xdr:colOff>142875</xdr:colOff>
      <xdr:row>12</xdr:row>
      <xdr:rowOff>314325</xdr:rowOff>
    </xdr:to>
    <xdr:sp>
      <xdr:nvSpPr>
        <xdr:cNvPr id="81" name="AutoShape 82"/>
        <xdr:cNvSpPr>
          <a:spLocks/>
        </xdr:cNvSpPr>
      </xdr:nvSpPr>
      <xdr:spPr>
        <a:xfrm>
          <a:off x="4972050" y="3467100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13</xdr:row>
      <xdr:rowOff>28575</xdr:rowOff>
    </xdr:from>
    <xdr:to>
      <xdr:col>18</xdr:col>
      <xdr:colOff>19050</xdr:colOff>
      <xdr:row>13</xdr:row>
      <xdr:rowOff>304800</xdr:rowOff>
    </xdr:to>
    <xdr:sp>
      <xdr:nvSpPr>
        <xdr:cNvPr id="82" name="AutoShape 83"/>
        <xdr:cNvSpPr>
          <a:spLocks/>
        </xdr:cNvSpPr>
      </xdr:nvSpPr>
      <xdr:spPr>
        <a:xfrm>
          <a:off x="5219700" y="3819525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14</xdr:row>
      <xdr:rowOff>28575</xdr:rowOff>
    </xdr:from>
    <xdr:to>
      <xdr:col>18</xdr:col>
      <xdr:colOff>314325</xdr:colOff>
      <xdr:row>14</xdr:row>
      <xdr:rowOff>304800</xdr:rowOff>
    </xdr:to>
    <xdr:sp>
      <xdr:nvSpPr>
        <xdr:cNvPr id="83" name="AutoShape 84"/>
        <xdr:cNvSpPr>
          <a:spLocks/>
        </xdr:cNvSpPr>
      </xdr:nvSpPr>
      <xdr:spPr>
        <a:xfrm>
          <a:off x="5514975" y="4181475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15</xdr:row>
      <xdr:rowOff>28575</xdr:rowOff>
    </xdr:from>
    <xdr:to>
      <xdr:col>19</xdr:col>
      <xdr:colOff>238125</xdr:colOff>
      <xdr:row>15</xdr:row>
      <xdr:rowOff>304800</xdr:rowOff>
    </xdr:to>
    <xdr:sp>
      <xdr:nvSpPr>
        <xdr:cNvPr id="84" name="AutoShape 85"/>
        <xdr:cNvSpPr>
          <a:spLocks/>
        </xdr:cNvSpPr>
      </xdr:nvSpPr>
      <xdr:spPr>
        <a:xfrm>
          <a:off x="5810250" y="4543425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16</xdr:row>
      <xdr:rowOff>38100</xdr:rowOff>
    </xdr:from>
    <xdr:to>
      <xdr:col>20</xdr:col>
      <xdr:colOff>142875</xdr:colOff>
      <xdr:row>16</xdr:row>
      <xdr:rowOff>314325</xdr:rowOff>
    </xdr:to>
    <xdr:sp>
      <xdr:nvSpPr>
        <xdr:cNvPr id="85" name="AutoShape 86"/>
        <xdr:cNvSpPr>
          <a:spLocks/>
        </xdr:cNvSpPr>
      </xdr:nvSpPr>
      <xdr:spPr>
        <a:xfrm>
          <a:off x="6086475" y="4914900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161925</xdr:colOff>
      <xdr:row>17</xdr:row>
      <xdr:rowOff>19050</xdr:rowOff>
    </xdr:from>
    <xdr:to>
      <xdr:col>21</xdr:col>
      <xdr:colOff>66675</xdr:colOff>
      <xdr:row>17</xdr:row>
      <xdr:rowOff>295275</xdr:rowOff>
    </xdr:to>
    <xdr:sp>
      <xdr:nvSpPr>
        <xdr:cNvPr id="86" name="AutoShape 87"/>
        <xdr:cNvSpPr>
          <a:spLocks/>
        </xdr:cNvSpPr>
      </xdr:nvSpPr>
      <xdr:spPr>
        <a:xfrm>
          <a:off x="6381750" y="5257800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18</xdr:row>
      <xdr:rowOff>38100</xdr:rowOff>
    </xdr:from>
    <xdr:to>
      <xdr:col>22</xdr:col>
      <xdr:colOff>76200</xdr:colOff>
      <xdr:row>18</xdr:row>
      <xdr:rowOff>314325</xdr:rowOff>
    </xdr:to>
    <xdr:sp>
      <xdr:nvSpPr>
        <xdr:cNvPr id="87" name="AutoShape 88"/>
        <xdr:cNvSpPr>
          <a:spLocks/>
        </xdr:cNvSpPr>
      </xdr:nvSpPr>
      <xdr:spPr>
        <a:xfrm>
          <a:off x="6772275" y="5638800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19</xdr:row>
      <xdr:rowOff>57150</xdr:rowOff>
    </xdr:from>
    <xdr:to>
      <xdr:col>22</xdr:col>
      <xdr:colOff>352425</xdr:colOff>
      <xdr:row>19</xdr:row>
      <xdr:rowOff>333375</xdr:rowOff>
    </xdr:to>
    <xdr:sp>
      <xdr:nvSpPr>
        <xdr:cNvPr id="88" name="AutoShape 89"/>
        <xdr:cNvSpPr>
          <a:spLocks/>
        </xdr:cNvSpPr>
      </xdr:nvSpPr>
      <xdr:spPr>
        <a:xfrm>
          <a:off x="7048500" y="6019800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20</xdr:row>
      <xdr:rowOff>47625</xdr:rowOff>
    </xdr:from>
    <xdr:to>
      <xdr:col>23</xdr:col>
      <xdr:colOff>352425</xdr:colOff>
      <xdr:row>20</xdr:row>
      <xdr:rowOff>323850</xdr:rowOff>
    </xdr:to>
    <xdr:sp>
      <xdr:nvSpPr>
        <xdr:cNvPr id="89" name="AutoShape 90"/>
        <xdr:cNvSpPr>
          <a:spLocks/>
        </xdr:cNvSpPr>
      </xdr:nvSpPr>
      <xdr:spPr>
        <a:xfrm>
          <a:off x="7429500" y="6372225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21</xdr:row>
      <xdr:rowOff>38100</xdr:rowOff>
    </xdr:from>
    <xdr:to>
      <xdr:col>24</xdr:col>
      <xdr:colOff>285750</xdr:colOff>
      <xdr:row>21</xdr:row>
      <xdr:rowOff>314325</xdr:rowOff>
    </xdr:to>
    <xdr:sp>
      <xdr:nvSpPr>
        <xdr:cNvPr id="90" name="AutoShape 91"/>
        <xdr:cNvSpPr>
          <a:spLocks/>
        </xdr:cNvSpPr>
      </xdr:nvSpPr>
      <xdr:spPr>
        <a:xfrm>
          <a:off x="7743825" y="6724650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22</xdr:row>
      <xdr:rowOff>38100</xdr:rowOff>
    </xdr:from>
    <xdr:to>
      <xdr:col>25</xdr:col>
      <xdr:colOff>238125</xdr:colOff>
      <xdr:row>22</xdr:row>
      <xdr:rowOff>314325</xdr:rowOff>
    </xdr:to>
    <xdr:sp>
      <xdr:nvSpPr>
        <xdr:cNvPr id="91" name="AutoShape 92"/>
        <xdr:cNvSpPr>
          <a:spLocks/>
        </xdr:cNvSpPr>
      </xdr:nvSpPr>
      <xdr:spPr>
        <a:xfrm>
          <a:off x="8077200" y="7086600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24</xdr:row>
      <xdr:rowOff>38100</xdr:rowOff>
    </xdr:from>
    <xdr:to>
      <xdr:col>27</xdr:col>
      <xdr:colOff>0</xdr:colOff>
      <xdr:row>24</xdr:row>
      <xdr:rowOff>314325</xdr:rowOff>
    </xdr:to>
    <xdr:sp>
      <xdr:nvSpPr>
        <xdr:cNvPr id="92" name="AutoShape 93"/>
        <xdr:cNvSpPr>
          <a:spLocks/>
        </xdr:cNvSpPr>
      </xdr:nvSpPr>
      <xdr:spPr>
        <a:xfrm>
          <a:off x="8591550" y="7810500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23</xdr:row>
      <xdr:rowOff>19050</xdr:rowOff>
    </xdr:from>
    <xdr:to>
      <xdr:col>26</xdr:col>
      <xdr:colOff>123825</xdr:colOff>
      <xdr:row>23</xdr:row>
      <xdr:rowOff>295275</xdr:rowOff>
    </xdr:to>
    <xdr:sp>
      <xdr:nvSpPr>
        <xdr:cNvPr id="93" name="AutoShape 94"/>
        <xdr:cNvSpPr>
          <a:spLocks/>
        </xdr:cNvSpPr>
      </xdr:nvSpPr>
      <xdr:spPr>
        <a:xfrm>
          <a:off x="8343900" y="7429500"/>
          <a:ext cx="276225" cy="276225"/>
        </a:xfrm>
        <a:prstGeom prst="star5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209550</xdr:rowOff>
    </xdr:from>
    <xdr:to>
      <xdr:col>36</xdr:col>
      <xdr:colOff>38100</xdr:colOff>
      <xdr:row>19</xdr:row>
      <xdr:rowOff>209550</xdr:rowOff>
    </xdr:to>
    <xdr:sp>
      <xdr:nvSpPr>
        <xdr:cNvPr id="94" name="Line 95"/>
        <xdr:cNvSpPr>
          <a:spLocks/>
        </xdr:cNvSpPr>
      </xdr:nvSpPr>
      <xdr:spPr>
        <a:xfrm>
          <a:off x="685800" y="6172200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180975</xdr:rowOff>
    </xdr:from>
    <xdr:to>
      <xdr:col>36</xdr:col>
      <xdr:colOff>9525</xdr:colOff>
      <xdr:row>20</xdr:row>
      <xdr:rowOff>180975</xdr:rowOff>
    </xdr:to>
    <xdr:sp>
      <xdr:nvSpPr>
        <xdr:cNvPr id="95" name="Line 96"/>
        <xdr:cNvSpPr>
          <a:spLocks/>
        </xdr:cNvSpPr>
      </xdr:nvSpPr>
      <xdr:spPr>
        <a:xfrm flipV="1">
          <a:off x="657225" y="6505575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21</xdr:row>
      <xdr:rowOff>200025</xdr:rowOff>
    </xdr:from>
    <xdr:to>
      <xdr:col>36</xdr:col>
      <xdr:colOff>38100</xdr:colOff>
      <xdr:row>21</xdr:row>
      <xdr:rowOff>200025</xdr:rowOff>
    </xdr:to>
    <xdr:sp>
      <xdr:nvSpPr>
        <xdr:cNvPr id="96" name="Line 97"/>
        <xdr:cNvSpPr>
          <a:spLocks/>
        </xdr:cNvSpPr>
      </xdr:nvSpPr>
      <xdr:spPr>
        <a:xfrm>
          <a:off x="685800" y="6886575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190500</xdr:rowOff>
    </xdr:from>
    <xdr:to>
      <xdr:col>36</xdr:col>
      <xdr:colOff>28575</xdr:colOff>
      <xdr:row>16</xdr:row>
      <xdr:rowOff>190500</xdr:rowOff>
    </xdr:to>
    <xdr:sp>
      <xdr:nvSpPr>
        <xdr:cNvPr id="97" name="Line 98"/>
        <xdr:cNvSpPr>
          <a:spLocks/>
        </xdr:cNvSpPr>
      </xdr:nvSpPr>
      <xdr:spPr>
        <a:xfrm>
          <a:off x="676275" y="5067300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180975</xdr:rowOff>
    </xdr:from>
    <xdr:to>
      <xdr:col>36</xdr:col>
      <xdr:colOff>19050</xdr:colOff>
      <xdr:row>18</xdr:row>
      <xdr:rowOff>180975</xdr:rowOff>
    </xdr:to>
    <xdr:sp>
      <xdr:nvSpPr>
        <xdr:cNvPr id="98" name="Line 99"/>
        <xdr:cNvSpPr>
          <a:spLocks/>
        </xdr:cNvSpPr>
      </xdr:nvSpPr>
      <xdr:spPr>
        <a:xfrm>
          <a:off x="666750" y="5781675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200025</xdr:rowOff>
    </xdr:from>
    <xdr:to>
      <xdr:col>36</xdr:col>
      <xdr:colOff>0</xdr:colOff>
      <xdr:row>13</xdr:row>
      <xdr:rowOff>200025</xdr:rowOff>
    </xdr:to>
    <xdr:sp>
      <xdr:nvSpPr>
        <xdr:cNvPr id="99" name="Line 100"/>
        <xdr:cNvSpPr>
          <a:spLocks/>
        </xdr:cNvSpPr>
      </xdr:nvSpPr>
      <xdr:spPr>
        <a:xfrm>
          <a:off x="647700" y="3990975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161925</xdr:rowOff>
    </xdr:from>
    <xdr:to>
      <xdr:col>36</xdr:col>
      <xdr:colOff>0</xdr:colOff>
      <xdr:row>14</xdr:row>
      <xdr:rowOff>161925</xdr:rowOff>
    </xdr:to>
    <xdr:sp>
      <xdr:nvSpPr>
        <xdr:cNvPr id="100" name="Line 101"/>
        <xdr:cNvSpPr>
          <a:spLocks/>
        </xdr:cNvSpPr>
      </xdr:nvSpPr>
      <xdr:spPr>
        <a:xfrm flipV="1">
          <a:off x="647700" y="4314825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190500</xdr:rowOff>
    </xdr:from>
    <xdr:to>
      <xdr:col>36</xdr:col>
      <xdr:colOff>66675</xdr:colOff>
      <xdr:row>15</xdr:row>
      <xdr:rowOff>190500</xdr:rowOff>
    </xdr:to>
    <xdr:sp>
      <xdr:nvSpPr>
        <xdr:cNvPr id="101" name="Line 102"/>
        <xdr:cNvSpPr>
          <a:spLocks/>
        </xdr:cNvSpPr>
      </xdr:nvSpPr>
      <xdr:spPr>
        <a:xfrm>
          <a:off x="714375" y="4705350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200025</xdr:rowOff>
    </xdr:from>
    <xdr:to>
      <xdr:col>36</xdr:col>
      <xdr:colOff>19050</xdr:colOff>
      <xdr:row>10</xdr:row>
      <xdr:rowOff>200025</xdr:rowOff>
    </xdr:to>
    <xdr:sp>
      <xdr:nvSpPr>
        <xdr:cNvPr id="102" name="Line 103"/>
        <xdr:cNvSpPr>
          <a:spLocks/>
        </xdr:cNvSpPr>
      </xdr:nvSpPr>
      <xdr:spPr>
        <a:xfrm>
          <a:off x="666750" y="2905125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171450</xdr:rowOff>
    </xdr:from>
    <xdr:to>
      <xdr:col>36</xdr:col>
      <xdr:colOff>0</xdr:colOff>
      <xdr:row>11</xdr:row>
      <xdr:rowOff>171450</xdr:rowOff>
    </xdr:to>
    <xdr:sp>
      <xdr:nvSpPr>
        <xdr:cNvPr id="103" name="Line 104"/>
        <xdr:cNvSpPr>
          <a:spLocks/>
        </xdr:cNvSpPr>
      </xdr:nvSpPr>
      <xdr:spPr>
        <a:xfrm flipV="1">
          <a:off x="647700" y="3238500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190500</xdr:rowOff>
    </xdr:from>
    <xdr:to>
      <xdr:col>36</xdr:col>
      <xdr:colOff>28575</xdr:colOff>
      <xdr:row>12</xdr:row>
      <xdr:rowOff>190500</xdr:rowOff>
    </xdr:to>
    <xdr:sp>
      <xdr:nvSpPr>
        <xdr:cNvPr id="104" name="Line 105"/>
        <xdr:cNvSpPr>
          <a:spLocks/>
        </xdr:cNvSpPr>
      </xdr:nvSpPr>
      <xdr:spPr>
        <a:xfrm>
          <a:off x="676275" y="3619500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7</xdr:row>
      <xdr:rowOff>228600</xdr:rowOff>
    </xdr:from>
    <xdr:to>
      <xdr:col>35</xdr:col>
      <xdr:colOff>323850</xdr:colOff>
      <xdr:row>7</xdr:row>
      <xdr:rowOff>228600</xdr:rowOff>
    </xdr:to>
    <xdr:sp>
      <xdr:nvSpPr>
        <xdr:cNvPr id="105" name="Line 106"/>
        <xdr:cNvSpPr>
          <a:spLocks/>
        </xdr:cNvSpPr>
      </xdr:nvSpPr>
      <xdr:spPr>
        <a:xfrm>
          <a:off x="619125" y="1847850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8</xdr:row>
      <xdr:rowOff>190500</xdr:rowOff>
    </xdr:from>
    <xdr:to>
      <xdr:col>35</xdr:col>
      <xdr:colOff>323850</xdr:colOff>
      <xdr:row>8</xdr:row>
      <xdr:rowOff>190500</xdr:rowOff>
    </xdr:to>
    <xdr:sp>
      <xdr:nvSpPr>
        <xdr:cNvPr id="106" name="Line 107"/>
        <xdr:cNvSpPr>
          <a:spLocks/>
        </xdr:cNvSpPr>
      </xdr:nvSpPr>
      <xdr:spPr>
        <a:xfrm flipV="1">
          <a:off x="619125" y="2171700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200025</xdr:rowOff>
    </xdr:from>
    <xdr:to>
      <xdr:col>36</xdr:col>
      <xdr:colOff>28575</xdr:colOff>
      <xdr:row>9</xdr:row>
      <xdr:rowOff>200025</xdr:rowOff>
    </xdr:to>
    <xdr:sp>
      <xdr:nvSpPr>
        <xdr:cNvPr id="107" name="Line 108"/>
        <xdr:cNvSpPr>
          <a:spLocks/>
        </xdr:cNvSpPr>
      </xdr:nvSpPr>
      <xdr:spPr>
        <a:xfrm>
          <a:off x="676275" y="2543175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14</xdr:row>
      <xdr:rowOff>47625</xdr:rowOff>
    </xdr:from>
    <xdr:to>
      <xdr:col>16</xdr:col>
      <xdr:colOff>257175</xdr:colOff>
      <xdr:row>14</xdr:row>
      <xdr:rowOff>257175</xdr:rowOff>
    </xdr:to>
    <xdr:sp>
      <xdr:nvSpPr>
        <xdr:cNvPr id="108" name="AutoShape 109"/>
        <xdr:cNvSpPr>
          <a:spLocks/>
        </xdr:cNvSpPr>
      </xdr:nvSpPr>
      <xdr:spPr>
        <a:xfrm>
          <a:off x="4895850" y="4200525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17</xdr:col>
      <xdr:colOff>57150</xdr:colOff>
      <xdr:row>15</xdr:row>
      <xdr:rowOff>57150</xdr:rowOff>
    </xdr:from>
    <xdr:to>
      <xdr:col>17</xdr:col>
      <xdr:colOff>152400</xdr:colOff>
      <xdr:row>15</xdr:row>
      <xdr:rowOff>266700</xdr:rowOff>
    </xdr:to>
    <xdr:sp>
      <xdr:nvSpPr>
        <xdr:cNvPr id="109" name="AutoShape 110"/>
        <xdr:cNvSpPr>
          <a:spLocks/>
        </xdr:cNvSpPr>
      </xdr:nvSpPr>
      <xdr:spPr>
        <a:xfrm>
          <a:off x="5162550" y="4572000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17</xdr:col>
      <xdr:colOff>276225</xdr:colOff>
      <xdr:row>16</xdr:row>
      <xdr:rowOff>57150</xdr:rowOff>
    </xdr:from>
    <xdr:to>
      <xdr:col>18</xdr:col>
      <xdr:colOff>0</xdr:colOff>
      <xdr:row>16</xdr:row>
      <xdr:rowOff>266700</xdr:rowOff>
    </xdr:to>
    <xdr:sp>
      <xdr:nvSpPr>
        <xdr:cNvPr id="110" name="AutoShape 111"/>
        <xdr:cNvSpPr>
          <a:spLocks/>
        </xdr:cNvSpPr>
      </xdr:nvSpPr>
      <xdr:spPr>
        <a:xfrm>
          <a:off x="5381625" y="4933950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18</xdr:col>
      <xdr:colOff>123825</xdr:colOff>
      <xdr:row>17</xdr:row>
      <xdr:rowOff>95250</xdr:rowOff>
    </xdr:from>
    <xdr:to>
      <xdr:col>18</xdr:col>
      <xdr:colOff>219075</xdr:colOff>
      <xdr:row>17</xdr:row>
      <xdr:rowOff>304800</xdr:rowOff>
    </xdr:to>
    <xdr:sp>
      <xdr:nvSpPr>
        <xdr:cNvPr id="111" name="AutoShape 112"/>
        <xdr:cNvSpPr>
          <a:spLocks/>
        </xdr:cNvSpPr>
      </xdr:nvSpPr>
      <xdr:spPr>
        <a:xfrm>
          <a:off x="5600700" y="5334000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18</xdr:col>
      <xdr:colOff>361950</xdr:colOff>
      <xdr:row>18</xdr:row>
      <xdr:rowOff>66675</xdr:rowOff>
    </xdr:from>
    <xdr:to>
      <xdr:col>19</xdr:col>
      <xdr:colOff>85725</xdr:colOff>
      <xdr:row>18</xdr:row>
      <xdr:rowOff>276225</xdr:rowOff>
    </xdr:to>
    <xdr:sp>
      <xdr:nvSpPr>
        <xdr:cNvPr id="112" name="AutoShape 113"/>
        <xdr:cNvSpPr>
          <a:spLocks/>
        </xdr:cNvSpPr>
      </xdr:nvSpPr>
      <xdr:spPr>
        <a:xfrm>
          <a:off x="5838825" y="5667375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19</xdr:col>
      <xdr:colOff>257175</xdr:colOff>
      <xdr:row>19</xdr:row>
      <xdr:rowOff>104775</xdr:rowOff>
    </xdr:from>
    <xdr:to>
      <xdr:col>19</xdr:col>
      <xdr:colOff>352425</xdr:colOff>
      <xdr:row>19</xdr:row>
      <xdr:rowOff>314325</xdr:rowOff>
    </xdr:to>
    <xdr:sp>
      <xdr:nvSpPr>
        <xdr:cNvPr id="113" name="AutoShape 114"/>
        <xdr:cNvSpPr>
          <a:spLocks/>
        </xdr:cNvSpPr>
      </xdr:nvSpPr>
      <xdr:spPr>
        <a:xfrm>
          <a:off x="6105525" y="6067425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20</xdr:col>
      <xdr:colOff>123825</xdr:colOff>
      <xdr:row>20</xdr:row>
      <xdr:rowOff>85725</xdr:rowOff>
    </xdr:from>
    <xdr:to>
      <xdr:col>20</xdr:col>
      <xdr:colOff>219075</xdr:colOff>
      <xdr:row>20</xdr:row>
      <xdr:rowOff>295275</xdr:rowOff>
    </xdr:to>
    <xdr:sp>
      <xdr:nvSpPr>
        <xdr:cNvPr id="114" name="AutoShape 115"/>
        <xdr:cNvSpPr>
          <a:spLocks/>
        </xdr:cNvSpPr>
      </xdr:nvSpPr>
      <xdr:spPr>
        <a:xfrm>
          <a:off x="6343650" y="6410325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20</xdr:col>
      <xdr:colOff>342900</xdr:colOff>
      <xdr:row>21</xdr:row>
      <xdr:rowOff>95250</xdr:rowOff>
    </xdr:from>
    <xdr:to>
      <xdr:col>21</xdr:col>
      <xdr:colOff>66675</xdr:colOff>
      <xdr:row>21</xdr:row>
      <xdr:rowOff>304800</xdr:rowOff>
    </xdr:to>
    <xdr:sp>
      <xdr:nvSpPr>
        <xdr:cNvPr id="115" name="AutoShape 116"/>
        <xdr:cNvSpPr>
          <a:spLocks/>
        </xdr:cNvSpPr>
      </xdr:nvSpPr>
      <xdr:spPr>
        <a:xfrm>
          <a:off x="6562725" y="6781800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21</xdr:col>
      <xdr:colOff>190500</xdr:colOff>
      <xdr:row>22</xdr:row>
      <xdr:rowOff>85725</xdr:rowOff>
    </xdr:from>
    <xdr:to>
      <xdr:col>21</xdr:col>
      <xdr:colOff>285750</xdr:colOff>
      <xdr:row>22</xdr:row>
      <xdr:rowOff>295275</xdr:rowOff>
    </xdr:to>
    <xdr:sp>
      <xdr:nvSpPr>
        <xdr:cNvPr id="116" name="AutoShape 117"/>
        <xdr:cNvSpPr>
          <a:spLocks/>
        </xdr:cNvSpPr>
      </xdr:nvSpPr>
      <xdr:spPr>
        <a:xfrm>
          <a:off x="6781800" y="7134225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5</xdr:col>
      <xdr:colOff>19050</xdr:colOff>
      <xdr:row>17</xdr:row>
      <xdr:rowOff>190500</xdr:rowOff>
    </xdr:from>
    <xdr:to>
      <xdr:col>36</xdr:col>
      <xdr:colOff>19050</xdr:colOff>
      <xdr:row>17</xdr:row>
      <xdr:rowOff>190500</xdr:rowOff>
    </xdr:to>
    <xdr:sp>
      <xdr:nvSpPr>
        <xdr:cNvPr id="117" name="Line 118"/>
        <xdr:cNvSpPr>
          <a:spLocks/>
        </xdr:cNvSpPr>
      </xdr:nvSpPr>
      <xdr:spPr>
        <a:xfrm>
          <a:off x="666750" y="5429250"/>
          <a:ext cx="1152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23</xdr:row>
      <xdr:rowOff>85725</xdr:rowOff>
    </xdr:from>
    <xdr:to>
      <xdr:col>22</xdr:col>
      <xdr:colOff>104775</xdr:colOff>
      <xdr:row>23</xdr:row>
      <xdr:rowOff>295275</xdr:rowOff>
    </xdr:to>
    <xdr:sp>
      <xdr:nvSpPr>
        <xdr:cNvPr id="118" name="AutoShape 119"/>
        <xdr:cNvSpPr>
          <a:spLocks/>
        </xdr:cNvSpPr>
      </xdr:nvSpPr>
      <xdr:spPr>
        <a:xfrm>
          <a:off x="6981825" y="7496175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22</xdr:col>
      <xdr:colOff>247650</xdr:colOff>
      <xdr:row>24</xdr:row>
      <xdr:rowOff>76200</xdr:rowOff>
    </xdr:from>
    <xdr:to>
      <xdr:col>22</xdr:col>
      <xdr:colOff>342900</xdr:colOff>
      <xdr:row>24</xdr:row>
      <xdr:rowOff>285750</xdr:rowOff>
    </xdr:to>
    <xdr:sp>
      <xdr:nvSpPr>
        <xdr:cNvPr id="119" name="AutoShape 120"/>
        <xdr:cNvSpPr>
          <a:spLocks/>
        </xdr:cNvSpPr>
      </xdr:nvSpPr>
      <xdr:spPr>
        <a:xfrm>
          <a:off x="7219950" y="7848600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15</xdr:col>
      <xdr:colOff>171450</xdr:colOff>
      <xdr:row>12</xdr:row>
      <xdr:rowOff>76200</xdr:rowOff>
    </xdr:from>
    <xdr:to>
      <xdr:col>15</xdr:col>
      <xdr:colOff>266700</xdr:colOff>
      <xdr:row>12</xdr:row>
      <xdr:rowOff>285750</xdr:rowOff>
    </xdr:to>
    <xdr:sp>
      <xdr:nvSpPr>
        <xdr:cNvPr id="120" name="AutoShape 121"/>
        <xdr:cNvSpPr>
          <a:spLocks/>
        </xdr:cNvSpPr>
      </xdr:nvSpPr>
      <xdr:spPr>
        <a:xfrm>
          <a:off x="4533900" y="3505200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14</xdr:col>
      <xdr:colOff>361950</xdr:colOff>
      <xdr:row>11</xdr:row>
      <xdr:rowOff>66675</xdr:rowOff>
    </xdr:from>
    <xdr:to>
      <xdr:col>15</xdr:col>
      <xdr:colOff>85725</xdr:colOff>
      <xdr:row>11</xdr:row>
      <xdr:rowOff>276225</xdr:rowOff>
    </xdr:to>
    <xdr:sp>
      <xdr:nvSpPr>
        <xdr:cNvPr id="121" name="AutoShape 122"/>
        <xdr:cNvSpPr>
          <a:spLocks/>
        </xdr:cNvSpPr>
      </xdr:nvSpPr>
      <xdr:spPr>
        <a:xfrm>
          <a:off x="4352925" y="3133725"/>
          <a:ext cx="952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noFill/>
              </a:ln>
              <a:solidFill>
                <a:srgbClr val="FFFF00">
                  <a:alpha val="60000"/>
                </a:srgbClr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13</xdr:col>
      <xdr:colOff>114300</xdr:colOff>
      <xdr:row>8</xdr:row>
      <xdr:rowOff>190500</xdr:rowOff>
    </xdr:from>
    <xdr:to>
      <xdr:col>33</xdr:col>
      <xdr:colOff>38100</xdr:colOff>
      <xdr:row>24</xdr:row>
      <xdr:rowOff>257175</xdr:rowOff>
    </xdr:to>
    <xdr:sp>
      <xdr:nvSpPr>
        <xdr:cNvPr id="122" name="Polygon 123"/>
        <xdr:cNvSpPr>
          <a:spLocks/>
        </xdr:cNvSpPr>
      </xdr:nvSpPr>
      <xdr:spPr>
        <a:xfrm>
          <a:off x="3733800" y="2171700"/>
          <a:ext cx="7400925" cy="5857875"/>
        </a:xfrm>
        <a:custGeom>
          <a:pathLst>
            <a:path h="607" w="775">
              <a:moveTo>
                <a:pt x="181" y="0"/>
              </a:moveTo>
              <a:lnTo>
                <a:pt x="775" y="607"/>
              </a:lnTo>
              <a:lnTo>
                <a:pt x="573" y="491"/>
              </a:lnTo>
              <a:lnTo>
                <a:pt x="480" y="450"/>
              </a:lnTo>
              <a:lnTo>
                <a:pt x="396" y="332"/>
              </a:lnTo>
              <a:lnTo>
                <a:pt x="307" y="262"/>
              </a:lnTo>
              <a:lnTo>
                <a:pt x="265" y="219"/>
              </a:lnTo>
              <a:lnTo>
                <a:pt x="196" y="185"/>
              </a:lnTo>
              <a:lnTo>
                <a:pt x="144" y="147"/>
              </a:lnTo>
              <a:lnTo>
                <a:pt x="130" y="109"/>
              </a:lnTo>
              <a:lnTo>
                <a:pt x="92" y="74"/>
              </a:lnTo>
              <a:lnTo>
                <a:pt x="37" y="35"/>
              </a:lnTo>
              <a:lnTo>
                <a:pt x="0" y="0"/>
              </a:lnTo>
              <a:lnTo>
                <a:pt x="181" y="0"/>
              </a:lnTo>
              <a:close/>
            </a:path>
          </a:pathLst>
        </a:custGeom>
        <a:solidFill>
          <a:srgbClr val="FFFF00">
            <a:alpha val="3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8</xdr:row>
      <xdr:rowOff>190500</xdr:rowOff>
    </xdr:from>
    <xdr:to>
      <xdr:col>35</xdr:col>
      <xdr:colOff>19050</xdr:colOff>
      <xdr:row>24</xdr:row>
      <xdr:rowOff>180975</xdr:rowOff>
    </xdr:to>
    <xdr:sp>
      <xdr:nvSpPr>
        <xdr:cNvPr id="123" name="Polygon 124"/>
        <xdr:cNvSpPr>
          <a:spLocks/>
        </xdr:cNvSpPr>
      </xdr:nvSpPr>
      <xdr:spPr>
        <a:xfrm>
          <a:off x="5381625" y="2171700"/>
          <a:ext cx="6457950" cy="5781675"/>
        </a:xfrm>
        <a:custGeom>
          <a:pathLst>
            <a:path h="609" w="669">
              <a:moveTo>
                <a:pt x="0" y="0"/>
              </a:moveTo>
              <a:lnTo>
                <a:pt x="81" y="0"/>
              </a:lnTo>
              <a:lnTo>
                <a:pt x="669" y="609"/>
              </a:lnTo>
              <a:lnTo>
                <a:pt x="592" y="607"/>
              </a:lnTo>
              <a:lnTo>
                <a:pt x="0" y="0"/>
              </a:lnTo>
              <a:close/>
            </a:path>
          </a:pathLst>
        </a:custGeom>
        <a:solidFill>
          <a:srgbClr val="00FFFF">
            <a:alpha val="3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190500</xdr:rowOff>
    </xdr:from>
    <xdr:to>
      <xdr:col>37</xdr:col>
      <xdr:colOff>352425</xdr:colOff>
      <xdr:row>24</xdr:row>
      <xdr:rowOff>209550</xdr:rowOff>
    </xdr:to>
    <xdr:sp>
      <xdr:nvSpPr>
        <xdr:cNvPr id="124" name="Polygon 125"/>
        <xdr:cNvSpPr>
          <a:spLocks/>
        </xdr:cNvSpPr>
      </xdr:nvSpPr>
      <xdr:spPr>
        <a:xfrm>
          <a:off x="6257925" y="2171700"/>
          <a:ext cx="6619875" cy="5810250"/>
        </a:xfrm>
        <a:custGeom>
          <a:pathLst>
            <a:path h="610" w="695">
              <a:moveTo>
                <a:pt x="0" y="0"/>
              </a:moveTo>
              <a:lnTo>
                <a:pt x="115" y="0"/>
              </a:lnTo>
              <a:lnTo>
                <a:pt x="695" y="610"/>
              </a:lnTo>
              <a:lnTo>
                <a:pt x="583" y="610"/>
              </a:lnTo>
              <a:lnTo>
                <a:pt x="0" y="0"/>
              </a:lnTo>
              <a:close/>
            </a:path>
          </a:pathLst>
        </a:custGeom>
        <a:solidFill>
          <a:srgbClr val="FF00FF">
            <a:alpha val="3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92</xdr:col>
      <xdr:colOff>9525</xdr:colOff>
      <xdr:row>77</xdr:row>
      <xdr:rowOff>38100</xdr:rowOff>
    </xdr:from>
    <xdr:to>
      <xdr:col>93</xdr:col>
      <xdr:colOff>28575</xdr:colOff>
      <xdr:row>79</xdr:row>
      <xdr:rowOff>9525</xdr:rowOff>
    </xdr:to>
    <xdr:sp>
      <xdr:nvSpPr>
        <xdr:cNvPr id="1" name="AutoShape 1"/>
        <xdr:cNvSpPr>
          <a:spLocks/>
        </xdr:cNvSpPr>
      </xdr:nvSpPr>
      <xdr:spPr>
        <a:xfrm flipV="1">
          <a:off x="14763750" y="8963025"/>
          <a:ext cx="171450" cy="161925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133350</xdr:rowOff>
    </xdr:from>
    <xdr:to>
      <xdr:col>32</xdr:col>
      <xdr:colOff>19050</xdr:colOff>
      <xdr:row>24</xdr:row>
      <xdr:rowOff>9525</xdr:rowOff>
    </xdr:to>
    <xdr:sp>
      <xdr:nvSpPr>
        <xdr:cNvPr id="2" name="AutoShape 2"/>
        <xdr:cNvSpPr>
          <a:spLocks/>
        </xdr:cNvSpPr>
      </xdr:nvSpPr>
      <xdr:spPr>
        <a:xfrm flipV="1">
          <a:off x="5610225" y="2667000"/>
          <a:ext cx="180975" cy="2000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42</xdr:row>
      <xdr:rowOff>0</xdr:rowOff>
    </xdr:from>
    <xdr:to>
      <xdr:col>32</xdr:col>
      <xdr:colOff>28575</xdr:colOff>
      <xdr:row>44</xdr:row>
      <xdr:rowOff>19050</xdr:rowOff>
    </xdr:to>
    <xdr:sp>
      <xdr:nvSpPr>
        <xdr:cNvPr id="3" name="AutoShape 3"/>
        <xdr:cNvSpPr>
          <a:spLocks/>
        </xdr:cNvSpPr>
      </xdr:nvSpPr>
      <xdr:spPr>
        <a:xfrm flipV="1">
          <a:off x="5619750" y="4857750"/>
          <a:ext cx="180975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9525</xdr:rowOff>
    </xdr:from>
    <xdr:to>
      <xdr:col>5</xdr:col>
      <xdr:colOff>19050</xdr:colOff>
      <xdr:row>12</xdr:row>
      <xdr:rowOff>47625</xdr:rowOff>
    </xdr:to>
    <xdr:sp>
      <xdr:nvSpPr>
        <xdr:cNvPr id="4" name="AutoShape 4"/>
        <xdr:cNvSpPr>
          <a:spLocks/>
        </xdr:cNvSpPr>
      </xdr:nvSpPr>
      <xdr:spPr>
        <a:xfrm flipV="1">
          <a:off x="1209675" y="1123950"/>
          <a:ext cx="180975" cy="180975"/>
        </a:xfrm>
        <a:prstGeom prst="triangl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10</xdr:row>
      <xdr:rowOff>133350</xdr:rowOff>
    </xdr:from>
    <xdr:to>
      <xdr:col>25</xdr:col>
      <xdr:colOff>9525</xdr:colOff>
      <xdr:row>12</xdr:row>
      <xdr:rowOff>28575</xdr:rowOff>
    </xdr:to>
    <xdr:sp>
      <xdr:nvSpPr>
        <xdr:cNvPr id="5" name="AutoShape 5"/>
        <xdr:cNvSpPr>
          <a:spLocks/>
        </xdr:cNvSpPr>
      </xdr:nvSpPr>
      <xdr:spPr>
        <a:xfrm flipV="1">
          <a:off x="4467225" y="1076325"/>
          <a:ext cx="180975" cy="209550"/>
        </a:xfrm>
        <a:prstGeom prst="triangl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13</xdr:col>
      <xdr:colOff>66675</xdr:colOff>
      <xdr:row>12</xdr:row>
      <xdr:rowOff>133350</xdr:rowOff>
    </xdr:from>
    <xdr:to>
      <xdr:col>14</xdr:col>
      <xdr:colOff>85725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 flipV="1">
          <a:off x="2762250" y="1390650"/>
          <a:ext cx="180975" cy="152400"/>
        </a:xfrm>
        <a:prstGeom prst="triangl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142875</xdr:colOff>
      <xdr:row>12</xdr:row>
      <xdr:rowOff>9525</xdr:rowOff>
    </xdr:from>
    <xdr:to>
      <xdr:col>83</xdr:col>
      <xdr:colOff>19050</xdr:colOff>
      <xdr:row>13</xdr:row>
      <xdr:rowOff>47625</xdr:rowOff>
    </xdr:to>
    <xdr:sp>
      <xdr:nvSpPr>
        <xdr:cNvPr id="7" name="AutoShape 7"/>
        <xdr:cNvSpPr>
          <a:spLocks/>
        </xdr:cNvSpPr>
      </xdr:nvSpPr>
      <xdr:spPr>
        <a:xfrm flipV="1">
          <a:off x="13211175" y="1266825"/>
          <a:ext cx="180975" cy="180975"/>
        </a:xfrm>
        <a:prstGeom prst="triangle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12</xdr:row>
      <xdr:rowOff>0</xdr:rowOff>
    </xdr:from>
    <xdr:to>
      <xdr:col>32</xdr:col>
      <xdr:colOff>9525</xdr:colOff>
      <xdr:row>13</xdr:row>
      <xdr:rowOff>38100</xdr:rowOff>
    </xdr:to>
    <xdr:sp>
      <xdr:nvSpPr>
        <xdr:cNvPr id="8" name="AutoShape 8"/>
        <xdr:cNvSpPr>
          <a:spLocks/>
        </xdr:cNvSpPr>
      </xdr:nvSpPr>
      <xdr:spPr>
        <a:xfrm flipV="1">
          <a:off x="5600700" y="1257300"/>
          <a:ext cx="180975" cy="180975"/>
        </a:xfrm>
        <a:prstGeom prst="triangl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66675</xdr:colOff>
      <xdr:row>15</xdr:row>
      <xdr:rowOff>0</xdr:rowOff>
    </xdr:from>
    <xdr:to>
      <xdr:col>86</xdr:col>
      <xdr:colOff>95250</xdr:colOff>
      <xdr:row>16</xdr:row>
      <xdr:rowOff>38100</xdr:rowOff>
    </xdr:to>
    <xdr:sp>
      <xdr:nvSpPr>
        <xdr:cNvPr id="9" name="AutoShape 9"/>
        <xdr:cNvSpPr>
          <a:spLocks/>
        </xdr:cNvSpPr>
      </xdr:nvSpPr>
      <xdr:spPr>
        <a:xfrm flipV="1">
          <a:off x="13744575" y="1685925"/>
          <a:ext cx="180975" cy="180975"/>
        </a:xfrm>
        <a:prstGeom prst="triangle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66675</xdr:colOff>
      <xdr:row>17</xdr:row>
      <xdr:rowOff>0</xdr:rowOff>
    </xdr:from>
    <xdr:to>
      <xdr:col>93</xdr:col>
      <xdr:colOff>85725</xdr:colOff>
      <xdr:row>18</xdr:row>
      <xdr:rowOff>38100</xdr:rowOff>
    </xdr:to>
    <xdr:sp>
      <xdr:nvSpPr>
        <xdr:cNvPr id="10" name="AutoShape 10"/>
        <xdr:cNvSpPr>
          <a:spLocks/>
        </xdr:cNvSpPr>
      </xdr:nvSpPr>
      <xdr:spPr>
        <a:xfrm flipV="1">
          <a:off x="14820900" y="1971675"/>
          <a:ext cx="171450" cy="180975"/>
        </a:xfrm>
        <a:prstGeom prst="triangle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4</xdr:col>
      <xdr:colOff>28575</xdr:colOff>
      <xdr:row>11</xdr:row>
      <xdr:rowOff>38100</xdr:rowOff>
    </xdr:to>
    <xdr:sp>
      <xdr:nvSpPr>
        <xdr:cNvPr id="11" name="AutoShape 11"/>
        <xdr:cNvSpPr>
          <a:spLocks/>
        </xdr:cNvSpPr>
      </xdr:nvSpPr>
      <xdr:spPr>
        <a:xfrm flipV="1">
          <a:off x="1047750" y="942975"/>
          <a:ext cx="180975" cy="209550"/>
        </a:xfrm>
        <a:prstGeom prst="triangl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10</xdr:row>
      <xdr:rowOff>123825</xdr:rowOff>
    </xdr:from>
    <xdr:to>
      <xdr:col>21</xdr:col>
      <xdr:colOff>28575</xdr:colOff>
      <xdr:row>12</xdr:row>
      <xdr:rowOff>19050</xdr:rowOff>
    </xdr:to>
    <xdr:sp>
      <xdr:nvSpPr>
        <xdr:cNvPr id="12" name="AutoShape 12"/>
        <xdr:cNvSpPr>
          <a:spLocks/>
        </xdr:cNvSpPr>
      </xdr:nvSpPr>
      <xdr:spPr>
        <a:xfrm flipV="1">
          <a:off x="3838575" y="1066800"/>
          <a:ext cx="180975" cy="209550"/>
        </a:xfrm>
        <a:prstGeom prst="triangl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14</xdr:row>
      <xdr:rowOff>9525</xdr:rowOff>
    </xdr:from>
    <xdr:to>
      <xdr:col>28</xdr:col>
      <xdr:colOff>47625</xdr:colOff>
      <xdr:row>15</xdr:row>
      <xdr:rowOff>47625</xdr:rowOff>
    </xdr:to>
    <xdr:sp>
      <xdr:nvSpPr>
        <xdr:cNvPr id="13" name="AutoShape 13"/>
        <xdr:cNvSpPr>
          <a:spLocks/>
        </xdr:cNvSpPr>
      </xdr:nvSpPr>
      <xdr:spPr>
        <a:xfrm flipV="1">
          <a:off x="4991100" y="1552575"/>
          <a:ext cx="180975" cy="180975"/>
        </a:xfrm>
        <a:prstGeom prst="triangl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12</xdr:row>
      <xdr:rowOff>95250</xdr:rowOff>
    </xdr:from>
    <xdr:to>
      <xdr:col>28</xdr:col>
      <xdr:colOff>47625</xdr:colOff>
      <xdr:row>13</xdr:row>
      <xdr:rowOff>133350</xdr:rowOff>
    </xdr:to>
    <xdr:sp>
      <xdr:nvSpPr>
        <xdr:cNvPr id="14" name="AutoShape 14"/>
        <xdr:cNvSpPr>
          <a:spLocks/>
        </xdr:cNvSpPr>
      </xdr:nvSpPr>
      <xdr:spPr>
        <a:xfrm flipV="1">
          <a:off x="4991100" y="1352550"/>
          <a:ext cx="180975" cy="180975"/>
        </a:xfrm>
        <a:prstGeom prst="triangl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14</xdr:row>
      <xdr:rowOff>95250</xdr:rowOff>
    </xdr:from>
    <xdr:to>
      <xdr:col>23</xdr:col>
      <xdr:colOff>104775</xdr:colOff>
      <xdr:row>16</xdr:row>
      <xdr:rowOff>9525</xdr:rowOff>
    </xdr:to>
    <xdr:sp>
      <xdr:nvSpPr>
        <xdr:cNvPr id="15" name="AutoShape 15"/>
        <xdr:cNvSpPr>
          <a:spLocks noChangeAspect="1"/>
        </xdr:cNvSpPr>
      </xdr:nvSpPr>
      <xdr:spPr>
        <a:xfrm>
          <a:off x="4229100" y="1638300"/>
          <a:ext cx="190500" cy="200025"/>
        </a:xfrm>
        <a:prstGeom prst="star5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15</xdr:row>
      <xdr:rowOff>85725</xdr:rowOff>
    </xdr:from>
    <xdr:to>
      <xdr:col>26</xdr:col>
      <xdr:colOff>76200</xdr:colOff>
      <xdr:row>17</xdr:row>
      <xdr:rowOff>9525</xdr:rowOff>
    </xdr:to>
    <xdr:sp>
      <xdr:nvSpPr>
        <xdr:cNvPr id="16" name="AutoShape 16"/>
        <xdr:cNvSpPr>
          <a:spLocks noChangeAspect="1"/>
        </xdr:cNvSpPr>
      </xdr:nvSpPr>
      <xdr:spPr>
        <a:xfrm>
          <a:off x="4676775" y="1771650"/>
          <a:ext cx="200025" cy="209550"/>
        </a:xfrm>
        <a:prstGeom prst="star5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16</xdr:row>
      <xdr:rowOff>104775</xdr:rowOff>
    </xdr:from>
    <xdr:to>
      <xdr:col>29</xdr:col>
      <xdr:colOff>66675</xdr:colOff>
      <xdr:row>18</xdr:row>
      <xdr:rowOff>28575</xdr:rowOff>
    </xdr:to>
    <xdr:sp>
      <xdr:nvSpPr>
        <xdr:cNvPr id="17" name="AutoShape 17"/>
        <xdr:cNvSpPr>
          <a:spLocks noChangeAspect="1"/>
        </xdr:cNvSpPr>
      </xdr:nvSpPr>
      <xdr:spPr>
        <a:xfrm>
          <a:off x="5153025" y="1933575"/>
          <a:ext cx="200025" cy="209550"/>
        </a:xfrm>
        <a:prstGeom prst="star5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17</xdr:row>
      <xdr:rowOff>85725</xdr:rowOff>
    </xdr:from>
    <xdr:to>
      <xdr:col>32</xdr:col>
      <xdr:colOff>104775</xdr:colOff>
      <xdr:row>19</xdr:row>
      <xdr:rowOff>0</xdr:rowOff>
    </xdr:to>
    <xdr:sp>
      <xdr:nvSpPr>
        <xdr:cNvPr id="18" name="AutoShape 18"/>
        <xdr:cNvSpPr>
          <a:spLocks noChangeAspect="1"/>
        </xdr:cNvSpPr>
      </xdr:nvSpPr>
      <xdr:spPr>
        <a:xfrm>
          <a:off x="5676900" y="2057400"/>
          <a:ext cx="200025" cy="200025"/>
        </a:xfrm>
        <a:prstGeom prst="star5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12</xdr:row>
      <xdr:rowOff>0</xdr:rowOff>
    </xdr:from>
    <xdr:to>
      <xdr:col>22</xdr:col>
      <xdr:colOff>9525</xdr:colOff>
      <xdr:row>13</xdr:row>
      <xdr:rowOff>38100</xdr:rowOff>
    </xdr:to>
    <xdr:sp>
      <xdr:nvSpPr>
        <xdr:cNvPr id="19" name="AutoShape 19"/>
        <xdr:cNvSpPr>
          <a:spLocks/>
        </xdr:cNvSpPr>
      </xdr:nvSpPr>
      <xdr:spPr>
        <a:xfrm flipV="1">
          <a:off x="3981450" y="1257300"/>
          <a:ext cx="180975" cy="180975"/>
        </a:xfrm>
        <a:prstGeom prst="triangl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70</xdr:row>
      <xdr:rowOff>9525</xdr:rowOff>
    </xdr:from>
    <xdr:to>
      <xdr:col>83</xdr:col>
      <xdr:colOff>19050</xdr:colOff>
      <xdr:row>71</xdr:row>
      <xdr:rowOff>28575</xdr:rowOff>
    </xdr:to>
    <xdr:sp>
      <xdr:nvSpPr>
        <xdr:cNvPr id="20" name="AutoShape 20"/>
        <xdr:cNvSpPr>
          <a:spLocks/>
        </xdr:cNvSpPr>
      </xdr:nvSpPr>
      <xdr:spPr>
        <a:xfrm flipV="1">
          <a:off x="13220700" y="8210550"/>
          <a:ext cx="171450" cy="161925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133350</xdr:colOff>
      <xdr:row>46</xdr:row>
      <xdr:rowOff>0</xdr:rowOff>
    </xdr:from>
    <xdr:to>
      <xdr:col>39</xdr:col>
      <xdr:colOff>142875</xdr:colOff>
      <xdr:row>46</xdr:row>
      <xdr:rowOff>161925</xdr:rowOff>
    </xdr:to>
    <xdr:sp>
      <xdr:nvSpPr>
        <xdr:cNvPr id="21" name="Line 21"/>
        <xdr:cNvSpPr>
          <a:spLocks/>
        </xdr:cNvSpPr>
      </xdr:nvSpPr>
      <xdr:spPr>
        <a:xfrm flipH="1">
          <a:off x="7038975" y="523875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19050</xdr:colOff>
      <xdr:row>76</xdr:row>
      <xdr:rowOff>57150</xdr:rowOff>
    </xdr:from>
    <xdr:to>
      <xdr:col>92</xdr:col>
      <xdr:colOff>114300</xdr:colOff>
      <xdr:row>77</xdr:row>
      <xdr:rowOff>19050</xdr:rowOff>
    </xdr:to>
    <xdr:sp>
      <xdr:nvSpPr>
        <xdr:cNvPr id="22" name="Polygon 23"/>
        <xdr:cNvSpPr>
          <a:spLocks/>
        </xdr:cNvSpPr>
      </xdr:nvSpPr>
      <xdr:spPr>
        <a:xfrm>
          <a:off x="14154150" y="8839200"/>
          <a:ext cx="714375" cy="104775"/>
        </a:xfrm>
        <a:custGeom>
          <a:pathLst>
            <a:path h="10" w="51">
              <a:moveTo>
                <a:pt x="0" y="0"/>
              </a:moveTo>
              <a:lnTo>
                <a:pt x="51" y="0"/>
              </a:lnTo>
              <a:lnTo>
                <a:pt x="50" y="1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76200</xdr:colOff>
      <xdr:row>14</xdr:row>
      <xdr:rowOff>123825</xdr:rowOff>
    </xdr:from>
    <xdr:to>
      <xdr:col>35</xdr:col>
      <xdr:colOff>114300</xdr:colOff>
      <xdr:row>16</xdr:row>
      <xdr:rowOff>47625</xdr:rowOff>
    </xdr:to>
    <xdr:sp>
      <xdr:nvSpPr>
        <xdr:cNvPr id="23" name="AutoShape 24"/>
        <xdr:cNvSpPr>
          <a:spLocks noChangeAspect="1"/>
        </xdr:cNvSpPr>
      </xdr:nvSpPr>
      <xdr:spPr>
        <a:xfrm>
          <a:off x="6172200" y="1666875"/>
          <a:ext cx="200025" cy="209550"/>
        </a:xfrm>
        <a:prstGeom prst="star5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15</xdr:row>
      <xdr:rowOff>114300</xdr:rowOff>
    </xdr:from>
    <xdr:to>
      <xdr:col>38</xdr:col>
      <xdr:colOff>85725</xdr:colOff>
      <xdr:row>17</xdr:row>
      <xdr:rowOff>38100</xdr:rowOff>
    </xdr:to>
    <xdr:sp>
      <xdr:nvSpPr>
        <xdr:cNvPr id="24" name="AutoShape 25"/>
        <xdr:cNvSpPr>
          <a:spLocks noChangeAspect="1"/>
        </xdr:cNvSpPr>
      </xdr:nvSpPr>
      <xdr:spPr>
        <a:xfrm>
          <a:off x="6629400" y="1800225"/>
          <a:ext cx="200025" cy="209550"/>
        </a:xfrm>
        <a:prstGeom prst="star5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47625</xdr:colOff>
      <xdr:row>17</xdr:row>
      <xdr:rowOff>123825</xdr:rowOff>
    </xdr:from>
    <xdr:to>
      <xdr:col>44</xdr:col>
      <xdr:colOff>85725</xdr:colOff>
      <xdr:row>19</xdr:row>
      <xdr:rowOff>47625</xdr:rowOff>
    </xdr:to>
    <xdr:sp>
      <xdr:nvSpPr>
        <xdr:cNvPr id="25" name="AutoShape 26"/>
        <xdr:cNvSpPr>
          <a:spLocks noChangeAspect="1"/>
        </xdr:cNvSpPr>
      </xdr:nvSpPr>
      <xdr:spPr>
        <a:xfrm>
          <a:off x="7600950" y="2095500"/>
          <a:ext cx="200025" cy="209550"/>
        </a:xfrm>
        <a:prstGeom prst="star5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142875</xdr:colOff>
      <xdr:row>71</xdr:row>
      <xdr:rowOff>0</xdr:rowOff>
    </xdr:from>
    <xdr:ext cx="390525" cy="523875"/>
    <xdr:sp>
      <xdr:nvSpPr>
        <xdr:cNvPr id="26" name="TextBox 28"/>
        <xdr:cNvSpPr txBox="1">
          <a:spLocks noChangeArrowheads="1"/>
        </xdr:cNvSpPr>
      </xdr:nvSpPr>
      <xdr:spPr>
        <a:xfrm>
          <a:off x="14430375" y="8343900"/>
          <a:ext cx="390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
Float
5 mo.</a:t>
          </a:r>
        </a:p>
      </xdr:txBody>
    </xdr:sp>
    <xdr:clientData/>
  </xdr:oneCellAnchor>
  <xdr:twoCellAnchor>
    <xdr:from>
      <xdr:col>66</xdr:col>
      <xdr:colOff>28575</xdr:colOff>
      <xdr:row>52</xdr:row>
      <xdr:rowOff>0</xdr:rowOff>
    </xdr:from>
    <xdr:to>
      <xdr:col>66</xdr:col>
      <xdr:colOff>28575</xdr:colOff>
      <xdr:row>56</xdr:row>
      <xdr:rowOff>0</xdr:rowOff>
    </xdr:to>
    <xdr:sp>
      <xdr:nvSpPr>
        <xdr:cNvPr id="27" name="Line 29"/>
        <xdr:cNvSpPr>
          <a:spLocks/>
        </xdr:cNvSpPr>
      </xdr:nvSpPr>
      <xdr:spPr>
        <a:xfrm>
          <a:off x="10810875" y="6153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142875</xdr:colOff>
      <xdr:row>58</xdr:row>
      <xdr:rowOff>47625</xdr:rowOff>
    </xdr:from>
    <xdr:to>
      <xdr:col>67</xdr:col>
      <xdr:colOff>142875</xdr:colOff>
      <xdr:row>60</xdr:row>
      <xdr:rowOff>57150</xdr:rowOff>
    </xdr:to>
    <xdr:sp>
      <xdr:nvSpPr>
        <xdr:cNvPr id="28" name="Line 30"/>
        <xdr:cNvSpPr>
          <a:spLocks/>
        </xdr:cNvSpPr>
      </xdr:nvSpPr>
      <xdr:spPr>
        <a:xfrm>
          <a:off x="11077575" y="6953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65</xdr:row>
      <xdr:rowOff>28575</xdr:rowOff>
    </xdr:from>
    <xdr:to>
      <xdr:col>80</xdr:col>
      <xdr:colOff>0</xdr:colOff>
      <xdr:row>67</xdr:row>
      <xdr:rowOff>38100</xdr:rowOff>
    </xdr:to>
    <xdr:sp>
      <xdr:nvSpPr>
        <xdr:cNvPr id="29" name="Line 31"/>
        <xdr:cNvSpPr>
          <a:spLocks/>
        </xdr:cNvSpPr>
      </xdr:nvSpPr>
      <xdr:spPr>
        <a:xfrm>
          <a:off x="12915900" y="7762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</xdr:colOff>
      <xdr:row>56</xdr:row>
      <xdr:rowOff>123825</xdr:rowOff>
    </xdr:from>
    <xdr:to>
      <xdr:col>67</xdr:col>
      <xdr:colOff>9525</xdr:colOff>
      <xdr:row>58</xdr:row>
      <xdr:rowOff>38100</xdr:rowOff>
    </xdr:to>
    <xdr:sp>
      <xdr:nvSpPr>
        <xdr:cNvPr id="30" name="Line 32"/>
        <xdr:cNvSpPr>
          <a:spLocks/>
        </xdr:cNvSpPr>
      </xdr:nvSpPr>
      <xdr:spPr>
        <a:xfrm>
          <a:off x="10944225" y="67437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38100</xdr:colOff>
      <xdr:row>46</xdr:row>
      <xdr:rowOff>9525</xdr:rowOff>
    </xdr:from>
    <xdr:to>
      <xdr:col>59</xdr:col>
      <xdr:colOff>38100</xdr:colOff>
      <xdr:row>47</xdr:row>
      <xdr:rowOff>38100</xdr:rowOff>
    </xdr:to>
    <xdr:sp>
      <xdr:nvSpPr>
        <xdr:cNvPr id="31" name="Line 33"/>
        <xdr:cNvSpPr>
          <a:spLocks/>
        </xdr:cNvSpPr>
      </xdr:nvSpPr>
      <xdr:spPr>
        <a:xfrm>
          <a:off x="9686925" y="52482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0</xdr:rowOff>
    </xdr:from>
    <xdr:to>
      <xdr:col>39</xdr:col>
      <xdr:colOff>57150</xdr:colOff>
      <xdr:row>33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6743700" y="3543300"/>
          <a:ext cx="2190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39</xdr:col>
      <xdr:colOff>57150</xdr:colOff>
      <xdr:row>35</xdr:row>
      <xdr:rowOff>0</xdr:rowOff>
    </xdr:to>
    <xdr:sp>
      <xdr:nvSpPr>
        <xdr:cNvPr id="33" name="Rectangle 36"/>
        <xdr:cNvSpPr>
          <a:spLocks/>
        </xdr:cNvSpPr>
      </xdr:nvSpPr>
      <xdr:spPr>
        <a:xfrm>
          <a:off x="6743700" y="3848100"/>
          <a:ext cx="2190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16</xdr:row>
      <xdr:rowOff>123825</xdr:rowOff>
    </xdr:from>
    <xdr:to>
      <xdr:col>41</xdr:col>
      <xdr:colOff>104775</xdr:colOff>
      <xdr:row>18</xdr:row>
      <xdr:rowOff>47625</xdr:rowOff>
    </xdr:to>
    <xdr:sp>
      <xdr:nvSpPr>
        <xdr:cNvPr id="34" name="AutoShape 37"/>
        <xdr:cNvSpPr>
          <a:spLocks noChangeAspect="1"/>
        </xdr:cNvSpPr>
      </xdr:nvSpPr>
      <xdr:spPr>
        <a:xfrm>
          <a:off x="7134225" y="1952625"/>
          <a:ext cx="200025" cy="209550"/>
        </a:xfrm>
        <a:prstGeom prst="star5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76200</xdr:colOff>
      <xdr:row>42</xdr:row>
      <xdr:rowOff>28575</xdr:rowOff>
    </xdr:from>
    <xdr:to>
      <xdr:col>42</xdr:col>
      <xdr:colOff>76200</xdr:colOff>
      <xdr:row>46</xdr:row>
      <xdr:rowOff>95250</xdr:rowOff>
    </xdr:to>
    <xdr:sp>
      <xdr:nvSpPr>
        <xdr:cNvPr id="35" name="Line 38"/>
        <xdr:cNvSpPr>
          <a:spLocks/>
        </xdr:cNvSpPr>
      </xdr:nvSpPr>
      <xdr:spPr>
        <a:xfrm>
          <a:off x="7467600" y="4886325"/>
          <a:ext cx="0" cy="4476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35</xdr:row>
      <xdr:rowOff>66675</xdr:rowOff>
    </xdr:from>
    <xdr:to>
      <xdr:col>44</xdr:col>
      <xdr:colOff>0</xdr:colOff>
      <xdr:row>42</xdr:row>
      <xdr:rowOff>9525</xdr:rowOff>
    </xdr:to>
    <xdr:sp>
      <xdr:nvSpPr>
        <xdr:cNvPr id="36" name="Line 39"/>
        <xdr:cNvSpPr>
          <a:spLocks/>
        </xdr:cNvSpPr>
      </xdr:nvSpPr>
      <xdr:spPr>
        <a:xfrm flipH="1">
          <a:off x="7715250" y="4057650"/>
          <a:ext cx="0" cy="809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6</xdr:row>
      <xdr:rowOff>9525</xdr:rowOff>
    </xdr:from>
    <xdr:to>
      <xdr:col>44</xdr:col>
      <xdr:colOff>9525</xdr:colOff>
      <xdr:row>17</xdr:row>
      <xdr:rowOff>133350</xdr:rowOff>
    </xdr:to>
    <xdr:sp>
      <xdr:nvSpPr>
        <xdr:cNvPr id="37" name="Line 40"/>
        <xdr:cNvSpPr>
          <a:spLocks/>
        </xdr:cNvSpPr>
      </xdr:nvSpPr>
      <xdr:spPr>
        <a:xfrm>
          <a:off x="7724775" y="752475"/>
          <a:ext cx="0" cy="1352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33</xdr:row>
      <xdr:rowOff>38100</xdr:rowOff>
    </xdr:from>
    <xdr:to>
      <xdr:col>39</xdr:col>
      <xdr:colOff>76200</xdr:colOff>
      <xdr:row>35</xdr:row>
      <xdr:rowOff>57150</xdr:rowOff>
    </xdr:to>
    <xdr:sp>
      <xdr:nvSpPr>
        <xdr:cNvPr id="38" name="Line 41"/>
        <xdr:cNvSpPr>
          <a:spLocks/>
        </xdr:cNvSpPr>
      </xdr:nvSpPr>
      <xdr:spPr>
        <a:xfrm>
          <a:off x="6981825" y="3724275"/>
          <a:ext cx="0" cy="3238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80</xdr:row>
      <xdr:rowOff>38100</xdr:rowOff>
    </xdr:to>
    <xdr:sp>
      <xdr:nvSpPr>
        <xdr:cNvPr id="39" name="Line 42"/>
        <xdr:cNvSpPr>
          <a:spLocks/>
        </xdr:cNvSpPr>
      </xdr:nvSpPr>
      <xdr:spPr>
        <a:xfrm>
          <a:off x="7715250" y="5705475"/>
          <a:ext cx="0" cy="34956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33</xdr:row>
      <xdr:rowOff>57150</xdr:rowOff>
    </xdr:from>
    <xdr:to>
      <xdr:col>43</xdr:col>
      <xdr:colOff>152400</xdr:colOff>
      <xdr:row>33</xdr:row>
      <xdr:rowOff>57150</xdr:rowOff>
    </xdr:to>
    <xdr:sp>
      <xdr:nvSpPr>
        <xdr:cNvPr id="40" name="Line 43"/>
        <xdr:cNvSpPr>
          <a:spLocks/>
        </xdr:cNvSpPr>
      </xdr:nvSpPr>
      <xdr:spPr>
        <a:xfrm rot="5400000">
          <a:off x="6991350" y="3743325"/>
          <a:ext cx="714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47625</xdr:colOff>
      <xdr:row>35</xdr:row>
      <xdr:rowOff>66675</xdr:rowOff>
    </xdr:from>
    <xdr:to>
      <xdr:col>44</xdr:col>
      <xdr:colOff>0</xdr:colOff>
      <xdr:row>35</xdr:row>
      <xdr:rowOff>66675</xdr:rowOff>
    </xdr:to>
    <xdr:sp>
      <xdr:nvSpPr>
        <xdr:cNvPr id="41" name="Line 44"/>
        <xdr:cNvSpPr>
          <a:spLocks/>
        </xdr:cNvSpPr>
      </xdr:nvSpPr>
      <xdr:spPr>
        <a:xfrm rot="5400000">
          <a:off x="6953250" y="4057650"/>
          <a:ext cx="762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46</xdr:row>
      <xdr:rowOff>95250</xdr:rowOff>
    </xdr:from>
    <xdr:to>
      <xdr:col>42</xdr:col>
      <xdr:colOff>95250</xdr:colOff>
      <xdr:row>46</xdr:row>
      <xdr:rowOff>95250</xdr:rowOff>
    </xdr:to>
    <xdr:sp>
      <xdr:nvSpPr>
        <xdr:cNvPr id="42" name="Line 46"/>
        <xdr:cNvSpPr>
          <a:spLocks/>
        </xdr:cNvSpPr>
      </xdr:nvSpPr>
      <xdr:spPr>
        <a:xfrm rot="5400000">
          <a:off x="7105650" y="5334000"/>
          <a:ext cx="381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36</xdr:row>
      <xdr:rowOff>0</xdr:rowOff>
    </xdr:from>
    <xdr:to>
      <xdr:col>41</xdr:col>
      <xdr:colOff>47625</xdr:colOff>
      <xdr:row>37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181850" y="4162425"/>
          <a:ext cx="952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42</xdr:row>
      <xdr:rowOff>9525</xdr:rowOff>
    </xdr:from>
    <xdr:to>
      <xdr:col>44</xdr:col>
      <xdr:colOff>28575</xdr:colOff>
      <xdr:row>42</xdr:row>
      <xdr:rowOff>9525</xdr:rowOff>
    </xdr:to>
    <xdr:sp>
      <xdr:nvSpPr>
        <xdr:cNvPr id="44" name="Line 49"/>
        <xdr:cNvSpPr>
          <a:spLocks/>
        </xdr:cNvSpPr>
      </xdr:nvSpPr>
      <xdr:spPr>
        <a:xfrm rot="5400000">
          <a:off x="7439025" y="4867275"/>
          <a:ext cx="304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17</xdr:row>
      <xdr:rowOff>133350</xdr:rowOff>
    </xdr:from>
    <xdr:to>
      <xdr:col>44</xdr:col>
      <xdr:colOff>19050</xdr:colOff>
      <xdr:row>17</xdr:row>
      <xdr:rowOff>133350</xdr:rowOff>
    </xdr:to>
    <xdr:sp>
      <xdr:nvSpPr>
        <xdr:cNvPr id="45" name="Line 50"/>
        <xdr:cNvSpPr>
          <a:spLocks/>
        </xdr:cNvSpPr>
      </xdr:nvSpPr>
      <xdr:spPr>
        <a:xfrm rot="16200000" flipV="1">
          <a:off x="7381875" y="210502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17</xdr:row>
      <xdr:rowOff>114300</xdr:rowOff>
    </xdr:from>
    <xdr:to>
      <xdr:col>42</xdr:col>
      <xdr:colOff>9525</xdr:colOff>
      <xdr:row>19</xdr:row>
      <xdr:rowOff>152400</xdr:rowOff>
    </xdr:to>
    <xdr:sp>
      <xdr:nvSpPr>
        <xdr:cNvPr id="46" name="Line 51"/>
        <xdr:cNvSpPr>
          <a:spLocks/>
        </xdr:cNvSpPr>
      </xdr:nvSpPr>
      <xdr:spPr>
        <a:xfrm>
          <a:off x="7400925" y="2085975"/>
          <a:ext cx="0" cy="3238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142875</xdr:colOff>
      <xdr:row>19</xdr:row>
      <xdr:rowOff>142875</xdr:rowOff>
    </xdr:from>
    <xdr:to>
      <xdr:col>44</xdr:col>
      <xdr:colOff>9525</xdr:colOff>
      <xdr:row>19</xdr:row>
      <xdr:rowOff>142875</xdr:rowOff>
    </xdr:to>
    <xdr:sp>
      <xdr:nvSpPr>
        <xdr:cNvPr id="47" name="Line 52"/>
        <xdr:cNvSpPr>
          <a:spLocks/>
        </xdr:cNvSpPr>
      </xdr:nvSpPr>
      <xdr:spPr>
        <a:xfrm rot="16200000" flipV="1">
          <a:off x="7372350" y="2400300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19</xdr:row>
      <xdr:rowOff>142875</xdr:rowOff>
    </xdr:from>
    <xdr:to>
      <xdr:col>44</xdr:col>
      <xdr:colOff>0</xdr:colOff>
      <xdr:row>23</xdr:row>
      <xdr:rowOff>76200</xdr:rowOff>
    </xdr:to>
    <xdr:sp>
      <xdr:nvSpPr>
        <xdr:cNvPr id="48" name="Line 53"/>
        <xdr:cNvSpPr>
          <a:spLocks/>
        </xdr:cNvSpPr>
      </xdr:nvSpPr>
      <xdr:spPr>
        <a:xfrm>
          <a:off x="7715250" y="2400300"/>
          <a:ext cx="0" cy="390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46</xdr:row>
      <xdr:rowOff>85725</xdr:rowOff>
    </xdr:from>
    <xdr:to>
      <xdr:col>40</xdr:col>
      <xdr:colOff>57150</xdr:colOff>
      <xdr:row>49</xdr:row>
      <xdr:rowOff>0</xdr:rowOff>
    </xdr:to>
    <xdr:sp>
      <xdr:nvSpPr>
        <xdr:cNvPr id="49" name="Line 54"/>
        <xdr:cNvSpPr>
          <a:spLocks/>
        </xdr:cNvSpPr>
      </xdr:nvSpPr>
      <xdr:spPr>
        <a:xfrm flipH="1">
          <a:off x="7124700" y="5324475"/>
          <a:ext cx="0" cy="3810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49</xdr:row>
      <xdr:rowOff>0</xdr:rowOff>
    </xdr:from>
    <xdr:to>
      <xdr:col>44</xdr:col>
      <xdr:colOff>9525</xdr:colOff>
      <xdr:row>49</xdr:row>
      <xdr:rowOff>0</xdr:rowOff>
    </xdr:to>
    <xdr:sp>
      <xdr:nvSpPr>
        <xdr:cNvPr id="50" name="Line 55"/>
        <xdr:cNvSpPr>
          <a:spLocks/>
        </xdr:cNvSpPr>
      </xdr:nvSpPr>
      <xdr:spPr>
        <a:xfrm rot="5400000">
          <a:off x="7096125" y="5705475"/>
          <a:ext cx="628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23</xdr:row>
      <xdr:rowOff>76200</xdr:rowOff>
    </xdr:from>
    <xdr:to>
      <xdr:col>44</xdr:col>
      <xdr:colOff>0</xdr:colOff>
      <xdr:row>23</xdr:row>
      <xdr:rowOff>76200</xdr:rowOff>
    </xdr:to>
    <xdr:sp>
      <xdr:nvSpPr>
        <xdr:cNvPr id="51" name="Line 56"/>
        <xdr:cNvSpPr>
          <a:spLocks/>
        </xdr:cNvSpPr>
      </xdr:nvSpPr>
      <xdr:spPr>
        <a:xfrm rot="16200000" flipV="1">
          <a:off x="7562850" y="2790825"/>
          <a:ext cx="152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27</xdr:row>
      <xdr:rowOff>19050</xdr:rowOff>
    </xdr:from>
    <xdr:to>
      <xdr:col>44</xdr:col>
      <xdr:colOff>0</xdr:colOff>
      <xdr:row>27</xdr:row>
      <xdr:rowOff>19050</xdr:rowOff>
    </xdr:to>
    <xdr:sp>
      <xdr:nvSpPr>
        <xdr:cNvPr id="52" name="Line 57"/>
        <xdr:cNvSpPr>
          <a:spLocks/>
        </xdr:cNvSpPr>
      </xdr:nvSpPr>
      <xdr:spPr>
        <a:xfrm rot="16200000" flipV="1">
          <a:off x="7562850" y="3114675"/>
          <a:ext cx="152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23</xdr:row>
      <xdr:rowOff>66675</xdr:rowOff>
    </xdr:from>
    <xdr:to>
      <xdr:col>43</xdr:col>
      <xdr:colOff>9525</xdr:colOff>
      <xdr:row>27</xdr:row>
      <xdr:rowOff>38100</xdr:rowOff>
    </xdr:to>
    <xdr:sp>
      <xdr:nvSpPr>
        <xdr:cNvPr id="53" name="Line 58"/>
        <xdr:cNvSpPr>
          <a:spLocks/>
        </xdr:cNvSpPr>
      </xdr:nvSpPr>
      <xdr:spPr>
        <a:xfrm flipH="1">
          <a:off x="7562850" y="2781300"/>
          <a:ext cx="0" cy="352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27</xdr:row>
      <xdr:rowOff>9525</xdr:rowOff>
    </xdr:from>
    <xdr:to>
      <xdr:col>43</xdr:col>
      <xdr:colOff>152400</xdr:colOff>
      <xdr:row>33</xdr:row>
      <xdr:rowOff>76200</xdr:rowOff>
    </xdr:to>
    <xdr:sp>
      <xdr:nvSpPr>
        <xdr:cNvPr id="54" name="Line 59"/>
        <xdr:cNvSpPr>
          <a:spLocks/>
        </xdr:cNvSpPr>
      </xdr:nvSpPr>
      <xdr:spPr>
        <a:xfrm flipH="1">
          <a:off x="7705725" y="3105150"/>
          <a:ext cx="0" cy="6572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47</xdr:row>
      <xdr:rowOff>9525</xdr:rowOff>
    </xdr:from>
    <xdr:to>
      <xdr:col>40</xdr:col>
      <xdr:colOff>9525</xdr:colOff>
      <xdr:row>48</xdr:row>
      <xdr:rowOff>9525</xdr:rowOff>
    </xdr:to>
    <xdr:sp>
      <xdr:nvSpPr>
        <xdr:cNvPr id="55" name="Line 61"/>
        <xdr:cNvSpPr>
          <a:spLocks/>
        </xdr:cNvSpPr>
      </xdr:nvSpPr>
      <xdr:spPr>
        <a:xfrm>
          <a:off x="7077075" y="5419725"/>
          <a:ext cx="0" cy="161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45</xdr:row>
      <xdr:rowOff>0</xdr:rowOff>
    </xdr:from>
    <xdr:to>
      <xdr:col>42</xdr:col>
      <xdr:colOff>0</xdr:colOff>
      <xdr:row>46</xdr:row>
      <xdr:rowOff>9525</xdr:rowOff>
    </xdr:to>
    <xdr:sp>
      <xdr:nvSpPr>
        <xdr:cNvPr id="56" name="Line 62"/>
        <xdr:cNvSpPr>
          <a:spLocks/>
        </xdr:cNvSpPr>
      </xdr:nvSpPr>
      <xdr:spPr>
        <a:xfrm>
          <a:off x="7391400" y="5095875"/>
          <a:ext cx="0" cy="152400"/>
        </a:xfrm>
        <a:prstGeom prst="line">
          <a:avLst/>
        </a:prstGeom>
        <a:noFill/>
        <a:ln w="1143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48</xdr:row>
      <xdr:rowOff>57150</xdr:rowOff>
    </xdr:from>
    <xdr:to>
      <xdr:col>69</xdr:col>
      <xdr:colOff>104775</xdr:colOff>
      <xdr:row>48</xdr:row>
      <xdr:rowOff>57150</xdr:rowOff>
    </xdr:to>
    <xdr:sp>
      <xdr:nvSpPr>
        <xdr:cNvPr id="57" name="Line 63"/>
        <xdr:cNvSpPr>
          <a:spLocks/>
        </xdr:cNvSpPr>
      </xdr:nvSpPr>
      <xdr:spPr>
        <a:xfrm>
          <a:off x="7058025" y="5629275"/>
          <a:ext cx="4286250" cy="0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50</xdr:row>
      <xdr:rowOff>57150</xdr:rowOff>
    </xdr:from>
    <xdr:to>
      <xdr:col>70</xdr:col>
      <xdr:colOff>142875</xdr:colOff>
      <xdr:row>50</xdr:row>
      <xdr:rowOff>57150</xdr:rowOff>
    </xdr:to>
    <xdr:sp>
      <xdr:nvSpPr>
        <xdr:cNvPr id="58" name="Line 64"/>
        <xdr:cNvSpPr>
          <a:spLocks/>
        </xdr:cNvSpPr>
      </xdr:nvSpPr>
      <xdr:spPr>
        <a:xfrm>
          <a:off x="7981950" y="5915025"/>
          <a:ext cx="3552825" cy="0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52</xdr:row>
      <xdr:rowOff>57150</xdr:rowOff>
    </xdr:from>
    <xdr:to>
      <xdr:col>72</xdr:col>
      <xdr:colOff>0</xdr:colOff>
      <xdr:row>52</xdr:row>
      <xdr:rowOff>57150</xdr:rowOff>
    </xdr:to>
    <xdr:sp>
      <xdr:nvSpPr>
        <xdr:cNvPr id="59" name="Line 65"/>
        <xdr:cNvSpPr>
          <a:spLocks/>
        </xdr:cNvSpPr>
      </xdr:nvSpPr>
      <xdr:spPr>
        <a:xfrm>
          <a:off x="8534400" y="6210300"/>
          <a:ext cx="3162300" cy="0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26</xdr:row>
      <xdr:rowOff>9525</xdr:rowOff>
    </xdr:from>
    <xdr:to>
      <xdr:col>51</xdr:col>
      <xdr:colOff>28575</xdr:colOff>
      <xdr:row>54</xdr:row>
      <xdr:rowOff>9525</xdr:rowOff>
    </xdr:to>
    <xdr:grpSp>
      <xdr:nvGrpSpPr>
        <xdr:cNvPr id="60" name="Group 68"/>
        <xdr:cNvGrpSpPr>
          <a:grpSpLocks/>
        </xdr:cNvGrpSpPr>
      </xdr:nvGrpSpPr>
      <xdr:grpSpPr>
        <a:xfrm>
          <a:off x="7962900" y="3057525"/>
          <a:ext cx="762000" cy="3267075"/>
          <a:chOff x="836" y="321"/>
          <a:chExt cx="80" cy="334"/>
        </a:xfrm>
        <a:solidFill>
          <a:srgbClr val="FFFFFF"/>
        </a:solidFill>
      </xdr:grpSpPr>
      <xdr:sp>
        <xdr:nvSpPr>
          <xdr:cNvPr id="61" name="Polygon 22"/>
          <xdr:cNvSpPr>
            <a:spLocks/>
          </xdr:cNvSpPr>
        </xdr:nvSpPr>
        <xdr:spPr>
          <a:xfrm>
            <a:off x="836" y="334"/>
            <a:ext cx="80" cy="321"/>
          </a:xfrm>
          <a:custGeom>
            <a:pathLst>
              <a:path h="10" w="51">
                <a:moveTo>
                  <a:pt x="0" y="0"/>
                </a:moveTo>
                <a:lnTo>
                  <a:pt x="51" y="0"/>
                </a:lnTo>
                <a:lnTo>
                  <a:pt x="50" y="10"/>
                </a:lnTo>
              </a:path>
            </a:pathLst>
          </a:custGeom>
          <a:noFill/>
          <a:ln w="222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7"/>
          <xdr:cNvSpPr>
            <a:spLocks/>
          </xdr:cNvSpPr>
        </xdr:nvSpPr>
        <xdr:spPr>
          <a:xfrm flipV="1">
            <a:off x="836" y="321"/>
            <a:ext cx="0" cy="13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47</xdr:col>
      <xdr:colOff>19050</xdr:colOff>
      <xdr:row>42</xdr:row>
      <xdr:rowOff>28575</xdr:rowOff>
    </xdr:from>
    <xdr:ext cx="3095625" cy="180975"/>
    <xdr:sp>
      <xdr:nvSpPr>
        <xdr:cNvPr id="63" name="TextBox 69"/>
        <xdr:cNvSpPr txBox="1">
          <a:spLocks noChangeArrowheads="1"/>
        </xdr:cNvSpPr>
      </xdr:nvSpPr>
      <xdr:spPr>
        <a:xfrm>
          <a:off x="8067675" y="4886325"/>
          <a:ext cx="3095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C3 C4 C5 C6 A1 A2 A3 B1 A4 A5 A6 B2 B3 B4 B5 B6</a:t>
          </a:r>
        </a:p>
      </xdr:txBody>
    </xdr:sp>
    <xdr:clientData/>
  </xdr:oneCellAnchor>
  <xdr:twoCellAnchor>
    <xdr:from>
      <xdr:col>59</xdr:col>
      <xdr:colOff>76200</xdr:colOff>
      <xdr:row>55</xdr:row>
      <xdr:rowOff>9525</xdr:rowOff>
    </xdr:from>
    <xdr:to>
      <xdr:col>67</xdr:col>
      <xdr:colOff>133350</xdr:colOff>
      <xdr:row>60</xdr:row>
      <xdr:rowOff>0</xdr:rowOff>
    </xdr:to>
    <xdr:sp>
      <xdr:nvSpPr>
        <xdr:cNvPr id="64" name="Polygon 71"/>
        <xdr:cNvSpPr>
          <a:spLocks/>
        </xdr:cNvSpPr>
      </xdr:nvSpPr>
      <xdr:spPr>
        <a:xfrm>
          <a:off x="9725025" y="6496050"/>
          <a:ext cx="1343025" cy="714375"/>
        </a:xfrm>
        <a:custGeom>
          <a:pathLst>
            <a:path h="75" w="141">
              <a:moveTo>
                <a:pt x="0" y="0"/>
              </a:moveTo>
              <a:lnTo>
                <a:pt x="0" y="75"/>
              </a:lnTo>
              <a:lnTo>
                <a:pt x="141" y="75"/>
              </a:lnTo>
            </a:path>
          </a:pathLst>
        </a:custGeom>
        <a:noFill/>
        <a:ln w="222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152400</xdr:rowOff>
    </xdr:from>
    <xdr:to>
      <xdr:col>11</xdr:col>
      <xdr:colOff>257175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3657600" y="2419350"/>
        <a:ext cx="87915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35</xdr:row>
      <xdr:rowOff>66675</xdr:rowOff>
    </xdr:from>
    <xdr:to>
      <xdr:col>11</xdr:col>
      <xdr:colOff>38100</xdr:colOff>
      <xdr:row>37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05400" y="6848475"/>
          <a:ext cx="712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    FY04            FY05          FY06            FY07            FY08          FY09</a:t>
          </a:r>
        </a:p>
      </xdr:txBody>
    </xdr:sp>
    <xdr:clientData/>
  </xdr:twoCellAnchor>
  <xdr:twoCellAnchor>
    <xdr:from>
      <xdr:col>5</xdr:col>
      <xdr:colOff>419100</xdr:colOff>
      <xdr:row>27</xdr:row>
      <xdr:rowOff>123825</xdr:rowOff>
    </xdr:from>
    <xdr:to>
      <xdr:col>6</xdr:col>
      <xdr:colOff>0</xdr:colOff>
      <xdr:row>28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95900" y="5438775"/>
          <a:ext cx="800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$23.8</a:t>
          </a:r>
        </a:p>
      </xdr:txBody>
    </xdr:sp>
    <xdr:clientData/>
  </xdr:twoCellAnchor>
  <xdr:twoCellAnchor>
    <xdr:from>
      <xdr:col>8</xdr:col>
      <xdr:colOff>257175</xdr:colOff>
      <xdr:row>20</xdr:row>
      <xdr:rowOff>47625</xdr:rowOff>
    </xdr:from>
    <xdr:to>
      <xdr:col>8</xdr:col>
      <xdr:colOff>1123950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791575" y="3629025"/>
          <a:ext cx="8667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$73.1</a:t>
          </a:r>
        </a:p>
      </xdr:txBody>
    </xdr:sp>
    <xdr:clientData/>
  </xdr:twoCellAnchor>
  <xdr:twoCellAnchor>
    <xdr:from>
      <xdr:col>7</xdr:col>
      <xdr:colOff>314325</xdr:colOff>
      <xdr:row>22</xdr:row>
      <xdr:rowOff>104775</xdr:rowOff>
    </xdr:from>
    <xdr:to>
      <xdr:col>7</xdr:col>
      <xdr:colOff>1057275</xdr:colOff>
      <xdr:row>24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9525" y="4181475"/>
          <a:ext cx="742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$57.2</a:t>
          </a:r>
        </a:p>
      </xdr:txBody>
    </xdr:sp>
    <xdr:clientData/>
  </xdr:twoCellAnchor>
  <xdr:twoCellAnchor>
    <xdr:from>
      <xdr:col>6</xdr:col>
      <xdr:colOff>371475</xdr:colOff>
      <xdr:row>24</xdr:row>
      <xdr:rowOff>57150</xdr:rowOff>
    </xdr:from>
    <xdr:to>
      <xdr:col>6</xdr:col>
      <xdr:colOff>1095375</xdr:colOff>
      <xdr:row>26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467475" y="4629150"/>
          <a:ext cx="723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41.3</a:t>
          </a:r>
        </a:p>
      </xdr:txBody>
    </xdr:sp>
    <xdr:clientData/>
  </xdr:twoCellAnchor>
  <xdr:twoCellAnchor>
    <xdr:from>
      <xdr:col>10</xdr:col>
      <xdr:colOff>28575</xdr:colOff>
      <xdr:row>16</xdr:row>
      <xdr:rowOff>228600</xdr:rowOff>
    </xdr:from>
    <xdr:to>
      <xdr:col>10</xdr:col>
      <xdr:colOff>771525</xdr:colOff>
      <xdr:row>17</xdr:row>
      <xdr:rowOff>247650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1001375" y="2819400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$92.4</a:t>
          </a:r>
        </a:p>
      </xdr:txBody>
    </xdr:sp>
    <xdr:clientData/>
  </xdr:twoCellAnchor>
  <xdr:twoCellAnchor>
    <xdr:from>
      <xdr:col>9</xdr:col>
      <xdr:colOff>104775</xdr:colOff>
      <xdr:row>17</xdr:row>
      <xdr:rowOff>209550</xdr:rowOff>
    </xdr:from>
    <xdr:to>
      <xdr:col>9</xdr:col>
      <xdr:colOff>1104900</xdr:colOff>
      <xdr:row>19</xdr:row>
      <xdr:rowOff>161925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858375" y="3048000"/>
          <a:ext cx="1000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$89.0</a:t>
          </a:r>
        </a:p>
      </xdr:txBody>
    </xdr:sp>
    <xdr:clientData/>
  </xdr:twoCellAnchor>
  <xdr:twoCellAnchor>
    <xdr:from>
      <xdr:col>5</xdr:col>
      <xdr:colOff>295275</xdr:colOff>
      <xdr:row>18</xdr:row>
      <xdr:rowOff>161925</xdr:rowOff>
    </xdr:from>
    <xdr:to>
      <xdr:col>10</xdr:col>
      <xdr:colOff>1076325</xdr:colOff>
      <xdr:row>29</xdr:row>
      <xdr:rowOff>9525</xdr:rowOff>
    </xdr:to>
    <xdr:sp>
      <xdr:nvSpPr>
        <xdr:cNvPr id="9" name="Polygon 10"/>
        <xdr:cNvSpPr>
          <a:spLocks/>
        </xdr:cNvSpPr>
      </xdr:nvSpPr>
      <xdr:spPr>
        <a:xfrm>
          <a:off x="5172075" y="3248025"/>
          <a:ext cx="6877050" cy="2571750"/>
        </a:xfrm>
        <a:custGeom>
          <a:pathLst>
            <a:path h="270" w="722">
              <a:moveTo>
                <a:pt x="0" y="270"/>
              </a:moveTo>
              <a:lnTo>
                <a:pt x="121" y="270"/>
              </a:lnTo>
              <a:lnTo>
                <a:pt x="121" y="199"/>
              </a:lnTo>
              <a:lnTo>
                <a:pt x="241" y="199"/>
              </a:lnTo>
              <a:lnTo>
                <a:pt x="241" y="139"/>
              </a:lnTo>
              <a:lnTo>
                <a:pt x="361" y="139"/>
              </a:lnTo>
              <a:lnTo>
                <a:pt x="361" y="77"/>
              </a:lnTo>
              <a:lnTo>
                <a:pt x="482" y="77"/>
              </a:lnTo>
              <a:lnTo>
                <a:pt x="482" y="14"/>
              </a:lnTo>
              <a:lnTo>
                <a:pt x="602" y="14"/>
              </a:lnTo>
              <a:lnTo>
                <a:pt x="602" y="0"/>
              </a:lnTo>
              <a:lnTo>
                <a:pt x="722" y="0"/>
              </a:lnTo>
            </a:path>
          </a:pathLst>
        </a:custGeom>
        <a:noFill/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8"/>
  <sheetViews>
    <sheetView workbookViewId="0" topLeftCell="A1">
      <selection activeCell="C4" sqref="C4:H12"/>
    </sheetView>
  </sheetViews>
  <sheetFormatPr defaultColWidth="9.140625" defaultRowHeight="12.75"/>
  <cols>
    <col min="3" max="3" width="33.421875" style="0" customWidth="1"/>
    <col min="4" max="4" width="10.00390625" style="0" customWidth="1"/>
    <col min="5" max="5" width="19.421875" style="0" customWidth="1"/>
    <col min="6" max="6" width="4.421875" style="0" customWidth="1"/>
    <col min="7" max="7" width="9.00390625" style="0" customWidth="1"/>
    <col min="8" max="8" width="22.28125" style="0" customWidth="1"/>
  </cols>
  <sheetData>
    <row r="4" spans="3:8" ht="18">
      <c r="C4" s="82"/>
      <c r="D4" s="115" t="s">
        <v>311</v>
      </c>
      <c r="E4" s="115"/>
      <c r="F4" s="116"/>
      <c r="G4" s="115" t="s">
        <v>312</v>
      </c>
      <c r="H4" s="115"/>
    </row>
    <row r="5" spans="3:8" ht="15">
      <c r="C5" s="86"/>
      <c r="D5" s="97"/>
      <c r="E5" s="97"/>
      <c r="F5" s="98"/>
      <c r="G5" s="97"/>
      <c r="H5" s="97"/>
    </row>
    <row r="6" spans="3:8" ht="75">
      <c r="C6" s="117" t="s">
        <v>303</v>
      </c>
      <c r="D6" s="99">
        <v>661</v>
      </c>
      <c r="E6" s="100" t="s">
        <v>307</v>
      </c>
      <c r="F6" s="101"/>
      <c r="G6" s="100">
        <v>-445</v>
      </c>
      <c r="H6" s="102" t="s">
        <v>308</v>
      </c>
    </row>
    <row r="7" spans="3:8" ht="18">
      <c r="C7" s="117"/>
      <c r="D7" s="99"/>
      <c r="E7" s="100"/>
      <c r="F7" s="101"/>
      <c r="G7" s="100"/>
      <c r="H7" s="102"/>
    </row>
    <row r="8" spans="3:8" ht="75">
      <c r="C8" s="117" t="s">
        <v>304</v>
      </c>
      <c r="D8" s="99">
        <v>448.1</v>
      </c>
      <c r="E8" s="100" t="s">
        <v>309</v>
      </c>
      <c r="F8" s="101"/>
      <c r="G8" s="100">
        <v>-82</v>
      </c>
      <c r="H8" s="102" t="s">
        <v>308</v>
      </c>
    </row>
    <row r="9" spans="3:8" ht="18">
      <c r="C9" s="117"/>
      <c r="D9" s="99"/>
      <c r="E9" s="100"/>
      <c r="F9" s="101"/>
      <c r="G9" s="100"/>
      <c r="H9" s="102"/>
    </row>
    <row r="10" spans="3:8" ht="75">
      <c r="C10" s="117" t="s">
        <v>305</v>
      </c>
      <c r="D10" s="99"/>
      <c r="E10" s="100"/>
      <c r="F10" s="101"/>
      <c r="G10" s="100">
        <v>-404</v>
      </c>
      <c r="H10" s="100" t="s">
        <v>310</v>
      </c>
    </row>
    <row r="11" spans="3:8" ht="15.75" thickBot="1">
      <c r="C11" s="82"/>
      <c r="D11" s="103"/>
      <c r="E11" s="100"/>
      <c r="F11" s="101"/>
      <c r="G11" s="104"/>
      <c r="H11" s="102"/>
    </row>
    <row r="12" spans="3:8" ht="16.5" thickTop="1">
      <c r="C12" s="82"/>
      <c r="D12" s="118">
        <f>SUM(D6:D10)</f>
        <v>1109.1</v>
      </c>
      <c r="E12" s="119"/>
      <c r="F12" s="120"/>
      <c r="G12" s="119">
        <f>SUM(G6:G10)</f>
        <v>-931</v>
      </c>
      <c r="H12" s="102"/>
    </row>
    <row r="13" spans="3:9" ht="12.75">
      <c r="C13" s="22"/>
      <c r="D13" s="22"/>
      <c r="E13" s="22"/>
      <c r="F13" s="22"/>
      <c r="G13" s="22"/>
      <c r="H13" s="22"/>
      <c r="I13" s="22"/>
    </row>
    <row r="14" spans="3:9" ht="12.75">
      <c r="C14" s="22"/>
      <c r="D14" s="22"/>
      <c r="E14" s="22"/>
      <c r="F14" s="22"/>
      <c r="G14" s="22"/>
      <c r="H14" s="22"/>
      <c r="I14" s="22"/>
    </row>
    <row r="15" spans="3:9" ht="12.75">
      <c r="C15" s="22"/>
      <c r="D15" s="22"/>
      <c r="E15" s="22"/>
      <c r="F15" s="22"/>
      <c r="G15" s="22"/>
      <c r="H15" s="22"/>
      <c r="I15" s="22"/>
    </row>
    <row r="16" spans="3:9" ht="15">
      <c r="C16" s="105"/>
      <c r="D16" s="106"/>
      <c r="E16" s="106"/>
      <c r="F16" s="107"/>
      <c r="G16" s="106"/>
      <c r="H16" s="106"/>
      <c r="I16" s="22"/>
    </row>
    <row r="17" spans="3:9" ht="15">
      <c r="C17" s="108"/>
      <c r="D17" s="109"/>
      <c r="E17" s="109"/>
      <c r="F17" s="110"/>
      <c r="G17" s="109"/>
      <c r="H17" s="109"/>
      <c r="I17" s="22"/>
    </row>
    <row r="18" spans="3:9" ht="15">
      <c r="C18" s="108"/>
      <c r="D18" s="111"/>
      <c r="E18" s="112"/>
      <c r="F18" s="113"/>
      <c r="G18" s="112"/>
      <c r="H18" s="114"/>
      <c r="I18" s="22"/>
    </row>
    <row r="19" spans="3:9" ht="15">
      <c r="C19" s="108"/>
      <c r="D19" s="111"/>
      <c r="E19" s="112"/>
      <c r="F19" s="113"/>
      <c r="G19" s="112"/>
      <c r="H19" s="114"/>
      <c r="I19" s="22"/>
    </row>
    <row r="20" spans="3:9" ht="15">
      <c r="C20" s="108"/>
      <c r="D20" s="111"/>
      <c r="E20" s="112"/>
      <c r="F20" s="113"/>
      <c r="G20" s="112"/>
      <c r="H20" s="114"/>
      <c r="I20" s="22"/>
    </row>
    <row r="21" spans="3:9" ht="15">
      <c r="C21" s="108"/>
      <c r="D21" s="111"/>
      <c r="E21" s="112"/>
      <c r="F21" s="113"/>
      <c r="G21" s="112"/>
      <c r="H21" s="114"/>
      <c r="I21" s="22"/>
    </row>
    <row r="22" spans="3:9" ht="15">
      <c r="C22" s="108"/>
      <c r="D22" s="111"/>
      <c r="E22" s="112"/>
      <c r="F22" s="113"/>
      <c r="G22" s="112"/>
      <c r="H22" s="112"/>
      <c r="I22" s="22"/>
    </row>
    <row r="23" spans="3:9" ht="15">
      <c r="C23" s="105"/>
      <c r="D23" s="111"/>
      <c r="E23" s="112"/>
      <c r="F23" s="113"/>
      <c r="G23" s="112"/>
      <c r="H23" s="114"/>
      <c r="I23" s="22"/>
    </row>
    <row r="24" spans="3:9" ht="15">
      <c r="C24" s="105"/>
      <c r="D24" s="111"/>
      <c r="E24" s="112"/>
      <c r="F24" s="113"/>
      <c r="G24" s="112"/>
      <c r="H24" s="114"/>
      <c r="I24" s="22"/>
    </row>
    <row r="25" spans="3:9" ht="12.75">
      <c r="C25" s="22"/>
      <c r="D25" s="22"/>
      <c r="E25" s="22"/>
      <c r="F25" s="22"/>
      <c r="G25" s="22"/>
      <c r="H25" s="22"/>
      <c r="I25" s="22"/>
    </row>
    <row r="26" spans="3:9" ht="12.75">
      <c r="C26" s="22"/>
      <c r="D26" s="22"/>
      <c r="E26" s="22"/>
      <c r="F26" s="22"/>
      <c r="G26" s="22"/>
      <c r="H26" s="22"/>
      <c r="I26" s="22"/>
    </row>
    <row r="27" spans="3:9" ht="12.75">
      <c r="C27" s="22"/>
      <c r="D27" s="22"/>
      <c r="E27" s="22"/>
      <c r="F27" s="22"/>
      <c r="G27" s="22"/>
      <c r="H27" s="22"/>
      <c r="I27" s="22"/>
    </row>
    <row r="28" spans="3:9" ht="12.75">
      <c r="C28" s="22"/>
      <c r="D28" s="22"/>
      <c r="E28" s="22"/>
      <c r="F28" s="22"/>
      <c r="G28" s="22"/>
      <c r="H28" s="22"/>
      <c r="I28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R385"/>
  <sheetViews>
    <sheetView workbookViewId="0" topLeftCell="A26">
      <pane ySplit="1740" topLeftCell="BM5" activePane="bottomLeft" state="split"/>
      <selection pane="topLeft" activeCell="I2" sqref="I2:CK2912"/>
      <selection pane="bottomLeft" activeCell="AU15" sqref="AU15"/>
    </sheetView>
  </sheetViews>
  <sheetFormatPr defaultColWidth="9.140625" defaultRowHeight="12.75"/>
  <cols>
    <col min="1" max="1" width="13.421875" style="174" customWidth="1"/>
    <col min="2" max="3" width="0.9921875" style="174" customWidth="1"/>
    <col min="4" max="8" width="2.57421875" style="174" customWidth="1"/>
    <col min="9" max="45" width="2.421875" style="174" customWidth="1"/>
    <col min="46" max="47" width="1.28515625" style="174" customWidth="1"/>
    <col min="48" max="53" width="2.421875" style="174" customWidth="1"/>
    <col min="54" max="55" width="1.28515625" style="174" customWidth="1"/>
    <col min="56" max="57" width="2.421875" style="174" customWidth="1"/>
    <col min="58" max="59" width="0.9921875" style="174" customWidth="1"/>
    <col min="60" max="66" width="2.421875" style="174" customWidth="1"/>
    <col min="67" max="91" width="2.28125" style="174" customWidth="1"/>
    <col min="92" max="92" width="2.421875" style="174" customWidth="1"/>
    <col min="93" max="16384" width="2.28125" style="174" customWidth="1"/>
  </cols>
  <sheetData>
    <row r="1" ht="15" thickBot="1"/>
    <row r="2" spans="1:94" ht="4.5" customHeight="1">
      <c r="A2" s="175"/>
      <c r="B2" s="175"/>
      <c r="C2" s="175"/>
      <c r="D2" s="175"/>
      <c r="E2" s="175"/>
      <c r="F2" s="175"/>
      <c r="G2" s="175"/>
      <c r="H2" s="175"/>
      <c r="I2" s="176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8"/>
    </row>
    <row r="3" spans="1:94" s="183" customFormat="1" ht="18.75" customHeight="1">
      <c r="A3" s="179"/>
      <c r="B3" s="179"/>
      <c r="C3" s="179"/>
      <c r="D3" s="179"/>
      <c r="E3" s="179"/>
      <c r="F3" s="179"/>
      <c r="G3" s="179"/>
      <c r="H3" s="179"/>
      <c r="I3" s="180" t="s">
        <v>11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82"/>
    </row>
    <row r="4" spans="2:94" ht="3" customHeight="1">
      <c r="B4" s="175"/>
      <c r="C4" s="175"/>
      <c r="D4" s="175"/>
      <c r="E4" s="175"/>
      <c r="F4" s="175"/>
      <c r="G4" s="175"/>
      <c r="H4" s="175"/>
      <c r="I4" s="184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85"/>
    </row>
    <row r="5" spans="2:94" ht="3" customHeight="1">
      <c r="B5" s="175"/>
      <c r="C5" s="175"/>
      <c r="D5" s="175"/>
      <c r="E5" s="175"/>
      <c r="F5" s="175"/>
      <c r="G5" s="175"/>
      <c r="H5" s="175"/>
      <c r="I5" s="184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85"/>
    </row>
    <row r="6" spans="2:95" ht="14.25">
      <c r="B6" s="175"/>
      <c r="C6" s="175"/>
      <c r="D6" s="186" t="s">
        <v>12</v>
      </c>
      <c r="E6" s="187"/>
      <c r="F6" s="187"/>
      <c r="G6" s="187"/>
      <c r="H6" s="187"/>
      <c r="I6" s="188" t="s">
        <v>119</v>
      </c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90"/>
      <c r="U6" s="191" t="s">
        <v>120</v>
      </c>
      <c r="V6" s="189"/>
      <c r="W6" s="189"/>
      <c r="X6" s="189"/>
      <c r="Y6" s="189"/>
      <c r="Z6" s="189"/>
      <c r="AA6" s="189"/>
      <c r="AB6" s="192"/>
      <c r="AC6" s="192"/>
      <c r="AD6" s="192"/>
      <c r="AE6" s="192"/>
      <c r="AF6" s="193"/>
      <c r="AG6" s="194" t="s">
        <v>121</v>
      </c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3"/>
      <c r="AS6" s="194" t="s">
        <v>122</v>
      </c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3"/>
      <c r="BH6" s="194" t="s">
        <v>123</v>
      </c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3"/>
      <c r="BT6" s="194" t="s">
        <v>124</v>
      </c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3"/>
      <c r="CF6" s="194" t="s">
        <v>125</v>
      </c>
      <c r="CG6" s="192"/>
      <c r="CH6" s="192"/>
      <c r="CI6" s="192"/>
      <c r="CJ6" s="192"/>
      <c r="CK6" s="192"/>
      <c r="CL6" s="192"/>
      <c r="CM6" s="192"/>
      <c r="CN6" s="192"/>
      <c r="CO6" s="192"/>
      <c r="CP6" s="195"/>
      <c r="CQ6" s="193"/>
    </row>
    <row r="7" spans="2:95" s="196" customFormat="1" ht="11.25">
      <c r="B7" s="197"/>
      <c r="C7" s="197"/>
      <c r="D7" s="198" t="s">
        <v>13</v>
      </c>
      <c r="E7" s="198" t="s">
        <v>14</v>
      </c>
      <c r="F7" s="198" t="s">
        <v>14</v>
      </c>
      <c r="G7" s="198" t="s">
        <v>15</v>
      </c>
      <c r="H7" s="199" t="s">
        <v>16</v>
      </c>
      <c r="I7" s="200" t="s">
        <v>17</v>
      </c>
      <c r="J7" s="198" t="s">
        <v>18</v>
      </c>
      <c r="K7" s="198" t="s">
        <v>19</v>
      </c>
      <c r="L7" s="198" t="s">
        <v>14</v>
      </c>
      <c r="M7" s="198" t="s">
        <v>20</v>
      </c>
      <c r="N7" s="198" t="s">
        <v>13</v>
      </c>
      <c r="O7" s="198" t="s">
        <v>15</v>
      </c>
      <c r="P7" s="198" t="s">
        <v>13</v>
      </c>
      <c r="Q7" s="198" t="s">
        <v>14</v>
      </c>
      <c r="R7" s="198" t="s">
        <v>14</v>
      </c>
      <c r="S7" s="198" t="s">
        <v>15</v>
      </c>
      <c r="T7" s="198" t="s">
        <v>16</v>
      </c>
      <c r="U7" s="198" t="s">
        <v>17</v>
      </c>
      <c r="V7" s="198" t="s">
        <v>18</v>
      </c>
      <c r="W7" s="199" t="s">
        <v>19</v>
      </c>
      <c r="X7" s="201" t="s">
        <v>14</v>
      </c>
      <c r="Y7" s="201" t="s">
        <v>20</v>
      </c>
      <c r="Z7" s="201" t="s">
        <v>13</v>
      </c>
      <c r="AA7" s="201" t="s">
        <v>15</v>
      </c>
      <c r="AB7" s="202" t="s">
        <v>13</v>
      </c>
      <c r="AC7" s="203" t="s">
        <v>14</v>
      </c>
      <c r="AD7" s="203" t="s">
        <v>14</v>
      </c>
      <c r="AE7" s="203" t="s">
        <v>15</v>
      </c>
      <c r="AF7" s="203" t="s">
        <v>16</v>
      </c>
      <c r="AG7" s="203" t="s">
        <v>17</v>
      </c>
      <c r="AH7" s="203" t="s">
        <v>18</v>
      </c>
      <c r="AI7" s="203" t="s">
        <v>19</v>
      </c>
      <c r="AJ7" s="203" t="s">
        <v>14</v>
      </c>
      <c r="AK7" s="203" t="s">
        <v>20</v>
      </c>
      <c r="AL7" s="203" t="s">
        <v>13</v>
      </c>
      <c r="AM7" s="203" t="s">
        <v>15</v>
      </c>
      <c r="AN7" s="203" t="s">
        <v>13</v>
      </c>
      <c r="AO7" s="203" t="s">
        <v>14</v>
      </c>
      <c r="AP7" s="203" t="s">
        <v>14</v>
      </c>
      <c r="AQ7" s="203" t="s">
        <v>15</v>
      </c>
      <c r="AR7" s="203" t="s">
        <v>16</v>
      </c>
      <c r="AS7" s="204" t="s">
        <v>17</v>
      </c>
      <c r="AT7" s="205" t="s">
        <v>18</v>
      </c>
      <c r="AU7" s="206"/>
      <c r="AV7" s="202" t="s">
        <v>19</v>
      </c>
      <c r="AW7" s="203" t="s">
        <v>14</v>
      </c>
      <c r="AX7" s="203" t="s">
        <v>20</v>
      </c>
      <c r="AY7" s="203" t="s">
        <v>13</v>
      </c>
      <c r="AZ7" s="203" t="s">
        <v>15</v>
      </c>
      <c r="BA7" s="203" t="s">
        <v>13</v>
      </c>
      <c r="BB7" s="207" t="s">
        <v>14</v>
      </c>
      <c r="BC7" s="207"/>
      <c r="BD7" s="203" t="s">
        <v>14</v>
      </c>
      <c r="BE7" s="203" t="s">
        <v>15</v>
      </c>
      <c r="BF7" s="203" t="s">
        <v>16</v>
      </c>
      <c r="BG7" s="203"/>
      <c r="BH7" s="203" t="s">
        <v>17</v>
      </c>
      <c r="BI7" s="203" t="s">
        <v>18</v>
      </c>
      <c r="BJ7" s="203" t="s">
        <v>19</v>
      </c>
      <c r="BK7" s="203" t="s">
        <v>14</v>
      </c>
      <c r="BL7" s="203" t="s">
        <v>20</v>
      </c>
      <c r="BM7" s="203" t="s">
        <v>13</v>
      </c>
      <c r="BN7" s="203" t="s">
        <v>15</v>
      </c>
      <c r="BO7" s="203" t="s">
        <v>13</v>
      </c>
      <c r="BP7" s="203" t="s">
        <v>14</v>
      </c>
      <c r="BQ7" s="203" t="s">
        <v>14</v>
      </c>
      <c r="BR7" s="203" t="s">
        <v>15</v>
      </c>
      <c r="BS7" s="203" t="s">
        <v>16</v>
      </c>
      <c r="BT7" s="203" t="s">
        <v>17</v>
      </c>
      <c r="BU7" s="203" t="s">
        <v>18</v>
      </c>
      <c r="BV7" s="203" t="s">
        <v>19</v>
      </c>
      <c r="BW7" s="203" t="s">
        <v>14</v>
      </c>
      <c r="BX7" s="203" t="s">
        <v>20</v>
      </c>
      <c r="BY7" s="203" t="s">
        <v>13</v>
      </c>
      <c r="BZ7" s="203" t="s">
        <v>15</v>
      </c>
      <c r="CA7" s="203" t="s">
        <v>13</v>
      </c>
      <c r="CB7" s="203" t="s">
        <v>14</v>
      </c>
      <c r="CC7" s="203" t="s">
        <v>14</v>
      </c>
      <c r="CD7" s="203" t="s">
        <v>15</v>
      </c>
      <c r="CE7" s="203" t="s">
        <v>16</v>
      </c>
      <c r="CF7" s="203" t="s">
        <v>17</v>
      </c>
      <c r="CG7" s="203" t="s">
        <v>18</v>
      </c>
      <c r="CH7" s="203" t="s">
        <v>19</v>
      </c>
      <c r="CI7" s="203" t="s">
        <v>14</v>
      </c>
      <c r="CJ7" s="203" t="s">
        <v>20</v>
      </c>
      <c r="CK7" s="203" t="s">
        <v>13</v>
      </c>
      <c r="CL7" s="203" t="s">
        <v>15</v>
      </c>
      <c r="CM7" s="203" t="s">
        <v>13</v>
      </c>
      <c r="CN7" s="203" t="s">
        <v>14</v>
      </c>
      <c r="CO7" s="203" t="s">
        <v>14</v>
      </c>
      <c r="CP7" s="208" t="s">
        <v>15</v>
      </c>
      <c r="CQ7" s="202" t="s">
        <v>16</v>
      </c>
    </row>
    <row r="8" spans="2:94" s="196" customFormat="1" ht="1.5" customHeight="1">
      <c r="B8" s="197"/>
      <c r="C8" s="197"/>
      <c r="D8" s="209"/>
      <c r="E8" s="210"/>
      <c r="F8" s="210"/>
      <c r="G8" s="210"/>
      <c r="H8" s="210"/>
      <c r="I8" s="211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2"/>
      <c r="U8" s="210"/>
      <c r="V8" s="210"/>
      <c r="W8" s="210"/>
      <c r="X8" s="213"/>
      <c r="Y8" s="213"/>
      <c r="Z8" s="213"/>
      <c r="AA8" s="213"/>
      <c r="AB8" s="197"/>
      <c r="AC8" s="197"/>
      <c r="AD8" s="197"/>
      <c r="AE8" s="197"/>
      <c r="AF8" s="214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214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214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214"/>
      <c r="BT8" s="197"/>
      <c r="BU8" s="197"/>
      <c r="BV8" s="197"/>
      <c r="BW8" s="197"/>
      <c r="BX8" s="197"/>
      <c r="BY8" s="197"/>
      <c r="BZ8" s="197"/>
      <c r="CA8" s="197"/>
      <c r="CB8" s="214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215"/>
    </row>
    <row r="9" spans="2:94" s="196" customFormat="1" ht="1.5" customHeight="1">
      <c r="B9" s="197"/>
      <c r="C9" s="197"/>
      <c r="E9" s="210"/>
      <c r="F9" s="210"/>
      <c r="G9" s="210"/>
      <c r="H9" s="210"/>
      <c r="I9" s="216"/>
      <c r="J9" s="197"/>
      <c r="K9" s="210"/>
      <c r="L9" s="210"/>
      <c r="M9" s="210"/>
      <c r="N9" s="210"/>
      <c r="O9" s="210"/>
      <c r="P9" s="210"/>
      <c r="Q9" s="210"/>
      <c r="R9" s="210"/>
      <c r="S9" s="210"/>
      <c r="T9" s="212"/>
      <c r="U9" s="210"/>
      <c r="V9" s="210"/>
      <c r="W9" s="210"/>
      <c r="X9" s="213"/>
      <c r="Y9" s="213"/>
      <c r="Z9" s="213"/>
      <c r="AA9" s="213"/>
      <c r="AB9" s="197"/>
      <c r="AC9" s="197"/>
      <c r="AD9" s="197"/>
      <c r="AE9" s="197"/>
      <c r="AF9" s="214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214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214"/>
      <c r="BH9" s="197"/>
      <c r="BI9" s="197"/>
      <c r="BJ9" s="197"/>
      <c r="BK9" s="197"/>
      <c r="BL9" s="197"/>
      <c r="BM9" s="210"/>
      <c r="BN9" s="197"/>
      <c r="BO9" s="197"/>
      <c r="BP9" s="197"/>
      <c r="BQ9" s="197"/>
      <c r="BR9" s="197"/>
      <c r="BS9" s="214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215"/>
    </row>
    <row r="10" spans="2:94" s="196" customFormat="1" ht="1.5" customHeight="1">
      <c r="B10" s="197"/>
      <c r="C10" s="197"/>
      <c r="D10" s="209"/>
      <c r="E10" s="210"/>
      <c r="F10" s="210"/>
      <c r="G10" s="210"/>
      <c r="H10" s="210"/>
      <c r="I10" s="211"/>
      <c r="J10" s="210"/>
      <c r="K10" s="210"/>
      <c r="L10" s="210"/>
      <c r="M10" s="210"/>
      <c r="N10" s="210"/>
      <c r="O10" s="210"/>
      <c r="P10" s="197"/>
      <c r="Q10" s="210"/>
      <c r="R10" s="210"/>
      <c r="S10" s="210"/>
      <c r="T10" s="212"/>
      <c r="U10" s="210"/>
      <c r="V10" s="210"/>
      <c r="W10" s="210"/>
      <c r="X10" s="213"/>
      <c r="Y10" s="213"/>
      <c r="Z10" s="213"/>
      <c r="AA10" s="213"/>
      <c r="AB10" s="197"/>
      <c r="AC10" s="197"/>
      <c r="AD10" s="197"/>
      <c r="AE10" s="197"/>
      <c r="AF10" s="214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214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214"/>
      <c r="BH10" s="197"/>
      <c r="BI10" s="197"/>
      <c r="BJ10" s="197"/>
      <c r="BK10" s="197"/>
      <c r="BL10" s="197"/>
      <c r="BM10" s="210"/>
      <c r="BN10" s="197"/>
      <c r="BO10" s="197"/>
      <c r="BP10" s="197"/>
      <c r="BQ10" s="197"/>
      <c r="BR10" s="197"/>
      <c r="BS10" s="214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215"/>
    </row>
    <row r="11" spans="2:95" s="196" customFormat="1" ht="13.5" customHeight="1">
      <c r="B11" s="197"/>
      <c r="C11" s="197"/>
      <c r="D11" s="209"/>
      <c r="E11" s="19" t="s">
        <v>21</v>
      </c>
      <c r="F11" s="210"/>
      <c r="G11" s="210"/>
      <c r="H11" s="210"/>
      <c r="I11" s="217" t="s">
        <v>22</v>
      </c>
      <c r="J11" s="197"/>
      <c r="K11" s="210"/>
      <c r="L11" s="210"/>
      <c r="M11" s="19"/>
      <c r="N11" s="210"/>
      <c r="O11" s="210"/>
      <c r="P11" s="210"/>
      <c r="Q11" s="210"/>
      <c r="R11" s="210"/>
      <c r="S11" s="210"/>
      <c r="T11" s="212"/>
      <c r="U11" s="210"/>
      <c r="V11" s="210"/>
      <c r="W11" s="218"/>
      <c r="X11" s="218"/>
      <c r="Y11" s="218"/>
      <c r="Z11" s="218"/>
      <c r="AA11" s="213"/>
      <c r="AB11" s="197"/>
      <c r="AC11" s="197"/>
      <c r="AD11" s="197"/>
      <c r="AE11" s="197"/>
      <c r="AF11" s="214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214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214"/>
      <c r="BH11" s="197"/>
      <c r="BI11" s="197"/>
      <c r="BJ11" s="197"/>
      <c r="BK11" s="197"/>
      <c r="BL11" s="197"/>
      <c r="BM11" s="210"/>
      <c r="BN11" s="197"/>
      <c r="BO11" s="197"/>
      <c r="BP11" s="197"/>
      <c r="BQ11" s="197"/>
      <c r="BR11" s="197"/>
      <c r="BS11" s="214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214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215"/>
      <c r="CQ11" s="214"/>
    </row>
    <row r="12" spans="2:95" s="196" customFormat="1" ht="11.25" customHeight="1">
      <c r="B12" s="197"/>
      <c r="C12" s="197"/>
      <c r="D12" s="209"/>
      <c r="E12" s="210"/>
      <c r="F12" s="219" t="s">
        <v>118</v>
      </c>
      <c r="G12" s="210"/>
      <c r="I12" s="211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3" t="s">
        <v>23</v>
      </c>
      <c r="U12" s="210"/>
      <c r="V12" s="210"/>
      <c r="W12" s="218"/>
      <c r="X12" s="218"/>
      <c r="Y12" s="218"/>
      <c r="Z12" s="218" t="s">
        <v>24</v>
      </c>
      <c r="AA12" s="213"/>
      <c r="AB12" s="197"/>
      <c r="AC12" s="197"/>
      <c r="AD12" s="197"/>
      <c r="AE12" s="197"/>
      <c r="AF12" s="214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214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214"/>
      <c r="BH12" s="197"/>
      <c r="BI12" s="197"/>
      <c r="BJ12" s="197"/>
      <c r="BK12" s="197"/>
      <c r="BL12" s="197"/>
      <c r="BM12" s="210"/>
      <c r="BN12" s="197"/>
      <c r="BO12" s="197"/>
      <c r="BP12" s="197"/>
      <c r="BQ12" s="197"/>
      <c r="BR12" s="197"/>
      <c r="BS12" s="214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214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215"/>
      <c r="CQ12" s="214"/>
    </row>
    <row r="13" spans="2:95" s="196" customFormat="1" ht="11.25" customHeight="1">
      <c r="B13" s="197"/>
      <c r="C13" s="197"/>
      <c r="D13" s="209"/>
      <c r="E13" s="210"/>
      <c r="F13" s="210"/>
      <c r="G13" s="210"/>
      <c r="H13" s="210"/>
      <c r="I13" s="211"/>
      <c r="J13" s="210"/>
      <c r="K13" s="210"/>
      <c r="L13" s="210"/>
      <c r="M13" s="210"/>
      <c r="N13" s="210"/>
      <c r="O13" s="210"/>
      <c r="P13" s="197"/>
      <c r="Q13" s="210"/>
      <c r="R13" s="210"/>
      <c r="S13" s="210"/>
      <c r="T13" s="212"/>
      <c r="U13" s="210"/>
      <c r="V13" s="210"/>
      <c r="W13" s="218" t="s">
        <v>25</v>
      </c>
      <c r="X13" s="218"/>
      <c r="Y13" s="218"/>
      <c r="Z13" s="218"/>
      <c r="AA13" s="213"/>
      <c r="AB13" s="197"/>
      <c r="AC13" s="197"/>
      <c r="AD13" s="197"/>
      <c r="AE13" s="197"/>
      <c r="AF13" s="214"/>
      <c r="AG13" s="220" t="s">
        <v>26</v>
      </c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214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214"/>
      <c r="BH13" s="197"/>
      <c r="BI13" s="197"/>
      <c r="BJ13" s="197"/>
      <c r="BK13" s="197"/>
      <c r="BL13" s="197"/>
      <c r="BM13" s="210"/>
      <c r="BN13" s="197"/>
      <c r="BO13" s="197"/>
      <c r="BP13" s="197"/>
      <c r="BQ13" s="197"/>
      <c r="BR13" s="197"/>
      <c r="BS13" s="214"/>
      <c r="BT13" s="197"/>
      <c r="BU13" s="197"/>
      <c r="BV13" s="197"/>
      <c r="BW13" s="197"/>
      <c r="BX13" s="197"/>
      <c r="BY13" s="197"/>
      <c r="BZ13" s="197"/>
      <c r="CA13" s="197"/>
      <c r="CB13" s="197"/>
      <c r="CC13" s="221" t="s">
        <v>27</v>
      </c>
      <c r="CD13" s="197"/>
      <c r="CE13" s="214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215"/>
      <c r="CQ13" s="214"/>
    </row>
    <row r="14" spans="2:95" s="196" customFormat="1" ht="11.25" customHeight="1">
      <c r="B14" s="197"/>
      <c r="C14" s="197"/>
      <c r="D14" s="209"/>
      <c r="E14" s="210"/>
      <c r="F14" s="210"/>
      <c r="G14" s="210"/>
      <c r="H14" s="210"/>
      <c r="I14" s="211"/>
      <c r="J14" s="210"/>
      <c r="K14" s="210"/>
      <c r="L14" s="210"/>
      <c r="M14" s="210"/>
      <c r="N14" s="210"/>
      <c r="O14" s="210"/>
      <c r="P14" s="19" t="s">
        <v>28</v>
      </c>
      <c r="Q14" s="210"/>
      <c r="R14" s="210"/>
      <c r="S14" s="210"/>
      <c r="T14" s="212"/>
      <c r="U14" s="210"/>
      <c r="V14" s="210"/>
      <c r="W14" s="210"/>
      <c r="X14" s="213"/>
      <c r="Y14" s="213"/>
      <c r="Z14" s="213"/>
      <c r="AA14" s="213" t="s">
        <v>29</v>
      </c>
      <c r="AB14" s="197"/>
      <c r="AC14" s="197"/>
      <c r="AD14" s="197"/>
      <c r="AE14" s="197"/>
      <c r="AF14" s="222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214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214"/>
      <c r="BH14" s="221"/>
      <c r="BI14" s="197"/>
      <c r="BJ14" s="197"/>
      <c r="BK14" s="197"/>
      <c r="BL14" s="197"/>
      <c r="BM14" s="210"/>
      <c r="BN14" s="197"/>
      <c r="BO14" s="197"/>
      <c r="BP14" s="197"/>
      <c r="BQ14" s="197"/>
      <c r="BR14" s="197"/>
      <c r="BS14" s="214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214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215"/>
      <c r="CQ14" s="214"/>
    </row>
    <row r="15" spans="2:95" s="196" customFormat="1" ht="11.25" customHeight="1">
      <c r="B15" s="197"/>
      <c r="C15" s="197"/>
      <c r="D15" s="209"/>
      <c r="E15" s="210"/>
      <c r="F15" s="210"/>
      <c r="G15" s="210"/>
      <c r="H15" s="210"/>
      <c r="I15" s="211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2"/>
      <c r="U15" s="210"/>
      <c r="V15" s="210"/>
      <c r="W15" s="210"/>
      <c r="X15" s="213"/>
      <c r="Y15" s="213"/>
      <c r="Z15" s="213"/>
      <c r="AA15" s="213" t="s">
        <v>30</v>
      </c>
      <c r="AB15" s="197"/>
      <c r="AC15" s="197"/>
      <c r="AD15" s="197"/>
      <c r="AE15" s="197"/>
      <c r="AF15" s="222"/>
      <c r="AG15" s="197"/>
      <c r="AH15" s="197"/>
      <c r="AI15" s="223"/>
      <c r="AJ15" s="197"/>
      <c r="AK15" s="197"/>
      <c r="AL15" s="197"/>
      <c r="AM15" s="197"/>
      <c r="AN15" s="197"/>
      <c r="AO15" s="197"/>
      <c r="AP15" s="197"/>
      <c r="AQ15" s="197"/>
      <c r="AR15" s="214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214"/>
      <c r="BH15" s="221"/>
      <c r="BI15" s="197"/>
      <c r="BJ15" s="197"/>
      <c r="BK15" s="197"/>
      <c r="BL15" s="197"/>
      <c r="BM15" s="210"/>
      <c r="BN15" s="197"/>
      <c r="BO15" s="197"/>
      <c r="BP15" s="197"/>
      <c r="BQ15" s="197"/>
      <c r="BR15" s="197"/>
      <c r="BS15" s="214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214"/>
      <c r="CF15" s="197"/>
      <c r="CG15" s="210"/>
      <c r="CH15" s="197"/>
      <c r="CI15" s="224"/>
      <c r="CJ15" s="224"/>
      <c r="CK15" s="210"/>
      <c r="CL15" s="210"/>
      <c r="CM15" s="210"/>
      <c r="CN15" s="197"/>
      <c r="CO15" s="197"/>
      <c r="CP15" s="215"/>
      <c r="CQ15" s="214"/>
    </row>
    <row r="16" spans="2:96" s="196" customFormat="1" ht="11.25" customHeight="1">
      <c r="B16" s="197"/>
      <c r="C16" s="197"/>
      <c r="D16" s="209"/>
      <c r="E16" s="210"/>
      <c r="F16" s="210"/>
      <c r="G16" s="210"/>
      <c r="H16" s="210"/>
      <c r="I16" s="211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2"/>
      <c r="U16" s="210"/>
      <c r="V16" s="210"/>
      <c r="W16" s="213" t="s">
        <v>31</v>
      </c>
      <c r="X16" s="213"/>
      <c r="Y16" s="213"/>
      <c r="Z16" s="213"/>
      <c r="AA16" s="213"/>
      <c r="AB16" s="197"/>
      <c r="AC16" s="197"/>
      <c r="AD16" s="197"/>
      <c r="AE16" s="197"/>
      <c r="AF16" s="222"/>
      <c r="AG16" s="197"/>
      <c r="AH16" s="197"/>
      <c r="AI16" s="197"/>
      <c r="AJ16" s="225" t="s">
        <v>32</v>
      </c>
      <c r="AK16" s="225"/>
      <c r="AL16" s="197"/>
      <c r="AM16" s="197"/>
      <c r="AN16" s="197"/>
      <c r="AO16" s="197"/>
      <c r="AP16" s="197"/>
      <c r="AQ16" s="197"/>
      <c r="AR16" s="214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214"/>
      <c r="BH16" s="221"/>
      <c r="BI16" s="197"/>
      <c r="BJ16" s="197"/>
      <c r="BK16" s="197"/>
      <c r="BL16" s="197"/>
      <c r="BM16" s="210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210"/>
      <c r="CE16" s="212"/>
      <c r="CF16" s="210"/>
      <c r="CG16" s="210"/>
      <c r="CH16" s="197"/>
      <c r="CI16" s="210"/>
      <c r="CJ16" s="210"/>
      <c r="CK16" s="221" t="s">
        <v>33</v>
      </c>
      <c r="CL16" s="210"/>
      <c r="CM16" s="210"/>
      <c r="CN16" s="210"/>
      <c r="CO16" s="210"/>
      <c r="CP16" s="226"/>
      <c r="CQ16" s="212"/>
      <c r="CR16" s="227"/>
    </row>
    <row r="17" spans="2:96" s="196" customFormat="1" ht="11.25" customHeight="1">
      <c r="B17" s="197"/>
      <c r="C17" s="197"/>
      <c r="D17" s="228"/>
      <c r="E17" s="229"/>
      <c r="F17" s="229"/>
      <c r="G17" s="210"/>
      <c r="H17" s="210"/>
      <c r="I17" s="211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2"/>
      <c r="U17" s="210"/>
      <c r="V17" s="210"/>
      <c r="W17" s="210"/>
      <c r="X17" s="213"/>
      <c r="Y17" s="213"/>
      <c r="Z17" s="213" t="s">
        <v>34</v>
      </c>
      <c r="AA17" s="213"/>
      <c r="AB17" s="197"/>
      <c r="AC17" s="197"/>
      <c r="AD17" s="197"/>
      <c r="AE17" s="197"/>
      <c r="AF17" s="222"/>
      <c r="AG17" s="197"/>
      <c r="AH17" s="197"/>
      <c r="AI17" s="223"/>
      <c r="AJ17" s="197"/>
      <c r="AK17" s="197"/>
      <c r="AL17" s="197"/>
      <c r="AM17" s="197" t="s">
        <v>35</v>
      </c>
      <c r="AN17" s="197"/>
      <c r="AO17" s="197"/>
      <c r="AP17" s="197"/>
      <c r="AQ17" s="197"/>
      <c r="AR17" s="214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214"/>
      <c r="BH17" s="221"/>
      <c r="BI17" s="197"/>
      <c r="BJ17" s="197"/>
      <c r="BK17" s="197"/>
      <c r="BL17" s="197"/>
      <c r="BM17" s="210"/>
      <c r="BN17" s="197"/>
      <c r="BO17" s="197"/>
      <c r="BP17" s="197"/>
      <c r="BQ17" s="197"/>
      <c r="BR17" s="197"/>
      <c r="BS17" s="214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210"/>
      <c r="CE17" s="212"/>
      <c r="CF17" s="210"/>
      <c r="CG17" s="210"/>
      <c r="CH17" s="197"/>
      <c r="CI17" s="230"/>
      <c r="CJ17" s="197"/>
      <c r="CK17" s="210"/>
      <c r="CL17" s="210"/>
      <c r="CM17" s="210"/>
      <c r="CN17" s="210"/>
      <c r="CO17" s="210"/>
      <c r="CP17" s="226"/>
      <c r="CQ17" s="212"/>
      <c r="CR17" s="227"/>
    </row>
    <row r="18" spans="2:96" s="196" customFormat="1" ht="11.25" customHeight="1">
      <c r="B18" s="197"/>
      <c r="C18" s="197"/>
      <c r="D18" s="228"/>
      <c r="E18" s="229"/>
      <c r="F18" s="229"/>
      <c r="G18" s="210"/>
      <c r="H18" s="210"/>
      <c r="I18" s="211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2"/>
      <c r="U18" s="210"/>
      <c r="V18" s="210"/>
      <c r="W18" s="210"/>
      <c r="X18" s="231"/>
      <c r="Y18" s="231"/>
      <c r="Z18" s="231"/>
      <c r="AA18" s="231"/>
      <c r="AB18" s="197"/>
      <c r="AC18" s="223" t="s">
        <v>36</v>
      </c>
      <c r="AD18" s="197"/>
      <c r="AE18" s="197"/>
      <c r="AF18" s="222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 t="s">
        <v>37</v>
      </c>
      <c r="AQ18" s="197"/>
      <c r="AR18" s="214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214"/>
      <c r="BH18" s="221"/>
      <c r="BI18" s="197"/>
      <c r="BJ18" s="197"/>
      <c r="BK18" s="197"/>
      <c r="BL18" s="197"/>
      <c r="BM18" s="210"/>
      <c r="BN18" s="197"/>
      <c r="BO18" s="197"/>
      <c r="BP18" s="197"/>
      <c r="BQ18" s="197"/>
      <c r="BR18" s="197"/>
      <c r="BS18" s="214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210"/>
      <c r="CE18" s="212"/>
      <c r="CF18" s="197"/>
      <c r="CG18" s="197"/>
      <c r="CH18" s="197"/>
      <c r="CI18" s="197"/>
      <c r="CJ18" s="197"/>
      <c r="CK18" s="197"/>
      <c r="CL18" s="197"/>
      <c r="CM18" s="197"/>
      <c r="CN18" s="221" t="s">
        <v>38</v>
      </c>
      <c r="CO18" s="210"/>
      <c r="CP18" s="226"/>
      <c r="CQ18" s="212"/>
      <c r="CR18" s="227"/>
    </row>
    <row r="19" spans="2:96" s="196" customFormat="1" ht="11.25" customHeight="1">
      <c r="B19" s="197"/>
      <c r="C19" s="197"/>
      <c r="D19" s="228"/>
      <c r="E19" s="229"/>
      <c r="F19" s="229"/>
      <c r="G19" s="210"/>
      <c r="H19" s="210"/>
      <c r="I19" s="211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2"/>
      <c r="U19" s="210"/>
      <c r="V19" s="210"/>
      <c r="W19" s="210"/>
      <c r="X19" s="231"/>
      <c r="Y19" s="231"/>
      <c r="Z19" s="231"/>
      <c r="AA19" s="231"/>
      <c r="AB19" s="220"/>
      <c r="AC19" s="197"/>
      <c r="AD19" s="197"/>
      <c r="AE19" s="197"/>
      <c r="AF19" s="223" t="s">
        <v>39</v>
      </c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214"/>
      <c r="AS19" s="197" t="s">
        <v>40</v>
      </c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221"/>
      <c r="BE19" s="197"/>
      <c r="BF19" s="197"/>
      <c r="BG19" s="214"/>
      <c r="BH19" s="197"/>
      <c r="BI19" s="197"/>
      <c r="BJ19" s="197"/>
      <c r="BK19" s="197"/>
      <c r="BL19" s="197"/>
      <c r="BM19" s="210"/>
      <c r="BN19" s="197"/>
      <c r="BO19" s="197"/>
      <c r="BP19" s="197"/>
      <c r="BQ19" s="197"/>
      <c r="BR19" s="197"/>
      <c r="BS19" s="214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210"/>
      <c r="CE19" s="214"/>
      <c r="CF19" s="197"/>
      <c r="CG19" s="197"/>
      <c r="CH19" s="197"/>
      <c r="CI19" s="197"/>
      <c r="CJ19" s="197"/>
      <c r="CK19" s="197"/>
      <c r="CL19" s="197"/>
      <c r="CM19" s="197"/>
      <c r="CN19" s="210"/>
      <c r="CO19" s="210"/>
      <c r="CP19" s="226"/>
      <c r="CQ19" s="212"/>
      <c r="CR19" s="227"/>
    </row>
    <row r="20" spans="2:96" s="232" customFormat="1" ht="15.75">
      <c r="B20" s="233"/>
      <c r="C20" s="233"/>
      <c r="D20" s="234"/>
      <c r="E20" s="235"/>
      <c r="F20" s="235"/>
      <c r="G20" s="230"/>
      <c r="H20" s="230"/>
      <c r="I20" s="217" t="s">
        <v>41</v>
      </c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6"/>
      <c r="U20" s="230"/>
      <c r="V20" s="230"/>
      <c r="W20" s="230"/>
      <c r="X20" s="231"/>
      <c r="Y20" s="231"/>
      <c r="Z20" s="231"/>
      <c r="AA20" s="231"/>
      <c r="AB20" s="233"/>
      <c r="AC20" s="233"/>
      <c r="AD20" s="233"/>
      <c r="AE20" s="233"/>
      <c r="AF20" s="237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7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7"/>
      <c r="BH20" s="233"/>
      <c r="BI20" s="233"/>
      <c r="BJ20" s="233"/>
      <c r="BK20" s="233"/>
      <c r="BL20" s="233"/>
      <c r="BM20" s="230"/>
      <c r="BN20" s="233"/>
      <c r="BO20" s="233"/>
      <c r="BP20" s="233"/>
      <c r="BQ20" s="233"/>
      <c r="BR20" s="233"/>
      <c r="BS20" s="237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0"/>
      <c r="CE20" s="237"/>
      <c r="CF20" s="233"/>
      <c r="CG20" s="230"/>
      <c r="CH20" s="233"/>
      <c r="CI20" s="238"/>
      <c r="CJ20" s="238"/>
      <c r="CK20" s="230"/>
      <c r="CL20" s="230"/>
      <c r="CM20" s="230"/>
      <c r="CN20" s="230"/>
      <c r="CO20" s="230"/>
      <c r="CP20" s="239"/>
      <c r="CQ20" s="236"/>
      <c r="CR20" s="240"/>
    </row>
    <row r="21" spans="2:96" s="241" customFormat="1" ht="6" customHeight="1">
      <c r="B21" s="242"/>
      <c r="C21" s="242"/>
      <c r="D21" s="243"/>
      <c r="E21" s="244"/>
      <c r="F21" s="244"/>
      <c r="G21" s="245"/>
      <c r="H21" s="245"/>
      <c r="I21" s="246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1"/>
      <c r="Y21" s="231"/>
      <c r="Z21" s="231"/>
      <c r="AA21" s="231"/>
      <c r="AB21" s="247"/>
      <c r="AC21" s="247"/>
      <c r="AD21" s="247"/>
      <c r="AE21" s="247"/>
      <c r="AF21" s="248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8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8"/>
      <c r="BH21" s="247"/>
      <c r="BI21" s="247"/>
      <c r="BJ21" s="247"/>
      <c r="BK21" s="247"/>
      <c r="BL21" s="247"/>
      <c r="BM21" s="238"/>
      <c r="BN21" s="247"/>
      <c r="BO21" s="247"/>
      <c r="BP21" s="247"/>
      <c r="BQ21" s="247"/>
      <c r="BR21" s="247"/>
      <c r="BS21" s="248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38"/>
      <c r="CE21" s="248"/>
      <c r="CF21" s="247"/>
      <c r="CG21" s="238"/>
      <c r="CH21" s="247"/>
      <c r="CI21" s="238"/>
      <c r="CJ21" s="238"/>
      <c r="CK21" s="238"/>
      <c r="CL21" s="238"/>
      <c r="CM21" s="238"/>
      <c r="CN21" s="238"/>
      <c r="CO21" s="238"/>
      <c r="CP21" s="249"/>
      <c r="CQ21" s="250"/>
      <c r="CR21" s="251"/>
    </row>
    <row r="22" spans="2:96" s="252" customFormat="1" ht="11.25" customHeight="1">
      <c r="B22" s="253"/>
      <c r="C22" s="253"/>
      <c r="D22" s="254"/>
      <c r="E22" s="255"/>
      <c r="F22" s="255"/>
      <c r="G22" s="256"/>
      <c r="H22" s="256"/>
      <c r="I22" s="257"/>
      <c r="J22" s="256"/>
      <c r="K22" s="256"/>
      <c r="L22" s="256"/>
      <c r="M22" s="256"/>
      <c r="N22" s="258" t="s">
        <v>42</v>
      </c>
      <c r="O22" s="259"/>
      <c r="P22" s="260"/>
      <c r="Q22" s="260"/>
      <c r="R22" s="260"/>
      <c r="S22" s="260"/>
      <c r="T22" s="260"/>
      <c r="U22" s="259"/>
      <c r="V22" s="260"/>
      <c r="W22" s="260"/>
      <c r="X22" s="260"/>
      <c r="Y22" s="260"/>
      <c r="Z22" s="260"/>
      <c r="AA22" s="261"/>
      <c r="AB22" s="253"/>
      <c r="AC22" s="253"/>
      <c r="AD22" s="253"/>
      <c r="AE22" s="262" t="s">
        <v>43</v>
      </c>
      <c r="AF22" s="26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63"/>
      <c r="AS22" s="253"/>
      <c r="AT22" s="253"/>
      <c r="AU22" s="253"/>
      <c r="AV22" s="256"/>
      <c r="AW22" s="256"/>
      <c r="AX22" s="256"/>
      <c r="AY22" s="256"/>
      <c r="AZ22" s="256"/>
      <c r="BA22" s="256"/>
      <c r="BB22" s="256"/>
      <c r="BC22" s="256"/>
      <c r="BD22" s="256"/>
      <c r="BE22" s="253"/>
      <c r="BF22" s="253"/>
      <c r="BG22" s="263"/>
      <c r="BH22" s="253"/>
      <c r="BI22" s="253"/>
      <c r="BJ22" s="253"/>
      <c r="BK22" s="253"/>
      <c r="BL22" s="253"/>
      <c r="BM22" s="256"/>
      <c r="BN22" s="253"/>
      <c r="BO22" s="253"/>
      <c r="BP22" s="253"/>
      <c r="BQ22" s="253"/>
      <c r="BR22" s="253"/>
      <c r="BS22" s="26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6"/>
      <c r="CE22" s="264"/>
      <c r="CF22" s="265"/>
      <c r="CG22" s="224"/>
      <c r="CH22" s="265"/>
      <c r="CI22" s="238"/>
      <c r="CJ22" s="238"/>
      <c r="CK22" s="224"/>
      <c r="CL22" s="224"/>
      <c r="CM22" s="224"/>
      <c r="CN22" s="224"/>
      <c r="CO22" s="224"/>
      <c r="CP22" s="266"/>
      <c r="CQ22" s="267"/>
      <c r="CR22" s="268"/>
    </row>
    <row r="23" spans="2:95" s="251" customFormat="1" ht="3" customHeight="1">
      <c r="B23" s="231"/>
      <c r="C23" s="231"/>
      <c r="D23" s="269"/>
      <c r="E23" s="270"/>
      <c r="F23" s="270"/>
      <c r="G23" s="231"/>
      <c r="H23" s="231"/>
      <c r="I23" s="271"/>
      <c r="J23" s="231"/>
      <c r="K23" s="258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72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72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72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72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50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49"/>
      <c r="CQ23" s="250"/>
    </row>
    <row r="24" spans="2:96" s="241" customFormat="1" ht="11.25" customHeight="1">
      <c r="B24" s="273"/>
      <c r="C24" s="273"/>
      <c r="D24" s="269"/>
      <c r="E24" s="270"/>
      <c r="F24" s="270"/>
      <c r="G24" s="231"/>
      <c r="H24" s="231"/>
      <c r="I24" s="271"/>
      <c r="J24" s="231"/>
      <c r="K24" s="231"/>
      <c r="L24" s="231"/>
      <c r="M24" s="231"/>
      <c r="N24" s="258" t="s">
        <v>44</v>
      </c>
      <c r="O24" s="274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6"/>
      <c r="AA24" s="275"/>
      <c r="AB24" s="275"/>
      <c r="AC24" s="274"/>
      <c r="AD24" s="275"/>
      <c r="AE24" s="277"/>
      <c r="AF24" s="262"/>
      <c r="AG24" s="273"/>
      <c r="AH24" s="273"/>
      <c r="AI24" s="247"/>
      <c r="AJ24" s="273"/>
      <c r="AK24" s="273"/>
      <c r="AL24" s="273"/>
      <c r="AM24" s="273"/>
      <c r="AN24" s="273"/>
      <c r="AO24" s="273"/>
      <c r="AP24" s="273"/>
      <c r="AQ24" s="273"/>
      <c r="AR24" s="278"/>
      <c r="AS24" s="273"/>
      <c r="AT24" s="273"/>
      <c r="AU24" s="273"/>
      <c r="AV24" s="231"/>
      <c r="AW24" s="231"/>
      <c r="AX24" s="231"/>
      <c r="AY24" s="231"/>
      <c r="AZ24" s="231"/>
      <c r="BA24" s="231"/>
      <c r="BB24" s="231"/>
      <c r="BC24" s="231"/>
      <c r="BD24" s="231"/>
      <c r="BE24" s="273"/>
      <c r="BF24" s="273"/>
      <c r="BG24" s="278"/>
      <c r="BH24" s="273"/>
      <c r="BI24" s="273"/>
      <c r="BJ24" s="273"/>
      <c r="BK24" s="273"/>
      <c r="BL24" s="273"/>
      <c r="BM24" s="231"/>
      <c r="BN24" s="273"/>
      <c r="BO24" s="273"/>
      <c r="BP24" s="273"/>
      <c r="BQ24" s="273"/>
      <c r="BR24" s="273"/>
      <c r="BS24" s="278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31"/>
      <c r="CE24" s="248"/>
      <c r="CF24" s="247"/>
      <c r="CG24" s="238"/>
      <c r="CH24" s="247"/>
      <c r="CI24" s="238"/>
      <c r="CJ24" s="238"/>
      <c r="CK24" s="238"/>
      <c r="CL24" s="238"/>
      <c r="CM24" s="238"/>
      <c r="CN24" s="238"/>
      <c r="CO24" s="238"/>
      <c r="CP24" s="249"/>
      <c r="CQ24" s="250"/>
      <c r="CR24" s="251"/>
    </row>
    <row r="25" spans="2:95" s="251" customFormat="1" ht="3.75" customHeight="1">
      <c r="B25" s="231"/>
      <c r="C25" s="231"/>
      <c r="D25" s="269"/>
      <c r="E25" s="270"/>
      <c r="F25" s="270"/>
      <c r="G25" s="231"/>
      <c r="H25" s="231"/>
      <c r="I25" s="27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72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79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72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50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49"/>
      <c r="CQ25" s="250"/>
    </row>
    <row r="26" spans="2:96" s="241" customFormat="1" ht="11.25" customHeight="1">
      <c r="B26" s="273"/>
      <c r="C26" s="273"/>
      <c r="D26" s="269"/>
      <c r="E26" s="270"/>
      <c r="F26" s="270"/>
      <c r="G26" s="231"/>
      <c r="H26" s="231"/>
      <c r="I26" s="27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73"/>
      <c r="AC26" s="247"/>
      <c r="AD26" s="247"/>
      <c r="AE26" s="247"/>
      <c r="AF26" s="280" t="s">
        <v>45</v>
      </c>
      <c r="AG26" s="274"/>
      <c r="AH26" s="275"/>
      <c r="AI26" s="275"/>
      <c r="AJ26" s="275"/>
      <c r="AK26" s="274"/>
      <c r="AL26" s="275"/>
      <c r="AM26" s="275"/>
      <c r="AN26" s="275"/>
      <c r="AO26" s="275"/>
      <c r="AP26" s="275"/>
      <c r="AQ26" s="275"/>
      <c r="AR26" s="281"/>
      <c r="AS26" s="281"/>
      <c r="AT26" s="281"/>
      <c r="AU26" s="282"/>
      <c r="AV26" s="283"/>
      <c r="AW26" s="283"/>
      <c r="AX26" s="231"/>
      <c r="AY26" s="231"/>
      <c r="AZ26" s="231"/>
      <c r="BA26" s="231"/>
      <c r="BB26" s="231"/>
      <c r="BC26" s="231"/>
      <c r="BD26" s="231"/>
      <c r="BE26" s="273"/>
      <c r="BF26" s="273"/>
      <c r="BG26" s="273"/>
      <c r="BH26" s="284"/>
      <c r="BI26" s="273"/>
      <c r="BJ26" s="273"/>
      <c r="BK26" s="273"/>
      <c r="BL26" s="273"/>
      <c r="BM26" s="231"/>
      <c r="BN26" s="273"/>
      <c r="BO26" s="273"/>
      <c r="BP26" s="273"/>
      <c r="BQ26" s="273"/>
      <c r="BR26" s="273"/>
      <c r="BS26" s="278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31"/>
      <c r="CE26" s="248"/>
      <c r="CF26" s="247"/>
      <c r="CG26" s="238"/>
      <c r="CH26" s="247"/>
      <c r="CI26" s="238"/>
      <c r="CJ26" s="238"/>
      <c r="CK26" s="238"/>
      <c r="CL26" s="238"/>
      <c r="CM26" s="238"/>
      <c r="CN26" s="238"/>
      <c r="CO26" s="238"/>
      <c r="CP26" s="249"/>
      <c r="CQ26" s="250"/>
      <c r="CR26" s="251"/>
    </row>
    <row r="27" spans="2:95" s="251" customFormat="1" ht="3.75" customHeight="1">
      <c r="B27" s="231"/>
      <c r="C27" s="231"/>
      <c r="D27" s="285"/>
      <c r="E27" s="270"/>
      <c r="F27" s="270"/>
      <c r="G27" s="231"/>
      <c r="H27" s="231"/>
      <c r="I27" s="27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72"/>
      <c r="U27" s="231"/>
      <c r="V27" s="231"/>
      <c r="W27" s="231"/>
      <c r="X27" s="231"/>
      <c r="Y27" s="231"/>
      <c r="Z27" s="231"/>
      <c r="AA27" s="231"/>
      <c r="AB27" s="231"/>
      <c r="AC27" s="258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79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72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50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49"/>
      <c r="CQ27" s="250"/>
    </row>
    <row r="28" spans="2:96" s="241" customFormat="1" ht="15.75" customHeight="1">
      <c r="B28" s="273"/>
      <c r="C28" s="273"/>
      <c r="D28" s="286"/>
      <c r="E28" s="270"/>
      <c r="F28" s="270"/>
      <c r="G28" s="231"/>
      <c r="H28" s="231"/>
      <c r="I28" s="217" t="s">
        <v>46</v>
      </c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72"/>
      <c r="U28" s="231"/>
      <c r="V28" s="231"/>
      <c r="W28" s="231"/>
      <c r="X28" s="231"/>
      <c r="Y28" s="231"/>
      <c r="Z28" s="231"/>
      <c r="AA28" s="231"/>
      <c r="AB28" s="273"/>
      <c r="AC28" s="273"/>
      <c r="AD28" s="273"/>
      <c r="AE28" s="273"/>
      <c r="AF28" s="278"/>
      <c r="AG28" s="273"/>
      <c r="AH28" s="273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79"/>
      <c r="AT28" s="231"/>
      <c r="AU28" s="258"/>
      <c r="AV28" s="238"/>
      <c r="AW28" s="238"/>
      <c r="AX28" s="238"/>
      <c r="AY28" s="258"/>
      <c r="AZ28" s="231"/>
      <c r="BA28" s="231"/>
      <c r="BB28" s="231"/>
      <c r="BC28" s="231"/>
      <c r="BD28" s="231"/>
      <c r="BE28" s="231"/>
      <c r="BF28" s="231"/>
      <c r="BG28" s="231"/>
      <c r="BH28" s="279"/>
      <c r="BI28" s="231"/>
      <c r="BJ28" s="273"/>
      <c r="BK28" s="273"/>
      <c r="BL28" s="273"/>
      <c r="BM28" s="273"/>
      <c r="BN28" s="273"/>
      <c r="BO28" s="273"/>
      <c r="BP28" s="273"/>
      <c r="BQ28" s="273"/>
      <c r="BR28" s="273"/>
      <c r="BS28" s="278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31"/>
      <c r="CE28" s="248"/>
      <c r="CF28" s="247"/>
      <c r="CG28" s="238"/>
      <c r="CH28" s="247"/>
      <c r="CI28" s="238"/>
      <c r="CJ28" s="238"/>
      <c r="CK28" s="238"/>
      <c r="CL28" s="238"/>
      <c r="CM28" s="238"/>
      <c r="CN28" s="238"/>
      <c r="CO28" s="238"/>
      <c r="CP28" s="249"/>
      <c r="CQ28" s="250"/>
      <c r="CR28" s="251"/>
    </row>
    <row r="29" spans="2:96" s="241" customFormat="1" ht="3" customHeight="1">
      <c r="B29" s="273"/>
      <c r="C29" s="273"/>
      <c r="D29" s="286"/>
      <c r="E29" s="270"/>
      <c r="F29" s="270"/>
      <c r="G29" s="231"/>
      <c r="H29" s="231"/>
      <c r="I29" s="287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72"/>
      <c r="U29" s="231"/>
      <c r="V29" s="231"/>
      <c r="W29" s="231"/>
      <c r="X29" s="231"/>
      <c r="Y29" s="231"/>
      <c r="Z29" s="231"/>
      <c r="AA29" s="231"/>
      <c r="AB29" s="273"/>
      <c r="AC29" s="273"/>
      <c r="AD29" s="273"/>
      <c r="AE29" s="273"/>
      <c r="AF29" s="278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8"/>
      <c r="AS29" s="273"/>
      <c r="AT29" s="273"/>
      <c r="AU29" s="273"/>
      <c r="AV29" s="258"/>
      <c r="AW29" s="231"/>
      <c r="AX29" s="231"/>
      <c r="AY29" s="231"/>
      <c r="AZ29" s="231"/>
      <c r="BA29" s="231"/>
      <c r="BB29" s="231"/>
      <c r="BC29" s="273"/>
      <c r="BD29" s="273"/>
      <c r="BE29" s="273"/>
      <c r="BF29" s="273"/>
      <c r="BG29" s="273"/>
      <c r="BH29" s="284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8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31"/>
      <c r="CE29" s="248"/>
      <c r="CF29" s="247"/>
      <c r="CG29" s="238"/>
      <c r="CH29" s="247"/>
      <c r="CI29" s="238"/>
      <c r="CJ29" s="238"/>
      <c r="CK29" s="238"/>
      <c r="CL29" s="238"/>
      <c r="CM29" s="238"/>
      <c r="CN29" s="238"/>
      <c r="CO29" s="238"/>
      <c r="CP29" s="249"/>
      <c r="CQ29" s="250"/>
      <c r="CR29" s="251"/>
    </row>
    <row r="30" spans="2:96" s="241" customFormat="1" ht="3" customHeight="1">
      <c r="B30" s="280"/>
      <c r="C30" s="280"/>
      <c r="D30" s="288"/>
      <c r="E30" s="289"/>
      <c r="F30" s="289"/>
      <c r="G30" s="258"/>
      <c r="H30" s="258"/>
      <c r="I30" s="27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73"/>
      <c r="AC30" s="273"/>
      <c r="AD30" s="273"/>
      <c r="AE30" s="273"/>
      <c r="AF30" s="278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8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84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8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31"/>
      <c r="CE30" s="248"/>
      <c r="CF30" s="247"/>
      <c r="CG30" s="238"/>
      <c r="CH30" s="247"/>
      <c r="CI30" s="238"/>
      <c r="CJ30" s="238"/>
      <c r="CK30" s="238"/>
      <c r="CL30" s="238"/>
      <c r="CM30" s="238"/>
      <c r="CN30" s="238"/>
      <c r="CO30" s="238"/>
      <c r="CP30" s="249"/>
      <c r="CQ30" s="250"/>
      <c r="CR30" s="251"/>
    </row>
    <row r="31" spans="2:96" s="241" customFormat="1" ht="11.25" customHeight="1">
      <c r="B31" s="273"/>
      <c r="C31" s="273"/>
      <c r="D31" s="269"/>
      <c r="E31" s="270"/>
      <c r="F31" s="270"/>
      <c r="G31" s="231"/>
      <c r="H31" s="231"/>
      <c r="I31" s="271"/>
      <c r="J31" s="231"/>
      <c r="K31" s="231"/>
      <c r="L31" s="231"/>
      <c r="M31" s="231"/>
      <c r="N31" s="258" t="s">
        <v>47</v>
      </c>
      <c r="O31" s="274"/>
      <c r="P31" s="275"/>
      <c r="Q31" s="275"/>
      <c r="R31" s="275"/>
      <c r="S31" s="275"/>
      <c r="T31" s="275"/>
      <c r="U31" s="274"/>
      <c r="V31" s="275"/>
      <c r="W31" s="290"/>
      <c r="X31" s="291"/>
      <c r="Y31" s="291"/>
      <c r="Z31" s="291"/>
      <c r="AA31" s="291"/>
      <c r="AB31" s="292"/>
      <c r="AC31" s="231"/>
      <c r="AD31" s="231"/>
      <c r="AE31" s="231"/>
      <c r="AF31" s="272"/>
      <c r="AG31" s="231"/>
      <c r="AH31" s="231"/>
      <c r="AI31" s="231"/>
      <c r="AJ31" s="231"/>
      <c r="AK31" s="262"/>
      <c r="AL31" s="231"/>
      <c r="AM31" s="231"/>
      <c r="AN31" s="231"/>
      <c r="AO31" s="231"/>
      <c r="AP31" s="231"/>
      <c r="AQ31" s="231"/>
      <c r="AR31" s="272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79"/>
      <c r="BI31" s="231"/>
      <c r="BJ31" s="273"/>
      <c r="BK31" s="273"/>
      <c r="BL31" s="273"/>
      <c r="BM31" s="273"/>
      <c r="BN31" s="273"/>
      <c r="BO31" s="273"/>
      <c r="BP31" s="273"/>
      <c r="BQ31" s="273"/>
      <c r="BR31" s="273"/>
      <c r="BS31" s="278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31"/>
      <c r="CE31" s="248"/>
      <c r="CF31" s="247"/>
      <c r="CG31" s="238"/>
      <c r="CH31" s="247"/>
      <c r="CI31" s="238"/>
      <c r="CJ31" s="238"/>
      <c r="CK31" s="238"/>
      <c r="CL31" s="238"/>
      <c r="CM31" s="238"/>
      <c r="CN31" s="238"/>
      <c r="CO31" s="238"/>
      <c r="CP31" s="249"/>
      <c r="CQ31" s="250"/>
      <c r="CR31" s="251"/>
    </row>
    <row r="32" spans="2:95" s="251" customFormat="1" ht="2.25" customHeight="1">
      <c r="B32" s="231"/>
      <c r="C32" s="231"/>
      <c r="D32" s="269"/>
      <c r="E32" s="270"/>
      <c r="F32" s="270"/>
      <c r="G32" s="231"/>
      <c r="H32" s="231"/>
      <c r="I32" s="271"/>
      <c r="J32" s="231"/>
      <c r="K32" s="231"/>
      <c r="L32" s="231"/>
      <c r="M32" s="231"/>
      <c r="N32" s="258"/>
      <c r="O32" s="231"/>
      <c r="P32" s="231"/>
      <c r="Q32" s="231"/>
      <c r="R32" s="231"/>
      <c r="S32" s="231"/>
      <c r="T32" s="231"/>
      <c r="U32" s="231"/>
      <c r="V32" s="231"/>
      <c r="W32" s="238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62"/>
      <c r="AL32" s="231"/>
      <c r="AM32" s="231"/>
      <c r="AN32" s="231"/>
      <c r="AO32" s="231"/>
      <c r="AP32" s="231"/>
      <c r="AQ32" s="231"/>
      <c r="AR32" s="272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72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50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49"/>
      <c r="CQ32" s="250"/>
    </row>
    <row r="33" spans="2:95" s="251" customFormat="1" ht="11.25" customHeight="1">
      <c r="B33" s="231"/>
      <c r="C33" s="231"/>
      <c r="D33" s="269"/>
      <c r="E33" s="270"/>
      <c r="F33" s="270"/>
      <c r="G33" s="231"/>
      <c r="H33" s="231"/>
      <c r="I33" s="271"/>
      <c r="J33" s="231"/>
      <c r="K33" s="231"/>
      <c r="L33" s="231"/>
      <c r="M33" s="231"/>
      <c r="N33" s="258"/>
      <c r="O33" s="231"/>
      <c r="P33" s="231"/>
      <c r="Q33" s="231"/>
      <c r="R33" s="231"/>
      <c r="S33" s="231"/>
      <c r="T33" s="231"/>
      <c r="U33" s="231"/>
      <c r="V33" s="231"/>
      <c r="W33" s="238"/>
      <c r="X33" s="231"/>
      <c r="Y33" s="231"/>
      <c r="Z33" s="231"/>
      <c r="AA33" s="231"/>
      <c r="AB33" s="231"/>
      <c r="AC33" s="231"/>
      <c r="AD33" s="231"/>
      <c r="AE33" s="293"/>
      <c r="AF33" s="231"/>
      <c r="AG33" s="294" t="s">
        <v>48</v>
      </c>
      <c r="AH33" s="295"/>
      <c r="AI33" s="296"/>
      <c r="AJ33" s="296"/>
      <c r="AK33" s="297"/>
      <c r="AL33" s="298"/>
      <c r="AM33" s="299"/>
      <c r="AN33" s="300"/>
      <c r="AO33" s="231"/>
      <c r="AP33" s="231"/>
      <c r="AQ33" s="231"/>
      <c r="AR33" s="272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72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50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49"/>
      <c r="CQ33" s="250"/>
    </row>
    <row r="34" spans="2:95" s="251" customFormat="1" ht="12.75" customHeight="1">
      <c r="B34" s="231"/>
      <c r="C34" s="231"/>
      <c r="D34" s="269"/>
      <c r="E34" s="270"/>
      <c r="F34" s="270"/>
      <c r="G34" s="231"/>
      <c r="H34" s="231"/>
      <c r="I34" s="271"/>
      <c r="J34" s="231"/>
      <c r="K34" s="231"/>
      <c r="L34" s="231"/>
      <c r="M34" s="231"/>
      <c r="N34" s="258"/>
      <c r="O34" s="231"/>
      <c r="P34" s="231"/>
      <c r="Q34" s="231"/>
      <c r="R34" s="231"/>
      <c r="S34" s="231"/>
      <c r="T34" s="231"/>
      <c r="U34" s="231"/>
      <c r="V34" s="231"/>
      <c r="W34" s="238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62"/>
      <c r="AL34" s="231"/>
      <c r="AM34" s="231"/>
      <c r="AN34" s="231"/>
      <c r="AO34" s="231"/>
      <c r="AP34" s="231"/>
      <c r="AQ34" s="231"/>
      <c r="AR34" s="272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72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50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49"/>
      <c r="CQ34" s="250"/>
    </row>
    <row r="35" spans="2:95" s="251" customFormat="1" ht="11.25" customHeight="1">
      <c r="B35" s="231"/>
      <c r="C35" s="231"/>
      <c r="D35" s="301"/>
      <c r="E35" s="302"/>
      <c r="F35" s="302"/>
      <c r="G35" s="303"/>
      <c r="H35" s="303"/>
      <c r="I35" s="271"/>
      <c r="J35" s="303"/>
      <c r="K35" s="303"/>
      <c r="L35" s="303"/>
      <c r="M35" s="303"/>
      <c r="N35" s="231"/>
      <c r="O35" s="231"/>
      <c r="P35" s="231"/>
      <c r="Q35" s="231"/>
      <c r="R35" s="231"/>
      <c r="S35" s="231"/>
      <c r="T35" s="231"/>
      <c r="U35" s="231"/>
      <c r="V35" s="231"/>
      <c r="W35" s="258" t="s">
        <v>49</v>
      </c>
      <c r="X35" s="304"/>
      <c r="Y35" s="305"/>
      <c r="Z35" s="305"/>
      <c r="AA35" s="305"/>
      <c r="AB35" s="304"/>
      <c r="AC35" s="275"/>
      <c r="AD35" s="275"/>
      <c r="AE35" s="306"/>
      <c r="AF35" s="275"/>
      <c r="AG35" s="307"/>
      <c r="AH35" s="298" t="s">
        <v>50</v>
      </c>
      <c r="AI35" s="296"/>
      <c r="AJ35" s="296"/>
      <c r="AK35" s="308"/>
      <c r="AL35" s="309" t="s">
        <v>50</v>
      </c>
      <c r="AM35" s="310"/>
      <c r="AN35" s="311"/>
      <c r="AO35" s="312"/>
      <c r="AP35" s="313" t="s">
        <v>51</v>
      </c>
      <c r="AQ35" s="314" t="s">
        <v>52</v>
      </c>
      <c r="AR35" s="315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72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72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50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49"/>
      <c r="CQ35" s="250"/>
    </row>
    <row r="36" spans="2:95" s="251" customFormat="1" ht="13.5" customHeight="1">
      <c r="B36" s="231"/>
      <c r="C36" s="231"/>
      <c r="D36" s="301"/>
      <c r="E36" s="302"/>
      <c r="F36" s="302"/>
      <c r="G36" s="303"/>
      <c r="H36" s="303"/>
      <c r="I36" s="271"/>
      <c r="J36" s="303"/>
      <c r="K36" s="303"/>
      <c r="L36" s="303"/>
      <c r="M36" s="303"/>
      <c r="N36" s="231"/>
      <c r="O36" s="231"/>
      <c r="P36" s="231"/>
      <c r="Q36" s="231"/>
      <c r="R36" s="231"/>
      <c r="S36" s="231"/>
      <c r="T36" s="231"/>
      <c r="U36" s="231"/>
      <c r="V36" s="231"/>
      <c r="W36" s="258"/>
      <c r="X36" s="231"/>
      <c r="Y36" s="231"/>
      <c r="Z36" s="231"/>
      <c r="AA36" s="231"/>
      <c r="AB36" s="231"/>
      <c r="AC36" s="231"/>
      <c r="AD36" s="231"/>
      <c r="AE36" s="293"/>
      <c r="AF36" s="231"/>
      <c r="AG36" s="316"/>
      <c r="AH36" s="317"/>
      <c r="AI36" s="318"/>
      <c r="AJ36" s="318"/>
      <c r="AK36" s="316"/>
      <c r="AL36" s="317"/>
      <c r="AM36" s="318"/>
      <c r="AN36" s="319"/>
      <c r="AO36" s="320"/>
      <c r="AP36" s="316"/>
      <c r="AQ36" s="316"/>
      <c r="AR36" s="272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72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72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50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49"/>
      <c r="CQ36" s="250"/>
    </row>
    <row r="37" spans="2:95" s="251" customFormat="1" ht="11.25" customHeight="1">
      <c r="B37" s="231"/>
      <c r="C37" s="231"/>
      <c r="D37" s="301"/>
      <c r="E37" s="302"/>
      <c r="F37" s="302"/>
      <c r="G37" s="303"/>
      <c r="H37" s="303"/>
      <c r="I37" s="271"/>
      <c r="J37" s="303"/>
      <c r="K37" s="303"/>
      <c r="L37" s="303"/>
      <c r="M37" s="303"/>
      <c r="N37" s="231"/>
      <c r="O37" s="231"/>
      <c r="P37" s="231"/>
      <c r="Q37" s="231"/>
      <c r="R37" s="231"/>
      <c r="S37" s="231"/>
      <c r="T37" s="231"/>
      <c r="U37" s="231"/>
      <c r="V37" s="231"/>
      <c r="W37" s="258"/>
      <c r="X37" s="231"/>
      <c r="Y37" s="231"/>
      <c r="Z37" s="231"/>
      <c r="AA37" s="231"/>
      <c r="AB37" s="231"/>
      <c r="AC37" s="231"/>
      <c r="AD37" s="231"/>
      <c r="AE37" s="293"/>
      <c r="AF37" s="231"/>
      <c r="AG37" s="316"/>
      <c r="AH37" s="317"/>
      <c r="AI37" s="318"/>
      <c r="AK37" s="316"/>
      <c r="AM37" s="294" t="s">
        <v>53</v>
      </c>
      <c r="AN37" s="319"/>
      <c r="AO37" s="321"/>
      <c r="AP37" s="297"/>
      <c r="AQ37" s="297"/>
      <c r="AR37" s="275"/>
      <c r="AS37" s="322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3"/>
      <c r="BT37" s="283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50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49"/>
      <c r="CQ37" s="250"/>
    </row>
    <row r="38" spans="2:95" s="251" customFormat="1" ht="14.25" customHeight="1">
      <c r="B38" s="231"/>
      <c r="C38" s="231"/>
      <c r="D38" s="301"/>
      <c r="E38" s="302"/>
      <c r="F38" s="302"/>
      <c r="G38" s="303"/>
      <c r="H38" s="303"/>
      <c r="I38" s="271"/>
      <c r="J38" s="303"/>
      <c r="K38" s="303"/>
      <c r="L38" s="303"/>
      <c r="M38" s="303"/>
      <c r="N38" s="231"/>
      <c r="O38" s="231"/>
      <c r="P38" s="231"/>
      <c r="Q38" s="231"/>
      <c r="R38" s="231"/>
      <c r="S38" s="231"/>
      <c r="T38" s="231"/>
      <c r="U38" s="231"/>
      <c r="V38" s="231"/>
      <c r="W38" s="258"/>
      <c r="X38" s="231"/>
      <c r="Y38" s="231"/>
      <c r="Z38" s="231"/>
      <c r="AA38" s="231"/>
      <c r="AB38" s="231"/>
      <c r="AC38" s="231"/>
      <c r="AD38" s="231"/>
      <c r="AE38" s="293"/>
      <c r="AF38" s="231"/>
      <c r="AG38" s="316"/>
      <c r="AH38" s="317"/>
      <c r="AI38" s="318"/>
      <c r="AJ38" s="318"/>
      <c r="AK38" s="316"/>
      <c r="AL38" s="317"/>
      <c r="AM38" s="318"/>
      <c r="AN38" s="319"/>
      <c r="AO38" s="320"/>
      <c r="AP38" s="316"/>
      <c r="AQ38" s="316"/>
      <c r="AR38" s="272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72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72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50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49"/>
      <c r="CQ38" s="250"/>
    </row>
    <row r="39" spans="2:95" s="251" customFormat="1" ht="3" customHeight="1">
      <c r="B39" s="231"/>
      <c r="C39" s="231"/>
      <c r="D39" s="269"/>
      <c r="E39" s="270"/>
      <c r="F39" s="270"/>
      <c r="G39" s="231"/>
      <c r="H39" s="231"/>
      <c r="I39" s="27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8"/>
      <c r="X39" s="303"/>
      <c r="Y39" s="303"/>
      <c r="Z39" s="303"/>
      <c r="AA39" s="303"/>
      <c r="AB39" s="231"/>
      <c r="AC39" s="231"/>
      <c r="AD39" s="231"/>
      <c r="AE39" s="231"/>
      <c r="AF39" s="272"/>
      <c r="AG39" s="231"/>
      <c r="AH39" s="231"/>
      <c r="AI39" s="231"/>
      <c r="AJ39" s="231"/>
      <c r="AK39" s="262"/>
      <c r="AL39" s="231"/>
      <c r="AM39" s="231"/>
      <c r="AN39" s="231"/>
      <c r="AO39" s="231"/>
      <c r="AP39" s="231"/>
      <c r="AQ39" s="231"/>
      <c r="AR39" s="272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72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72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50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49"/>
      <c r="CQ39" s="250"/>
    </row>
    <row r="40" spans="2:96" s="241" customFormat="1" ht="11.25" customHeight="1">
      <c r="B40" s="273"/>
      <c r="C40" s="273"/>
      <c r="D40" s="269"/>
      <c r="E40" s="270"/>
      <c r="F40" s="270"/>
      <c r="G40" s="231"/>
      <c r="H40" s="231"/>
      <c r="I40" s="271"/>
      <c r="J40" s="231"/>
      <c r="K40" s="231"/>
      <c r="L40" s="231"/>
      <c r="M40" s="238"/>
      <c r="N40" s="274"/>
      <c r="O40" s="275"/>
      <c r="P40" s="275"/>
      <c r="Q40" s="275"/>
      <c r="R40" s="275"/>
      <c r="S40" s="275"/>
      <c r="T40" s="275"/>
      <c r="U40" s="231"/>
      <c r="V40" s="262" t="s">
        <v>54</v>
      </c>
      <c r="W40" s="238"/>
      <c r="X40" s="303"/>
      <c r="Y40" s="303"/>
      <c r="Z40" s="303"/>
      <c r="AA40" s="303"/>
      <c r="AB40" s="231"/>
      <c r="AC40" s="231"/>
      <c r="AD40" s="231"/>
      <c r="AE40" s="231"/>
      <c r="AF40" s="272"/>
      <c r="AG40" s="231"/>
      <c r="AH40" s="231"/>
      <c r="AI40" s="231"/>
      <c r="AJ40" s="231"/>
      <c r="AK40" s="262"/>
      <c r="AL40" s="231"/>
      <c r="AM40" s="231"/>
      <c r="AN40" s="231"/>
      <c r="AO40" s="231"/>
      <c r="AP40" s="231"/>
      <c r="AQ40" s="231"/>
      <c r="AR40" s="272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72"/>
      <c r="BH40" s="231"/>
      <c r="BI40" s="231"/>
      <c r="BJ40" s="273"/>
      <c r="BK40" s="273"/>
      <c r="BL40" s="273"/>
      <c r="BM40" s="273"/>
      <c r="BN40" s="273"/>
      <c r="BO40" s="273"/>
      <c r="BP40" s="273"/>
      <c r="BQ40" s="273"/>
      <c r="BR40" s="273"/>
      <c r="BS40" s="278"/>
      <c r="BT40" s="273"/>
      <c r="BU40" s="273"/>
      <c r="BV40" s="273"/>
      <c r="BW40" s="273"/>
      <c r="BX40" s="273"/>
      <c r="BY40" s="273"/>
      <c r="BZ40" s="273"/>
      <c r="CA40" s="273"/>
      <c r="CB40" s="273"/>
      <c r="CC40" s="273"/>
      <c r="CD40" s="231"/>
      <c r="CE40" s="248"/>
      <c r="CF40" s="247"/>
      <c r="CG40" s="238"/>
      <c r="CH40" s="247"/>
      <c r="CI40" s="238"/>
      <c r="CJ40" s="238"/>
      <c r="CK40" s="238"/>
      <c r="CL40" s="238"/>
      <c r="CM40" s="238"/>
      <c r="CN40" s="238"/>
      <c r="CO40" s="238"/>
      <c r="CP40" s="249"/>
      <c r="CQ40" s="250"/>
      <c r="CR40" s="251"/>
    </row>
    <row r="41" spans="2:96" s="241" customFormat="1" ht="3.75" customHeight="1">
      <c r="B41" s="273"/>
      <c r="C41" s="273"/>
      <c r="D41" s="269"/>
      <c r="E41" s="270"/>
      <c r="F41" s="270"/>
      <c r="G41" s="231"/>
      <c r="H41" s="231"/>
      <c r="I41" s="271"/>
      <c r="J41" s="231"/>
      <c r="K41" s="231"/>
      <c r="L41" s="231"/>
      <c r="M41" s="258"/>
      <c r="N41" s="231"/>
      <c r="O41" s="231"/>
      <c r="P41" s="231"/>
      <c r="Q41" s="231"/>
      <c r="R41" s="231"/>
      <c r="S41" s="231"/>
      <c r="T41" s="231"/>
      <c r="U41" s="231"/>
      <c r="V41" s="231"/>
      <c r="W41" s="238"/>
      <c r="X41" s="303"/>
      <c r="Y41" s="303"/>
      <c r="Z41" s="303"/>
      <c r="AA41" s="303"/>
      <c r="AB41" s="231"/>
      <c r="AC41" s="231"/>
      <c r="AD41" s="231"/>
      <c r="AE41" s="231"/>
      <c r="AF41" s="272"/>
      <c r="AG41" s="231"/>
      <c r="AH41" s="231"/>
      <c r="AI41" s="231"/>
      <c r="AJ41" s="231"/>
      <c r="AK41" s="262"/>
      <c r="AL41" s="231"/>
      <c r="AM41" s="231"/>
      <c r="AN41" s="231"/>
      <c r="AO41" s="231"/>
      <c r="AP41" s="231"/>
      <c r="AQ41" s="231"/>
      <c r="AR41" s="272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72"/>
      <c r="BH41" s="231"/>
      <c r="BI41" s="231"/>
      <c r="BJ41" s="273"/>
      <c r="BK41" s="273"/>
      <c r="BL41" s="273"/>
      <c r="BM41" s="273"/>
      <c r="BN41" s="273"/>
      <c r="BO41" s="273"/>
      <c r="BP41" s="273"/>
      <c r="BQ41" s="273"/>
      <c r="BR41" s="273"/>
      <c r="BS41" s="278"/>
      <c r="BT41" s="273"/>
      <c r="BU41" s="273"/>
      <c r="BV41" s="273"/>
      <c r="BW41" s="273"/>
      <c r="BX41" s="273"/>
      <c r="BY41" s="273"/>
      <c r="BZ41" s="273"/>
      <c r="CA41" s="273"/>
      <c r="CB41" s="273"/>
      <c r="CC41" s="273"/>
      <c r="CD41" s="231"/>
      <c r="CE41" s="248"/>
      <c r="CF41" s="247"/>
      <c r="CG41" s="238"/>
      <c r="CH41" s="247"/>
      <c r="CI41" s="238"/>
      <c r="CJ41" s="238"/>
      <c r="CK41" s="238"/>
      <c r="CL41" s="238"/>
      <c r="CM41" s="238"/>
      <c r="CN41" s="238"/>
      <c r="CO41" s="238"/>
      <c r="CP41" s="249"/>
      <c r="CQ41" s="250"/>
      <c r="CR41" s="251"/>
    </row>
    <row r="42" spans="2:96" s="241" customFormat="1" ht="11.25" customHeight="1">
      <c r="B42" s="273"/>
      <c r="C42" s="273"/>
      <c r="D42" s="269"/>
      <c r="E42" s="270"/>
      <c r="F42" s="270"/>
      <c r="G42" s="231"/>
      <c r="H42" s="231"/>
      <c r="I42" s="271"/>
      <c r="J42" s="231"/>
      <c r="K42" s="231"/>
      <c r="L42" s="231"/>
      <c r="M42" s="258"/>
      <c r="N42" s="231"/>
      <c r="O42" s="231"/>
      <c r="P42" s="231"/>
      <c r="Q42" s="231"/>
      <c r="R42" s="231"/>
      <c r="S42" s="231"/>
      <c r="T42" s="258" t="s">
        <v>55</v>
      </c>
      <c r="U42" s="274"/>
      <c r="V42" s="275"/>
      <c r="W42" s="276"/>
      <c r="X42" s="275"/>
      <c r="Y42" s="275"/>
      <c r="Z42" s="275"/>
      <c r="AA42" s="275"/>
      <c r="AB42" s="275"/>
      <c r="AC42" s="323"/>
      <c r="AD42" s="231"/>
      <c r="AE42" s="231"/>
      <c r="AF42" s="272"/>
      <c r="AG42" s="262" t="s">
        <v>56</v>
      </c>
      <c r="AH42" s="231"/>
      <c r="AI42" s="231"/>
      <c r="AJ42" s="231"/>
      <c r="AK42" s="262"/>
      <c r="AL42" s="231"/>
      <c r="AM42" s="231"/>
      <c r="AN42" s="231"/>
      <c r="AO42" s="231"/>
      <c r="AP42" s="231"/>
      <c r="AQ42" s="231"/>
      <c r="AR42" s="272"/>
      <c r="AS42" s="231"/>
      <c r="AT42" s="360"/>
      <c r="AU42" s="362"/>
      <c r="AV42" s="363"/>
      <c r="AX42" s="365"/>
      <c r="AZ42" s="362"/>
      <c r="BA42" s="362"/>
      <c r="BB42" s="362"/>
      <c r="BC42" s="362"/>
      <c r="BD42" s="362"/>
      <c r="BE42" s="362"/>
      <c r="BF42" s="362"/>
      <c r="BG42" s="366"/>
      <c r="BH42" s="362"/>
      <c r="BI42" s="362"/>
      <c r="BJ42" s="370"/>
      <c r="BK42" s="367"/>
      <c r="BL42" s="367"/>
      <c r="BM42" s="233"/>
      <c r="BN42" s="273"/>
      <c r="BO42" s="273"/>
      <c r="BP42" s="273"/>
      <c r="BQ42" s="273"/>
      <c r="BR42" s="273"/>
      <c r="BS42" s="278"/>
      <c r="BT42" s="273"/>
      <c r="BU42" s="273"/>
      <c r="BV42" s="273"/>
      <c r="BW42" s="273"/>
      <c r="BX42" s="273"/>
      <c r="BY42" s="273"/>
      <c r="BZ42" s="273"/>
      <c r="CA42" s="273"/>
      <c r="CB42" s="273"/>
      <c r="CC42" s="273"/>
      <c r="CD42" s="231"/>
      <c r="CE42" s="248"/>
      <c r="CF42" s="247"/>
      <c r="CG42" s="238"/>
      <c r="CH42" s="247"/>
      <c r="CI42" s="238"/>
      <c r="CJ42" s="238"/>
      <c r="CK42" s="238"/>
      <c r="CL42" s="238"/>
      <c r="CM42" s="238"/>
      <c r="CN42" s="238"/>
      <c r="CO42" s="238"/>
      <c r="CP42" s="249"/>
      <c r="CQ42" s="250"/>
      <c r="CR42" s="251"/>
    </row>
    <row r="43" spans="2:95" s="251" customFormat="1" ht="3.75" customHeight="1">
      <c r="B43" s="258"/>
      <c r="C43" s="258"/>
      <c r="D43" s="288"/>
      <c r="E43" s="289"/>
      <c r="F43" s="289"/>
      <c r="G43" s="258"/>
      <c r="H43" s="258"/>
      <c r="I43" s="27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303"/>
      <c r="Y43" s="303"/>
      <c r="Z43" s="303"/>
      <c r="AA43" s="303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72"/>
      <c r="AS43" s="231"/>
      <c r="AT43" s="360"/>
      <c r="AU43" s="362"/>
      <c r="AV43" s="362"/>
      <c r="AW43" s="362"/>
      <c r="AX43" s="368"/>
      <c r="AY43" s="362"/>
      <c r="AZ43" s="362"/>
      <c r="BA43" s="362"/>
      <c r="BB43" s="362"/>
      <c r="BC43" s="362"/>
      <c r="BD43" s="362"/>
      <c r="BE43" s="362"/>
      <c r="BF43" s="362"/>
      <c r="BG43" s="366"/>
      <c r="BH43" s="362"/>
      <c r="BI43" s="362"/>
      <c r="BJ43" s="362"/>
      <c r="BK43" s="362"/>
      <c r="BL43" s="362"/>
      <c r="BM43" s="230"/>
      <c r="BN43" s="231"/>
      <c r="BO43" s="231"/>
      <c r="BP43" s="231"/>
      <c r="BQ43" s="231"/>
      <c r="BR43" s="231"/>
      <c r="BS43" s="272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50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49"/>
      <c r="CQ43" s="250"/>
    </row>
    <row r="44" spans="2:96" s="241" customFormat="1" ht="11.25" customHeight="1">
      <c r="B44" s="273"/>
      <c r="C44" s="273"/>
      <c r="D44" s="269"/>
      <c r="E44" s="270"/>
      <c r="F44" s="270"/>
      <c r="G44" s="231"/>
      <c r="H44" s="231"/>
      <c r="I44" s="27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72"/>
      <c r="U44" s="238"/>
      <c r="V44" s="231"/>
      <c r="W44" s="231"/>
      <c r="X44" s="303"/>
      <c r="Y44" s="303"/>
      <c r="Z44" s="303"/>
      <c r="AA44" s="303"/>
      <c r="AB44" s="231"/>
      <c r="AC44" s="231"/>
      <c r="AD44" s="324"/>
      <c r="AE44" s="324"/>
      <c r="AF44" s="247"/>
      <c r="AG44" s="247"/>
      <c r="AH44" s="231"/>
      <c r="AI44" s="231"/>
      <c r="AJ44" s="231"/>
      <c r="AK44" s="231"/>
      <c r="AL44" s="231"/>
      <c r="AM44" s="231"/>
      <c r="AN44" s="231"/>
      <c r="AO44" s="360" t="s">
        <v>81</v>
      </c>
      <c r="AP44" s="231"/>
      <c r="AQ44" s="231"/>
      <c r="AR44" s="360" t="s">
        <v>86</v>
      </c>
      <c r="AS44" s="360"/>
      <c r="AT44" s="361"/>
      <c r="AU44" s="362"/>
      <c r="AV44" s="364"/>
      <c r="AW44" s="364"/>
      <c r="AX44" s="369"/>
      <c r="AY44" s="364"/>
      <c r="AZ44" s="365"/>
      <c r="BA44" s="362"/>
      <c r="BB44" s="362"/>
      <c r="BC44" s="365"/>
      <c r="BD44" s="362"/>
      <c r="BE44" s="362"/>
      <c r="BF44" s="362"/>
      <c r="BG44" s="366"/>
      <c r="BH44" s="362"/>
      <c r="BI44" s="362"/>
      <c r="BJ44" s="362"/>
      <c r="BK44" s="362"/>
      <c r="BL44" s="367"/>
      <c r="BM44" s="233"/>
      <c r="BN44" s="273"/>
      <c r="BO44" s="273"/>
      <c r="BP44" s="273"/>
      <c r="BQ44" s="273"/>
      <c r="BR44" s="273"/>
      <c r="BS44" s="278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31"/>
      <c r="CE44" s="248"/>
      <c r="CF44" s="247"/>
      <c r="CG44" s="238"/>
      <c r="CH44" s="247"/>
      <c r="CI44" s="238"/>
      <c r="CJ44" s="238"/>
      <c r="CK44" s="238"/>
      <c r="CL44" s="238"/>
      <c r="CM44" s="238"/>
      <c r="CN44" s="238"/>
      <c r="CO44" s="238"/>
      <c r="CP44" s="249"/>
      <c r="CQ44" s="250"/>
      <c r="CR44" s="251"/>
    </row>
    <row r="45" spans="2:95" s="251" customFormat="1" ht="3.75" customHeight="1">
      <c r="B45" s="231"/>
      <c r="C45" s="231"/>
      <c r="D45" s="269"/>
      <c r="E45" s="270"/>
      <c r="F45" s="270"/>
      <c r="G45" s="231"/>
      <c r="H45" s="231"/>
      <c r="I45" s="27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72"/>
      <c r="U45" s="258"/>
      <c r="V45" s="231"/>
      <c r="W45" s="231"/>
      <c r="X45" s="303"/>
      <c r="Y45" s="303"/>
      <c r="Z45" s="303"/>
      <c r="AA45" s="303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72"/>
      <c r="AS45" s="231"/>
      <c r="AT45" s="231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6"/>
      <c r="BH45" s="230"/>
      <c r="BI45" s="230"/>
      <c r="BJ45" s="230"/>
      <c r="BK45" s="230"/>
      <c r="BL45" s="230"/>
      <c r="BM45" s="230"/>
      <c r="BN45" s="231"/>
      <c r="BO45" s="231"/>
      <c r="BP45" s="231"/>
      <c r="BQ45" s="231"/>
      <c r="BR45" s="231"/>
      <c r="BS45" s="272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50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49"/>
      <c r="CQ45" s="250"/>
    </row>
    <row r="46" spans="2:96" s="241" customFormat="1" ht="11.25" customHeight="1">
      <c r="B46" s="273"/>
      <c r="C46" s="273"/>
      <c r="D46" s="269"/>
      <c r="E46" s="270"/>
      <c r="F46" s="270"/>
      <c r="G46" s="231"/>
      <c r="H46" s="231"/>
      <c r="I46" s="27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72"/>
      <c r="U46" s="231"/>
      <c r="V46" s="231"/>
      <c r="W46" s="231"/>
      <c r="X46" s="303"/>
      <c r="Y46" s="303"/>
      <c r="Z46" s="303"/>
      <c r="AA46" s="303"/>
      <c r="AB46" s="231"/>
      <c r="AC46" s="231"/>
      <c r="AD46" s="247"/>
      <c r="AE46" s="258" t="s">
        <v>57</v>
      </c>
      <c r="AF46" s="238"/>
      <c r="AG46" s="274"/>
      <c r="AH46" s="275"/>
      <c r="AI46" s="275"/>
      <c r="AJ46" s="275"/>
      <c r="AK46" s="274"/>
      <c r="AL46" s="275"/>
      <c r="AM46" s="275"/>
      <c r="AN46" s="275"/>
      <c r="AO46" s="275"/>
      <c r="AP46" s="275"/>
      <c r="AQ46" s="322"/>
      <c r="AR46" s="322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3"/>
      <c r="BL46" s="273"/>
      <c r="BM46" s="273"/>
      <c r="BN46" s="273"/>
      <c r="BO46" s="273"/>
      <c r="BP46" s="273"/>
      <c r="BQ46" s="273"/>
      <c r="BR46" s="273"/>
      <c r="BS46" s="278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31"/>
      <c r="CE46" s="248"/>
      <c r="CF46" s="247"/>
      <c r="CG46" s="238"/>
      <c r="CH46" s="247"/>
      <c r="CI46" s="238"/>
      <c r="CJ46" s="238"/>
      <c r="CK46" s="238"/>
      <c r="CL46" s="238"/>
      <c r="CM46" s="238"/>
      <c r="CN46" s="238"/>
      <c r="CO46" s="238"/>
      <c r="CP46" s="249"/>
      <c r="CQ46" s="250"/>
      <c r="CR46" s="251"/>
    </row>
    <row r="47" spans="2:95" s="251" customFormat="1" ht="13.5" customHeight="1">
      <c r="B47" s="231"/>
      <c r="C47" s="231"/>
      <c r="D47" s="269"/>
      <c r="E47" s="270"/>
      <c r="F47" s="270"/>
      <c r="G47" s="231"/>
      <c r="H47" s="231"/>
      <c r="I47" s="271"/>
      <c r="J47" s="231"/>
      <c r="K47" s="231"/>
      <c r="L47" s="238"/>
      <c r="M47" s="231"/>
      <c r="N47" s="231"/>
      <c r="O47" s="231"/>
      <c r="P47" s="231"/>
      <c r="Q47" s="231"/>
      <c r="R47" s="231"/>
      <c r="S47" s="231"/>
      <c r="T47" s="272"/>
      <c r="U47" s="231"/>
      <c r="V47" s="258"/>
      <c r="W47" s="231"/>
      <c r="X47" s="303"/>
      <c r="Y47" s="303"/>
      <c r="Z47" s="303"/>
      <c r="AA47" s="303"/>
      <c r="AB47" s="231"/>
      <c r="AC47" s="231"/>
      <c r="AD47" s="231"/>
      <c r="AE47" s="231"/>
      <c r="AF47" s="231"/>
      <c r="AG47" s="231"/>
      <c r="AH47" s="231"/>
      <c r="AI47" s="231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72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72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50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49"/>
      <c r="CQ47" s="250"/>
    </row>
    <row r="48" spans="2:96" s="241" customFormat="1" ht="12.75" customHeight="1">
      <c r="B48" s="273"/>
      <c r="C48" s="273"/>
      <c r="D48" s="269"/>
      <c r="E48" s="270"/>
      <c r="F48" s="270"/>
      <c r="G48" s="231"/>
      <c r="H48" s="231"/>
      <c r="I48" s="271"/>
      <c r="J48" s="231"/>
      <c r="K48" s="231"/>
      <c r="L48" s="262"/>
      <c r="M48" s="231"/>
      <c r="N48" s="231"/>
      <c r="O48" s="231"/>
      <c r="P48" s="231"/>
      <c r="Q48" s="231"/>
      <c r="R48" s="231"/>
      <c r="S48" s="231"/>
      <c r="T48" s="272"/>
      <c r="U48" s="231"/>
      <c r="V48" s="231"/>
      <c r="W48" s="231"/>
      <c r="X48" s="303"/>
      <c r="Y48" s="303"/>
      <c r="Z48" s="303"/>
      <c r="AA48" s="303"/>
      <c r="AB48" s="231"/>
      <c r="AC48" s="231"/>
      <c r="AD48" s="231"/>
      <c r="AE48" s="231"/>
      <c r="AF48" s="231"/>
      <c r="AG48" s="247"/>
      <c r="AH48" s="247"/>
      <c r="AI48" s="247"/>
      <c r="AJ48" s="231"/>
      <c r="AK48" s="238"/>
      <c r="AL48" s="247"/>
      <c r="AM48" s="258" t="s">
        <v>58</v>
      </c>
      <c r="AN48" s="238"/>
      <c r="AO48" s="325"/>
      <c r="AP48" s="310"/>
      <c r="AQ48" s="310"/>
      <c r="AR48" s="310"/>
      <c r="AS48" s="310"/>
      <c r="AT48" s="310"/>
      <c r="AU48" s="310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2"/>
      <c r="BI48" s="322"/>
      <c r="BJ48" s="281"/>
      <c r="BK48" s="281"/>
      <c r="BL48" s="281"/>
      <c r="BM48" s="281"/>
      <c r="BN48" s="281"/>
      <c r="BO48" s="281"/>
      <c r="BP48" s="281"/>
      <c r="BQ48" s="281"/>
      <c r="BR48" s="281"/>
      <c r="BS48" s="283"/>
      <c r="BT48" s="283"/>
      <c r="BU48" s="273"/>
      <c r="BV48" s="273"/>
      <c r="BW48" s="273"/>
      <c r="BX48" s="273"/>
      <c r="BY48" s="273"/>
      <c r="BZ48" s="273"/>
      <c r="CA48" s="273"/>
      <c r="CB48" s="273"/>
      <c r="CC48" s="273"/>
      <c r="CD48" s="231"/>
      <c r="CE48" s="248"/>
      <c r="CF48" s="197"/>
      <c r="CG48" s="197"/>
      <c r="CH48" s="197"/>
      <c r="CI48" s="197"/>
      <c r="CJ48" s="197"/>
      <c r="CK48" s="197"/>
      <c r="CL48" s="197"/>
      <c r="CM48" s="197"/>
      <c r="CN48" s="238"/>
      <c r="CO48" s="238"/>
      <c r="CP48" s="249"/>
      <c r="CQ48" s="250"/>
      <c r="CR48" s="251"/>
    </row>
    <row r="49" spans="2:95" s="251" customFormat="1" ht="10.5" customHeight="1">
      <c r="B49" s="231"/>
      <c r="C49" s="231"/>
      <c r="D49" s="269"/>
      <c r="E49" s="270"/>
      <c r="F49" s="270"/>
      <c r="G49" s="231"/>
      <c r="H49" s="231"/>
      <c r="I49" s="27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72"/>
      <c r="U49" s="231"/>
      <c r="V49" s="231"/>
      <c r="W49" s="231"/>
      <c r="X49" s="303"/>
      <c r="Y49" s="303"/>
      <c r="Z49" s="303"/>
      <c r="AA49" s="303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58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72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50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49"/>
      <c r="CQ49" s="250"/>
    </row>
    <row r="50" spans="2:96" s="241" customFormat="1" ht="12" customHeight="1">
      <c r="B50" s="273"/>
      <c r="C50" s="273"/>
      <c r="D50" s="269"/>
      <c r="E50" s="270"/>
      <c r="F50" s="270"/>
      <c r="G50" s="231"/>
      <c r="H50" s="231"/>
      <c r="I50" s="27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72"/>
      <c r="U50" s="231"/>
      <c r="V50" s="231"/>
      <c r="W50" s="231"/>
      <c r="X50" s="303"/>
      <c r="Y50" s="303"/>
      <c r="Z50" s="303"/>
      <c r="AA50" s="303"/>
      <c r="AB50" s="231"/>
      <c r="AC50" s="231"/>
      <c r="AD50" s="231"/>
      <c r="AE50" s="231"/>
      <c r="AF50" s="231"/>
      <c r="AG50" s="247"/>
      <c r="AH50" s="231"/>
      <c r="AI50" s="247"/>
      <c r="AJ50" s="231"/>
      <c r="AK50" s="231"/>
      <c r="AL50" s="231"/>
      <c r="AM50" s="247"/>
      <c r="AN50" s="247"/>
      <c r="AO50" s="231"/>
      <c r="AP50" s="231"/>
      <c r="AQ50" s="258" t="s">
        <v>59</v>
      </c>
      <c r="AR50" s="231"/>
      <c r="AS50" s="231"/>
      <c r="AT50" s="326"/>
      <c r="AU50" s="322"/>
      <c r="AV50" s="322"/>
      <c r="AW50" s="322"/>
      <c r="AX50" s="322"/>
      <c r="AY50" s="322"/>
      <c r="AZ50" s="322"/>
      <c r="BA50" s="310"/>
      <c r="BB50" s="310"/>
      <c r="BC50" s="310"/>
      <c r="BD50" s="310"/>
      <c r="BE50" s="310"/>
      <c r="BF50" s="310"/>
      <c r="BG50" s="310"/>
      <c r="BH50" s="322"/>
      <c r="BI50" s="322"/>
      <c r="BJ50" s="322"/>
      <c r="BK50" s="322"/>
      <c r="BL50" s="322"/>
      <c r="BM50" s="281"/>
      <c r="BN50" s="281"/>
      <c r="BO50" s="281"/>
      <c r="BP50" s="281"/>
      <c r="BQ50" s="281"/>
      <c r="BR50" s="281"/>
      <c r="BS50" s="283"/>
      <c r="BT50" s="281"/>
      <c r="BU50" s="283"/>
      <c r="BV50" s="273"/>
      <c r="BW50" s="273"/>
      <c r="BX50" s="273"/>
      <c r="BY50" s="273"/>
      <c r="BZ50" s="273"/>
      <c r="CA50" s="273"/>
      <c r="CB50" s="273"/>
      <c r="CC50" s="273"/>
      <c r="CD50" s="231"/>
      <c r="CE50" s="248"/>
      <c r="CF50" s="247"/>
      <c r="CG50" s="238"/>
      <c r="CH50" s="247"/>
      <c r="CI50" s="238"/>
      <c r="CJ50" s="238"/>
      <c r="CK50" s="238"/>
      <c r="CL50" s="238"/>
      <c r="CM50" s="238"/>
      <c r="CN50" s="238"/>
      <c r="CO50" s="238"/>
      <c r="CP50" s="249"/>
      <c r="CQ50" s="250"/>
      <c r="CR50" s="251"/>
    </row>
    <row r="51" spans="2:95" s="251" customFormat="1" ht="10.5" customHeight="1">
      <c r="B51" s="231"/>
      <c r="C51" s="231"/>
      <c r="D51" s="269"/>
      <c r="E51" s="270"/>
      <c r="F51" s="270"/>
      <c r="G51" s="231"/>
      <c r="H51" s="231"/>
      <c r="I51" s="27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72"/>
      <c r="U51" s="231"/>
      <c r="V51" s="231"/>
      <c r="W51" s="231"/>
      <c r="X51" s="303"/>
      <c r="Y51" s="303"/>
      <c r="Z51" s="303"/>
      <c r="AA51" s="303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58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72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50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49"/>
      <c r="CQ51" s="250"/>
    </row>
    <row r="52" spans="2:96" s="241" customFormat="1" ht="12.75" customHeight="1">
      <c r="B52" s="273"/>
      <c r="C52" s="273"/>
      <c r="D52" s="327"/>
      <c r="E52" s="270"/>
      <c r="F52" s="270"/>
      <c r="G52" s="231"/>
      <c r="H52" s="231"/>
      <c r="I52" s="328"/>
      <c r="J52" s="231"/>
      <c r="K52" s="231"/>
      <c r="L52" s="231"/>
      <c r="M52" s="231"/>
      <c r="N52" s="258"/>
      <c r="O52" s="231"/>
      <c r="P52" s="231"/>
      <c r="Q52" s="231"/>
      <c r="R52" s="231"/>
      <c r="S52" s="231"/>
      <c r="T52" s="272"/>
      <c r="U52" s="231"/>
      <c r="V52" s="231"/>
      <c r="W52" s="231"/>
      <c r="X52" s="303"/>
      <c r="Y52" s="303"/>
      <c r="Z52" s="303"/>
      <c r="AA52" s="303"/>
      <c r="AB52" s="231"/>
      <c r="AC52" s="231"/>
      <c r="AD52" s="231"/>
      <c r="AE52" s="231"/>
      <c r="AF52" s="248"/>
      <c r="AG52" s="231"/>
      <c r="AH52" s="247"/>
      <c r="AI52" s="231"/>
      <c r="AJ52" s="231"/>
      <c r="AK52" s="231"/>
      <c r="AL52" s="258"/>
      <c r="AM52" s="231"/>
      <c r="AN52" s="231"/>
      <c r="AO52" s="231"/>
      <c r="AP52" s="231"/>
      <c r="AQ52" s="231"/>
      <c r="AR52" s="258" t="s">
        <v>60</v>
      </c>
      <c r="AS52" s="329"/>
      <c r="AT52" s="330"/>
      <c r="AU52" s="281"/>
      <c r="AV52" s="331"/>
      <c r="AW52" s="281"/>
      <c r="AX52" s="281"/>
      <c r="AY52" s="281"/>
      <c r="AZ52" s="281"/>
      <c r="BA52" s="330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322"/>
      <c r="BN52" s="322"/>
      <c r="BO52" s="281"/>
      <c r="BP52" s="281"/>
      <c r="BQ52" s="281"/>
      <c r="BR52" s="281"/>
      <c r="BS52" s="283"/>
      <c r="BT52" s="281"/>
      <c r="BU52" s="281"/>
      <c r="BV52" s="283"/>
      <c r="BW52" s="273"/>
      <c r="BX52" s="273"/>
      <c r="BY52" s="273"/>
      <c r="BZ52" s="273"/>
      <c r="CA52" s="273"/>
      <c r="CB52" s="273"/>
      <c r="CC52" s="273"/>
      <c r="CD52" s="231"/>
      <c r="CE52" s="248"/>
      <c r="CF52" s="247"/>
      <c r="CG52" s="238"/>
      <c r="CH52" s="247"/>
      <c r="CI52" s="238"/>
      <c r="CJ52" s="238"/>
      <c r="CK52" s="238"/>
      <c r="CL52" s="238"/>
      <c r="CM52" s="238"/>
      <c r="CN52" s="238"/>
      <c r="CO52" s="238"/>
      <c r="CP52" s="249"/>
      <c r="CQ52" s="250"/>
      <c r="CR52" s="251"/>
    </row>
    <row r="53" spans="2:96" s="241" customFormat="1" ht="7.5" customHeight="1">
      <c r="B53" s="273"/>
      <c r="C53" s="273"/>
      <c r="D53" s="327"/>
      <c r="E53" s="270"/>
      <c r="F53" s="270"/>
      <c r="G53" s="231"/>
      <c r="H53" s="231"/>
      <c r="I53" s="328"/>
      <c r="J53" s="231"/>
      <c r="K53" s="231"/>
      <c r="L53" s="231"/>
      <c r="M53" s="231"/>
      <c r="N53" s="258"/>
      <c r="O53" s="231"/>
      <c r="P53" s="231"/>
      <c r="Q53" s="231"/>
      <c r="R53" s="231"/>
      <c r="S53" s="231"/>
      <c r="T53" s="272"/>
      <c r="U53" s="231"/>
      <c r="V53" s="231"/>
      <c r="W53" s="231"/>
      <c r="X53" s="303"/>
      <c r="Y53" s="303"/>
      <c r="Z53" s="303"/>
      <c r="AA53" s="303"/>
      <c r="AB53" s="231"/>
      <c r="AC53" s="231"/>
      <c r="AD53" s="231"/>
      <c r="AE53" s="231"/>
      <c r="AF53" s="248"/>
      <c r="AG53" s="231"/>
      <c r="AH53" s="247"/>
      <c r="AI53" s="231"/>
      <c r="AJ53" s="231"/>
      <c r="AK53" s="231"/>
      <c r="AL53" s="258"/>
      <c r="AM53" s="231"/>
      <c r="AN53" s="231"/>
      <c r="AO53" s="231"/>
      <c r="AP53" s="231"/>
      <c r="AQ53" s="231"/>
      <c r="AR53" s="238"/>
      <c r="AS53" s="238"/>
      <c r="AT53" s="238"/>
      <c r="AU53" s="231"/>
      <c r="AV53" s="258"/>
      <c r="AW53" s="231"/>
      <c r="AX53" s="231"/>
      <c r="AY53" s="231"/>
      <c r="AZ53" s="231"/>
      <c r="BA53" s="238"/>
      <c r="BB53" s="231"/>
      <c r="BC53" s="231"/>
      <c r="BD53" s="231"/>
      <c r="BE53" s="231"/>
      <c r="BF53" s="231"/>
      <c r="BG53" s="231"/>
      <c r="BH53" s="231"/>
      <c r="BI53" s="231"/>
      <c r="BJ53" s="231"/>
      <c r="BK53" s="273"/>
      <c r="BL53" s="273"/>
      <c r="BM53" s="273"/>
      <c r="BN53" s="273"/>
      <c r="BO53" s="273"/>
      <c r="BP53" s="273"/>
      <c r="BQ53" s="273"/>
      <c r="BR53" s="273"/>
      <c r="BS53" s="278"/>
      <c r="BT53" s="273"/>
      <c r="BU53" s="273"/>
      <c r="BV53" s="273"/>
      <c r="BW53" s="273"/>
      <c r="BX53" s="273"/>
      <c r="BY53" s="273"/>
      <c r="BZ53" s="273"/>
      <c r="CA53" s="273"/>
      <c r="CB53" s="273"/>
      <c r="CC53" s="273"/>
      <c r="CD53" s="231"/>
      <c r="CE53" s="248"/>
      <c r="CF53" s="247"/>
      <c r="CG53" s="238"/>
      <c r="CH53" s="247"/>
      <c r="CI53" s="238"/>
      <c r="CJ53" s="238"/>
      <c r="CK53" s="238"/>
      <c r="CL53" s="238"/>
      <c r="CM53" s="238"/>
      <c r="CN53" s="238"/>
      <c r="CO53" s="238"/>
      <c r="CP53" s="249"/>
      <c r="CQ53" s="250"/>
      <c r="CR53" s="251"/>
    </row>
    <row r="54" spans="2:96" s="241" customFormat="1" ht="5.25" customHeight="1">
      <c r="B54" s="273"/>
      <c r="C54" s="273"/>
      <c r="D54" s="269"/>
      <c r="E54" s="270"/>
      <c r="F54" s="270"/>
      <c r="G54" s="231"/>
      <c r="H54" s="231"/>
      <c r="I54" s="271"/>
      <c r="J54" s="231"/>
      <c r="K54" s="231"/>
      <c r="L54" s="231"/>
      <c r="M54" s="231"/>
      <c r="N54" s="258"/>
      <c r="O54" s="231"/>
      <c r="P54" s="231"/>
      <c r="Q54" s="231"/>
      <c r="R54" s="231"/>
      <c r="S54" s="231"/>
      <c r="T54" s="272"/>
      <c r="U54" s="231"/>
      <c r="V54" s="231"/>
      <c r="W54" s="231"/>
      <c r="X54" s="303"/>
      <c r="Y54" s="303"/>
      <c r="Z54" s="303"/>
      <c r="AA54" s="303"/>
      <c r="AB54" s="231"/>
      <c r="AC54" s="231"/>
      <c r="AD54" s="231"/>
      <c r="AE54" s="231"/>
      <c r="AF54" s="248"/>
      <c r="AG54" s="231"/>
      <c r="AH54" s="247"/>
      <c r="AI54" s="231"/>
      <c r="AJ54" s="231"/>
      <c r="AK54" s="231"/>
      <c r="AL54" s="231"/>
      <c r="AM54" s="231"/>
      <c r="AN54" s="231"/>
      <c r="AO54" s="231"/>
      <c r="AP54" s="231"/>
      <c r="AQ54" s="231"/>
      <c r="AR54" s="247"/>
      <c r="AS54" s="247"/>
      <c r="AT54" s="247"/>
      <c r="AU54" s="231"/>
      <c r="AV54" s="258"/>
      <c r="AW54" s="231"/>
      <c r="AX54" s="231"/>
      <c r="AY54" s="231"/>
      <c r="AZ54" s="231"/>
      <c r="BA54" s="258"/>
      <c r="BB54" s="231"/>
      <c r="BC54" s="231"/>
      <c r="BD54" s="231"/>
      <c r="BE54" s="231"/>
      <c r="BF54" s="231"/>
      <c r="BG54" s="231"/>
      <c r="BH54" s="231"/>
      <c r="BI54" s="231"/>
      <c r="BJ54" s="231"/>
      <c r="BK54" s="273"/>
      <c r="BL54" s="273"/>
      <c r="BM54" s="231"/>
      <c r="BN54" s="231"/>
      <c r="BO54" s="231"/>
      <c r="BP54" s="231"/>
      <c r="BQ54" s="273"/>
      <c r="BR54" s="273"/>
      <c r="BS54" s="278"/>
      <c r="BT54" s="273"/>
      <c r="BU54" s="273"/>
      <c r="BV54" s="273"/>
      <c r="BW54" s="273"/>
      <c r="BX54" s="273"/>
      <c r="BY54" s="273"/>
      <c r="BZ54" s="273"/>
      <c r="CA54" s="273"/>
      <c r="CB54" s="273"/>
      <c r="CC54" s="273"/>
      <c r="CD54" s="231"/>
      <c r="CE54" s="248"/>
      <c r="CF54" s="247"/>
      <c r="CG54" s="238"/>
      <c r="CH54" s="247"/>
      <c r="CI54" s="238"/>
      <c r="CJ54" s="238"/>
      <c r="CK54" s="238"/>
      <c r="CL54" s="238"/>
      <c r="CM54" s="238"/>
      <c r="CN54" s="238"/>
      <c r="CO54" s="238"/>
      <c r="CP54" s="249"/>
      <c r="CQ54" s="250"/>
      <c r="CR54" s="251"/>
    </row>
    <row r="55" spans="2:96" s="241" customFormat="1" ht="13.5" customHeight="1">
      <c r="B55" s="273"/>
      <c r="C55" s="273"/>
      <c r="D55" s="286"/>
      <c r="E55" s="270"/>
      <c r="F55" s="270"/>
      <c r="G55" s="231"/>
      <c r="H55" s="231"/>
      <c r="I55" s="271"/>
      <c r="J55" s="231"/>
      <c r="K55" s="231"/>
      <c r="L55" s="231"/>
      <c r="M55" s="231"/>
      <c r="N55" s="258"/>
      <c r="O55" s="231"/>
      <c r="P55" s="231"/>
      <c r="Q55" s="231"/>
      <c r="R55" s="231"/>
      <c r="S55" s="231"/>
      <c r="T55" s="272"/>
      <c r="U55" s="327" t="s">
        <v>61</v>
      </c>
      <c r="V55" s="231"/>
      <c r="W55" s="231"/>
      <c r="X55" s="303"/>
      <c r="Y55" s="303"/>
      <c r="Z55" s="303"/>
      <c r="AA55" s="303"/>
      <c r="AB55" s="231"/>
      <c r="AC55" s="231"/>
      <c r="AD55" s="231"/>
      <c r="AE55" s="231"/>
      <c r="AF55" s="248"/>
      <c r="AG55" s="231"/>
      <c r="AH55" s="247"/>
      <c r="AI55" s="231"/>
      <c r="AJ55" s="231"/>
      <c r="AK55" s="231"/>
      <c r="AL55" s="231"/>
      <c r="AM55" s="231"/>
      <c r="AN55" s="231"/>
      <c r="AO55" s="231"/>
      <c r="AP55" s="231"/>
      <c r="AQ55" s="231"/>
      <c r="AR55" s="247"/>
      <c r="AS55" s="247"/>
      <c r="AT55" s="273"/>
      <c r="AU55" s="247"/>
      <c r="AV55" s="238"/>
      <c r="AW55" s="238"/>
      <c r="AX55" s="280" t="s">
        <v>62</v>
      </c>
      <c r="AY55" s="258"/>
      <c r="AZ55" s="282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3"/>
      <c r="BP55" s="231"/>
      <c r="BQ55" s="273"/>
      <c r="BR55" s="273"/>
      <c r="BS55" s="278"/>
      <c r="BT55" s="273"/>
      <c r="BU55" s="273"/>
      <c r="BV55" s="273"/>
      <c r="BW55" s="273"/>
      <c r="BX55" s="273"/>
      <c r="BY55" s="273"/>
      <c r="BZ55" s="273"/>
      <c r="CA55" s="273"/>
      <c r="CB55" s="273"/>
      <c r="CC55" s="273"/>
      <c r="CD55" s="231"/>
      <c r="CE55" s="248"/>
      <c r="CF55" s="247"/>
      <c r="CG55" s="238"/>
      <c r="CH55" s="247"/>
      <c r="CI55" s="238"/>
      <c r="CJ55" s="238"/>
      <c r="CK55" s="238"/>
      <c r="CL55" s="238"/>
      <c r="CM55" s="238"/>
      <c r="CN55" s="238"/>
      <c r="CO55" s="238"/>
      <c r="CP55" s="249"/>
      <c r="CQ55" s="250"/>
      <c r="CR55" s="251"/>
    </row>
    <row r="56" spans="2:96" s="241" customFormat="1" ht="10.5" customHeight="1">
      <c r="B56" s="273"/>
      <c r="C56" s="273"/>
      <c r="D56" s="269"/>
      <c r="E56" s="270"/>
      <c r="F56" s="270"/>
      <c r="G56" s="231"/>
      <c r="H56" s="231"/>
      <c r="I56" s="271"/>
      <c r="J56" s="231"/>
      <c r="K56" s="231"/>
      <c r="L56" s="231"/>
      <c r="M56" s="231"/>
      <c r="N56" s="258"/>
      <c r="O56" s="231"/>
      <c r="P56" s="231"/>
      <c r="Q56" s="231"/>
      <c r="R56" s="231"/>
      <c r="S56" s="231"/>
      <c r="T56" s="272"/>
      <c r="U56" s="231"/>
      <c r="V56" s="231"/>
      <c r="W56" s="231"/>
      <c r="X56" s="303"/>
      <c r="Y56" s="303"/>
      <c r="Z56" s="303"/>
      <c r="AA56" s="303"/>
      <c r="AB56" s="231"/>
      <c r="AC56" s="231"/>
      <c r="AD56" s="231"/>
      <c r="AE56" s="231"/>
      <c r="AF56" s="248"/>
      <c r="AG56" s="231"/>
      <c r="AH56" s="247"/>
      <c r="AI56" s="231"/>
      <c r="AJ56" s="231"/>
      <c r="AK56" s="231"/>
      <c r="AL56" s="231"/>
      <c r="AM56" s="231"/>
      <c r="AN56" s="231"/>
      <c r="AO56" s="231"/>
      <c r="AP56" s="231"/>
      <c r="AQ56" s="231"/>
      <c r="AR56" s="247"/>
      <c r="AS56" s="247"/>
      <c r="AT56" s="247"/>
      <c r="AU56" s="231"/>
      <c r="AV56" s="258"/>
      <c r="AW56" s="231"/>
      <c r="AX56" s="231"/>
      <c r="AY56" s="231"/>
      <c r="AZ56" s="231"/>
      <c r="BA56" s="258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73"/>
      <c r="BS56" s="278"/>
      <c r="BT56" s="273"/>
      <c r="BU56" s="273"/>
      <c r="BV56" s="273"/>
      <c r="BW56" s="273"/>
      <c r="BX56" s="273"/>
      <c r="BY56" s="273"/>
      <c r="BZ56" s="273"/>
      <c r="CA56" s="273"/>
      <c r="CB56" s="273"/>
      <c r="CC56" s="273"/>
      <c r="CD56" s="231"/>
      <c r="CE56" s="248"/>
      <c r="CF56" s="247"/>
      <c r="CG56" s="238"/>
      <c r="CH56" s="247"/>
      <c r="CI56" s="238"/>
      <c r="CJ56" s="238"/>
      <c r="CK56" s="238"/>
      <c r="CL56" s="238"/>
      <c r="CM56" s="238"/>
      <c r="CN56" s="238"/>
      <c r="CO56" s="238"/>
      <c r="CP56" s="249"/>
      <c r="CQ56" s="250"/>
      <c r="CR56" s="251"/>
    </row>
    <row r="57" spans="2:96" s="241" customFormat="1" ht="11.25" customHeight="1">
      <c r="B57" s="273"/>
      <c r="C57" s="273"/>
      <c r="D57" s="269"/>
      <c r="E57" s="270"/>
      <c r="F57" s="270"/>
      <c r="G57" s="231"/>
      <c r="H57" s="231"/>
      <c r="I57" s="271"/>
      <c r="J57" s="231"/>
      <c r="K57" s="231"/>
      <c r="L57" s="231"/>
      <c r="M57" s="231"/>
      <c r="N57" s="258"/>
      <c r="O57" s="231"/>
      <c r="P57" s="231"/>
      <c r="Q57" s="231"/>
      <c r="R57" s="231"/>
      <c r="S57" s="231"/>
      <c r="T57" s="272"/>
      <c r="U57" s="231"/>
      <c r="V57" s="231"/>
      <c r="W57" s="231"/>
      <c r="X57" s="303"/>
      <c r="Y57" s="303"/>
      <c r="Z57" s="303"/>
      <c r="AA57" s="303"/>
      <c r="AB57" s="231"/>
      <c r="AC57" s="231"/>
      <c r="AD57" s="231"/>
      <c r="AE57" s="231"/>
      <c r="AF57" s="248"/>
      <c r="AG57" s="231"/>
      <c r="AH57" s="247"/>
      <c r="AI57" s="231"/>
      <c r="AJ57" s="231"/>
      <c r="AK57" s="231"/>
      <c r="AL57" s="231"/>
      <c r="AM57" s="231"/>
      <c r="AN57" s="231"/>
      <c r="AO57" s="231"/>
      <c r="AP57" s="247"/>
      <c r="AQ57" s="231"/>
      <c r="AR57" s="247"/>
      <c r="AS57" s="247"/>
      <c r="AT57" s="247"/>
      <c r="AU57" s="231"/>
      <c r="AV57" s="247"/>
      <c r="AW57" s="231"/>
      <c r="AX57" s="247"/>
      <c r="AY57" s="231"/>
      <c r="AZ57" s="231"/>
      <c r="BA57" s="258"/>
      <c r="BB57" s="231"/>
      <c r="BC57" s="231"/>
      <c r="BD57" s="231"/>
      <c r="BE57" s="238"/>
      <c r="BF57" s="258"/>
      <c r="BG57" s="231"/>
      <c r="BH57" s="247"/>
      <c r="BI57" s="258" t="s">
        <v>63</v>
      </c>
      <c r="BJ57" s="231"/>
      <c r="BK57" s="282"/>
      <c r="BL57" s="281"/>
      <c r="BM57" s="281"/>
      <c r="BN57" s="281"/>
      <c r="BO57" s="322"/>
      <c r="BP57" s="281"/>
      <c r="BQ57" s="281"/>
      <c r="BR57" s="281"/>
      <c r="BS57" s="281"/>
      <c r="BT57" s="281"/>
      <c r="BU57" s="281"/>
      <c r="BV57" s="281"/>
      <c r="BW57" s="283"/>
      <c r="BX57" s="22"/>
      <c r="BY57" s="273"/>
      <c r="BZ57" s="273"/>
      <c r="CA57" s="273"/>
      <c r="CB57" s="273"/>
      <c r="CC57" s="273"/>
      <c r="CD57" s="231"/>
      <c r="CE57" s="248"/>
      <c r="CF57" s="247"/>
      <c r="CG57" s="238"/>
      <c r="CH57" s="247"/>
      <c r="CI57" s="238"/>
      <c r="CJ57" s="238"/>
      <c r="CK57" s="238"/>
      <c r="CL57" s="238"/>
      <c r="CM57" s="238"/>
      <c r="CN57" s="238"/>
      <c r="CO57" s="238"/>
      <c r="CP57" s="249"/>
      <c r="CQ57" s="250"/>
      <c r="CR57" s="251"/>
    </row>
    <row r="58" spans="2:95" s="251" customFormat="1" ht="11.25" customHeight="1">
      <c r="B58" s="258"/>
      <c r="C58" s="258"/>
      <c r="D58" s="288"/>
      <c r="E58" s="270"/>
      <c r="F58" s="270"/>
      <c r="G58" s="231"/>
      <c r="H58" s="231"/>
      <c r="I58" s="27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72"/>
      <c r="U58" s="231"/>
      <c r="V58" s="231"/>
      <c r="W58" s="231"/>
      <c r="X58" s="303"/>
      <c r="Y58" s="303"/>
      <c r="Z58" s="303"/>
      <c r="AA58" s="303"/>
      <c r="AB58" s="231"/>
      <c r="AC58" s="231"/>
      <c r="AD58" s="231"/>
      <c r="AE58" s="231"/>
      <c r="AF58" s="272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72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50"/>
      <c r="CF58" s="238"/>
      <c r="CG58" s="238"/>
      <c r="CH58" s="238"/>
      <c r="CI58" s="238"/>
      <c r="CJ58" s="238"/>
      <c r="CK58" s="238"/>
      <c r="CL58" s="238"/>
      <c r="CM58" s="238"/>
      <c r="CN58" s="238"/>
      <c r="CO58" s="238"/>
      <c r="CP58" s="249"/>
      <c r="CQ58" s="250"/>
    </row>
    <row r="59" spans="2:95" s="251" customFormat="1" ht="12.75" customHeight="1">
      <c r="B59" s="258"/>
      <c r="C59" s="258"/>
      <c r="D59" s="288"/>
      <c r="E59" s="270"/>
      <c r="F59" s="270"/>
      <c r="G59" s="231"/>
      <c r="H59" s="231"/>
      <c r="I59" s="27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72"/>
      <c r="U59" s="231"/>
      <c r="V59" s="231"/>
      <c r="W59" s="231"/>
      <c r="X59" s="303"/>
      <c r="Y59" s="303"/>
      <c r="Z59" s="303"/>
      <c r="AA59" s="303"/>
      <c r="AB59" s="231"/>
      <c r="AC59" s="231"/>
      <c r="AD59" s="231"/>
      <c r="AE59" s="231"/>
      <c r="AF59" s="272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79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8"/>
      <c r="BE59" s="231"/>
      <c r="BF59" s="231"/>
      <c r="BG59" s="231"/>
      <c r="BH59" s="231"/>
      <c r="BI59" s="231"/>
      <c r="BJ59" s="258" t="s">
        <v>64</v>
      </c>
      <c r="BK59" s="231"/>
      <c r="BL59" s="282"/>
      <c r="BM59" s="281"/>
      <c r="BN59" s="281"/>
      <c r="BO59" s="281"/>
      <c r="BP59" s="322"/>
      <c r="BQ59" s="281"/>
      <c r="BR59" s="281"/>
      <c r="BS59" s="283"/>
      <c r="BT59" s="281"/>
      <c r="BU59" s="281"/>
      <c r="BV59" s="281"/>
      <c r="BW59" s="281"/>
      <c r="BX59" s="283"/>
      <c r="BY59" s="231"/>
      <c r="BZ59" s="231"/>
      <c r="CA59" s="231"/>
      <c r="CB59" s="231"/>
      <c r="CC59" s="231"/>
      <c r="CD59" s="231"/>
      <c r="CE59" s="250"/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  <c r="CP59" s="249"/>
      <c r="CQ59" s="250"/>
    </row>
    <row r="60" spans="2:95" s="238" customFormat="1" ht="11.25" customHeight="1">
      <c r="B60" s="231"/>
      <c r="C60" s="231"/>
      <c r="D60" s="269"/>
      <c r="E60" s="270"/>
      <c r="F60" s="270"/>
      <c r="G60" s="231"/>
      <c r="H60" s="231"/>
      <c r="I60" s="27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72"/>
      <c r="U60" s="231"/>
      <c r="V60" s="231"/>
      <c r="W60" s="231"/>
      <c r="X60" s="303"/>
      <c r="Y60" s="303"/>
      <c r="Z60" s="303"/>
      <c r="AA60" s="303"/>
      <c r="AB60" s="231"/>
      <c r="AC60" s="231"/>
      <c r="AD60" s="231"/>
      <c r="AE60" s="231"/>
      <c r="AF60" s="272"/>
      <c r="AG60" s="231"/>
      <c r="AH60" s="231"/>
      <c r="AI60" s="231"/>
      <c r="AJ60" s="231"/>
      <c r="AK60" s="231"/>
      <c r="AL60" s="258"/>
      <c r="AM60" s="231"/>
      <c r="AN60" s="231"/>
      <c r="AO60" s="231"/>
      <c r="AP60" s="231"/>
      <c r="AQ60" s="231"/>
      <c r="AR60" s="231"/>
      <c r="AS60" s="279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72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50"/>
      <c r="CP60" s="249"/>
      <c r="CQ60" s="250"/>
    </row>
    <row r="61" spans="2:96" s="241" customFormat="1" ht="11.25" customHeight="1">
      <c r="B61" s="273"/>
      <c r="C61" s="273"/>
      <c r="D61" s="269"/>
      <c r="E61" s="270"/>
      <c r="F61" s="270"/>
      <c r="G61" s="231"/>
      <c r="H61" s="231"/>
      <c r="I61" s="27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72"/>
      <c r="U61" s="231"/>
      <c r="V61" s="231"/>
      <c r="W61" s="231"/>
      <c r="X61" s="303"/>
      <c r="Y61" s="303"/>
      <c r="Z61" s="303"/>
      <c r="AA61" s="303"/>
      <c r="AB61" s="231"/>
      <c r="AC61" s="231"/>
      <c r="AD61" s="231"/>
      <c r="AE61" s="231"/>
      <c r="AF61" s="272"/>
      <c r="AG61" s="231"/>
      <c r="AH61" s="231"/>
      <c r="AI61" s="231"/>
      <c r="AJ61" s="231"/>
      <c r="AK61" s="231"/>
      <c r="AL61" s="238"/>
      <c r="AM61" s="231"/>
      <c r="AN61" s="231"/>
      <c r="AO61" s="231"/>
      <c r="AP61" s="247"/>
      <c r="AQ61" s="231"/>
      <c r="AR61" s="231"/>
      <c r="AS61" s="279"/>
      <c r="AT61" s="231"/>
      <c r="AU61" s="231"/>
      <c r="AV61" s="231"/>
      <c r="AW61" s="231"/>
      <c r="AX61" s="238"/>
      <c r="AY61" s="238"/>
      <c r="AZ61" s="238"/>
      <c r="BA61" s="231"/>
      <c r="BB61" s="231"/>
      <c r="BC61" s="231"/>
      <c r="BD61" s="231"/>
      <c r="BE61" s="247"/>
      <c r="BF61" s="231"/>
      <c r="BG61" s="231"/>
      <c r="BH61" s="231"/>
      <c r="BI61" s="231"/>
      <c r="BJ61" s="231"/>
      <c r="BK61" s="231"/>
      <c r="BL61" s="258" t="s">
        <v>65</v>
      </c>
      <c r="BM61" s="231"/>
      <c r="BP61" s="231"/>
      <c r="BQ61" s="326"/>
      <c r="BR61" s="322"/>
      <c r="BS61" s="322"/>
      <c r="BT61" s="332"/>
      <c r="BU61" s="231"/>
      <c r="BV61" s="273"/>
      <c r="BW61" s="273"/>
      <c r="BX61" s="273"/>
      <c r="BY61" s="273"/>
      <c r="BZ61" s="273"/>
      <c r="CA61" s="273"/>
      <c r="CB61" s="273"/>
      <c r="CC61" s="273"/>
      <c r="CD61" s="231"/>
      <c r="CE61" s="248"/>
      <c r="CF61" s="247"/>
      <c r="CG61" s="238"/>
      <c r="CH61" s="247"/>
      <c r="CI61" s="238"/>
      <c r="CJ61" s="238"/>
      <c r="CK61" s="238"/>
      <c r="CL61" s="238"/>
      <c r="CM61" s="238"/>
      <c r="CN61" s="238"/>
      <c r="CO61" s="238"/>
      <c r="CP61" s="249"/>
      <c r="CQ61" s="250"/>
      <c r="CR61" s="251"/>
    </row>
    <row r="62" spans="2:95" s="238" customFormat="1" ht="3.75" customHeight="1">
      <c r="B62" s="231"/>
      <c r="C62" s="231"/>
      <c r="D62" s="269"/>
      <c r="E62" s="270"/>
      <c r="F62" s="270"/>
      <c r="G62" s="231"/>
      <c r="H62" s="231"/>
      <c r="I62" s="27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72"/>
      <c r="U62" s="231"/>
      <c r="V62" s="231"/>
      <c r="W62" s="231"/>
      <c r="X62" s="303"/>
      <c r="Y62" s="303"/>
      <c r="Z62" s="303"/>
      <c r="AA62" s="303"/>
      <c r="AB62" s="231"/>
      <c r="AC62" s="231"/>
      <c r="AD62" s="231"/>
      <c r="AE62" s="231"/>
      <c r="AF62" s="272"/>
      <c r="AG62" s="231"/>
      <c r="AH62" s="231"/>
      <c r="AI62" s="231"/>
      <c r="AJ62" s="231"/>
      <c r="AK62" s="231"/>
      <c r="AL62" s="258"/>
      <c r="AM62" s="231"/>
      <c r="AN62" s="231"/>
      <c r="AO62" s="231"/>
      <c r="AP62" s="231"/>
      <c r="AQ62" s="231"/>
      <c r="AR62" s="231"/>
      <c r="AS62" s="279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72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50"/>
      <c r="CP62" s="249"/>
      <c r="CQ62" s="250"/>
    </row>
    <row r="63" spans="2:96" s="241" customFormat="1" ht="11.25" customHeight="1">
      <c r="B63" s="273"/>
      <c r="C63" s="273"/>
      <c r="D63" s="269"/>
      <c r="E63" s="270"/>
      <c r="F63" s="270"/>
      <c r="G63" s="231"/>
      <c r="H63" s="231"/>
      <c r="I63" s="27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72"/>
      <c r="U63" s="231"/>
      <c r="V63" s="231"/>
      <c r="W63" s="231"/>
      <c r="X63" s="303"/>
      <c r="Y63" s="303"/>
      <c r="Z63" s="303"/>
      <c r="AA63" s="303"/>
      <c r="AB63" s="231"/>
      <c r="AC63" s="231"/>
      <c r="AD63" s="231"/>
      <c r="AE63" s="231"/>
      <c r="AF63" s="272"/>
      <c r="AG63" s="231"/>
      <c r="AH63" s="231"/>
      <c r="AI63" s="231"/>
      <c r="AJ63" s="231"/>
      <c r="AK63" s="231"/>
      <c r="AL63" s="238"/>
      <c r="AM63" s="231"/>
      <c r="AN63" s="231"/>
      <c r="AO63" s="231"/>
      <c r="AP63" s="231"/>
      <c r="AQ63" s="231"/>
      <c r="AR63" s="231"/>
      <c r="AS63" s="279"/>
      <c r="AT63" s="231"/>
      <c r="AU63" s="247"/>
      <c r="AV63" s="231"/>
      <c r="AW63" s="231"/>
      <c r="AX63" s="231"/>
      <c r="AY63" s="231"/>
      <c r="AZ63" s="238"/>
      <c r="BA63" s="238"/>
      <c r="BB63" s="238"/>
      <c r="BC63" s="231"/>
      <c r="BD63" s="231"/>
      <c r="BE63" s="231"/>
      <c r="BF63" s="231"/>
      <c r="BG63" s="231"/>
      <c r="BH63" s="247"/>
      <c r="BI63" s="238"/>
      <c r="BJ63" s="231"/>
      <c r="BK63" s="231"/>
      <c r="BL63" s="231"/>
      <c r="BM63" s="231"/>
      <c r="BN63" s="238"/>
      <c r="BO63" s="273"/>
      <c r="BP63" s="231"/>
      <c r="BQ63" s="231"/>
      <c r="BR63" s="247"/>
      <c r="BS63" s="258" t="s">
        <v>66</v>
      </c>
      <c r="BT63" s="273"/>
      <c r="BU63" s="326"/>
      <c r="BV63" s="322"/>
      <c r="BW63" s="322"/>
      <c r="BX63" s="332"/>
      <c r="BY63" s="231"/>
      <c r="BZ63" s="273"/>
      <c r="CA63" s="273"/>
      <c r="CB63" s="273"/>
      <c r="CC63" s="273"/>
      <c r="CD63" s="231"/>
      <c r="CE63" s="248"/>
      <c r="CF63" s="247"/>
      <c r="CG63" s="238"/>
      <c r="CH63" s="247"/>
      <c r="CI63" s="238"/>
      <c r="CJ63" s="238"/>
      <c r="CK63" s="238"/>
      <c r="CL63" s="238"/>
      <c r="CM63" s="238"/>
      <c r="CN63" s="238"/>
      <c r="CO63" s="238"/>
      <c r="CP63" s="249"/>
      <c r="CQ63" s="250"/>
      <c r="CR63" s="251"/>
    </row>
    <row r="64" spans="2:95" s="251" customFormat="1" ht="3.75" customHeight="1">
      <c r="B64" s="231"/>
      <c r="C64" s="231"/>
      <c r="D64" s="269"/>
      <c r="E64" s="270"/>
      <c r="F64" s="270"/>
      <c r="G64" s="231"/>
      <c r="H64" s="231"/>
      <c r="I64" s="27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72"/>
      <c r="U64" s="231"/>
      <c r="V64" s="231"/>
      <c r="W64" s="231"/>
      <c r="X64" s="303"/>
      <c r="Y64" s="303"/>
      <c r="Z64" s="303"/>
      <c r="AA64" s="303"/>
      <c r="AB64" s="231"/>
      <c r="AC64" s="231"/>
      <c r="AD64" s="231"/>
      <c r="AE64" s="231"/>
      <c r="AF64" s="272"/>
      <c r="AG64" s="231"/>
      <c r="AH64" s="231"/>
      <c r="AI64" s="231"/>
      <c r="AJ64" s="231"/>
      <c r="AK64" s="231"/>
      <c r="AL64" s="238"/>
      <c r="AM64" s="231"/>
      <c r="AN64" s="231"/>
      <c r="AO64" s="231"/>
      <c r="AP64" s="231"/>
      <c r="AQ64" s="231"/>
      <c r="AR64" s="231"/>
      <c r="AS64" s="279"/>
      <c r="AT64" s="231"/>
      <c r="AU64" s="258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72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50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49"/>
      <c r="CQ64" s="250"/>
    </row>
    <row r="65" spans="2:96" s="241" customFormat="1" ht="11.25" customHeight="1">
      <c r="B65" s="273"/>
      <c r="C65" s="273"/>
      <c r="D65" s="269"/>
      <c r="E65" s="270"/>
      <c r="F65" s="270"/>
      <c r="G65" s="231"/>
      <c r="H65" s="231"/>
      <c r="I65" s="27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72"/>
      <c r="U65" s="231"/>
      <c r="V65" s="231"/>
      <c r="W65" s="231"/>
      <c r="X65" s="303"/>
      <c r="Y65" s="247"/>
      <c r="Z65" s="303"/>
      <c r="AA65" s="303"/>
      <c r="AB65" s="231"/>
      <c r="AC65" s="231"/>
      <c r="AD65" s="258"/>
      <c r="AE65" s="231"/>
      <c r="AF65" s="272"/>
      <c r="AG65" s="247"/>
      <c r="AH65" s="231"/>
      <c r="AI65" s="247"/>
      <c r="AJ65" s="231"/>
      <c r="AK65" s="231"/>
      <c r="AL65" s="238"/>
      <c r="AM65" s="231"/>
      <c r="AN65" s="231"/>
      <c r="AO65" s="231"/>
      <c r="AP65" s="231"/>
      <c r="AQ65" s="231"/>
      <c r="AR65" s="231"/>
      <c r="AS65" s="279"/>
      <c r="AT65" s="231"/>
      <c r="AU65" s="258"/>
      <c r="AV65" s="231"/>
      <c r="AW65" s="231"/>
      <c r="AX65" s="231"/>
      <c r="AY65" s="231"/>
      <c r="AZ65" s="238"/>
      <c r="BA65" s="231"/>
      <c r="BB65" s="231"/>
      <c r="BC65" s="238"/>
      <c r="BD65" s="238"/>
      <c r="BE65" s="238"/>
      <c r="BF65" s="238"/>
      <c r="BG65" s="231"/>
      <c r="BH65" s="231"/>
      <c r="BI65" s="231"/>
      <c r="BJ65" s="247"/>
      <c r="BK65" s="231"/>
      <c r="BL65" s="231"/>
      <c r="BM65" s="231"/>
      <c r="BN65" s="231"/>
      <c r="BO65" s="231"/>
      <c r="BP65" s="231"/>
      <c r="BQ65" s="231"/>
      <c r="BR65" s="273"/>
      <c r="BS65" s="278"/>
      <c r="BT65" s="273"/>
      <c r="BU65" s="273"/>
      <c r="BV65" s="273"/>
      <c r="BW65" s="231"/>
      <c r="BX65" s="258" t="s">
        <v>67</v>
      </c>
      <c r="BY65" s="326"/>
      <c r="BZ65" s="322"/>
      <c r="CA65" s="322"/>
      <c r="CB65" s="332"/>
      <c r="CC65" s="273"/>
      <c r="CD65" s="231"/>
      <c r="CE65" s="248"/>
      <c r="CF65" s="247"/>
      <c r="CG65" s="238"/>
      <c r="CH65" s="247"/>
      <c r="CI65" s="238"/>
      <c r="CJ65" s="238"/>
      <c r="CK65" s="238"/>
      <c r="CL65" s="238"/>
      <c r="CM65" s="238"/>
      <c r="CN65" s="238"/>
      <c r="CO65" s="238"/>
      <c r="CP65" s="249"/>
      <c r="CQ65" s="250"/>
      <c r="CR65" s="251"/>
    </row>
    <row r="66" spans="2:95" s="251" customFormat="1" ht="4.5" customHeight="1">
      <c r="B66" s="231"/>
      <c r="C66" s="231"/>
      <c r="D66" s="285"/>
      <c r="E66" s="270"/>
      <c r="F66" s="270"/>
      <c r="G66" s="231"/>
      <c r="H66" s="231"/>
      <c r="I66" s="287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72"/>
      <c r="U66" s="231"/>
      <c r="V66" s="231"/>
      <c r="W66" s="231"/>
      <c r="X66" s="303"/>
      <c r="Y66" s="303"/>
      <c r="Z66" s="303"/>
      <c r="AA66" s="303"/>
      <c r="AB66" s="231"/>
      <c r="AC66" s="231"/>
      <c r="AD66" s="231"/>
      <c r="AE66" s="231"/>
      <c r="AF66" s="272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79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72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72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50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49"/>
      <c r="CQ66" s="250"/>
    </row>
    <row r="67" spans="2:96" s="241" customFormat="1" ht="13.5" customHeight="1">
      <c r="B67" s="273"/>
      <c r="C67" s="273"/>
      <c r="D67" s="286"/>
      <c r="E67" s="270"/>
      <c r="F67" s="270"/>
      <c r="G67" s="231"/>
      <c r="H67" s="231"/>
      <c r="I67" s="328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72"/>
      <c r="U67" s="231"/>
      <c r="V67" s="231"/>
      <c r="W67" s="231"/>
      <c r="X67" s="303"/>
      <c r="Y67" s="303"/>
      <c r="Z67" s="303"/>
      <c r="AA67" s="333" t="s">
        <v>68</v>
      </c>
      <c r="AB67" s="231"/>
      <c r="AC67" s="231"/>
      <c r="AD67" s="231"/>
      <c r="AE67" s="231"/>
      <c r="AF67" s="272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47"/>
      <c r="AW67" s="247"/>
      <c r="AX67" s="231"/>
      <c r="AY67" s="231"/>
      <c r="AZ67" s="231"/>
      <c r="BA67" s="231"/>
      <c r="BB67" s="231"/>
      <c r="BC67" s="231"/>
      <c r="BD67" s="247"/>
      <c r="BE67" s="247"/>
      <c r="BF67" s="247"/>
      <c r="BG67" s="247"/>
      <c r="BH67" s="247"/>
      <c r="BI67" s="247"/>
      <c r="BJ67" s="247"/>
      <c r="BK67" s="231"/>
      <c r="BL67" s="231"/>
      <c r="BM67" s="273"/>
      <c r="BN67" s="273"/>
      <c r="BO67" s="273"/>
      <c r="BP67" s="231"/>
      <c r="BQ67" s="231"/>
      <c r="BR67" s="258" t="s">
        <v>69</v>
      </c>
      <c r="BS67" s="273"/>
      <c r="BT67" s="282"/>
      <c r="BU67" s="281"/>
      <c r="BV67" s="281"/>
      <c r="BW67" s="281"/>
      <c r="BX67" s="281"/>
      <c r="BY67" s="283"/>
      <c r="BZ67" s="273"/>
      <c r="CA67" s="273"/>
      <c r="CB67" s="273"/>
      <c r="CC67" s="273"/>
      <c r="CD67" s="231"/>
      <c r="CE67" s="248"/>
      <c r="CF67" s="247"/>
      <c r="CG67" s="247"/>
      <c r="CH67" s="247"/>
      <c r="CI67" s="247"/>
      <c r="CJ67" s="247"/>
      <c r="CK67" s="247"/>
      <c r="CL67" s="247"/>
      <c r="CM67" s="247"/>
      <c r="CN67" s="238"/>
      <c r="CO67" s="238"/>
      <c r="CP67" s="249"/>
      <c r="CQ67" s="250"/>
      <c r="CR67" s="251"/>
    </row>
    <row r="68" spans="2:95" s="238" customFormat="1" ht="3.75" customHeight="1">
      <c r="B68" s="231"/>
      <c r="C68" s="231"/>
      <c r="D68" s="279"/>
      <c r="E68" s="270"/>
      <c r="F68" s="270"/>
      <c r="G68" s="231"/>
      <c r="H68" s="231"/>
      <c r="I68" s="328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72"/>
      <c r="U68" s="231"/>
      <c r="V68" s="231"/>
      <c r="W68" s="231"/>
      <c r="X68" s="303"/>
      <c r="Y68" s="303"/>
      <c r="Z68" s="303"/>
      <c r="AA68" s="303"/>
      <c r="AB68" s="231"/>
      <c r="AC68" s="231"/>
      <c r="AD68" s="231"/>
      <c r="AE68" s="231"/>
      <c r="AF68" s="272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58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72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50"/>
      <c r="CP68" s="249"/>
      <c r="CQ68" s="250"/>
    </row>
    <row r="69" spans="2:96" s="241" customFormat="1" ht="11.25" customHeight="1">
      <c r="B69" s="273"/>
      <c r="C69" s="273"/>
      <c r="D69" s="279"/>
      <c r="E69" s="270"/>
      <c r="F69" s="270"/>
      <c r="G69" s="231"/>
      <c r="H69" s="231"/>
      <c r="I69" s="328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72"/>
      <c r="U69" s="231"/>
      <c r="V69" s="231"/>
      <c r="W69" s="231"/>
      <c r="X69" s="303"/>
      <c r="Y69" s="303"/>
      <c r="Z69" s="303"/>
      <c r="AA69" s="303"/>
      <c r="AB69" s="231"/>
      <c r="AC69" s="231"/>
      <c r="AD69" s="231"/>
      <c r="AE69" s="231"/>
      <c r="AF69" s="272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72"/>
      <c r="AS69" s="231"/>
      <c r="AT69" s="231"/>
      <c r="AU69" s="231"/>
      <c r="AV69" s="231"/>
      <c r="AW69" s="231"/>
      <c r="AX69" s="231"/>
      <c r="AY69" s="247"/>
      <c r="AZ69" s="231"/>
      <c r="BA69" s="231"/>
      <c r="BB69" s="231"/>
      <c r="BC69" s="231"/>
      <c r="BD69" s="247"/>
      <c r="BE69" s="247"/>
      <c r="BF69" s="247"/>
      <c r="BG69" s="231"/>
      <c r="BH69" s="247"/>
      <c r="BI69" s="231"/>
      <c r="BJ69" s="273"/>
      <c r="BK69" s="258"/>
      <c r="BL69" s="247"/>
      <c r="BM69" s="231"/>
      <c r="BN69" s="231"/>
      <c r="BO69" s="231"/>
      <c r="BP69" s="231"/>
      <c r="BQ69" s="231"/>
      <c r="BR69" s="273"/>
      <c r="BS69" s="278"/>
      <c r="BT69" s="273"/>
      <c r="BU69" s="273"/>
      <c r="BV69" s="273"/>
      <c r="BW69" s="231"/>
      <c r="BX69" s="280" t="s">
        <v>70</v>
      </c>
      <c r="BY69" s="273"/>
      <c r="BZ69" s="282"/>
      <c r="CA69" s="281"/>
      <c r="CB69" s="281"/>
      <c r="CC69" s="322"/>
      <c r="CD69" s="322"/>
      <c r="CE69" s="334"/>
      <c r="CF69" s="247"/>
      <c r="CG69" s="238"/>
      <c r="CH69" s="247"/>
      <c r="CI69" s="238"/>
      <c r="CJ69" s="238"/>
      <c r="CK69" s="238"/>
      <c r="CL69" s="238"/>
      <c r="CM69" s="238"/>
      <c r="CN69" s="238"/>
      <c r="CO69" s="238"/>
      <c r="CP69" s="249"/>
      <c r="CQ69" s="250"/>
      <c r="CR69" s="251"/>
    </row>
    <row r="70" spans="2:95" s="238" customFormat="1" ht="3.75" customHeight="1">
      <c r="B70" s="231"/>
      <c r="C70" s="231"/>
      <c r="D70" s="279"/>
      <c r="E70" s="231"/>
      <c r="F70" s="231"/>
      <c r="G70" s="231"/>
      <c r="H70" s="231"/>
      <c r="I70" s="328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72"/>
      <c r="U70" s="231"/>
      <c r="V70" s="231"/>
      <c r="W70" s="231"/>
      <c r="X70" s="303"/>
      <c r="Y70" s="303"/>
      <c r="Z70" s="303"/>
      <c r="AA70" s="303"/>
      <c r="AB70" s="231"/>
      <c r="AC70" s="231"/>
      <c r="AD70" s="231"/>
      <c r="AE70" s="231"/>
      <c r="AF70" s="272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72"/>
      <c r="AS70" s="231"/>
      <c r="AT70" s="231"/>
      <c r="AU70" s="231"/>
      <c r="AV70" s="258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79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72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50"/>
      <c r="CP70" s="249"/>
      <c r="CQ70" s="250"/>
    </row>
    <row r="71" spans="2:96" s="241" customFormat="1" ht="11.25" customHeight="1">
      <c r="B71" s="273"/>
      <c r="C71" s="273"/>
      <c r="D71" s="279"/>
      <c r="G71" s="247"/>
      <c r="H71" s="247"/>
      <c r="I71" s="287" t="s">
        <v>71</v>
      </c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303"/>
      <c r="Y71" s="303"/>
      <c r="Z71" s="303"/>
      <c r="AA71" s="303"/>
      <c r="AB71" s="231"/>
      <c r="AC71" s="231"/>
      <c r="AD71" s="231"/>
      <c r="AE71" s="231"/>
      <c r="AF71" s="272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72"/>
      <c r="AS71" s="231"/>
      <c r="AT71" s="231"/>
      <c r="AU71" s="231"/>
      <c r="AV71" s="231"/>
      <c r="AW71" s="231"/>
      <c r="AX71" s="231"/>
      <c r="AY71" s="231"/>
      <c r="AZ71" s="231"/>
      <c r="BA71" s="247"/>
      <c r="BB71" s="247"/>
      <c r="BC71" s="231"/>
      <c r="BD71" s="231"/>
      <c r="BE71" s="247"/>
      <c r="BF71" s="247"/>
      <c r="BG71" s="247"/>
      <c r="BH71" s="279"/>
      <c r="BI71" s="247"/>
      <c r="BJ71" s="231"/>
      <c r="BK71" s="273"/>
      <c r="BL71" s="273"/>
      <c r="BM71" s="258"/>
      <c r="BN71" s="231"/>
      <c r="BO71" s="231"/>
      <c r="BP71" s="273"/>
      <c r="BQ71" s="273"/>
      <c r="BR71" s="247"/>
      <c r="BS71" s="278"/>
      <c r="BT71" s="273"/>
      <c r="BU71" s="273"/>
      <c r="BV71" s="273"/>
      <c r="BW71" s="231"/>
      <c r="BX71" s="273"/>
      <c r="BY71" s="273"/>
      <c r="BZ71" s="273"/>
      <c r="CA71" s="273"/>
      <c r="CB71" s="273"/>
      <c r="CC71" s="273"/>
      <c r="CD71" s="231"/>
      <c r="CE71" s="248"/>
      <c r="CF71" s="231" t="s">
        <v>72</v>
      </c>
      <c r="CG71" s="238"/>
      <c r="CH71" s="247"/>
      <c r="CI71" s="238"/>
      <c r="CJ71" s="238"/>
      <c r="CK71" s="238"/>
      <c r="CL71" s="238"/>
      <c r="CM71" s="238"/>
      <c r="CN71" s="238"/>
      <c r="CO71" s="238"/>
      <c r="CP71" s="249"/>
      <c r="CQ71" s="250"/>
      <c r="CR71" s="251"/>
    </row>
    <row r="72" spans="2:95" s="251" customFormat="1" ht="3.75" customHeight="1">
      <c r="B72" s="231"/>
      <c r="C72" s="231"/>
      <c r="D72" s="279"/>
      <c r="G72" s="238"/>
      <c r="H72" s="238"/>
      <c r="I72" s="328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303"/>
      <c r="Y72" s="303"/>
      <c r="Z72" s="303"/>
      <c r="AA72" s="303"/>
      <c r="AB72" s="231"/>
      <c r="AC72" s="231"/>
      <c r="AD72" s="231"/>
      <c r="AE72" s="231"/>
      <c r="AF72" s="272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72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72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50"/>
      <c r="CF72" s="238"/>
      <c r="CG72" s="238"/>
      <c r="CH72" s="238"/>
      <c r="CI72" s="238"/>
      <c r="CJ72" s="238"/>
      <c r="CK72" s="238"/>
      <c r="CL72" s="238"/>
      <c r="CM72" s="238"/>
      <c r="CN72" s="238"/>
      <c r="CO72" s="238"/>
      <c r="CP72" s="249"/>
      <c r="CQ72" s="250"/>
    </row>
    <row r="73" spans="2:96" s="241" customFormat="1" ht="11.25" customHeight="1">
      <c r="B73" s="273"/>
      <c r="C73" s="273"/>
      <c r="D73" s="279"/>
      <c r="G73" s="247"/>
      <c r="H73" s="247"/>
      <c r="I73" s="335" t="s">
        <v>73</v>
      </c>
      <c r="J73" s="308"/>
      <c r="K73" s="308"/>
      <c r="L73" s="308"/>
      <c r="M73" s="308"/>
      <c r="N73" s="308"/>
      <c r="O73" s="308"/>
      <c r="P73" s="336"/>
      <c r="Q73" s="336"/>
      <c r="R73" s="336"/>
      <c r="S73" s="231"/>
      <c r="T73" s="231"/>
      <c r="U73" s="231"/>
      <c r="V73" s="231"/>
      <c r="W73" s="231"/>
      <c r="X73" s="303"/>
      <c r="Y73" s="303"/>
      <c r="Z73" s="303"/>
      <c r="AA73" s="303"/>
      <c r="AB73" s="231"/>
      <c r="AC73" s="231"/>
      <c r="AD73" s="231"/>
      <c r="AE73" s="231"/>
      <c r="AF73" s="272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47"/>
      <c r="AR73" s="272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47"/>
      <c r="BI73" s="247"/>
      <c r="BJ73" s="247"/>
      <c r="BK73" s="231"/>
      <c r="BL73" s="231"/>
      <c r="BM73" s="247"/>
      <c r="BN73" s="258"/>
      <c r="BO73" s="273"/>
      <c r="BP73" s="247"/>
      <c r="BQ73" s="231"/>
      <c r="BR73" s="247"/>
      <c r="BS73" s="231"/>
      <c r="BT73" s="273"/>
      <c r="BU73" s="273"/>
      <c r="BV73" s="273"/>
      <c r="BW73" s="231"/>
      <c r="BX73" s="273"/>
      <c r="BY73" s="273"/>
      <c r="BZ73" s="273"/>
      <c r="CA73" s="273"/>
      <c r="CB73" s="273"/>
      <c r="CC73" s="273"/>
      <c r="CD73" s="231"/>
      <c r="CE73" s="280" t="s">
        <v>74</v>
      </c>
      <c r="CF73" s="337"/>
      <c r="CG73" s="238"/>
      <c r="CH73" s="247"/>
      <c r="CI73" s="238"/>
      <c r="CJ73" s="238"/>
      <c r="CK73" s="238"/>
      <c r="CL73" s="238"/>
      <c r="CM73" s="238"/>
      <c r="CN73" s="238"/>
      <c r="CO73" s="238"/>
      <c r="CP73" s="249"/>
      <c r="CQ73" s="250"/>
      <c r="CR73" s="251"/>
    </row>
    <row r="74" spans="2:95" s="251" customFormat="1" ht="3.75" customHeight="1">
      <c r="B74" s="231"/>
      <c r="C74" s="231"/>
      <c r="D74" s="279"/>
      <c r="G74" s="238"/>
      <c r="H74" s="238"/>
      <c r="I74" s="287"/>
      <c r="J74" s="238"/>
      <c r="K74" s="238"/>
      <c r="L74" s="238"/>
      <c r="M74" s="238"/>
      <c r="N74" s="238"/>
      <c r="O74" s="238"/>
      <c r="P74" s="231"/>
      <c r="Q74" s="231"/>
      <c r="R74" s="231"/>
      <c r="S74" s="231"/>
      <c r="T74" s="231"/>
      <c r="U74" s="231"/>
      <c r="V74" s="231"/>
      <c r="W74" s="231"/>
      <c r="X74" s="303"/>
      <c r="Y74" s="303"/>
      <c r="Z74" s="303"/>
      <c r="AA74" s="303"/>
      <c r="AB74" s="231"/>
      <c r="AC74" s="231"/>
      <c r="AD74" s="231"/>
      <c r="AE74" s="231"/>
      <c r="AF74" s="272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58"/>
      <c r="AR74" s="272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72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72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50"/>
      <c r="CF74" s="238"/>
      <c r="CG74" s="238"/>
      <c r="CH74" s="238"/>
      <c r="CI74" s="238"/>
      <c r="CJ74" s="238"/>
      <c r="CK74" s="238"/>
      <c r="CL74" s="238"/>
      <c r="CM74" s="238"/>
      <c r="CN74" s="238"/>
      <c r="CO74" s="238"/>
      <c r="CP74" s="249"/>
      <c r="CQ74" s="250"/>
    </row>
    <row r="75" spans="2:96" s="241" customFormat="1" ht="11.25" customHeight="1">
      <c r="B75" s="273"/>
      <c r="C75" s="273"/>
      <c r="D75" s="279"/>
      <c r="G75" s="247"/>
      <c r="H75" s="247"/>
      <c r="I75" s="338" t="s">
        <v>75</v>
      </c>
      <c r="J75" s="310"/>
      <c r="K75" s="310"/>
      <c r="L75" s="339"/>
      <c r="M75" s="339"/>
      <c r="N75" s="339"/>
      <c r="O75" s="339"/>
      <c r="P75" s="322"/>
      <c r="Q75" s="322"/>
      <c r="R75" s="332"/>
      <c r="S75" s="231"/>
      <c r="T75" s="231"/>
      <c r="U75" s="231"/>
      <c r="V75" s="231"/>
      <c r="W75" s="231"/>
      <c r="X75" s="303"/>
      <c r="Y75" s="303"/>
      <c r="Z75" s="303"/>
      <c r="AA75" s="303"/>
      <c r="AB75" s="231"/>
      <c r="AC75" s="231"/>
      <c r="AD75" s="231"/>
      <c r="AE75" s="231"/>
      <c r="AF75" s="272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72"/>
      <c r="AS75" s="231"/>
      <c r="AT75" s="231"/>
      <c r="AU75" s="231"/>
      <c r="AV75" s="231"/>
      <c r="AW75" s="231"/>
      <c r="AX75" s="231"/>
      <c r="AY75" s="231"/>
      <c r="AZ75" s="231"/>
      <c r="BA75" s="238"/>
      <c r="BB75" s="238"/>
      <c r="BC75" s="247"/>
      <c r="BD75" s="231"/>
      <c r="BE75" s="231"/>
      <c r="BF75" s="231"/>
      <c r="BG75" s="272"/>
      <c r="BH75" s="231"/>
      <c r="BI75" s="231"/>
      <c r="BJ75" s="247"/>
      <c r="BK75" s="231"/>
      <c r="BL75" s="231"/>
      <c r="BM75" s="231"/>
      <c r="BN75" s="247"/>
      <c r="BO75" s="273"/>
      <c r="BP75" s="273"/>
      <c r="BQ75" s="247"/>
      <c r="BR75" s="247"/>
      <c r="BS75" s="247"/>
      <c r="BT75" s="247"/>
      <c r="BU75" s="247"/>
      <c r="BV75" s="247"/>
      <c r="BW75" s="231"/>
      <c r="BX75" s="273"/>
      <c r="BY75" s="273"/>
      <c r="BZ75" s="273"/>
      <c r="CA75" s="273"/>
      <c r="CB75" s="273"/>
      <c r="CC75" s="273"/>
      <c r="CD75" s="231"/>
      <c r="CE75" s="258" t="s">
        <v>76</v>
      </c>
      <c r="CF75" s="247"/>
      <c r="CG75" s="337"/>
      <c r="CH75" s="332"/>
      <c r="CI75" s="273"/>
      <c r="CJ75" s="273"/>
      <c r="CK75" s="238"/>
      <c r="CL75" s="238"/>
      <c r="CM75" s="238"/>
      <c r="CN75" s="238"/>
      <c r="CO75" s="238"/>
      <c r="CP75" s="249"/>
      <c r="CQ75" s="250"/>
      <c r="CR75" s="251"/>
    </row>
    <row r="76" spans="2:95" s="251" customFormat="1" ht="4.5" customHeight="1">
      <c r="B76" s="231"/>
      <c r="C76" s="231"/>
      <c r="D76" s="279"/>
      <c r="G76" s="238"/>
      <c r="H76" s="238"/>
      <c r="I76" s="287"/>
      <c r="J76" s="238"/>
      <c r="K76" s="238"/>
      <c r="L76" s="238"/>
      <c r="M76" s="238"/>
      <c r="N76" s="238"/>
      <c r="O76" s="238"/>
      <c r="P76" s="231"/>
      <c r="Q76" s="231"/>
      <c r="R76" s="231"/>
      <c r="S76" s="231"/>
      <c r="T76" s="231"/>
      <c r="U76" s="231"/>
      <c r="V76" s="231"/>
      <c r="W76" s="231"/>
      <c r="X76" s="303"/>
      <c r="Y76" s="303"/>
      <c r="Z76" s="303"/>
      <c r="AA76" s="303"/>
      <c r="AB76" s="231"/>
      <c r="AC76" s="231"/>
      <c r="AD76" s="231"/>
      <c r="AE76" s="231"/>
      <c r="AF76" s="272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72"/>
      <c r="AS76" s="231"/>
      <c r="AT76" s="231"/>
      <c r="AU76" s="231"/>
      <c r="AV76" s="231"/>
      <c r="AW76" s="231"/>
      <c r="AX76" s="231"/>
      <c r="AY76" s="231"/>
      <c r="AZ76" s="231"/>
      <c r="BA76" s="238"/>
      <c r="BB76" s="238"/>
      <c r="BC76" s="238"/>
      <c r="BD76" s="231"/>
      <c r="BE76" s="231"/>
      <c r="BF76" s="231"/>
      <c r="BG76" s="231"/>
      <c r="BH76" s="231"/>
      <c r="BI76" s="231"/>
      <c r="BJ76" s="238"/>
      <c r="BK76" s="231"/>
      <c r="BL76" s="231"/>
      <c r="BM76" s="231"/>
      <c r="BN76" s="231"/>
      <c r="BO76" s="231"/>
      <c r="BP76" s="231"/>
      <c r="BQ76" s="238"/>
      <c r="BR76" s="231"/>
      <c r="BS76" s="238"/>
      <c r="BT76" s="238"/>
      <c r="BU76" s="238"/>
      <c r="BV76" s="238"/>
      <c r="BW76" s="231"/>
      <c r="BX76" s="231"/>
      <c r="BY76" s="231"/>
      <c r="BZ76" s="231"/>
      <c r="CA76" s="231"/>
      <c r="CB76" s="231"/>
      <c r="CC76" s="231"/>
      <c r="CD76" s="231"/>
      <c r="CE76" s="250"/>
      <c r="CF76" s="238"/>
      <c r="CG76" s="238"/>
      <c r="CH76" s="238"/>
      <c r="CI76" s="238"/>
      <c r="CJ76" s="238"/>
      <c r="CK76" s="238"/>
      <c r="CL76" s="238"/>
      <c r="CM76" s="238"/>
      <c r="CN76" s="238"/>
      <c r="CO76" s="238"/>
      <c r="CP76" s="249"/>
      <c r="CQ76" s="250"/>
    </row>
    <row r="77" spans="2:96" s="241" customFormat="1" ht="11.25" customHeight="1">
      <c r="B77" s="273"/>
      <c r="C77" s="273"/>
      <c r="D77" s="279"/>
      <c r="G77" s="247"/>
      <c r="H77" s="247"/>
      <c r="I77" s="340" t="s">
        <v>77</v>
      </c>
      <c r="J77" s="330"/>
      <c r="K77" s="330"/>
      <c r="L77" s="341"/>
      <c r="M77" s="341"/>
      <c r="N77" s="341"/>
      <c r="O77" s="341"/>
      <c r="P77" s="281"/>
      <c r="Q77" s="281"/>
      <c r="R77" s="283"/>
      <c r="S77" s="231"/>
      <c r="T77" s="231"/>
      <c r="U77" s="231"/>
      <c r="V77" s="231"/>
      <c r="W77" s="231"/>
      <c r="X77" s="303"/>
      <c r="Y77" s="303"/>
      <c r="Z77" s="303"/>
      <c r="AA77" s="303"/>
      <c r="AB77" s="231"/>
      <c r="AC77" s="231"/>
      <c r="AD77" s="231"/>
      <c r="AE77" s="231"/>
      <c r="AF77" s="272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72"/>
      <c r="AS77" s="231"/>
      <c r="AT77" s="231"/>
      <c r="AU77" s="231"/>
      <c r="AV77" s="231"/>
      <c r="AW77" s="231"/>
      <c r="AX77" s="231"/>
      <c r="AY77" s="231"/>
      <c r="AZ77" s="231"/>
      <c r="BA77" s="238"/>
      <c r="BB77" s="238"/>
      <c r="BC77" s="247"/>
      <c r="BD77" s="231"/>
      <c r="BE77" s="231"/>
      <c r="BF77" s="231"/>
      <c r="BG77" s="231"/>
      <c r="BH77" s="231"/>
      <c r="BI77" s="231"/>
      <c r="BJ77" s="247"/>
      <c r="BK77" s="247"/>
      <c r="BL77" s="231"/>
      <c r="BM77" s="231"/>
      <c r="BN77" s="247"/>
      <c r="BO77" s="273"/>
      <c r="BP77" s="247"/>
      <c r="BQ77" s="247"/>
      <c r="BR77" s="247"/>
      <c r="BS77" s="247"/>
      <c r="BT77" s="247"/>
      <c r="BU77" s="247"/>
      <c r="BV77" s="247"/>
      <c r="BW77" s="273"/>
      <c r="BX77" s="273"/>
      <c r="BY77" s="273"/>
      <c r="BZ77" s="273"/>
      <c r="CA77" s="273"/>
      <c r="CB77" s="273"/>
      <c r="CC77" s="273"/>
      <c r="CD77" s="231"/>
      <c r="CE77" s="248"/>
      <c r="CF77" s="247"/>
      <c r="CG77" s="247"/>
      <c r="CH77" s="280" t="s">
        <v>78</v>
      </c>
      <c r="CI77" s="326"/>
      <c r="CJ77" s="332"/>
      <c r="CK77" s="238"/>
      <c r="CL77" s="238"/>
      <c r="CM77" s="238"/>
      <c r="CN77" s="238"/>
      <c r="CO77" s="238"/>
      <c r="CP77" s="249"/>
      <c r="CQ77" s="250"/>
      <c r="CR77" s="251"/>
    </row>
    <row r="78" spans="2:95" s="251" customFormat="1" ht="3.75" customHeight="1">
      <c r="B78" s="231"/>
      <c r="C78" s="231"/>
      <c r="D78" s="279"/>
      <c r="E78" s="238"/>
      <c r="F78" s="238"/>
      <c r="G78" s="238"/>
      <c r="H78" s="238"/>
      <c r="I78" s="287"/>
      <c r="J78" s="238"/>
      <c r="K78" s="238"/>
      <c r="L78" s="231"/>
      <c r="M78" s="231"/>
      <c r="N78" s="231"/>
      <c r="O78" s="231"/>
      <c r="P78" s="231"/>
      <c r="Q78" s="231"/>
      <c r="R78" s="231"/>
      <c r="S78" s="231"/>
      <c r="T78" s="272"/>
      <c r="U78" s="231"/>
      <c r="V78" s="231"/>
      <c r="W78" s="231"/>
      <c r="X78" s="303"/>
      <c r="Y78" s="303"/>
      <c r="Z78" s="303"/>
      <c r="AA78" s="303"/>
      <c r="AB78" s="231"/>
      <c r="AC78" s="231"/>
      <c r="AD78" s="231"/>
      <c r="AE78" s="231"/>
      <c r="AF78" s="272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72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58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8"/>
      <c r="BO78" s="238"/>
      <c r="BP78" s="231"/>
      <c r="BQ78" s="231"/>
      <c r="BR78" s="231"/>
      <c r="BS78" s="272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50"/>
      <c r="CF78" s="238"/>
      <c r="CG78" s="238"/>
      <c r="CH78" s="238"/>
      <c r="CI78" s="238"/>
      <c r="CJ78" s="238"/>
      <c r="CK78" s="238"/>
      <c r="CL78" s="238"/>
      <c r="CM78" s="238"/>
      <c r="CN78" s="238"/>
      <c r="CO78" s="238"/>
      <c r="CP78" s="249"/>
      <c r="CQ78" s="250"/>
    </row>
    <row r="79" spans="2:96" s="241" customFormat="1" ht="11.25" customHeight="1">
      <c r="B79" s="273"/>
      <c r="C79" s="273"/>
      <c r="D79" s="279"/>
      <c r="E79" s="238"/>
      <c r="F79" s="238"/>
      <c r="G79" s="238"/>
      <c r="H79" s="238"/>
      <c r="I79" s="287"/>
      <c r="J79" s="238"/>
      <c r="K79" s="238"/>
      <c r="L79" s="231"/>
      <c r="M79" s="231"/>
      <c r="N79" s="231"/>
      <c r="O79" s="231"/>
      <c r="P79" s="231"/>
      <c r="Q79" s="231"/>
      <c r="R79" s="231"/>
      <c r="S79" s="231"/>
      <c r="T79" s="272"/>
      <c r="U79" s="231"/>
      <c r="V79" s="231"/>
      <c r="W79" s="231"/>
      <c r="X79" s="303"/>
      <c r="Y79" s="303"/>
      <c r="Z79" s="303"/>
      <c r="AA79" s="303"/>
      <c r="AB79" s="273"/>
      <c r="AC79" s="273"/>
      <c r="AD79" s="273"/>
      <c r="AE79" s="273"/>
      <c r="AF79" s="278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48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80" t="s">
        <v>79</v>
      </c>
      <c r="BF79" s="247"/>
      <c r="BG79" s="247"/>
      <c r="BH79" s="329"/>
      <c r="BI79" s="330"/>
      <c r="BJ79" s="330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330"/>
      <c r="BX79" s="330"/>
      <c r="BY79" s="281"/>
      <c r="BZ79" s="281"/>
      <c r="CA79" s="281"/>
      <c r="CB79" s="281"/>
      <c r="CC79" s="281"/>
      <c r="CD79" s="281"/>
      <c r="CE79" s="281"/>
      <c r="CF79" s="283"/>
      <c r="CG79" s="238"/>
      <c r="CH79" s="247"/>
      <c r="CI79" s="238"/>
      <c r="CJ79" s="238"/>
      <c r="CK79" s="238"/>
      <c r="CL79" s="238"/>
      <c r="CM79" s="238"/>
      <c r="CN79" s="280" t="s">
        <v>80</v>
      </c>
      <c r="CO79" s="238"/>
      <c r="CP79" s="249"/>
      <c r="CQ79" s="250"/>
      <c r="CR79" s="251"/>
    </row>
    <row r="80" spans="2:95" s="251" customFormat="1" ht="3.75" customHeight="1">
      <c r="B80" s="231"/>
      <c r="C80" s="231"/>
      <c r="D80" s="279"/>
      <c r="E80" s="238"/>
      <c r="F80" s="238"/>
      <c r="G80" s="238"/>
      <c r="H80" s="238"/>
      <c r="I80" s="287"/>
      <c r="J80" s="238"/>
      <c r="K80" s="238"/>
      <c r="L80" s="231"/>
      <c r="M80" s="231"/>
      <c r="N80" s="231"/>
      <c r="O80" s="231"/>
      <c r="P80" s="231"/>
      <c r="Q80" s="231"/>
      <c r="R80" s="231"/>
      <c r="S80" s="231"/>
      <c r="T80" s="272"/>
      <c r="U80" s="231"/>
      <c r="V80" s="231"/>
      <c r="W80" s="231"/>
      <c r="X80" s="303"/>
      <c r="Y80" s="303"/>
      <c r="Z80" s="303"/>
      <c r="AA80" s="303"/>
      <c r="AB80" s="231"/>
      <c r="AC80" s="231"/>
      <c r="AD80" s="231"/>
      <c r="AE80" s="231"/>
      <c r="AF80" s="272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72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58"/>
      <c r="BF80" s="258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72"/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50"/>
      <c r="CF80" s="238"/>
      <c r="CG80" s="238"/>
      <c r="CH80" s="238"/>
      <c r="CI80" s="238"/>
      <c r="CJ80" s="238"/>
      <c r="CK80" s="238"/>
      <c r="CL80" s="238"/>
      <c r="CM80" s="238"/>
      <c r="CN80" s="238"/>
      <c r="CO80" s="238"/>
      <c r="CP80" s="249"/>
      <c r="CQ80" s="250"/>
    </row>
    <row r="81" spans="2:96" s="241" customFormat="1" ht="3.75" customHeight="1" thickBot="1">
      <c r="B81" s="273"/>
      <c r="C81" s="273"/>
      <c r="D81" s="342"/>
      <c r="E81" s="343"/>
      <c r="F81" s="343"/>
      <c r="G81" s="343"/>
      <c r="H81" s="343"/>
      <c r="I81" s="344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6"/>
      <c r="U81" s="345"/>
      <c r="V81" s="345"/>
      <c r="W81" s="345"/>
      <c r="X81" s="345"/>
      <c r="Y81" s="345"/>
      <c r="Z81" s="345"/>
      <c r="AA81" s="345"/>
      <c r="AB81" s="347"/>
      <c r="AC81" s="347"/>
      <c r="AD81" s="347"/>
      <c r="AE81" s="347"/>
      <c r="AF81" s="348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8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7"/>
      <c r="BE81" s="347"/>
      <c r="BF81" s="347"/>
      <c r="BG81" s="348"/>
      <c r="BH81" s="347"/>
      <c r="BI81" s="347"/>
      <c r="BJ81" s="347"/>
      <c r="BK81" s="347"/>
      <c r="BL81" s="347"/>
      <c r="BM81" s="347"/>
      <c r="BN81" s="347"/>
      <c r="BO81" s="349"/>
      <c r="BP81" s="350"/>
      <c r="BQ81" s="350"/>
      <c r="BR81" s="350"/>
      <c r="BS81" s="351"/>
      <c r="BT81" s="350"/>
      <c r="BU81" s="350"/>
      <c r="BV81" s="350"/>
      <c r="BW81" s="350"/>
      <c r="BX81" s="350"/>
      <c r="BY81" s="350"/>
      <c r="BZ81" s="350"/>
      <c r="CA81" s="350"/>
      <c r="CB81" s="350"/>
      <c r="CC81" s="349"/>
      <c r="CD81" s="352"/>
      <c r="CE81" s="349"/>
      <c r="CF81" s="349"/>
      <c r="CG81" s="352"/>
      <c r="CH81" s="352"/>
      <c r="CI81" s="352"/>
      <c r="CJ81" s="352"/>
      <c r="CK81" s="352"/>
      <c r="CL81" s="352"/>
      <c r="CM81" s="352"/>
      <c r="CN81" s="352"/>
      <c r="CO81" s="352"/>
      <c r="CP81" s="353"/>
      <c r="CQ81" s="250"/>
      <c r="CR81" s="251"/>
    </row>
    <row r="82" spans="2:96" s="241" customFormat="1" ht="14.25">
      <c r="B82" s="247"/>
      <c r="C82" s="247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  <c r="BB82" s="247"/>
      <c r="BC82" s="247"/>
      <c r="BD82" s="247"/>
      <c r="BE82" s="247"/>
      <c r="BF82" s="247"/>
      <c r="BG82" s="247"/>
      <c r="BH82" s="247"/>
      <c r="BI82" s="247"/>
      <c r="BJ82" s="247"/>
      <c r="BK82" s="247"/>
      <c r="BL82" s="247"/>
      <c r="BM82" s="247"/>
      <c r="BN82" s="247"/>
      <c r="BO82" s="247"/>
      <c r="BP82" s="247"/>
      <c r="BQ82" s="247"/>
      <c r="BR82" s="247"/>
      <c r="BS82" s="247"/>
      <c r="BT82" s="247"/>
      <c r="BU82" s="247"/>
      <c r="BV82" s="247"/>
      <c r="BW82" s="247"/>
      <c r="BX82" s="247"/>
      <c r="BY82" s="247"/>
      <c r="BZ82" s="247"/>
      <c r="CA82" s="247"/>
      <c r="CB82" s="247"/>
      <c r="CC82" s="247"/>
      <c r="CD82" s="238"/>
      <c r="CG82" s="238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</row>
    <row r="83" spans="2:96" ht="14.25">
      <c r="B83" s="175"/>
      <c r="C83" s="175"/>
      <c r="D83" s="354" t="s">
        <v>12</v>
      </c>
      <c r="E83" s="355"/>
      <c r="F83" s="355"/>
      <c r="G83" s="355"/>
      <c r="H83" s="356"/>
      <c r="I83" s="192" t="s">
        <v>119</v>
      </c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3"/>
      <c r="U83" s="194" t="s">
        <v>120</v>
      </c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3"/>
      <c r="AG83" s="194" t="s">
        <v>121</v>
      </c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3"/>
      <c r="AS83" s="194" t="s">
        <v>122</v>
      </c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3"/>
      <c r="BH83" s="194" t="s">
        <v>123</v>
      </c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3"/>
      <c r="BT83" s="192" t="s">
        <v>124</v>
      </c>
      <c r="BU83" s="192"/>
      <c r="BV83" s="192"/>
      <c r="BW83" s="192"/>
      <c r="BX83" s="192"/>
      <c r="BY83" s="192"/>
      <c r="BZ83" s="192"/>
      <c r="CA83" s="192"/>
      <c r="CB83" s="357"/>
      <c r="CC83" s="175"/>
      <c r="CD83" s="358"/>
      <c r="CE83" s="358"/>
      <c r="CF83" s="358"/>
      <c r="CG83" s="359"/>
      <c r="CH83" s="359"/>
      <c r="CI83" s="359"/>
      <c r="CJ83" s="359"/>
      <c r="CK83" s="359"/>
      <c r="CL83" s="359"/>
      <c r="CM83" s="359"/>
      <c r="CN83" s="359"/>
      <c r="CO83" s="359"/>
      <c r="CP83" s="359"/>
      <c r="CQ83" s="359"/>
      <c r="CR83" s="359"/>
    </row>
    <row r="84" spans="2:84" s="196" customFormat="1" ht="11.25">
      <c r="B84" s="197"/>
      <c r="C84" s="197"/>
      <c r="D84" s="203" t="s">
        <v>13</v>
      </c>
      <c r="E84" s="203" t="s">
        <v>14</v>
      </c>
      <c r="F84" s="203" t="s">
        <v>14</v>
      </c>
      <c r="G84" s="203" t="s">
        <v>15</v>
      </c>
      <c r="H84" s="203" t="s">
        <v>16</v>
      </c>
      <c r="I84" s="202" t="s">
        <v>17</v>
      </c>
      <c r="J84" s="203" t="s">
        <v>18</v>
      </c>
      <c r="K84" s="203" t="s">
        <v>19</v>
      </c>
      <c r="L84" s="203" t="s">
        <v>14</v>
      </c>
      <c r="M84" s="203" t="s">
        <v>20</v>
      </c>
      <c r="N84" s="203" t="s">
        <v>13</v>
      </c>
      <c r="O84" s="203" t="s">
        <v>15</v>
      </c>
      <c r="P84" s="203" t="s">
        <v>13</v>
      </c>
      <c r="Q84" s="203" t="s">
        <v>14</v>
      </c>
      <c r="R84" s="203" t="s">
        <v>14</v>
      </c>
      <c r="S84" s="203" t="s">
        <v>15</v>
      </c>
      <c r="T84" s="203" t="s">
        <v>16</v>
      </c>
      <c r="U84" s="203" t="s">
        <v>17</v>
      </c>
      <c r="V84" s="203" t="s">
        <v>18</v>
      </c>
      <c r="W84" s="203" t="s">
        <v>19</v>
      </c>
      <c r="X84" s="203" t="s">
        <v>14</v>
      </c>
      <c r="Y84" s="203" t="s">
        <v>20</v>
      </c>
      <c r="Z84" s="203" t="s">
        <v>13</v>
      </c>
      <c r="AA84" s="203" t="s">
        <v>15</v>
      </c>
      <c r="AB84" s="203" t="s">
        <v>13</v>
      </c>
      <c r="AC84" s="203" t="s">
        <v>14</v>
      </c>
      <c r="AD84" s="203" t="s">
        <v>14</v>
      </c>
      <c r="AE84" s="203" t="s">
        <v>15</v>
      </c>
      <c r="AF84" s="203" t="s">
        <v>16</v>
      </c>
      <c r="AG84" s="203" t="s">
        <v>17</v>
      </c>
      <c r="AH84" s="203" t="s">
        <v>18</v>
      </c>
      <c r="AI84" s="203" t="s">
        <v>19</v>
      </c>
      <c r="AJ84" s="203" t="s">
        <v>14</v>
      </c>
      <c r="AK84" s="203" t="s">
        <v>20</v>
      </c>
      <c r="AL84" s="203" t="s">
        <v>13</v>
      </c>
      <c r="AM84" s="203" t="s">
        <v>15</v>
      </c>
      <c r="AN84" s="203" t="s">
        <v>13</v>
      </c>
      <c r="AO84" s="203" t="s">
        <v>14</v>
      </c>
      <c r="AP84" s="203" t="s">
        <v>14</v>
      </c>
      <c r="AQ84" s="203" t="s">
        <v>15</v>
      </c>
      <c r="AR84" s="203" t="s">
        <v>16</v>
      </c>
      <c r="AS84" s="203" t="s">
        <v>17</v>
      </c>
      <c r="AT84" s="205" t="s">
        <v>18</v>
      </c>
      <c r="AU84" s="206"/>
      <c r="AV84" s="203" t="s">
        <v>19</v>
      </c>
      <c r="AW84" s="203" t="s">
        <v>14</v>
      </c>
      <c r="AX84" s="203" t="s">
        <v>20</v>
      </c>
      <c r="AY84" s="203" t="s">
        <v>13</v>
      </c>
      <c r="AZ84" s="203" t="s">
        <v>15</v>
      </c>
      <c r="BA84" s="203" t="s">
        <v>13</v>
      </c>
      <c r="BB84" s="207" t="s">
        <v>14</v>
      </c>
      <c r="BC84" s="207"/>
      <c r="BD84" s="203" t="s">
        <v>14</v>
      </c>
      <c r="BE84" s="203" t="s">
        <v>15</v>
      </c>
      <c r="BF84" s="203"/>
      <c r="BG84" s="203" t="s">
        <v>16</v>
      </c>
      <c r="BH84" s="203" t="s">
        <v>17</v>
      </c>
      <c r="BI84" s="203" t="s">
        <v>18</v>
      </c>
      <c r="BJ84" s="203" t="s">
        <v>19</v>
      </c>
      <c r="BK84" s="203" t="s">
        <v>14</v>
      </c>
      <c r="BL84" s="203" t="s">
        <v>20</v>
      </c>
      <c r="BM84" s="203" t="s">
        <v>13</v>
      </c>
      <c r="BN84" s="203" t="s">
        <v>15</v>
      </c>
      <c r="BO84" s="203" t="s">
        <v>13</v>
      </c>
      <c r="BP84" s="203" t="s">
        <v>14</v>
      </c>
      <c r="BQ84" s="203" t="s">
        <v>14</v>
      </c>
      <c r="BR84" s="203" t="s">
        <v>15</v>
      </c>
      <c r="BS84" s="203" t="s">
        <v>16</v>
      </c>
      <c r="BT84" s="202" t="s">
        <v>17</v>
      </c>
      <c r="BU84" s="203" t="s">
        <v>18</v>
      </c>
      <c r="BV84" s="203" t="s">
        <v>19</v>
      </c>
      <c r="BW84" s="203" t="s">
        <v>14</v>
      </c>
      <c r="BX84" s="203" t="s">
        <v>20</v>
      </c>
      <c r="BY84" s="203" t="s">
        <v>13</v>
      </c>
      <c r="BZ84" s="203" t="s">
        <v>15</v>
      </c>
      <c r="CA84" s="204" t="s">
        <v>13</v>
      </c>
      <c r="CB84" s="197" t="s">
        <v>14</v>
      </c>
      <c r="CC84" s="197"/>
      <c r="CD84" s="197"/>
      <c r="CE84" s="197"/>
      <c r="CF84" s="197"/>
    </row>
    <row r="85" spans="2:85" ht="14.2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</row>
    <row r="86" spans="2:85" ht="14.2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</row>
    <row r="87" spans="2:85" ht="14.2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</row>
    <row r="88" spans="80:82" ht="14.25">
      <c r="CB88" s="175"/>
      <c r="CC88" s="175"/>
      <c r="CD88" s="175"/>
    </row>
    <row r="89" spans="80:82" ht="14.25">
      <c r="CB89" s="175"/>
      <c r="CC89" s="175"/>
      <c r="CD89" s="175"/>
    </row>
    <row r="90" spans="80:82" ht="14.25">
      <c r="CB90" s="175"/>
      <c r="CC90" s="175"/>
      <c r="CD90" s="175"/>
    </row>
    <row r="91" spans="80:82" ht="14.25">
      <c r="CB91" s="175"/>
      <c r="CC91" s="175"/>
      <c r="CD91" s="175"/>
    </row>
    <row r="92" spans="80:82" ht="14.25">
      <c r="CB92" s="175"/>
      <c r="CC92" s="175"/>
      <c r="CD92" s="175"/>
    </row>
    <row r="93" spans="80:82" ht="14.25">
      <c r="CB93" s="175"/>
      <c r="CC93" s="175"/>
      <c r="CD93" s="175"/>
    </row>
    <row r="94" spans="80:82" ht="14.25">
      <c r="CB94" s="175"/>
      <c r="CC94" s="175"/>
      <c r="CD94" s="175"/>
    </row>
    <row r="95" spans="80:82" ht="14.25">
      <c r="CB95" s="175"/>
      <c r="CC95" s="175"/>
      <c r="CD95" s="175"/>
    </row>
    <row r="96" spans="80:82" ht="14.25">
      <c r="CB96" s="175"/>
      <c r="CC96" s="175"/>
      <c r="CD96" s="175"/>
    </row>
    <row r="97" spans="80:82" ht="14.25">
      <c r="CB97" s="175"/>
      <c r="CC97" s="175"/>
      <c r="CD97" s="175"/>
    </row>
    <row r="98" spans="80:82" ht="14.25">
      <c r="CB98" s="175"/>
      <c r="CC98" s="175"/>
      <c r="CD98" s="175"/>
    </row>
    <row r="99" spans="80:82" ht="14.25">
      <c r="CB99" s="175"/>
      <c r="CC99" s="175"/>
      <c r="CD99" s="175"/>
    </row>
    <row r="100" spans="80:82" ht="14.25">
      <c r="CB100" s="175"/>
      <c r="CC100" s="175"/>
      <c r="CD100" s="175"/>
    </row>
    <row r="101" spans="80:82" ht="14.25">
      <c r="CB101" s="175"/>
      <c r="CC101" s="175"/>
      <c r="CD101" s="175"/>
    </row>
    <row r="102" spans="80:82" ht="14.25">
      <c r="CB102" s="175"/>
      <c r="CC102" s="175"/>
      <c r="CD102" s="175"/>
    </row>
    <row r="103" spans="80:82" ht="14.25">
      <c r="CB103" s="175"/>
      <c r="CC103" s="175"/>
      <c r="CD103" s="175"/>
    </row>
    <row r="104" spans="80:82" ht="14.25">
      <c r="CB104" s="175"/>
      <c r="CC104" s="175"/>
      <c r="CD104" s="175"/>
    </row>
    <row r="105" spans="80:82" ht="14.25">
      <c r="CB105" s="175"/>
      <c r="CC105" s="175"/>
      <c r="CD105" s="175"/>
    </row>
    <row r="106" spans="80:82" ht="14.25">
      <c r="CB106" s="175"/>
      <c r="CC106" s="175"/>
      <c r="CD106" s="175"/>
    </row>
    <row r="107" spans="80:82" ht="14.25">
      <c r="CB107" s="175"/>
      <c r="CC107" s="175"/>
      <c r="CD107" s="175"/>
    </row>
    <row r="108" spans="80:82" ht="14.25">
      <c r="CB108" s="175"/>
      <c r="CC108" s="175"/>
      <c r="CD108" s="175"/>
    </row>
    <row r="109" spans="80:82" ht="14.25">
      <c r="CB109" s="175"/>
      <c r="CC109" s="175"/>
      <c r="CD109" s="175"/>
    </row>
    <row r="110" spans="80:82" ht="14.25">
      <c r="CB110" s="175"/>
      <c r="CC110" s="175"/>
      <c r="CD110" s="175"/>
    </row>
    <row r="111" spans="80:82" ht="14.25">
      <c r="CB111" s="175"/>
      <c r="CC111" s="175"/>
      <c r="CD111" s="175"/>
    </row>
    <row r="112" spans="80:82" ht="14.25">
      <c r="CB112" s="175"/>
      <c r="CC112" s="175"/>
      <c r="CD112" s="175"/>
    </row>
    <row r="113" spans="80:82" ht="14.25">
      <c r="CB113" s="175"/>
      <c r="CC113" s="175"/>
      <c r="CD113" s="175"/>
    </row>
    <row r="114" spans="80:82" ht="14.25">
      <c r="CB114" s="175"/>
      <c r="CC114" s="175"/>
      <c r="CD114" s="175"/>
    </row>
    <row r="115" spans="80:82" ht="14.25">
      <c r="CB115" s="175"/>
      <c r="CC115" s="175"/>
      <c r="CD115" s="175"/>
    </row>
    <row r="116" spans="80:82" ht="14.25">
      <c r="CB116" s="175"/>
      <c r="CC116" s="175"/>
      <c r="CD116" s="175"/>
    </row>
    <row r="117" spans="80:82" ht="14.25">
      <c r="CB117" s="175"/>
      <c r="CC117" s="175"/>
      <c r="CD117" s="175"/>
    </row>
    <row r="118" spans="80:82" ht="14.25">
      <c r="CB118" s="175"/>
      <c r="CC118" s="175"/>
      <c r="CD118" s="175"/>
    </row>
    <row r="119" spans="80:82" ht="14.25">
      <c r="CB119" s="175"/>
      <c r="CC119" s="175"/>
      <c r="CD119" s="175"/>
    </row>
    <row r="120" spans="80:82" ht="14.25">
      <c r="CB120" s="175"/>
      <c r="CC120" s="175"/>
      <c r="CD120" s="175"/>
    </row>
    <row r="121" spans="80:82" ht="14.25">
      <c r="CB121" s="175"/>
      <c r="CC121" s="175"/>
      <c r="CD121" s="175"/>
    </row>
    <row r="122" spans="80:82" ht="14.25">
      <c r="CB122" s="175"/>
      <c r="CC122" s="175"/>
      <c r="CD122" s="175"/>
    </row>
    <row r="123" spans="80:82" ht="14.25">
      <c r="CB123" s="175"/>
      <c r="CC123" s="175"/>
      <c r="CD123" s="175"/>
    </row>
    <row r="124" spans="80:82" ht="14.25">
      <c r="CB124" s="175"/>
      <c r="CC124" s="175"/>
      <c r="CD124" s="175"/>
    </row>
    <row r="125" spans="80:82" ht="14.25">
      <c r="CB125" s="175"/>
      <c r="CC125" s="175"/>
      <c r="CD125" s="175"/>
    </row>
    <row r="126" spans="80:82" ht="14.25">
      <c r="CB126" s="175"/>
      <c r="CC126" s="175"/>
      <c r="CD126" s="175"/>
    </row>
    <row r="127" spans="80:82" ht="14.25">
      <c r="CB127" s="175"/>
      <c r="CC127" s="175"/>
      <c r="CD127" s="175"/>
    </row>
    <row r="128" spans="80:82" ht="14.25">
      <c r="CB128" s="175"/>
      <c r="CC128" s="175"/>
      <c r="CD128" s="175"/>
    </row>
    <row r="129" spans="80:82" ht="14.25">
      <c r="CB129" s="175"/>
      <c r="CC129" s="175"/>
      <c r="CD129" s="175"/>
    </row>
    <row r="130" spans="80:82" ht="14.25">
      <c r="CB130" s="175"/>
      <c r="CC130" s="175"/>
      <c r="CD130" s="175"/>
    </row>
    <row r="131" spans="80:82" ht="14.25">
      <c r="CB131" s="175"/>
      <c r="CC131" s="175"/>
      <c r="CD131" s="175"/>
    </row>
    <row r="132" spans="80:82" ht="14.25">
      <c r="CB132" s="175"/>
      <c r="CC132" s="175"/>
      <c r="CD132" s="175"/>
    </row>
    <row r="133" spans="80:82" ht="14.25">
      <c r="CB133" s="175"/>
      <c r="CC133" s="175"/>
      <c r="CD133" s="175"/>
    </row>
    <row r="134" spans="80:82" ht="14.25">
      <c r="CB134" s="175"/>
      <c r="CC134" s="175"/>
      <c r="CD134" s="175"/>
    </row>
    <row r="135" spans="80:82" ht="14.25">
      <c r="CB135" s="175"/>
      <c r="CC135" s="175"/>
      <c r="CD135" s="175"/>
    </row>
    <row r="136" spans="80:82" ht="14.25">
      <c r="CB136" s="175"/>
      <c r="CC136" s="175"/>
      <c r="CD136" s="175"/>
    </row>
    <row r="137" spans="80:82" ht="14.25">
      <c r="CB137" s="175"/>
      <c r="CC137" s="175"/>
      <c r="CD137" s="175"/>
    </row>
    <row r="138" spans="80:82" ht="14.25">
      <c r="CB138" s="175"/>
      <c r="CC138" s="175"/>
      <c r="CD138" s="175"/>
    </row>
    <row r="139" spans="80:82" ht="14.25">
      <c r="CB139" s="175"/>
      <c r="CC139" s="175"/>
      <c r="CD139" s="175"/>
    </row>
    <row r="140" spans="80:82" ht="14.25">
      <c r="CB140" s="175"/>
      <c r="CC140" s="175"/>
      <c r="CD140" s="175"/>
    </row>
    <row r="141" spans="80:82" ht="14.25">
      <c r="CB141" s="175"/>
      <c r="CC141" s="175"/>
      <c r="CD141" s="175"/>
    </row>
    <row r="142" spans="80:82" ht="14.25">
      <c r="CB142" s="175"/>
      <c r="CC142" s="175"/>
      <c r="CD142" s="175"/>
    </row>
    <row r="143" spans="80:82" ht="14.25">
      <c r="CB143" s="175"/>
      <c r="CC143" s="175"/>
      <c r="CD143" s="175"/>
    </row>
    <row r="144" spans="80:82" ht="14.25">
      <c r="CB144" s="175"/>
      <c r="CC144" s="175"/>
      <c r="CD144" s="175"/>
    </row>
    <row r="145" spans="80:82" ht="14.25">
      <c r="CB145" s="175"/>
      <c r="CC145" s="175"/>
      <c r="CD145" s="175"/>
    </row>
    <row r="146" spans="80:82" ht="14.25">
      <c r="CB146" s="175"/>
      <c r="CC146" s="175"/>
      <c r="CD146" s="175"/>
    </row>
    <row r="147" spans="80:82" ht="14.25">
      <c r="CB147" s="175"/>
      <c r="CC147" s="175"/>
      <c r="CD147" s="175"/>
    </row>
    <row r="148" spans="80:82" ht="14.25">
      <c r="CB148" s="175"/>
      <c r="CC148" s="175"/>
      <c r="CD148" s="175"/>
    </row>
    <row r="149" spans="80:82" ht="14.25">
      <c r="CB149" s="175"/>
      <c r="CC149" s="175"/>
      <c r="CD149" s="175"/>
    </row>
    <row r="150" spans="80:82" ht="14.25">
      <c r="CB150" s="175"/>
      <c r="CC150" s="175"/>
      <c r="CD150" s="175"/>
    </row>
    <row r="151" spans="80:82" ht="14.25">
      <c r="CB151" s="175"/>
      <c r="CC151" s="175"/>
      <c r="CD151" s="175"/>
    </row>
    <row r="152" spans="80:82" ht="14.25">
      <c r="CB152" s="175"/>
      <c r="CC152" s="175"/>
      <c r="CD152" s="175"/>
    </row>
    <row r="153" spans="80:82" ht="14.25">
      <c r="CB153" s="175"/>
      <c r="CC153" s="175"/>
      <c r="CD153" s="175"/>
    </row>
    <row r="154" spans="80:82" ht="14.25">
      <c r="CB154" s="175"/>
      <c r="CC154" s="175"/>
      <c r="CD154" s="175"/>
    </row>
    <row r="155" spans="80:82" ht="14.25">
      <c r="CB155" s="175"/>
      <c r="CC155" s="175"/>
      <c r="CD155" s="175"/>
    </row>
    <row r="156" spans="80:82" ht="14.25">
      <c r="CB156" s="175"/>
      <c r="CC156" s="175"/>
      <c r="CD156" s="175"/>
    </row>
    <row r="157" spans="80:82" ht="14.25">
      <c r="CB157" s="175"/>
      <c r="CC157" s="175"/>
      <c r="CD157" s="175"/>
    </row>
    <row r="158" spans="80:82" ht="14.25">
      <c r="CB158" s="175"/>
      <c r="CC158" s="175"/>
      <c r="CD158" s="175"/>
    </row>
    <row r="159" spans="80:82" ht="14.25">
      <c r="CB159" s="175"/>
      <c r="CC159" s="175"/>
      <c r="CD159" s="175"/>
    </row>
    <row r="160" spans="80:82" ht="14.25">
      <c r="CB160" s="175"/>
      <c r="CC160" s="175"/>
      <c r="CD160" s="175"/>
    </row>
    <row r="161" spans="80:82" ht="14.25">
      <c r="CB161" s="175"/>
      <c r="CC161" s="175"/>
      <c r="CD161" s="175"/>
    </row>
    <row r="162" spans="80:82" ht="14.25">
      <c r="CB162" s="175"/>
      <c r="CC162" s="175"/>
      <c r="CD162" s="175"/>
    </row>
    <row r="163" spans="80:82" ht="14.25">
      <c r="CB163" s="175"/>
      <c r="CC163" s="175"/>
      <c r="CD163" s="175"/>
    </row>
    <row r="164" spans="80:82" ht="14.25">
      <c r="CB164" s="175"/>
      <c r="CC164" s="175"/>
      <c r="CD164" s="175"/>
    </row>
    <row r="165" spans="80:82" ht="14.25">
      <c r="CB165" s="175"/>
      <c r="CC165" s="175"/>
      <c r="CD165" s="175"/>
    </row>
    <row r="166" spans="80:82" ht="14.25">
      <c r="CB166" s="175"/>
      <c r="CC166" s="175"/>
      <c r="CD166" s="175"/>
    </row>
    <row r="167" spans="80:82" ht="14.25">
      <c r="CB167" s="175"/>
      <c r="CC167" s="175"/>
      <c r="CD167" s="175"/>
    </row>
    <row r="168" spans="80:82" ht="14.25">
      <c r="CB168" s="175"/>
      <c r="CC168" s="175"/>
      <c r="CD168" s="175"/>
    </row>
    <row r="169" spans="80:82" ht="14.25">
      <c r="CB169" s="175"/>
      <c r="CC169" s="175"/>
      <c r="CD169" s="175"/>
    </row>
    <row r="170" spans="80:82" ht="14.25">
      <c r="CB170" s="175"/>
      <c r="CC170" s="175"/>
      <c r="CD170" s="175"/>
    </row>
    <row r="171" spans="80:82" ht="14.25">
      <c r="CB171" s="175"/>
      <c r="CC171" s="175"/>
      <c r="CD171" s="175"/>
    </row>
    <row r="172" spans="80:82" ht="14.25">
      <c r="CB172" s="175"/>
      <c r="CC172" s="175"/>
      <c r="CD172" s="175"/>
    </row>
    <row r="173" spans="80:82" ht="14.25">
      <c r="CB173" s="175"/>
      <c r="CC173" s="175"/>
      <c r="CD173" s="175"/>
    </row>
    <row r="174" spans="80:82" ht="14.25">
      <c r="CB174" s="175"/>
      <c r="CC174" s="175"/>
      <c r="CD174" s="175"/>
    </row>
    <row r="175" spans="80:82" ht="14.25">
      <c r="CB175" s="175"/>
      <c r="CC175" s="175"/>
      <c r="CD175" s="175"/>
    </row>
    <row r="176" spans="80:82" ht="14.25">
      <c r="CB176" s="175"/>
      <c r="CC176" s="175"/>
      <c r="CD176" s="175"/>
    </row>
    <row r="177" spans="80:82" ht="14.25">
      <c r="CB177" s="175"/>
      <c r="CC177" s="175"/>
      <c r="CD177" s="175"/>
    </row>
    <row r="178" spans="80:82" ht="14.25">
      <c r="CB178" s="175"/>
      <c r="CC178" s="175"/>
      <c r="CD178" s="175"/>
    </row>
    <row r="179" spans="80:82" ht="14.25">
      <c r="CB179" s="175"/>
      <c r="CC179" s="175"/>
      <c r="CD179" s="175"/>
    </row>
    <row r="180" spans="80:82" ht="14.25">
      <c r="CB180" s="175"/>
      <c r="CC180" s="175"/>
      <c r="CD180" s="175"/>
    </row>
    <row r="181" spans="80:82" ht="14.25">
      <c r="CB181" s="175"/>
      <c r="CC181" s="175"/>
      <c r="CD181" s="175"/>
    </row>
    <row r="182" spans="80:82" ht="14.25">
      <c r="CB182" s="175"/>
      <c r="CC182" s="175"/>
      <c r="CD182" s="175"/>
    </row>
    <row r="183" spans="80:82" ht="14.25">
      <c r="CB183" s="175"/>
      <c r="CC183" s="175"/>
      <c r="CD183" s="175"/>
    </row>
    <row r="184" spans="80:82" ht="14.25">
      <c r="CB184" s="175"/>
      <c r="CC184" s="175"/>
      <c r="CD184" s="175"/>
    </row>
    <row r="185" spans="80:82" ht="14.25">
      <c r="CB185" s="175"/>
      <c r="CC185" s="175"/>
      <c r="CD185" s="175"/>
    </row>
    <row r="186" spans="80:82" ht="14.25">
      <c r="CB186" s="175"/>
      <c r="CC186" s="175"/>
      <c r="CD186" s="175"/>
    </row>
    <row r="187" spans="80:82" ht="14.25">
      <c r="CB187" s="175"/>
      <c r="CC187" s="175"/>
      <c r="CD187" s="175"/>
    </row>
    <row r="188" spans="80:82" ht="14.25">
      <c r="CB188" s="175"/>
      <c r="CC188" s="175"/>
      <c r="CD188" s="175"/>
    </row>
    <row r="189" spans="80:82" ht="14.25">
      <c r="CB189" s="175"/>
      <c r="CC189" s="175"/>
      <c r="CD189" s="175"/>
    </row>
    <row r="190" spans="80:82" ht="14.25">
      <c r="CB190" s="175"/>
      <c r="CC190" s="175"/>
      <c r="CD190" s="175"/>
    </row>
    <row r="191" spans="80:82" ht="14.25">
      <c r="CB191" s="175"/>
      <c r="CC191" s="175"/>
      <c r="CD191" s="175"/>
    </row>
    <row r="192" spans="80:82" ht="14.25">
      <c r="CB192" s="175"/>
      <c r="CC192" s="175"/>
      <c r="CD192" s="175"/>
    </row>
    <row r="193" spans="80:82" ht="14.25">
      <c r="CB193" s="175"/>
      <c r="CC193" s="175"/>
      <c r="CD193" s="175"/>
    </row>
    <row r="194" spans="80:82" ht="14.25">
      <c r="CB194" s="175"/>
      <c r="CC194" s="175"/>
      <c r="CD194" s="175"/>
    </row>
    <row r="195" spans="80:82" ht="14.25">
      <c r="CB195" s="175"/>
      <c r="CC195" s="175"/>
      <c r="CD195" s="175"/>
    </row>
    <row r="196" spans="80:82" ht="14.25">
      <c r="CB196" s="175"/>
      <c r="CC196" s="175"/>
      <c r="CD196" s="175"/>
    </row>
    <row r="197" spans="80:82" ht="14.25">
      <c r="CB197" s="175"/>
      <c r="CC197" s="175"/>
      <c r="CD197" s="175"/>
    </row>
    <row r="198" spans="80:82" ht="14.25">
      <c r="CB198" s="175"/>
      <c r="CC198" s="175"/>
      <c r="CD198" s="175"/>
    </row>
    <row r="199" spans="80:82" ht="14.25">
      <c r="CB199" s="175"/>
      <c r="CC199" s="175"/>
      <c r="CD199" s="175"/>
    </row>
    <row r="200" spans="80:82" ht="14.25">
      <c r="CB200" s="175"/>
      <c r="CC200" s="175"/>
      <c r="CD200" s="175"/>
    </row>
    <row r="201" spans="80:82" ht="14.25">
      <c r="CB201" s="175"/>
      <c r="CC201" s="175"/>
      <c r="CD201" s="175"/>
    </row>
    <row r="202" spans="80:82" ht="14.25">
      <c r="CB202" s="175"/>
      <c r="CC202" s="175"/>
      <c r="CD202" s="175"/>
    </row>
    <row r="203" spans="80:82" ht="14.25">
      <c r="CB203" s="175"/>
      <c r="CC203" s="175"/>
      <c r="CD203" s="175"/>
    </row>
    <row r="204" spans="80:82" ht="14.25">
      <c r="CB204" s="175"/>
      <c r="CC204" s="175"/>
      <c r="CD204" s="175"/>
    </row>
    <row r="205" spans="80:82" ht="14.25">
      <c r="CB205" s="175"/>
      <c r="CC205" s="175"/>
      <c r="CD205" s="175"/>
    </row>
    <row r="206" spans="80:82" ht="14.25">
      <c r="CB206" s="175"/>
      <c r="CC206" s="175"/>
      <c r="CD206" s="175"/>
    </row>
    <row r="207" spans="80:82" ht="14.25">
      <c r="CB207" s="175"/>
      <c r="CC207" s="175"/>
      <c r="CD207" s="175"/>
    </row>
    <row r="208" spans="80:82" ht="14.25">
      <c r="CB208" s="175"/>
      <c r="CC208" s="175"/>
      <c r="CD208" s="175"/>
    </row>
    <row r="209" spans="80:82" ht="14.25">
      <c r="CB209" s="175"/>
      <c r="CC209" s="175"/>
      <c r="CD209" s="175"/>
    </row>
    <row r="210" spans="80:82" ht="14.25">
      <c r="CB210" s="175"/>
      <c r="CC210" s="175"/>
      <c r="CD210" s="175"/>
    </row>
    <row r="211" spans="80:82" ht="14.25">
      <c r="CB211" s="175"/>
      <c r="CC211" s="175"/>
      <c r="CD211" s="175"/>
    </row>
    <row r="212" spans="80:82" ht="14.25">
      <c r="CB212" s="175"/>
      <c r="CC212" s="175"/>
      <c r="CD212" s="175"/>
    </row>
    <row r="213" spans="80:82" ht="14.25">
      <c r="CB213" s="175"/>
      <c r="CC213" s="175"/>
      <c r="CD213" s="175"/>
    </row>
    <row r="214" spans="80:82" ht="14.25">
      <c r="CB214" s="175"/>
      <c r="CC214" s="175"/>
      <c r="CD214" s="175"/>
    </row>
    <row r="215" spans="80:82" ht="14.25">
      <c r="CB215" s="175"/>
      <c r="CC215" s="175"/>
      <c r="CD215" s="175"/>
    </row>
    <row r="216" spans="80:82" ht="14.25">
      <c r="CB216" s="175"/>
      <c r="CC216" s="175"/>
      <c r="CD216" s="175"/>
    </row>
    <row r="217" spans="80:82" ht="14.25">
      <c r="CB217" s="175"/>
      <c r="CC217" s="175"/>
      <c r="CD217" s="175"/>
    </row>
    <row r="218" spans="80:82" ht="14.25">
      <c r="CB218" s="175"/>
      <c r="CC218" s="175"/>
      <c r="CD218" s="175"/>
    </row>
    <row r="219" spans="80:82" ht="14.25">
      <c r="CB219" s="175"/>
      <c r="CC219" s="175"/>
      <c r="CD219" s="175"/>
    </row>
    <row r="220" spans="80:82" ht="14.25">
      <c r="CB220" s="175"/>
      <c r="CC220" s="175"/>
      <c r="CD220" s="175"/>
    </row>
    <row r="221" spans="80:82" ht="14.25">
      <c r="CB221" s="175"/>
      <c r="CC221" s="175"/>
      <c r="CD221" s="175"/>
    </row>
    <row r="222" spans="80:82" ht="14.25">
      <c r="CB222" s="175"/>
      <c r="CC222" s="175"/>
      <c r="CD222" s="175"/>
    </row>
    <row r="223" spans="80:82" ht="14.25">
      <c r="CB223" s="175"/>
      <c r="CC223" s="175"/>
      <c r="CD223" s="175"/>
    </row>
    <row r="224" spans="80:82" ht="14.25">
      <c r="CB224" s="175"/>
      <c r="CC224" s="175"/>
      <c r="CD224" s="175"/>
    </row>
    <row r="225" spans="80:82" ht="14.25">
      <c r="CB225" s="175"/>
      <c r="CC225" s="175"/>
      <c r="CD225" s="175"/>
    </row>
    <row r="226" spans="80:82" ht="14.25">
      <c r="CB226" s="175"/>
      <c r="CC226" s="175"/>
      <c r="CD226" s="175"/>
    </row>
    <row r="227" spans="80:82" ht="14.25">
      <c r="CB227" s="175"/>
      <c r="CC227" s="175"/>
      <c r="CD227" s="175"/>
    </row>
    <row r="228" spans="80:82" ht="14.25">
      <c r="CB228" s="175"/>
      <c r="CC228" s="175"/>
      <c r="CD228" s="175"/>
    </row>
    <row r="229" spans="80:82" ht="14.25">
      <c r="CB229" s="175"/>
      <c r="CC229" s="175"/>
      <c r="CD229" s="175"/>
    </row>
    <row r="230" spans="80:82" ht="14.25">
      <c r="CB230" s="175"/>
      <c r="CC230" s="175"/>
      <c r="CD230" s="175"/>
    </row>
    <row r="231" spans="80:82" ht="14.25">
      <c r="CB231" s="175"/>
      <c r="CC231" s="175"/>
      <c r="CD231" s="175"/>
    </row>
    <row r="232" spans="80:82" ht="14.25">
      <c r="CB232" s="175"/>
      <c r="CC232" s="175"/>
      <c r="CD232" s="175"/>
    </row>
    <row r="233" spans="80:82" ht="14.25">
      <c r="CB233" s="175"/>
      <c r="CC233" s="175"/>
      <c r="CD233" s="175"/>
    </row>
    <row r="234" spans="80:82" ht="14.25">
      <c r="CB234" s="175"/>
      <c r="CC234" s="175"/>
      <c r="CD234" s="175"/>
    </row>
    <row r="235" spans="80:82" ht="14.25">
      <c r="CB235" s="175"/>
      <c r="CC235" s="175"/>
      <c r="CD235" s="175"/>
    </row>
    <row r="236" spans="80:82" ht="14.25">
      <c r="CB236" s="175"/>
      <c r="CC236" s="175"/>
      <c r="CD236" s="175"/>
    </row>
    <row r="237" spans="80:82" ht="14.25">
      <c r="CB237" s="175"/>
      <c r="CC237" s="175"/>
      <c r="CD237" s="175"/>
    </row>
    <row r="238" spans="80:82" ht="14.25">
      <c r="CB238" s="175"/>
      <c r="CC238" s="175"/>
      <c r="CD238" s="175"/>
    </row>
    <row r="239" spans="80:82" ht="14.25">
      <c r="CB239" s="175"/>
      <c r="CC239" s="175"/>
      <c r="CD239" s="175"/>
    </row>
    <row r="240" spans="80:82" ht="14.25">
      <c r="CB240" s="175"/>
      <c r="CC240" s="175"/>
      <c r="CD240" s="175"/>
    </row>
    <row r="241" spans="80:82" ht="14.25">
      <c r="CB241" s="175"/>
      <c r="CC241" s="175"/>
      <c r="CD241" s="175"/>
    </row>
    <row r="242" spans="80:82" ht="14.25">
      <c r="CB242" s="175"/>
      <c r="CC242" s="175"/>
      <c r="CD242" s="175"/>
    </row>
    <row r="243" spans="80:82" ht="14.25">
      <c r="CB243" s="175"/>
      <c r="CC243" s="175"/>
      <c r="CD243" s="175"/>
    </row>
    <row r="244" spans="80:82" ht="14.25">
      <c r="CB244" s="175"/>
      <c r="CC244" s="175"/>
      <c r="CD244" s="175"/>
    </row>
    <row r="245" spans="80:82" ht="14.25">
      <c r="CB245" s="175"/>
      <c r="CC245" s="175"/>
      <c r="CD245" s="175"/>
    </row>
    <row r="246" spans="80:82" ht="14.25">
      <c r="CB246" s="175"/>
      <c r="CC246" s="175"/>
      <c r="CD246" s="175"/>
    </row>
    <row r="247" spans="80:82" ht="14.25">
      <c r="CB247" s="175"/>
      <c r="CC247" s="175"/>
      <c r="CD247" s="175"/>
    </row>
    <row r="248" spans="80:82" ht="14.25">
      <c r="CB248" s="175"/>
      <c r="CC248" s="175"/>
      <c r="CD248" s="175"/>
    </row>
    <row r="249" spans="80:82" ht="14.25">
      <c r="CB249" s="175"/>
      <c r="CC249" s="175"/>
      <c r="CD249" s="175"/>
    </row>
    <row r="250" spans="80:82" ht="14.25">
      <c r="CB250" s="175"/>
      <c r="CC250" s="175"/>
      <c r="CD250" s="175"/>
    </row>
    <row r="251" spans="80:82" ht="14.25">
      <c r="CB251" s="175"/>
      <c r="CC251" s="175"/>
      <c r="CD251" s="175"/>
    </row>
    <row r="252" spans="80:82" ht="14.25">
      <c r="CB252" s="175"/>
      <c r="CC252" s="175"/>
      <c r="CD252" s="175"/>
    </row>
    <row r="253" spans="80:82" ht="14.25">
      <c r="CB253" s="175"/>
      <c r="CC253" s="175"/>
      <c r="CD253" s="175"/>
    </row>
    <row r="254" spans="80:82" ht="14.25">
      <c r="CB254" s="175"/>
      <c r="CC254" s="175"/>
      <c r="CD254" s="175"/>
    </row>
    <row r="255" spans="80:82" ht="14.25">
      <c r="CB255" s="175"/>
      <c r="CC255" s="175"/>
      <c r="CD255" s="175"/>
    </row>
    <row r="256" spans="80:82" ht="14.25">
      <c r="CB256" s="175"/>
      <c r="CC256" s="175"/>
      <c r="CD256" s="175"/>
    </row>
    <row r="257" spans="80:82" ht="14.25">
      <c r="CB257" s="175"/>
      <c r="CC257" s="175"/>
      <c r="CD257" s="175"/>
    </row>
    <row r="258" spans="80:82" ht="14.25">
      <c r="CB258" s="175"/>
      <c r="CC258" s="175"/>
      <c r="CD258" s="175"/>
    </row>
    <row r="259" spans="80:82" ht="14.25">
      <c r="CB259" s="175"/>
      <c r="CC259" s="175"/>
      <c r="CD259" s="175"/>
    </row>
    <row r="260" spans="80:82" ht="14.25">
      <c r="CB260" s="175"/>
      <c r="CC260" s="175"/>
      <c r="CD260" s="175"/>
    </row>
    <row r="261" spans="80:82" ht="14.25">
      <c r="CB261" s="175"/>
      <c r="CC261" s="175"/>
      <c r="CD261" s="175"/>
    </row>
    <row r="262" spans="80:82" ht="14.25">
      <c r="CB262" s="175"/>
      <c r="CC262" s="175"/>
      <c r="CD262" s="175"/>
    </row>
    <row r="263" spans="80:82" ht="14.25">
      <c r="CB263" s="175"/>
      <c r="CC263" s="175"/>
      <c r="CD263" s="175"/>
    </row>
    <row r="264" spans="80:82" ht="14.25">
      <c r="CB264" s="175"/>
      <c r="CC264" s="175"/>
      <c r="CD264" s="175"/>
    </row>
    <row r="265" spans="80:82" ht="14.25">
      <c r="CB265" s="175"/>
      <c r="CC265" s="175"/>
      <c r="CD265" s="175"/>
    </row>
    <row r="266" spans="80:82" ht="14.25">
      <c r="CB266" s="175"/>
      <c r="CC266" s="175"/>
      <c r="CD266" s="175"/>
    </row>
    <row r="267" spans="80:82" ht="14.25">
      <c r="CB267" s="175"/>
      <c r="CC267" s="175"/>
      <c r="CD267" s="175"/>
    </row>
    <row r="268" spans="80:82" ht="14.25">
      <c r="CB268" s="175"/>
      <c r="CC268" s="175"/>
      <c r="CD268" s="175"/>
    </row>
    <row r="269" spans="80:82" ht="14.25">
      <c r="CB269" s="175"/>
      <c r="CC269" s="175"/>
      <c r="CD269" s="175"/>
    </row>
    <row r="270" spans="80:82" ht="14.25">
      <c r="CB270" s="175"/>
      <c r="CC270" s="175"/>
      <c r="CD270" s="175"/>
    </row>
    <row r="271" spans="80:82" ht="14.25">
      <c r="CB271" s="175"/>
      <c r="CC271" s="175"/>
      <c r="CD271" s="175"/>
    </row>
    <row r="272" spans="80:82" ht="14.25">
      <c r="CB272" s="175"/>
      <c r="CC272" s="175"/>
      <c r="CD272" s="175"/>
    </row>
    <row r="273" spans="80:82" ht="14.25">
      <c r="CB273" s="175"/>
      <c r="CC273" s="175"/>
      <c r="CD273" s="175"/>
    </row>
    <row r="274" spans="80:82" ht="14.25">
      <c r="CB274" s="175"/>
      <c r="CC274" s="175"/>
      <c r="CD274" s="175"/>
    </row>
    <row r="275" spans="80:82" ht="14.25">
      <c r="CB275" s="175"/>
      <c r="CC275" s="175"/>
      <c r="CD275" s="175"/>
    </row>
    <row r="276" spans="80:82" ht="14.25">
      <c r="CB276" s="175"/>
      <c r="CC276" s="175"/>
      <c r="CD276" s="175"/>
    </row>
    <row r="277" spans="80:82" ht="14.25">
      <c r="CB277" s="175"/>
      <c r="CC277" s="175"/>
      <c r="CD277" s="175"/>
    </row>
    <row r="278" spans="80:82" ht="14.25">
      <c r="CB278" s="175"/>
      <c r="CC278" s="175"/>
      <c r="CD278" s="175"/>
    </row>
    <row r="279" spans="80:82" ht="14.25">
      <c r="CB279" s="175"/>
      <c r="CC279" s="175"/>
      <c r="CD279" s="175"/>
    </row>
    <row r="280" spans="80:82" ht="14.25">
      <c r="CB280" s="175"/>
      <c r="CC280" s="175"/>
      <c r="CD280" s="175"/>
    </row>
    <row r="281" spans="80:82" ht="14.25">
      <c r="CB281" s="175"/>
      <c r="CC281" s="175"/>
      <c r="CD281" s="175"/>
    </row>
    <row r="282" spans="80:82" ht="14.25">
      <c r="CB282" s="175"/>
      <c r="CC282" s="175"/>
      <c r="CD282" s="175"/>
    </row>
    <row r="283" spans="80:82" ht="14.25">
      <c r="CB283" s="175"/>
      <c r="CC283" s="175"/>
      <c r="CD283" s="175"/>
    </row>
    <row r="284" spans="80:82" ht="14.25">
      <c r="CB284" s="175"/>
      <c r="CC284" s="175"/>
      <c r="CD284" s="175"/>
    </row>
    <row r="285" spans="80:82" ht="14.25">
      <c r="CB285" s="175"/>
      <c r="CC285" s="175"/>
      <c r="CD285" s="175"/>
    </row>
    <row r="286" spans="80:82" ht="14.25">
      <c r="CB286" s="175"/>
      <c r="CC286" s="175"/>
      <c r="CD286" s="175"/>
    </row>
    <row r="287" spans="80:82" ht="14.25">
      <c r="CB287" s="175"/>
      <c r="CC287" s="175"/>
      <c r="CD287" s="175"/>
    </row>
    <row r="288" spans="80:82" ht="14.25">
      <c r="CB288" s="175"/>
      <c r="CC288" s="175"/>
      <c r="CD288" s="175"/>
    </row>
    <row r="289" spans="80:82" ht="14.25">
      <c r="CB289" s="175"/>
      <c r="CC289" s="175"/>
      <c r="CD289" s="175"/>
    </row>
    <row r="290" spans="80:82" ht="14.25">
      <c r="CB290" s="175"/>
      <c r="CC290" s="175"/>
      <c r="CD290" s="175"/>
    </row>
    <row r="291" spans="80:82" ht="14.25">
      <c r="CB291" s="175"/>
      <c r="CC291" s="175"/>
      <c r="CD291" s="175"/>
    </row>
    <row r="292" spans="80:82" ht="14.25">
      <c r="CB292" s="175"/>
      <c r="CC292" s="175"/>
      <c r="CD292" s="175"/>
    </row>
    <row r="293" spans="80:82" ht="14.25">
      <c r="CB293" s="175"/>
      <c r="CC293" s="175"/>
      <c r="CD293" s="175"/>
    </row>
    <row r="294" spans="80:82" ht="14.25">
      <c r="CB294" s="175"/>
      <c r="CC294" s="175"/>
      <c r="CD294" s="175"/>
    </row>
    <row r="295" spans="80:82" ht="14.25">
      <c r="CB295" s="175"/>
      <c r="CC295" s="175"/>
      <c r="CD295" s="175"/>
    </row>
    <row r="296" spans="80:82" ht="14.25">
      <c r="CB296" s="175"/>
      <c r="CC296" s="175"/>
      <c r="CD296" s="175"/>
    </row>
    <row r="297" spans="80:82" ht="14.25">
      <c r="CB297" s="175"/>
      <c r="CC297" s="175"/>
      <c r="CD297" s="175"/>
    </row>
    <row r="298" spans="80:82" ht="14.25">
      <c r="CB298" s="175"/>
      <c r="CC298" s="175"/>
      <c r="CD298" s="175"/>
    </row>
    <row r="299" spans="80:82" ht="14.25">
      <c r="CB299" s="175"/>
      <c r="CC299" s="175"/>
      <c r="CD299" s="175"/>
    </row>
    <row r="300" spans="80:82" ht="14.25">
      <c r="CB300" s="175"/>
      <c r="CC300" s="175"/>
      <c r="CD300" s="175"/>
    </row>
    <row r="301" spans="80:82" ht="14.25">
      <c r="CB301" s="175"/>
      <c r="CC301" s="175"/>
      <c r="CD301" s="175"/>
    </row>
    <row r="302" spans="80:82" ht="14.25">
      <c r="CB302" s="175"/>
      <c r="CC302" s="175"/>
      <c r="CD302" s="175"/>
    </row>
    <row r="303" spans="80:82" ht="14.25">
      <c r="CB303" s="175"/>
      <c r="CC303" s="175"/>
      <c r="CD303" s="175"/>
    </row>
    <row r="304" spans="80:82" ht="14.25">
      <c r="CB304" s="175"/>
      <c r="CC304" s="175"/>
      <c r="CD304" s="175"/>
    </row>
    <row r="305" spans="80:82" ht="14.25">
      <c r="CB305" s="175"/>
      <c r="CC305" s="175"/>
      <c r="CD305" s="175"/>
    </row>
    <row r="306" spans="80:82" ht="14.25">
      <c r="CB306" s="175"/>
      <c r="CC306" s="175"/>
      <c r="CD306" s="175"/>
    </row>
    <row r="307" spans="80:82" ht="14.25">
      <c r="CB307" s="175"/>
      <c r="CC307" s="175"/>
      <c r="CD307" s="175"/>
    </row>
    <row r="308" spans="80:82" ht="14.25">
      <c r="CB308" s="175"/>
      <c r="CC308" s="175"/>
      <c r="CD308" s="175"/>
    </row>
    <row r="309" spans="80:82" ht="14.25">
      <c r="CB309" s="175"/>
      <c r="CC309" s="175"/>
      <c r="CD309" s="175"/>
    </row>
    <row r="310" spans="80:82" ht="14.25">
      <c r="CB310" s="175"/>
      <c r="CC310" s="175"/>
      <c r="CD310" s="175"/>
    </row>
    <row r="311" spans="80:82" ht="14.25">
      <c r="CB311" s="175"/>
      <c r="CC311" s="175"/>
      <c r="CD311" s="175"/>
    </row>
    <row r="312" spans="80:82" ht="14.25">
      <c r="CB312" s="175"/>
      <c r="CC312" s="175"/>
      <c r="CD312" s="175"/>
    </row>
    <row r="313" spans="80:82" ht="14.25">
      <c r="CB313" s="175"/>
      <c r="CC313" s="175"/>
      <c r="CD313" s="175"/>
    </row>
    <row r="314" spans="80:82" ht="14.25">
      <c r="CB314" s="175"/>
      <c r="CC314" s="175"/>
      <c r="CD314" s="175"/>
    </row>
    <row r="315" spans="80:82" ht="14.25">
      <c r="CB315" s="175"/>
      <c r="CC315" s="175"/>
      <c r="CD315" s="175"/>
    </row>
    <row r="316" spans="80:82" ht="14.25">
      <c r="CB316" s="175"/>
      <c r="CC316" s="175"/>
      <c r="CD316" s="175"/>
    </row>
    <row r="317" spans="80:82" ht="14.25">
      <c r="CB317" s="175"/>
      <c r="CC317" s="175"/>
      <c r="CD317" s="175"/>
    </row>
    <row r="318" spans="80:82" ht="14.25">
      <c r="CB318" s="175"/>
      <c r="CC318" s="175"/>
      <c r="CD318" s="175"/>
    </row>
    <row r="319" spans="80:82" ht="14.25">
      <c r="CB319" s="175"/>
      <c r="CC319" s="175"/>
      <c r="CD319" s="175"/>
    </row>
    <row r="320" spans="80:82" ht="14.25">
      <c r="CB320" s="175"/>
      <c r="CC320" s="175"/>
      <c r="CD320" s="175"/>
    </row>
    <row r="321" spans="80:82" ht="14.25">
      <c r="CB321" s="175"/>
      <c r="CC321" s="175"/>
      <c r="CD321" s="175"/>
    </row>
    <row r="322" spans="80:82" ht="14.25">
      <c r="CB322" s="175"/>
      <c r="CC322" s="175"/>
      <c r="CD322" s="175"/>
    </row>
    <row r="323" spans="80:82" ht="14.25">
      <c r="CB323" s="175"/>
      <c r="CC323" s="175"/>
      <c r="CD323" s="175"/>
    </row>
    <row r="324" spans="80:82" ht="14.25">
      <c r="CB324" s="175"/>
      <c r="CC324" s="175"/>
      <c r="CD324" s="175"/>
    </row>
    <row r="325" spans="80:82" ht="14.25">
      <c r="CB325" s="175"/>
      <c r="CC325" s="175"/>
      <c r="CD325" s="175"/>
    </row>
    <row r="326" spans="80:82" ht="14.25">
      <c r="CB326" s="175"/>
      <c r="CC326" s="175"/>
      <c r="CD326" s="175"/>
    </row>
    <row r="327" spans="80:82" ht="14.25">
      <c r="CB327" s="175"/>
      <c r="CC327" s="175"/>
      <c r="CD327" s="175"/>
    </row>
    <row r="328" spans="80:82" ht="14.25">
      <c r="CB328" s="175"/>
      <c r="CC328" s="175"/>
      <c r="CD328" s="175"/>
    </row>
    <row r="329" spans="80:82" ht="14.25">
      <c r="CB329" s="175"/>
      <c r="CC329" s="175"/>
      <c r="CD329" s="175"/>
    </row>
    <row r="330" spans="80:82" ht="14.25">
      <c r="CB330" s="175"/>
      <c r="CC330" s="175"/>
      <c r="CD330" s="175"/>
    </row>
    <row r="331" spans="80:82" ht="14.25">
      <c r="CB331" s="175"/>
      <c r="CC331" s="175"/>
      <c r="CD331" s="175"/>
    </row>
    <row r="332" spans="80:82" ht="14.25">
      <c r="CB332" s="175"/>
      <c r="CC332" s="175"/>
      <c r="CD332" s="175"/>
    </row>
    <row r="333" spans="80:82" ht="14.25">
      <c r="CB333" s="175"/>
      <c r="CC333" s="175"/>
      <c r="CD333" s="175"/>
    </row>
    <row r="334" spans="80:82" ht="14.25">
      <c r="CB334" s="175"/>
      <c r="CC334" s="175"/>
      <c r="CD334" s="175"/>
    </row>
    <row r="335" spans="80:82" ht="14.25">
      <c r="CB335" s="175"/>
      <c r="CC335" s="175"/>
      <c r="CD335" s="175"/>
    </row>
    <row r="336" spans="80:82" ht="14.25">
      <c r="CB336" s="175"/>
      <c r="CC336" s="175"/>
      <c r="CD336" s="175"/>
    </row>
    <row r="337" spans="80:82" ht="14.25">
      <c r="CB337" s="175"/>
      <c r="CC337" s="175"/>
      <c r="CD337" s="175"/>
    </row>
    <row r="338" spans="80:82" ht="14.25">
      <c r="CB338" s="175"/>
      <c r="CC338" s="175"/>
      <c r="CD338" s="175"/>
    </row>
    <row r="339" spans="80:82" ht="14.25">
      <c r="CB339" s="175"/>
      <c r="CC339" s="175"/>
      <c r="CD339" s="175"/>
    </row>
    <row r="340" spans="80:82" ht="14.25">
      <c r="CB340" s="175"/>
      <c r="CC340" s="175"/>
      <c r="CD340" s="175"/>
    </row>
    <row r="341" spans="80:82" ht="14.25">
      <c r="CB341" s="175"/>
      <c r="CC341" s="175"/>
      <c r="CD341" s="175"/>
    </row>
    <row r="342" spans="80:82" ht="14.25">
      <c r="CB342" s="175"/>
      <c r="CC342" s="175"/>
      <c r="CD342" s="175"/>
    </row>
    <row r="343" spans="80:82" ht="14.25">
      <c r="CB343" s="175"/>
      <c r="CC343" s="175"/>
      <c r="CD343" s="175"/>
    </row>
    <row r="344" spans="80:82" ht="14.25">
      <c r="CB344" s="175"/>
      <c r="CC344" s="175"/>
      <c r="CD344" s="175"/>
    </row>
    <row r="345" spans="80:82" ht="14.25">
      <c r="CB345" s="175"/>
      <c r="CC345" s="175"/>
      <c r="CD345" s="175"/>
    </row>
    <row r="346" spans="80:82" ht="14.25">
      <c r="CB346" s="175"/>
      <c r="CC346" s="175"/>
      <c r="CD346" s="175"/>
    </row>
    <row r="347" spans="80:82" ht="14.25">
      <c r="CB347" s="175"/>
      <c r="CC347" s="175"/>
      <c r="CD347" s="175"/>
    </row>
    <row r="348" spans="80:82" ht="14.25">
      <c r="CB348" s="175"/>
      <c r="CC348" s="175"/>
      <c r="CD348" s="175"/>
    </row>
    <row r="349" spans="80:82" ht="14.25">
      <c r="CB349" s="175"/>
      <c r="CC349" s="175"/>
      <c r="CD349" s="175"/>
    </row>
    <row r="350" spans="80:82" ht="14.25">
      <c r="CB350" s="175"/>
      <c r="CC350" s="175"/>
      <c r="CD350" s="175"/>
    </row>
    <row r="351" spans="80:82" ht="14.25">
      <c r="CB351" s="175"/>
      <c r="CC351" s="175"/>
      <c r="CD351" s="175"/>
    </row>
    <row r="352" spans="80:82" ht="14.25">
      <c r="CB352" s="175"/>
      <c r="CC352" s="175"/>
      <c r="CD352" s="175"/>
    </row>
    <row r="353" spans="80:82" ht="14.25">
      <c r="CB353" s="175"/>
      <c r="CC353" s="175"/>
      <c r="CD353" s="175"/>
    </row>
    <row r="354" spans="80:82" ht="14.25">
      <c r="CB354" s="175"/>
      <c r="CC354" s="175"/>
      <c r="CD354" s="175"/>
    </row>
    <row r="355" spans="80:82" ht="14.25">
      <c r="CB355" s="175"/>
      <c r="CC355" s="175"/>
      <c r="CD355" s="175"/>
    </row>
    <row r="356" spans="80:82" ht="14.25">
      <c r="CB356" s="175"/>
      <c r="CC356" s="175"/>
      <c r="CD356" s="175"/>
    </row>
    <row r="357" spans="80:82" ht="14.25">
      <c r="CB357" s="175"/>
      <c r="CC357" s="175"/>
      <c r="CD357" s="175"/>
    </row>
    <row r="358" spans="80:82" ht="14.25">
      <c r="CB358" s="175"/>
      <c r="CC358" s="175"/>
      <c r="CD358" s="175"/>
    </row>
    <row r="359" spans="80:82" ht="14.25">
      <c r="CB359" s="175"/>
      <c r="CC359" s="175"/>
      <c r="CD359" s="175"/>
    </row>
    <row r="360" spans="80:82" ht="14.25">
      <c r="CB360" s="175"/>
      <c r="CC360" s="175"/>
      <c r="CD360" s="175"/>
    </row>
    <row r="361" spans="80:82" ht="14.25">
      <c r="CB361" s="175"/>
      <c r="CC361" s="175"/>
      <c r="CD361" s="175"/>
    </row>
    <row r="362" spans="80:82" ht="14.25">
      <c r="CB362" s="175"/>
      <c r="CC362" s="175"/>
      <c r="CD362" s="175"/>
    </row>
    <row r="363" spans="80:82" ht="14.25">
      <c r="CB363" s="175"/>
      <c r="CC363" s="175"/>
      <c r="CD363" s="175"/>
    </row>
    <row r="364" spans="80:82" ht="14.25">
      <c r="CB364" s="175"/>
      <c r="CC364" s="175"/>
      <c r="CD364" s="175"/>
    </row>
    <row r="365" spans="80:82" ht="14.25">
      <c r="CB365" s="175"/>
      <c r="CC365" s="175"/>
      <c r="CD365" s="175"/>
    </row>
    <row r="366" spans="80:82" ht="14.25">
      <c r="CB366" s="175"/>
      <c r="CC366" s="175"/>
      <c r="CD366" s="175"/>
    </row>
    <row r="367" spans="80:82" ht="14.25">
      <c r="CB367" s="175"/>
      <c r="CC367" s="175"/>
      <c r="CD367" s="175"/>
    </row>
    <row r="368" spans="80:82" ht="14.25">
      <c r="CB368" s="175"/>
      <c r="CC368" s="175"/>
      <c r="CD368" s="175"/>
    </row>
    <row r="369" spans="80:82" ht="14.25">
      <c r="CB369" s="175"/>
      <c r="CC369" s="175"/>
      <c r="CD369" s="175"/>
    </row>
    <row r="370" spans="80:82" ht="14.25">
      <c r="CB370" s="175"/>
      <c r="CC370" s="175"/>
      <c r="CD370" s="175"/>
    </row>
    <row r="371" spans="80:82" ht="14.25">
      <c r="CB371" s="175"/>
      <c r="CC371" s="175"/>
      <c r="CD371" s="175"/>
    </row>
    <row r="372" spans="80:82" ht="14.25">
      <c r="CB372" s="175"/>
      <c r="CC372" s="175"/>
      <c r="CD372" s="175"/>
    </row>
    <row r="373" spans="80:82" ht="14.25">
      <c r="CB373" s="175"/>
      <c r="CC373" s="175"/>
      <c r="CD373" s="175"/>
    </row>
    <row r="374" spans="80:82" ht="14.25">
      <c r="CB374" s="175"/>
      <c r="CC374" s="175"/>
      <c r="CD374" s="175"/>
    </row>
    <row r="375" spans="80:82" ht="14.25">
      <c r="CB375" s="175"/>
      <c r="CC375" s="175"/>
      <c r="CD375" s="175"/>
    </row>
    <row r="376" spans="80:82" ht="14.25">
      <c r="CB376" s="175"/>
      <c r="CC376" s="175"/>
      <c r="CD376" s="175"/>
    </row>
    <row r="377" spans="80:82" ht="14.25">
      <c r="CB377" s="175"/>
      <c r="CC377" s="175"/>
      <c r="CD377" s="175"/>
    </row>
    <row r="378" spans="80:82" ht="14.25">
      <c r="CB378" s="175"/>
      <c r="CC378" s="175"/>
      <c r="CD378" s="175"/>
    </row>
    <row r="379" spans="80:82" ht="14.25">
      <c r="CB379" s="175"/>
      <c r="CC379" s="175"/>
      <c r="CD379" s="175"/>
    </row>
    <row r="380" spans="80:82" ht="14.25">
      <c r="CB380" s="175"/>
      <c r="CC380" s="175"/>
      <c r="CD380" s="175"/>
    </row>
    <row r="381" spans="80:82" ht="14.25">
      <c r="CB381" s="175"/>
      <c r="CC381" s="175"/>
      <c r="CD381" s="175"/>
    </row>
    <row r="382" spans="80:82" ht="14.25">
      <c r="CB382" s="175"/>
      <c r="CC382" s="175"/>
      <c r="CD382" s="175"/>
    </row>
    <row r="383" spans="80:82" ht="14.25">
      <c r="CB383" s="175"/>
      <c r="CC383" s="175"/>
      <c r="CD383" s="175"/>
    </row>
    <row r="384" spans="80:82" ht="14.25">
      <c r="CB384" s="175"/>
      <c r="CC384" s="175"/>
      <c r="CD384" s="175"/>
    </row>
    <row r="385" spans="80:82" ht="14.25">
      <c r="CB385" s="175"/>
      <c r="CC385" s="175"/>
      <c r="CD385" s="17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4"/>
  <sheetViews>
    <sheetView zoomScale="75" zoomScaleNormal="75" workbookViewId="0" topLeftCell="B13">
      <selection activeCell="D15" sqref="D15:L46"/>
    </sheetView>
  </sheetViews>
  <sheetFormatPr defaultColWidth="9.140625" defaultRowHeight="12.75"/>
  <cols>
    <col min="3" max="15" width="18.28125" style="0" customWidth="1"/>
  </cols>
  <sheetData>
    <row r="1" spans="1:17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 t="s">
        <v>365</v>
      </c>
      <c r="K4" s="9"/>
      <c r="L4" s="9"/>
      <c r="M4" s="9"/>
      <c r="N4" s="9"/>
      <c r="O4" s="9"/>
      <c r="P4" s="9"/>
      <c r="Q4" s="9"/>
    </row>
    <row r="5" spans="1:17" ht="12.75">
      <c r="A5" s="9"/>
      <c r="B5" s="9" t="s">
        <v>367</v>
      </c>
      <c r="C5" s="148">
        <v>7.9</v>
      </c>
      <c r="D5" s="148">
        <v>15.83</v>
      </c>
      <c r="E5" s="148">
        <v>15.84</v>
      </c>
      <c r="F5" s="148">
        <v>22.14</v>
      </c>
      <c r="G5" s="148">
        <v>19.42</v>
      </c>
      <c r="H5" s="148">
        <v>5.2</v>
      </c>
      <c r="I5" s="148"/>
      <c r="J5" s="148">
        <f>SUM(C5:I5)</f>
        <v>86.33</v>
      </c>
      <c r="K5" s="9"/>
      <c r="L5" s="9"/>
      <c r="M5" s="9"/>
      <c r="N5" s="9"/>
      <c r="O5" s="9"/>
      <c r="P5" s="9"/>
      <c r="Q5" s="9"/>
    </row>
    <row r="6" spans="1:17" ht="12.75">
      <c r="A6" s="9"/>
      <c r="B6" s="9" t="s">
        <v>368</v>
      </c>
      <c r="C6" s="148">
        <v>7.9</v>
      </c>
      <c r="D6" s="148">
        <v>15.83</v>
      </c>
      <c r="E6" s="148">
        <f>15.8+1.7</f>
        <v>17.5</v>
      </c>
      <c r="F6" s="148">
        <v>15.9</v>
      </c>
      <c r="G6" s="148">
        <v>15.9</v>
      </c>
      <c r="H6" s="148">
        <v>15.9</v>
      </c>
      <c r="I6" s="148">
        <v>5.199</v>
      </c>
      <c r="J6" s="148">
        <f>SUM(C6:I6)</f>
        <v>94.129</v>
      </c>
      <c r="K6" s="9"/>
      <c r="L6" s="9"/>
      <c r="M6" s="9"/>
      <c r="N6" s="9"/>
      <c r="O6" s="9"/>
      <c r="P6" s="9"/>
      <c r="Q6" s="9"/>
    </row>
    <row r="7" spans="1:17" ht="12.75">
      <c r="A7" s="9"/>
      <c r="B7" s="9" t="s">
        <v>364</v>
      </c>
      <c r="C7" s="148">
        <v>6.062</v>
      </c>
      <c r="D7" s="148">
        <v>13.658</v>
      </c>
      <c r="E7" s="148">
        <v>18.238</v>
      </c>
      <c r="F7" s="148">
        <v>15.425</v>
      </c>
      <c r="G7" s="148">
        <v>13.289</v>
      </c>
      <c r="H7" s="148">
        <v>12.748</v>
      </c>
      <c r="I7" s="148">
        <v>2.466</v>
      </c>
      <c r="J7" s="148">
        <f>SUM(C7:I7)</f>
        <v>81.886</v>
      </c>
      <c r="K7" s="9"/>
      <c r="L7" s="9"/>
      <c r="M7" s="9"/>
      <c r="N7" s="9"/>
      <c r="O7" s="9"/>
      <c r="P7" s="9"/>
      <c r="Q7" s="9"/>
    </row>
    <row r="8" spans="1:17" ht="12.75">
      <c r="A8" s="9"/>
      <c r="B8" s="9" t="s">
        <v>172</v>
      </c>
      <c r="C8" s="148"/>
      <c r="D8" s="148"/>
      <c r="E8" s="148">
        <v>0.8</v>
      </c>
      <c r="F8" s="148">
        <v>3</v>
      </c>
      <c r="G8" s="148">
        <v>2.6</v>
      </c>
      <c r="H8" s="148">
        <v>3.1</v>
      </c>
      <c r="I8" s="148">
        <v>2.742</v>
      </c>
      <c r="J8" s="148">
        <f>SUM(C8:I8)</f>
        <v>12.242</v>
      </c>
      <c r="K8" s="9"/>
      <c r="L8" s="9"/>
      <c r="M8" s="9"/>
      <c r="N8" s="9"/>
      <c r="O8" s="9"/>
      <c r="P8" s="9"/>
      <c r="Q8" s="9"/>
    </row>
    <row r="9" spans="1:17" ht="12.75">
      <c r="A9" s="9"/>
      <c r="B9" s="9" t="s">
        <v>369</v>
      </c>
      <c r="C9" s="148">
        <f>+C5</f>
        <v>7.9</v>
      </c>
      <c r="D9" s="148">
        <f>+C9+D5</f>
        <v>23.73</v>
      </c>
      <c r="E9" s="148">
        <f>+D9+E5</f>
        <v>39.57</v>
      </c>
      <c r="F9" s="148">
        <f>+E9+F5</f>
        <v>61.71</v>
      </c>
      <c r="G9" s="148">
        <f>+F9+G5</f>
        <v>81.13</v>
      </c>
      <c r="H9" s="148">
        <f>+G9+H5</f>
        <v>86.33</v>
      </c>
      <c r="I9" s="149">
        <f>+H9</f>
        <v>86.33</v>
      </c>
      <c r="J9" s="148"/>
      <c r="K9" s="9"/>
      <c r="L9" s="9"/>
      <c r="M9" s="9"/>
      <c r="N9" s="9"/>
      <c r="O9" s="9"/>
      <c r="P9" s="9"/>
      <c r="Q9" s="9"/>
    </row>
    <row r="10" spans="1:17" ht="12.75">
      <c r="A10" s="9"/>
      <c r="B10" s="9" t="s">
        <v>370</v>
      </c>
      <c r="C10" s="150">
        <f>+C6</f>
        <v>7.9</v>
      </c>
      <c r="D10" s="150">
        <f aca="true" t="shared" si="0" ref="D10:I11">+C10+D6</f>
        <v>23.73</v>
      </c>
      <c r="E10" s="150">
        <f t="shared" si="0"/>
        <v>41.230000000000004</v>
      </c>
      <c r="F10" s="150">
        <f t="shared" si="0"/>
        <v>57.13</v>
      </c>
      <c r="G10" s="150">
        <f t="shared" si="0"/>
        <v>73.03</v>
      </c>
      <c r="H10" s="150">
        <f t="shared" si="0"/>
        <v>88.93</v>
      </c>
      <c r="I10" s="150">
        <f t="shared" si="0"/>
        <v>94.129</v>
      </c>
      <c r="J10" s="148"/>
      <c r="K10" s="9"/>
      <c r="L10" s="9"/>
      <c r="M10" s="9"/>
      <c r="N10" s="9"/>
      <c r="O10" s="9"/>
      <c r="P10" s="9"/>
      <c r="Q10" s="9"/>
    </row>
    <row r="11" spans="1:17" ht="12.75">
      <c r="A11" s="9"/>
      <c r="B11" s="9" t="s">
        <v>371</v>
      </c>
      <c r="C11" s="150">
        <f>+C7</f>
        <v>6.062</v>
      </c>
      <c r="D11" s="150">
        <f t="shared" si="0"/>
        <v>19.72</v>
      </c>
      <c r="E11" s="150">
        <f t="shared" si="0"/>
        <v>37.958</v>
      </c>
      <c r="F11" s="150">
        <f t="shared" si="0"/>
        <v>53.382999999999996</v>
      </c>
      <c r="G11" s="150">
        <f t="shared" si="0"/>
        <v>66.672</v>
      </c>
      <c r="H11" s="150">
        <f t="shared" si="0"/>
        <v>79.42</v>
      </c>
      <c r="I11" s="150">
        <f t="shared" si="0"/>
        <v>81.886</v>
      </c>
      <c r="J11" s="148"/>
      <c r="K11" s="9"/>
      <c r="L11" s="9"/>
      <c r="M11" s="9"/>
      <c r="N11" s="9"/>
      <c r="O11" s="9"/>
      <c r="P11" s="9"/>
      <c r="Q11" s="9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9.5" customHeight="1">
      <c r="A22" s="9"/>
      <c r="B22" s="15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9.5" customHeight="1">
      <c r="A23" s="9"/>
      <c r="B23" s="15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9.5" customHeight="1">
      <c r="A24" s="151" t="s">
        <v>366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9.5" customHeight="1">
      <c r="A25" s="9"/>
      <c r="B25" s="9"/>
      <c r="C25" s="15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9.5" customHeight="1">
      <c r="A26" s="9"/>
      <c r="B26" s="9"/>
      <c r="C26" s="15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9.5" customHeight="1">
      <c r="A27" s="9"/>
      <c r="B27" s="9"/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9.5" customHeight="1">
      <c r="A28" s="9"/>
      <c r="B28" s="9"/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9.5" customHeight="1">
      <c r="A29" s="9"/>
      <c r="B29" s="9"/>
      <c r="C29" s="15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2.75">
      <c r="A32" s="9"/>
      <c r="B32" s="9"/>
      <c r="C32" s="15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2.75">
      <c r="A33" s="9"/>
      <c r="B33" s="9"/>
      <c r="C33" s="15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2.75">
      <c r="A34" s="9"/>
      <c r="B34" s="9"/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2.75">
      <c r="A35" s="151">
        <v>0.24801079386681524</v>
      </c>
      <c r="B35" s="9"/>
      <c r="C35" s="152"/>
      <c r="D35" s="152"/>
      <c r="E35" s="15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2.75">
      <c r="A36" s="152"/>
      <c r="B36" s="9"/>
      <c r="C36" s="152"/>
      <c r="D36" s="152"/>
      <c r="E36" s="15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2.75">
      <c r="A37" s="152"/>
      <c r="B37" s="9"/>
      <c r="C37" s="152"/>
      <c r="D37" s="152"/>
      <c r="E37" s="15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2.75">
      <c r="A38" s="152"/>
      <c r="B38" s="9"/>
      <c r="C38" s="152"/>
      <c r="D38" s="152"/>
      <c r="E38" s="15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2.75">
      <c r="A39" s="152"/>
      <c r="B39" s="9"/>
      <c r="C39" s="152"/>
      <c r="D39" s="152"/>
      <c r="E39" s="15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2.75">
      <c r="A40" s="152"/>
      <c r="B40" s="9"/>
      <c r="C40" s="152"/>
      <c r="D40" s="152"/>
      <c r="E40" s="152"/>
      <c r="F40" s="9"/>
      <c r="G40" s="172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2.75">
      <c r="A41" s="152"/>
      <c r="B41" s="9"/>
      <c r="C41" s="152"/>
      <c r="D41" s="152"/>
      <c r="E41" s="15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20.25">
      <c r="A42" s="152"/>
      <c r="B42" s="9"/>
      <c r="C42" s="152"/>
      <c r="D42" s="153"/>
      <c r="E42" s="154" t="s">
        <v>119</v>
      </c>
      <c r="F42" s="154" t="s">
        <v>120</v>
      </c>
      <c r="G42" s="154" t="s">
        <v>121</v>
      </c>
      <c r="H42" s="154" t="s">
        <v>122</v>
      </c>
      <c r="I42" s="154" t="s">
        <v>123</v>
      </c>
      <c r="J42" s="154" t="s">
        <v>124</v>
      </c>
      <c r="K42" s="154" t="s">
        <v>125</v>
      </c>
      <c r="L42" s="153" t="s">
        <v>365</v>
      </c>
      <c r="M42" s="155"/>
      <c r="N42" s="9"/>
      <c r="O42" s="9"/>
      <c r="P42" s="9"/>
      <c r="Q42" s="9"/>
    </row>
    <row r="43" spans="1:17" ht="20.25">
      <c r="A43" s="152"/>
      <c r="B43" s="151">
        <v>0.22014308865035648</v>
      </c>
      <c r="C43" s="9"/>
      <c r="D43" s="153" t="s">
        <v>372</v>
      </c>
      <c r="E43" s="156">
        <v>7.897</v>
      </c>
      <c r="F43" s="156">
        <v>15.921</v>
      </c>
      <c r="G43" s="156">
        <f>15.8+1.7</f>
        <v>17.5</v>
      </c>
      <c r="H43" s="156">
        <v>15.9</v>
      </c>
      <c r="I43" s="156">
        <v>15.9</v>
      </c>
      <c r="J43" s="156">
        <v>15.9</v>
      </c>
      <c r="K43" s="156">
        <v>3.383</v>
      </c>
      <c r="L43" s="156">
        <f>SUM(E43:K43)</f>
        <v>92.401</v>
      </c>
      <c r="M43" s="155"/>
      <c r="N43" s="9"/>
      <c r="O43" s="9"/>
      <c r="P43" s="9"/>
      <c r="Q43" s="9"/>
    </row>
    <row r="44" spans="1:17" ht="20.25">
      <c r="A44" s="9"/>
      <c r="B44" s="151"/>
      <c r="C44" s="9"/>
      <c r="D44" s="157" t="s">
        <v>364</v>
      </c>
      <c r="E44" s="158">
        <v>5.9419</v>
      </c>
      <c r="F44" s="158">
        <v>14.239349</v>
      </c>
      <c r="G44" s="158">
        <f>18.162</f>
        <v>18.162</v>
      </c>
      <c r="H44" s="158">
        <v>17.515</v>
      </c>
      <c r="I44" s="158">
        <v>13.409</v>
      </c>
      <c r="J44" s="158">
        <v>11.14</v>
      </c>
      <c r="K44" s="158">
        <v>2.331</v>
      </c>
      <c r="L44" s="158">
        <f>SUM(E44:K44)</f>
        <v>82.73824900000001</v>
      </c>
      <c r="M44" s="159"/>
      <c r="N44" s="9"/>
      <c r="O44" s="9"/>
      <c r="P44" s="9"/>
      <c r="Q44" s="9"/>
    </row>
    <row r="45" spans="1:17" ht="20.25">
      <c r="A45" s="9"/>
      <c r="B45" s="151">
        <v>0.05</v>
      </c>
      <c r="C45" s="9"/>
      <c r="D45" s="160" t="s">
        <v>172</v>
      </c>
      <c r="E45" s="161"/>
      <c r="F45" s="161"/>
      <c r="G45" s="161"/>
      <c r="H45" s="161">
        <v>1.295</v>
      </c>
      <c r="I45" s="161">
        <v>2.518</v>
      </c>
      <c r="J45" s="161">
        <v>4.75</v>
      </c>
      <c r="K45" s="161">
        <v>1.049</v>
      </c>
      <c r="L45" s="161">
        <f>SUM(E45:K45)</f>
        <v>9.611999999999998</v>
      </c>
      <c r="M45" s="159"/>
      <c r="N45" s="9"/>
      <c r="O45" s="9"/>
      <c r="P45" s="9"/>
      <c r="Q45" s="9"/>
    </row>
    <row r="46" spans="1:17" ht="20.25">
      <c r="A46" s="9"/>
      <c r="B46" s="151">
        <v>0.1</v>
      </c>
      <c r="C46" s="9"/>
      <c r="D46" s="153" t="s">
        <v>9</v>
      </c>
      <c r="E46" s="162">
        <f>SUM(E44:E45)</f>
        <v>5.9419</v>
      </c>
      <c r="F46" s="162">
        <f aca="true" t="shared" si="1" ref="F46:K46">SUM(F44:F45)</f>
        <v>14.239349</v>
      </c>
      <c r="G46" s="162">
        <f t="shared" si="1"/>
        <v>18.162</v>
      </c>
      <c r="H46" s="162">
        <f t="shared" si="1"/>
        <v>18.810000000000002</v>
      </c>
      <c r="I46" s="162">
        <f t="shared" si="1"/>
        <v>15.927</v>
      </c>
      <c r="J46" s="162">
        <f t="shared" si="1"/>
        <v>15.89</v>
      </c>
      <c r="K46" s="162">
        <f t="shared" si="1"/>
        <v>3.38</v>
      </c>
      <c r="L46" s="162">
        <f>SUM(L44:L45)</f>
        <v>92.350249</v>
      </c>
      <c r="M46" s="163"/>
      <c r="N46" s="9"/>
      <c r="O46" s="9"/>
      <c r="P46" s="9"/>
      <c r="Q46" s="9"/>
    </row>
    <row r="47" spans="1:17" ht="18.75">
      <c r="A47" s="9"/>
      <c r="B47" s="151">
        <v>0.334858046224092</v>
      </c>
      <c r="C47" s="9"/>
      <c r="D47" s="9"/>
      <c r="E47" s="9"/>
      <c r="F47" s="9"/>
      <c r="G47" s="9"/>
      <c r="H47" s="9"/>
      <c r="I47" s="9"/>
      <c r="J47" s="9"/>
      <c r="K47" s="9"/>
      <c r="L47" s="173"/>
      <c r="M47" s="164"/>
      <c r="N47" s="9"/>
      <c r="O47" s="9"/>
      <c r="P47" s="9"/>
      <c r="Q47" s="9"/>
    </row>
    <row r="48" spans="1:17" ht="20.25">
      <c r="A48" s="9"/>
      <c r="B48" s="151">
        <v>0.19578569925803052</v>
      </c>
      <c r="C48" s="9"/>
      <c r="D48" s="165" t="s">
        <v>373</v>
      </c>
      <c r="E48" s="166">
        <f>+E43</f>
        <v>7.897</v>
      </c>
      <c r="F48" s="166">
        <f aca="true" t="shared" si="2" ref="F48:K49">+E48+F43</f>
        <v>23.817999999999998</v>
      </c>
      <c r="G48" s="166">
        <f t="shared" si="2"/>
        <v>41.318</v>
      </c>
      <c r="H48" s="166">
        <f t="shared" si="2"/>
        <v>57.217999999999996</v>
      </c>
      <c r="I48" s="166">
        <f t="shared" si="2"/>
        <v>73.118</v>
      </c>
      <c r="J48" s="166">
        <f t="shared" si="2"/>
        <v>89.018</v>
      </c>
      <c r="K48" s="166">
        <f t="shared" si="2"/>
        <v>92.401</v>
      </c>
      <c r="L48" s="9"/>
      <c r="M48" s="155"/>
      <c r="N48" s="9"/>
      <c r="O48" s="9"/>
      <c r="P48" s="9"/>
      <c r="Q48" s="9"/>
    </row>
    <row r="49" spans="1:17" ht="20.25">
      <c r="A49" s="9"/>
      <c r="B49" s="151">
        <v>0.11239991731944626</v>
      </c>
      <c r="C49" s="9"/>
      <c r="D49" s="167" t="s">
        <v>10</v>
      </c>
      <c r="E49" s="168">
        <f>+E44</f>
        <v>5.9419</v>
      </c>
      <c r="F49" s="169">
        <f t="shared" si="2"/>
        <v>20.181249</v>
      </c>
      <c r="G49" s="169">
        <f t="shared" si="2"/>
        <v>38.343249</v>
      </c>
      <c r="H49" s="169">
        <f t="shared" si="2"/>
        <v>55.858249</v>
      </c>
      <c r="I49" s="169">
        <f t="shared" si="2"/>
        <v>69.267249</v>
      </c>
      <c r="J49" s="169">
        <f t="shared" si="2"/>
        <v>80.40724900000001</v>
      </c>
      <c r="K49" s="169">
        <f t="shared" si="2"/>
        <v>82.73824900000001</v>
      </c>
      <c r="L49" s="9"/>
      <c r="M49" s="9"/>
      <c r="N49" s="9"/>
      <c r="O49" s="9"/>
      <c r="P49" s="9"/>
      <c r="Q49" s="9"/>
    </row>
    <row r="50" spans="1:17" ht="12.75">
      <c r="A50" s="9"/>
      <c r="B50" s="151">
        <v>0.2201430886503562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20.25">
      <c r="A51" s="9"/>
      <c r="B51" s="9"/>
      <c r="C51" s="9"/>
      <c r="D51" s="170" t="s">
        <v>374</v>
      </c>
      <c r="E51" s="171">
        <f>+E46</f>
        <v>5.9419</v>
      </c>
      <c r="F51" s="171">
        <f aca="true" t="shared" si="3" ref="F51:K51">+E51+F46</f>
        <v>20.181249</v>
      </c>
      <c r="G51" s="171">
        <f t="shared" si="3"/>
        <v>38.343249</v>
      </c>
      <c r="H51" s="171">
        <f t="shared" si="3"/>
        <v>57.153249</v>
      </c>
      <c r="I51" s="171">
        <f t="shared" si="3"/>
        <v>73.08024900000001</v>
      </c>
      <c r="J51" s="171">
        <f t="shared" si="3"/>
        <v>88.97024900000001</v>
      </c>
      <c r="K51" s="171">
        <f t="shared" si="3"/>
        <v>92.350249</v>
      </c>
      <c r="L51" s="9"/>
      <c r="M51" s="9"/>
      <c r="N51" s="9"/>
      <c r="O51" s="9"/>
      <c r="P51" s="9"/>
      <c r="Q51" s="9"/>
    </row>
    <row r="52" spans="1:1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2.75">
      <c r="A53" s="9"/>
      <c r="B53" s="9"/>
      <c r="C53" s="9"/>
      <c r="D53" s="9" t="s">
        <v>0</v>
      </c>
      <c r="E53" s="9"/>
      <c r="F53" s="9"/>
      <c r="G53" s="9">
        <v>-0.415</v>
      </c>
      <c r="H53" s="9">
        <v>-1.047</v>
      </c>
      <c r="I53" s="9">
        <v>-0.7120000000000001</v>
      </c>
      <c r="J53" s="9">
        <v>0.151</v>
      </c>
      <c r="K53" s="9">
        <v>0.121</v>
      </c>
      <c r="L53" s="9"/>
      <c r="M53" s="9"/>
      <c r="N53" s="9"/>
      <c r="O53" s="9"/>
      <c r="P53" s="9"/>
      <c r="Q53" s="9"/>
    </row>
    <row r="54" spans="1:17" ht="12.75">
      <c r="A54" s="9"/>
      <c r="B54" s="9"/>
      <c r="C54" s="9"/>
      <c r="D54" s="9" t="s">
        <v>1</v>
      </c>
      <c r="E54" s="9"/>
      <c r="F54" s="9">
        <f aca="true" t="shared" si="4" ref="F54:K54">-F53</f>
        <v>0</v>
      </c>
      <c r="G54" s="9">
        <f t="shared" si="4"/>
        <v>0.415</v>
      </c>
      <c r="H54" s="9">
        <f t="shared" si="4"/>
        <v>1.047</v>
      </c>
      <c r="I54" s="9">
        <f t="shared" si="4"/>
        <v>0.7120000000000001</v>
      </c>
      <c r="J54" s="9">
        <f t="shared" si="4"/>
        <v>-0.151</v>
      </c>
      <c r="K54" s="9">
        <f t="shared" si="4"/>
        <v>-0.121</v>
      </c>
      <c r="L54" s="9"/>
      <c r="M54" s="9"/>
      <c r="N54" s="9"/>
      <c r="O54" s="9"/>
      <c r="P54" s="9"/>
      <c r="Q54" s="9"/>
    </row>
    <row r="55" spans="1:1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2.75">
      <c r="A58" s="9"/>
      <c r="B58" s="9"/>
      <c r="C58" s="9"/>
      <c r="D58" s="9"/>
      <c r="E58" s="9" t="s">
        <v>2</v>
      </c>
      <c r="F58" s="9">
        <f>SUM(G58:L58)</f>
        <v>-0.24</v>
      </c>
      <c r="G58" s="9">
        <v>-0.12</v>
      </c>
      <c r="H58" s="9">
        <v>-0.12</v>
      </c>
      <c r="I58" s="9"/>
      <c r="J58" s="9"/>
      <c r="K58" s="9"/>
      <c r="L58" s="9"/>
      <c r="M58" s="9"/>
      <c r="N58" s="9"/>
      <c r="O58" s="9"/>
      <c r="P58" s="9"/>
      <c r="Q58" s="9"/>
    </row>
    <row r="59" spans="1:17" ht="12.75">
      <c r="A59" s="9"/>
      <c r="B59" s="9"/>
      <c r="C59" s="9"/>
      <c r="D59" s="9"/>
      <c r="E59" s="9" t="s">
        <v>3</v>
      </c>
      <c r="F59" s="9">
        <f aca="true" t="shared" si="5" ref="F59:F64">SUM(G59:L59)</f>
        <v>-0.6000000000000001</v>
      </c>
      <c r="G59" s="9">
        <v>-0.2</v>
      </c>
      <c r="H59" s="9">
        <v>-0.2</v>
      </c>
      <c r="I59" s="9">
        <v>-0.2</v>
      </c>
      <c r="J59" s="9"/>
      <c r="K59" s="9"/>
      <c r="L59" s="9"/>
      <c r="M59" s="9"/>
      <c r="N59" s="9"/>
      <c r="O59" s="9"/>
      <c r="P59" s="9"/>
      <c r="Q59" s="9"/>
    </row>
    <row r="60" spans="1:17" ht="12.75">
      <c r="A60" s="9"/>
      <c r="B60" s="9"/>
      <c r="C60" s="9"/>
      <c r="D60" s="9"/>
      <c r="E60" s="9" t="s">
        <v>4</v>
      </c>
      <c r="F60" s="9">
        <f t="shared" si="5"/>
        <v>-0.64</v>
      </c>
      <c r="G60" s="9"/>
      <c r="H60" s="9">
        <v>-0.32</v>
      </c>
      <c r="I60" s="9">
        <v>-0.32</v>
      </c>
      <c r="J60" s="9"/>
      <c r="K60" s="9"/>
      <c r="L60" s="9"/>
      <c r="M60" s="9"/>
      <c r="N60" s="9"/>
      <c r="O60" s="9"/>
      <c r="P60" s="9"/>
      <c r="Q60" s="9"/>
    </row>
    <row r="61" spans="1:17" ht="12.75">
      <c r="A61" s="9"/>
      <c r="B61" s="9"/>
      <c r="C61" s="9"/>
      <c r="D61" s="9"/>
      <c r="E61" s="9" t="s">
        <v>5</v>
      </c>
      <c r="F61" s="9">
        <f t="shared" si="5"/>
        <v>-0.095</v>
      </c>
      <c r="G61" s="9">
        <v>-0.095</v>
      </c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2.75">
      <c r="A62" s="9"/>
      <c r="B62" s="9"/>
      <c r="C62" s="9"/>
      <c r="D62" s="9"/>
      <c r="E62" s="9" t="s">
        <v>5</v>
      </c>
      <c r="F62" s="9">
        <f t="shared" si="5"/>
        <v>-0.097</v>
      </c>
      <c r="G62" s="9"/>
      <c r="H62" s="9">
        <v>-0.097</v>
      </c>
      <c r="I62" s="9"/>
      <c r="J62" s="9"/>
      <c r="K62" s="9"/>
      <c r="L62" s="9"/>
      <c r="M62" s="9"/>
      <c r="N62" s="9"/>
      <c r="O62" s="9"/>
      <c r="P62" s="9"/>
      <c r="Q62" s="9"/>
    </row>
    <row r="63" spans="1:17" ht="12.75">
      <c r="A63" s="9"/>
      <c r="B63" s="9"/>
      <c r="C63" s="9"/>
      <c r="D63" s="9"/>
      <c r="E63" s="9" t="s">
        <v>6</v>
      </c>
      <c r="F63" s="9">
        <f t="shared" si="5"/>
        <v>-0.3</v>
      </c>
      <c r="G63" s="9"/>
      <c r="H63" s="9">
        <v>-0.15</v>
      </c>
      <c r="I63" s="9">
        <v>-0.15</v>
      </c>
      <c r="J63" s="9"/>
      <c r="K63" s="9"/>
      <c r="L63" s="9"/>
      <c r="M63" s="9"/>
      <c r="N63" s="9"/>
      <c r="O63" s="9"/>
      <c r="P63" s="9"/>
      <c r="Q63" s="9"/>
    </row>
    <row r="64" spans="1:17" ht="12.75">
      <c r="A64" s="9"/>
      <c r="B64" s="9"/>
      <c r="C64" s="9"/>
      <c r="D64" s="9"/>
      <c r="E64" s="9" t="s">
        <v>7</v>
      </c>
      <c r="F64" s="9">
        <f t="shared" si="5"/>
        <v>-0.32</v>
      </c>
      <c r="G64" s="9"/>
      <c r="H64" s="9">
        <v>-0.16</v>
      </c>
      <c r="I64" s="9">
        <v>-0.16</v>
      </c>
      <c r="J64" s="9"/>
      <c r="K64" s="9"/>
      <c r="L64" s="9"/>
      <c r="M64" s="9"/>
      <c r="N64" s="9"/>
      <c r="O64" s="9"/>
      <c r="P64" s="9"/>
      <c r="Q64" s="9"/>
    </row>
    <row r="65" spans="1:17" ht="12.75">
      <c r="A65" s="9"/>
      <c r="B65" s="9"/>
      <c r="C65" s="9"/>
      <c r="D65" s="9"/>
      <c r="E65" s="9" t="s">
        <v>8</v>
      </c>
      <c r="F65" s="9">
        <f>SUM(G65:L66)</f>
        <v>0.48</v>
      </c>
      <c r="G65" s="9"/>
      <c r="H65" s="9"/>
      <c r="I65" s="9">
        <v>0.118</v>
      </c>
      <c r="J65" s="9">
        <v>0.151</v>
      </c>
      <c r="K65" s="9">
        <v>0.121</v>
      </c>
      <c r="L65" s="9"/>
      <c r="M65" s="9"/>
      <c r="N65" s="9"/>
      <c r="O65" s="9"/>
      <c r="P65" s="9"/>
      <c r="Q65" s="9"/>
    </row>
    <row r="66" spans="1:17" ht="12.75">
      <c r="A66" s="9"/>
      <c r="B66" s="9"/>
      <c r="C66" s="9"/>
      <c r="D66" s="9"/>
      <c r="E66" s="9"/>
      <c r="F66" s="9"/>
      <c r="G66" s="9"/>
      <c r="H66" s="9"/>
      <c r="I66" s="9"/>
      <c r="J66" s="9">
        <v>0.09</v>
      </c>
      <c r="K66" s="9"/>
      <c r="L66" s="9"/>
      <c r="M66" s="9"/>
      <c r="N66" s="9"/>
      <c r="O66" s="9"/>
      <c r="P66" s="9"/>
      <c r="Q66" s="9"/>
    </row>
    <row r="67" spans="1:1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E1">
      <selection activeCell="Q6" sqref="Q6"/>
    </sheetView>
  </sheetViews>
  <sheetFormatPr defaultColWidth="9.140625" defaultRowHeight="12.75"/>
  <cols>
    <col min="2" max="2" width="7.7109375" style="0" bestFit="1" customWidth="1"/>
    <col min="3" max="4" width="7.7109375" style="0" customWidth="1"/>
    <col min="5" max="5" width="10.421875" style="0" bestFit="1" customWidth="1"/>
    <col min="6" max="6" width="44.7109375" style="0" bestFit="1" customWidth="1"/>
    <col min="7" max="15" width="10.421875" style="1" customWidth="1"/>
    <col min="16" max="16" width="10.421875" style="0" bestFit="1" customWidth="1"/>
    <col min="17" max="17" width="10.28125" style="0" bestFit="1" customWidth="1"/>
  </cols>
  <sheetData>
    <row r="1" spans="2:16" ht="12.75">
      <c r="B1" t="s">
        <v>126</v>
      </c>
      <c r="E1" t="s">
        <v>127</v>
      </c>
      <c r="F1" t="s">
        <v>128</v>
      </c>
      <c r="G1" s="1" t="s">
        <v>175</v>
      </c>
      <c r="H1" s="1" t="s">
        <v>176</v>
      </c>
      <c r="I1" s="1" t="s">
        <v>177</v>
      </c>
      <c r="J1" s="28" t="s">
        <v>205</v>
      </c>
      <c r="K1" s="1" t="s">
        <v>178</v>
      </c>
      <c r="L1" s="1" t="s">
        <v>179</v>
      </c>
      <c r="M1" s="1" t="s">
        <v>180</v>
      </c>
      <c r="N1" s="1" t="s">
        <v>181</v>
      </c>
      <c r="O1" s="1" t="s">
        <v>182</v>
      </c>
      <c r="P1" t="s">
        <v>127</v>
      </c>
    </row>
    <row r="2" spans="2:18" ht="12.75">
      <c r="B2" s="6">
        <f aca="true" t="shared" si="0" ref="B2:B17">SUM(G2:I2)</f>
        <v>0.1</v>
      </c>
      <c r="C2" s="6"/>
      <c r="D2" s="6">
        <f>SUM(K2:N2)</f>
        <v>0</v>
      </c>
      <c r="E2">
        <v>11</v>
      </c>
      <c r="F2" t="s">
        <v>129</v>
      </c>
      <c r="G2" s="1">
        <v>0.1</v>
      </c>
      <c r="O2" s="1">
        <f>SUM(G2:N2)</f>
        <v>0.1</v>
      </c>
      <c r="P2">
        <v>11</v>
      </c>
      <c r="R2" s="6"/>
    </row>
    <row r="3" spans="2:16" ht="12.75">
      <c r="B3" s="6">
        <f t="shared" si="0"/>
        <v>6252</v>
      </c>
      <c r="C3" s="6"/>
      <c r="D3" s="6">
        <f aca="true" t="shared" si="1" ref="D3:D43">SUM(K3:N3)</f>
        <v>3254.7000000000003</v>
      </c>
      <c r="E3">
        <v>12</v>
      </c>
      <c r="F3" t="s">
        <v>130</v>
      </c>
      <c r="G3" s="1">
        <v>1217.4</v>
      </c>
      <c r="H3" s="1">
        <v>1663.3</v>
      </c>
      <c r="I3" s="1">
        <f>3371.3</f>
        <v>3371.3</v>
      </c>
      <c r="J3" s="1">
        <v>-68</v>
      </c>
      <c r="K3" s="1">
        <f>2970.4</f>
        <v>2970.4</v>
      </c>
      <c r="L3" s="1">
        <v>194.9</v>
      </c>
      <c r="M3" s="1">
        <v>89.4</v>
      </c>
      <c r="O3" s="1">
        <f aca="true" t="shared" si="2" ref="O3:O43">SUM(G3:N3)</f>
        <v>9438.699999999999</v>
      </c>
      <c r="P3">
        <v>12</v>
      </c>
    </row>
    <row r="4" spans="2:16" ht="12.75">
      <c r="B4" s="6">
        <f t="shared" si="0"/>
        <v>1265.8999999999999</v>
      </c>
      <c r="C4" s="6"/>
      <c r="D4" s="6">
        <f t="shared" si="1"/>
        <v>3316.3</v>
      </c>
      <c r="E4">
        <v>13</v>
      </c>
      <c r="F4" t="s">
        <v>131</v>
      </c>
      <c r="G4" s="1">
        <v>91.7</v>
      </c>
      <c r="H4" s="1">
        <v>333.9</v>
      </c>
      <c r="I4" s="1">
        <v>840.3</v>
      </c>
      <c r="J4" s="1">
        <v>245</v>
      </c>
      <c r="K4" s="1">
        <v>1277.9</v>
      </c>
      <c r="L4" s="1">
        <v>917.1</v>
      </c>
      <c r="M4" s="1">
        <v>1121.3</v>
      </c>
      <c r="O4" s="1">
        <f t="shared" si="2"/>
        <v>4827.2</v>
      </c>
      <c r="P4">
        <v>13</v>
      </c>
    </row>
    <row r="5" spans="2:16" ht="12.75">
      <c r="B5" s="6">
        <f t="shared" si="0"/>
        <v>17722.9</v>
      </c>
      <c r="C5" s="6"/>
      <c r="D5" s="6">
        <f t="shared" si="1"/>
        <v>12584.500000000002</v>
      </c>
      <c r="E5">
        <v>14</v>
      </c>
      <c r="F5" t="s">
        <v>132</v>
      </c>
      <c r="G5" s="1">
        <v>2424.8</v>
      </c>
      <c r="H5" s="1">
        <v>7314.1</v>
      </c>
      <c r="I5" s="1">
        <f>7958+26</f>
        <v>7984</v>
      </c>
      <c r="J5" s="1">
        <v>1043.5</v>
      </c>
      <c r="K5" s="1">
        <f>8577.7-26</f>
        <v>8551.7</v>
      </c>
      <c r="L5" s="1">
        <v>3945.6</v>
      </c>
      <c r="M5" s="1">
        <v>87.2</v>
      </c>
      <c r="O5" s="1">
        <f t="shared" si="2"/>
        <v>31350.9</v>
      </c>
      <c r="P5">
        <v>14</v>
      </c>
    </row>
    <row r="6" spans="2:17" ht="12.75">
      <c r="B6" s="6">
        <f t="shared" si="0"/>
        <v>78.9</v>
      </c>
      <c r="C6" s="6"/>
      <c r="D6" s="6">
        <f t="shared" si="1"/>
        <v>1308.3</v>
      </c>
      <c r="E6">
        <v>15</v>
      </c>
      <c r="F6" t="s">
        <v>133</v>
      </c>
      <c r="H6" s="1">
        <v>34.6</v>
      </c>
      <c r="I6" s="1">
        <v>44.3</v>
      </c>
      <c r="J6" s="1">
        <v>-1</v>
      </c>
      <c r="K6" s="1">
        <v>130.6</v>
      </c>
      <c r="L6" s="1">
        <v>1173</v>
      </c>
      <c r="M6" s="1">
        <v>4.7</v>
      </c>
      <c r="O6" s="1">
        <f t="shared" si="2"/>
        <v>1386.2</v>
      </c>
      <c r="P6">
        <v>15</v>
      </c>
      <c r="Q6" s="6">
        <f>SUM(K9:N9)</f>
        <v>3945.4</v>
      </c>
    </row>
    <row r="7" spans="2:16" ht="12.75">
      <c r="B7" s="6">
        <f t="shared" si="0"/>
        <v>0</v>
      </c>
      <c r="C7" s="6"/>
      <c r="D7" s="6">
        <f t="shared" si="1"/>
        <v>1135</v>
      </c>
      <c r="E7">
        <v>16</v>
      </c>
      <c r="F7" t="s">
        <v>134</v>
      </c>
      <c r="J7" s="1">
        <v>0</v>
      </c>
      <c r="L7" s="1">
        <v>660</v>
      </c>
      <c r="M7" s="1">
        <v>475</v>
      </c>
      <c r="O7" s="1">
        <f t="shared" si="2"/>
        <v>1135</v>
      </c>
      <c r="P7">
        <v>16</v>
      </c>
    </row>
    <row r="8" spans="2:16" ht="12.75">
      <c r="B8" s="6">
        <f t="shared" si="0"/>
        <v>193.2</v>
      </c>
      <c r="C8" s="6"/>
      <c r="D8" s="6">
        <f t="shared" si="1"/>
        <v>1161.9</v>
      </c>
      <c r="E8">
        <v>17</v>
      </c>
      <c r="F8" t="s">
        <v>135</v>
      </c>
      <c r="G8" s="1">
        <v>12.2</v>
      </c>
      <c r="H8" s="1">
        <v>80.9</v>
      </c>
      <c r="I8" s="1">
        <v>100.1</v>
      </c>
      <c r="J8" s="1">
        <v>178</v>
      </c>
      <c r="K8" s="1">
        <v>5.5</v>
      </c>
      <c r="L8" s="1">
        <v>618.1</v>
      </c>
      <c r="M8" s="1">
        <v>531.2</v>
      </c>
      <c r="N8" s="1">
        <v>7.1</v>
      </c>
      <c r="O8" s="1">
        <f t="shared" si="2"/>
        <v>1533.1</v>
      </c>
      <c r="P8">
        <v>17</v>
      </c>
    </row>
    <row r="9" spans="2:16" ht="12.75">
      <c r="B9" s="6">
        <f t="shared" si="0"/>
        <v>1356.9</v>
      </c>
      <c r="C9" s="6"/>
      <c r="D9" s="6">
        <f t="shared" si="1"/>
        <v>3945.4</v>
      </c>
      <c r="E9">
        <v>18</v>
      </c>
      <c r="F9" t="s">
        <v>136</v>
      </c>
      <c r="G9" s="1">
        <v>60.8</v>
      </c>
      <c r="H9" s="1">
        <v>362.5</v>
      </c>
      <c r="I9" s="1">
        <v>933.6</v>
      </c>
      <c r="J9" s="1">
        <v>-22</v>
      </c>
      <c r="K9" s="1">
        <v>1175.9</v>
      </c>
      <c r="L9" s="1">
        <v>1704.4</v>
      </c>
      <c r="M9" s="1">
        <v>1053.5</v>
      </c>
      <c r="N9" s="1">
        <v>11.6</v>
      </c>
      <c r="O9" s="1">
        <f t="shared" si="2"/>
        <v>5280.300000000001</v>
      </c>
      <c r="P9">
        <v>18</v>
      </c>
    </row>
    <row r="10" spans="1:17" ht="12.75">
      <c r="A10" s="6">
        <f>SUM(B2:B10)</f>
        <v>28345.600000000006</v>
      </c>
      <c r="B10" s="6">
        <f t="shared" si="0"/>
        <v>1475.7</v>
      </c>
      <c r="C10" s="6"/>
      <c r="D10" s="6">
        <f t="shared" si="1"/>
        <v>1282.5000000000002</v>
      </c>
      <c r="E10">
        <v>19</v>
      </c>
      <c r="F10" t="s">
        <v>137</v>
      </c>
      <c r="G10" s="1">
        <v>254.2</v>
      </c>
      <c r="H10" s="1">
        <v>640.7</v>
      </c>
      <c r="I10" s="1">
        <v>580.8</v>
      </c>
      <c r="J10" s="1">
        <v>9</v>
      </c>
      <c r="K10" s="1">
        <v>515.7</v>
      </c>
      <c r="L10" s="1">
        <v>361.6</v>
      </c>
      <c r="M10" s="1">
        <v>251.5</v>
      </c>
      <c r="N10" s="1">
        <v>153.7</v>
      </c>
      <c r="O10" s="1">
        <f t="shared" si="2"/>
        <v>2767.2</v>
      </c>
      <c r="P10">
        <v>19</v>
      </c>
      <c r="Q10" s="6">
        <f>SUM(O2:O10)</f>
        <v>57718.7</v>
      </c>
    </row>
    <row r="11" spans="2:17" ht="12.75">
      <c r="B11" s="6">
        <f t="shared" si="0"/>
        <v>0</v>
      </c>
      <c r="C11" s="6"/>
      <c r="D11" s="6">
        <f t="shared" si="1"/>
        <v>88.1</v>
      </c>
      <c r="E11">
        <v>21</v>
      </c>
      <c r="F11" t="s">
        <v>138</v>
      </c>
      <c r="L11" s="1">
        <v>52.7</v>
      </c>
      <c r="M11" s="1">
        <v>35.4</v>
      </c>
      <c r="O11" s="1">
        <f t="shared" si="2"/>
        <v>88.1</v>
      </c>
      <c r="P11">
        <v>21</v>
      </c>
      <c r="Q11" s="6">
        <f>SUM(O11:O13)</f>
        <v>791.4</v>
      </c>
    </row>
    <row r="12" spans="2:16" ht="12.75">
      <c r="B12" s="6">
        <f t="shared" si="0"/>
        <v>63.7</v>
      </c>
      <c r="C12" s="6">
        <f>SUM(D11:D12)</f>
        <v>443.29999999999995</v>
      </c>
      <c r="D12" s="6">
        <f t="shared" si="1"/>
        <v>355.2</v>
      </c>
      <c r="E12">
        <v>22</v>
      </c>
      <c r="F12" t="s">
        <v>139</v>
      </c>
      <c r="G12" s="1">
        <v>63.7</v>
      </c>
      <c r="L12" s="1">
        <v>125.5</v>
      </c>
      <c r="M12" s="1">
        <v>229.7</v>
      </c>
      <c r="O12" s="1">
        <f t="shared" si="2"/>
        <v>418.9</v>
      </c>
      <c r="P12">
        <v>22</v>
      </c>
    </row>
    <row r="13" spans="2:16" ht="12.75">
      <c r="B13" s="6">
        <f t="shared" si="0"/>
        <v>284.4</v>
      </c>
      <c r="C13" s="6"/>
      <c r="D13" s="6">
        <f t="shared" si="1"/>
        <v>0</v>
      </c>
      <c r="E13">
        <v>25</v>
      </c>
      <c r="F13" t="s">
        <v>140</v>
      </c>
      <c r="G13" s="1">
        <v>123</v>
      </c>
      <c r="H13" s="1">
        <v>161.4</v>
      </c>
      <c r="O13" s="1">
        <f t="shared" si="2"/>
        <v>284.4</v>
      </c>
      <c r="P13">
        <v>25</v>
      </c>
    </row>
    <row r="14" spans="2:17" ht="12.75">
      <c r="B14" s="6">
        <f t="shared" si="0"/>
        <v>100.2</v>
      </c>
      <c r="C14" s="6">
        <f>SUM(D14:D17)</f>
        <v>744.2</v>
      </c>
      <c r="D14" s="6">
        <f t="shared" si="1"/>
        <v>421.9</v>
      </c>
      <c r="E14">
        <v>31</v>
      </c>
      <c r="F14" t="s">
        <v>141</v>
      </c>
      <c r="I14" s="1">
        <v>100.2</v>
      </c>
      <c r="J14" s="1">
        <v>30</v>
      </c>
      <c r="K14" s="1">
        <v>314.2</v>
      </c>
      <c r="L14" s="1">
        <v>92.5</v>
      </c>
      <c r="M14" s="1">
        <v>15.2</v>
      </c>
      <c r="O14" s="1">
        <f t="shared" si="2"/>
        <v>552.1</v>
      </c>
      <c r="P14">
        <v>31</v>
      </c>
      <c r="Q14" s="6">
        <f>SUM(O14:O17)</f>
        <v>1149.3000000000002</v>
      </c>
    </row>
    <row r="15" spans="2:16" ht="12.75">
      <c r="B15" s="6">
        <f t="shared" si="0"/>
        <v>0</v>
      </c>
      <c r="C15" s="6"/>
      <c r="D15" s="6">
        <f t="shared" si="1"/>
        <v>45.6</v>
      </c>
      <c r="E15">
        <v>36</v>
      </c>
      <c r="F15" t="s">
        <v>142</v>
      </c>
      <c r="L15" s="1">
        <v>5.7</v>
      </c>
      <c r="M15" s="1">
        <v>39.9</v>
      </c>
      <c r="O15" s="1">
        <f t="shared" si="2"/>
        <v>45.6</v>
      </c>
      <c r="P15">
        <v>36</v>
      </c>
    </row>
    <row r="16" spans="2:16" ht="12.75">
      <c r="B16" s="6">
        <f t="shared" si="0"/>
        <v>0</v>
      </c>
      <c r="C16" s="6"/>
      <c r="D16" s="6">
        <f t="shared" si="1"/>
        <v>206.2</v>
      </c>
      <c r="E16">
        <v>38</v>
      </c>
      <c r="F16" t="s">
        <v>143</v>
      </c>
      <c r="M16" s="1">
        <v>206.2</v>
      </c>
      <c r="O16" s="1">
        <f t="shared" si="2"/>
        <v>206.2</v>
      </c>
      <c r="P16">
        <v>38</v>
      </c>
    </row>
    <row r="17" spans="2:16" ht="12.75">
      <c r="B17" s="6">
        <f t="shared" si="0"/>
        <v>286.9</v>
      </c>
      <c r="C17" s="6"/>
      <c r="D17" s="6">
        <f t="shared" si="1"/>
        <v>70.5</v>
      </c>
      <c r="E17">
        <v>39</v>
      </c>
      <c r="F17" t="s">
        <v>144</v>
      </c>
      <c r="G17" s="1">
        <v>155.5</v>
      </c>
      <c r="H17" s="1">
        <v>65</v>
      </c>
      <c r="I17" s="1">
        <v>66.4</v>
      </c>
      <c r="J17" s="1">
        <v>-12</v>
      </c>
      <c r="K17" s="1">
        <v>70.5</v>
      </c>
      <c r="O17" s="1">
        <f t="shared" si="2"/>
        <v>345.4</v>
      </c>
      <c r="P17">
        <v>39</v>
      </c>
    </row>
    <row r="18" spans="2:17" ht="12.75">
      <c r="B18" s="6">
        <f aca="true" t="shared" si="3" ref="B18:B41">SUM(G18:I18)</f>
        <v>104.5</v>
      </c>
      <c r="C18" s="6">
        <f>SUM(D18:D22)</f>
        <v>2779.2</v>
      </c>
      <c r="D18" s="6">
        <f t="shared" si="1"/>
        <v>317.40000000000003</v>
      </c>
      <c r="E18">
        <v>41</v>
      </c>
      <c r="F18" t="s">
        <v>145</v>
      </c>
      <c r="H18" s="1">
        <v>85.8</v>
      </c>
      <c r="I18" s="1">
        <v>18.7</v>
      </c>
      <c r="J18" s="1">
        <v>2</v>
      </c>
      <c r="K18" s="1">
        <v>0.1</v>
      </c>
      <c r="L18" s="1">
        <v>288</v>
      </c>
      <c r="M18" s="1">
        <v>29.3</v>
      </c>
      <c r="O18" s="1">
        <f t="shared" si="2"/>
        <v>423.90000000000003</v>
      </c>
      <c r="P18">
        <v>41</v>
      </c>
      <c r="Q18" s="6">
        <f>SUM(O18:O22)</f>
        <v>3305.1000000000004</v>
      </c>
    </row>
    <row r="19" spans="2:16" ht="12.75">
      <c r="B19" s="6">
        <f t="shared" si="3"/>
        <v>156.9</v>
      </c>
      <c r="C19" s="6"/>
      <c r="D19" s="6">
        <f t="shared" si="1"/>
        <v>252.9</v>
      </c>
      <c r="E19">
        <v>43</v>
      </c>
      <c r="F19" t="s">
        <v>146</v>
      </c>
      <c r="I19" s="1">
        <v>156.9</v>
      </c>
      <c r="J19" s="1">
        <v>69</v>
      </c>
      <c r="K19" s="1">
        <v>38.4</v>
      </c>
      <c r="L19" s="1">
        <v>214.5</v>
      </c>
      <c r="O19" s="1">
        <f t="shared" si="2"/>
        <v>478.8</v>
      </c>
      <c r="P19">
        <v>43</v>
      </c>
    </row>
    <row r="20" spans="2:16" ht="12.75">
      <c r="B20" s="6">
        <f t="shared" si="3"/>
        <v>5.5</v>
      </c>
      <c r="C20" s="6"/>
      <c r="D20" s="6">
        <f t="shared" si="1"/>
        <v>1291.6</v>
      </c>
      <c r="E20">
        <v>44</v>
      </c>
      <c r="F20" t="s">
        <v>147</v>
      </c>
      <c r="H20" s="1">
        <v>1.1</v>
      </c>
      <c r="I20" s="1">
        <v>4.4</v>
      </c>
      <c r="J20" s="1">
        <v>49</v>
      </c>
      <c r="L20" s="1">
        <v>842.5</v>
      </c>
      <c r="M20" s="1">
        <v>431.3</v>
      </c>
      <c r="N20" s="1">
        <v>17.8</v>
      </c>
      <c r="O20" s="1">
        <f t="shared" si="2"/>
        <v>1346.1</v>
      </c>
      <c r="P20">
        <v>44</v>
      </c>
    </row>
    <row r="21" spans="2:16" ht="12.75">
      <c r="B21" s="6">
        <f t="shared" si="3"/>
        <v>189.7</v>
      </c>
      <c r="C21" s="6"/>
      <c r="D21" s="6">
        <f t="shared" si="1"/>
        <v>917.3</v>
      </c>
      <c r="E21">
        <v>45</v>
      </c>
      <c r="F21" t="s">
        <v>148</v>
      </c>
      <c r="G21" s="1">
        <v>112.3</v>
      </c>
      <c r="H21" s="1">
        <v>29.9</v>
      </c>
      <c r="I21" s="1">
        <v>47.5</v>
      </c>
      <c r="J21" s="1">
        <v>-52</v>
      </c>
      <c r="K21" s="1">
        <v>129.2</v>
      </c>
      <c r="L21" s="1">
        <v>350.4</v>
      </c>
      <c r="M21" s="1">
        <v>437.7</v>
      </c>
      <c r="O21" s="1">
        <f t="shared" si="2"/>
        <v>1055</v>
      </c>
      <c r="P21">
        <v>45</v>
      </c>
    </row>
    <row r="22" spans="2:16" ht="12.75">
      <c r="B22" s="6">
        <f t="shared" si="3"/>
        <v>1.3</v>
      </c>
      <c r="C22" s="6"/>
      <c r="D22" s="6">
        <f t="shared" si="1"/>
        <v>0</v>
      </c>
      <c r="E22">
        <v>46</v>
      </c>
      <c r="F22" t="s">
        <v>149</v>
      </c>
      <c r="G22" s="1">
        <v>1.3</v>
      </c>
      <c r="O22" s="1">
        <f t="shared" si="2"/>
        <v>1.3</v>
      </c>
      <c r="P22">
        <v>46</v>
      </c>
    </row>
    <row r="23" spans="2:17" ht="12.75">
      <c r="B23" s="6">
        <f t="shared" si="3"/>
        <v>27.9</v>
      </c>
      <c r="C23" s="6">
        <f>SUM(D23:D29)</f>
        <v>1840.1999999999998</v>
      </c>
      <c r="D23" s="6">
        <f t="shared" si="1"/>
        <v>280.4</v>
      </c>
      <c r="E23">
        <v>51</v>
      </c>
      <c r="F23" t="s">
        <v>150</v>
      </c>
      <c r="G23" s="1">
        <v>11.9</v>
      </c>
      <c r="H23" s="1">
        <v>16</v>
      </c>
      <c r="M23" s="1">
        <v>280.4</v>
      </c>
      <c r="O23" s="1">
        <f t="shared" si="2"/>
        <v>308.29999999999995</v>
      </c>
      <c r="P23">
        <v>51</v>
      </c>
      <c r="Q23" s="6">
        <f>SUM(O23:O29)</f>
        <v>1873.6</v>
      </c>
    </row>
    <row r="24" spans="2:16" ht="12.75">
      <c r="B24" s="6">
        <f t="shared" si="3"/>
        <v>0</v>
      </c>
      <c r="C24" s="6"/>
      <c r="D24" s="6">
        <f t="shared" si="1"/>
        <v>530.1</v>
      </c>
      <c r="E24">
        <v>52</v>
      </c>
      <c r="F24" t="s">
        <v>151</v>
      </c>
      <c r="L24" s="1">
        <v>9.4</v>
      </c>
      <c r="M24" s="1">
        <v>429.1</v>
      </c>
      <c r="N24" s="1">
        <v>91.6</v>
      </c>
      <c r="O24" s="1">
        <f t="shared" si="2"/>
        <v>530.1</v>
      </c>
      <c r="P24">
        <v>52</v>
      </c>
    </row>
    <row r="25" spans="2:16" ht="12.75">
      <c r="B25" s="6">
        <f t="shared" si="3"/>
        <v>0</v>
      </c>
      <c r="C25" s="6"/>
      <c r="D25" s="6">
        <f t="shared" si="1"/>
        <v>329.1</v>
      </c>
      <c r="E25">
        <v>53</v>
      </c>
      <c r="F25" t="s">
        <v>152</v>
      </c>
      <c r="L25" s="1">
        <v>11.1</v>
      </c>
      <c r="M25" s="1">
        <v>299.1</v>
      </c>
      <c r="N25" s="1">
        <v>18.9</v>
      </c>
      <c r="O25" s="1">
        <f t="shared" si="2"/>
        <v>329.1</v>
      </c>
      <c r="P25">
        <v>53</v>
      </c>
    </row>
    <row r="26" spans="2:16" ht="12.75">
      <c r="B26" s="6">
        <f t="shared" si="3"/>
        <v>0</v>
      </c>
      <c r="C26" s="6"/>
      <c r="D26" s="6">
        <f t="shared" si="1"/>
        <v>195.8</v>
      </c>
      <c r="E26">
        <v>54</v>
      </c>
      <c r="F26" t="s">
        <v>153</v>
      </c>
      <c r="M26" s="1">
        <v>195.8</v>
      </c>
      <c r="O26" s="1">
        <f t="shared" si="2"/>
        <v>195.8</v>
      </c>
      <c r="P26">
        <v>54</v>
      </c>
    </row>
    <row r="27" spans="2:16" ht="12.75">
      <c r="B27" s="6">
        <f t="shared" si="3"/>
        <v>0</v>
      </c>
      <c r="C27" s="6"/>
      <c r="D27" s="6">
        <f t="shared" si="1"/>
        <v>179.3</v>
      </c>
      <c r="E27">
        <v>55</v>
      </c>
      <c r="F27" t="s">
        <v>154</v>
      </c>
      <c r="M27" s="1">
        <v>179.3</v>
      </c>
      <c r="O27" s="1">
        <f t="shared" si="2"/>
        <v>179.3</v>
      </c>
      <c r="P27">
        <v>55</v>
      </c>
    </row>
    <row r="28" spans="2:16" ht="12.75">
      <c r="B28" s="6">
        <f t="shared" si="3"/>
        <v>0</v>
      </c>
      <c r="C28" s="6"/>
      <c r="D28" s="6">
        <f t="shared" si="1"/>
        <v>325.5</v>
      </c>
      <c r="E28">
        <v>56</v>
      </c>
      <c r="F28" t="s">
        <v>155</v>
      </c>
      <c r="M28" s="1">
        <v>325.5</v>
      </c>
      <c r="O28" s="1">
        <f t="shared" si="2"/>
        <v>325.5</v>
      </c>
      <c r="P28">
        <v>56</v>
      </c>
    </row>
    <row r="29" spans="2:16" ht="12.75">
      <c r="B29" s="6">
        <f t="shared" si="3"/>
        <v>12.5</v>
      </c>
      <c r="C29" s="6"/>
      <c r="D29" s="6">
        <f t="shared" si="1"/>
        <v>0</v>
      </c>
      <c r="E29">
        <v>58</v>
      </c>
      <c r="F29" t="s">
        <v>156</v>
      </c>
      <c r="I29" s="1">
        <v>12.5</v>
      </c>
      <c r="J29" s="1">
        <v>-7</v>
      </c>
      <c r="O29" s="1">
        <f t="shared" si="2"/>
        <v>5.5</v>
      </c>
      <c r="P29">
        <v>58</v>
      </c>
    </row>
    <row r="30" spans="2:17" ht="12.75">
      <c r="B30" s="6">
        <f t="shared" si="3"/>
        <v>0</v>
      </c>
      <c r="C30" s="6">
        <f>SUM(D30:D33)</f>
        <v>654.1999999999999</v>
      </c>
      <c r="D30" s="6">
        <f t="shared" si="1"/>
        <v>92.3</v>
      </c>
      <c r="E30">
        <v>61</v>
      </c>
      <c r="F30" t="s">
        <v>157</v>
      </c>
      <c r="M30" s="1">
        <v>92.3</v>
      </c>
      <c r="O30" s="1">
        <f t="shared" si="2"/>
        <v>92.3</v>
      </c>
      <c r="P30">
        <v>61</v>
      </c>
      <c r="Q30" s="6">
        <f>SUM(O30:O33)</f>
        <v>678.5999999999999</v>
      </c>
    </row>
    <row r="31" spans="2:16" ht="12.75">
      <c r="B31" s="6">
        <f t="shared" si="3"/>
        <v>0</v>
      </c>
      <c r="C31" s="6"/>
      <c r="D31" s="6">
        <f t="shared" si="1"/>
        <v>455</v>
      </c>
      <c r="E31">
        <v>62</v>
      </c>
      <c r="F31" t="s">
        <v>158</v>
      </c>
      <c r="L31" s="1">
        <v>41.8</v>
      </c>
      <c r="M31" s="1">
        <v>413.2</v>
      </c>
      <c r="O31" s="1">
        <f t="shared" si="2"/>
        <v>455</v>
      </c>
      <c r="P31">
        <v>62</v>
      </c>
    </row>
    <row r="32" spans="2:16" ht="12.75">
      <c r="B32" s="6">
        <f t="shared" si="3"/>
        <v>0</v>
      </c>
      <c r="C32" s="6"/>
      <c r="D32" s="6">
        <f t="shared" si="1"/>
        <v>106.9</v>
      </c>
      <c r="E32">
        <v>63</v>
      </c>
      <c r="F32" t="s">
        <v>159</v>
      </c>
      <c r="M32" s="1">
        <v>106.9</v>
      </c>
      <c r="O32" s="1">
        <f t="shared" si="2"/>
        <v>106.9</v>
      </c>
      <c r="P32">
        <v>63</v>
      </c>
    </row>
    <row r="33" spans="2:16" ht="12.75">
      <c r="B33" s="6">
        <f t="shared" si="3"/>
        <v>24.4</v>
      </c>
      <c r="C33" s="6"/>
      <c r="D33" s="6">
        <f t="shared" si="1"/>
        <v>0</v>
      </c>
      <c r="E33">
        <v>65</v>
      </c>
      <c r="F33" t="s">
        <v>160</v>
      </c>
      <c r="G33" s="1">
        <v>9.4</v>
      </c>
      <c r="H33" s="1">
        <v>15</v>
      </c>
      <c r="O33" s="1">
        <f t="shared" si="2"/>
        <v>24.4</v>
      </c>
      <c r="P33">
        <v>65</v>
      </c>
    </row>
    <row r="34" spans="1:17" ht="12.75">
      <c r="A34" s="6">
        <f>SUM(B34:B39)</f>
        <v>768.6999999999999</v>
      </c>
      <c r="B34" s="6">
        <f t="shared" si="3"/>
        <v>32.2</v>
      </c>
      <c r="C34" s="6">
        <f>SUM(D34:D39)</f>
        <v>3666.9</v>
      </c>
      <c r="D34" s="6">
        <f t="shared" si="1"/>
        <v>0</v>
      </c>
      <c r="E34">
        <v>71</v>
      </c>
      <c r="F34" t="s">
        <v>161</v>
      </c>
      <c r="G34" s="1">
        <v>32.2</v>
      </c>
      <c r="O34" s="1">
        <f t="shared" si="2"/>
        <v>32.2</v>
      </c>
      <c r="P34">
        <v>71</v>
      </c>
      <c r="Q34" s="6">
        <f>SUM(O34:O39)</f>
        <v>4563.1</v>
      </c>
    </row>
    <row r="35" spans="2:17" ht="12.75">
      <c r="B35" s="6">
        <f t="shared" si="3"/>
        <v>0</v>
      </c>
      <c r="C35" s="6"/>
      <c r="D35" s="6">
        <f t="shared" si="1"/>
        <v>9.1</v>
      </c>
      <c r="E35">
        <v>72</v>
      </c>
      <c r="F35" t="s">
        <v>162</v>
      </c>
      <c r="L35" s="1">
        <v>9.1</v>
      </c>
      <c r="O35" s="1">
        <f t="shared" si="2"/>
        <v>9.1</v>
      </c>
      <c r="P35">
        <v>72</v>
      </c>
      <c r="Q35" s="6"/>
    </row>
    <row r="36" spans="2:16" ht="12.75">
      <c r="B36" s="6">
        <f t="shared" si="3"/>
        <v>120.7</v>
      </c>
      <c r="C36" s="6"/>
      <c r="D36" s="6">
        <f t="shared" si="1"/>
        <v>38.3</v>
      </c>
      <c r="E36">
        <v>73</v>
      </c>
      <c r="F36" t="s">
        <v>163</v>
      </c>
      <c r="I36" s="1">
        <v>120.7</v>
      </c>
      <c r="J36" s="1">
        <v>-50</v>
      </c>
      <c r="L36" s="1">
        <v>38.3</v>
      </c>
      <c r="O36" s="1">
        <f t="shared" si="2"/>
        <v>109</v>
      </c>
      <c r="P36">
        <v>73</v>
      </c>
    </row>
    <row r="37" spans="2:16" ht="12.75">
      <c r="B37" s="6">
        <f t="shared" si="3"/>
        <v>615.8</v>
      </c>
      <c r="C37" s="6"/>
      <c r="D37" s="6">
        <f t="shared" si="1"/>
        <v>959.2</v>
      </c>
      <c r="E37">
        <v>74</v>
      </c>
      <c r="F37" t="s">
        <v>164</v>
      </c>
      <c r="G37" s="1">
        <v>164</v>
      </c>
      <c r="H37" s="1">
        <v>238.2</v>
      </c>
      <c r="I37" s="1">
        <v>213.6</v>
      </c>
      <c r="J37" s="1">
        <v>177.5</v>
      </c>
      <c r="K37" s="1">
        <v>17.6</v>
      </c>
      <c r="L37" s="1">
        <v>188.5</v>
      </c>
      <c r="M37" s="1">
        <v>496.1</v>
      </c>
      <c r="N37" s="1">
        <v>257</v>
      </c>
      <c r="O37" s="1">
        <f t="shared" si="2"/>
        <v>1752.5</v>
      </c>
      <c r="P37">
        <v>74</v>
      </c>
    </row>
    <row r="38" spans="2:16" ht="12.75">
      <c r="B38" s="6">
        <f t="shared" si="3"/>
        <v>0</v>
      </c>
      <c r="C38" s="6"/>
      <c r="D38" s="6">
        <f t="shared" si="1"/>
        <v>2422.5</v>
      </c>
      <c r="E38">
        <v>75</v>
      </c>
      <c r="F38" t="s">
        <v>165</v>
      </c>
      <c r="L38" s="1">
        <v>74.6</v>
      </c>
      <c r="M38" s="1">
        <v>1664.4</v>
      </c>
      <c r="N38" s="1">
        <v>683.5</v>
      </c>
      <c r="O38" s="1">
        <f t="shared" si="2"/>
        <v>2422.5</v>
      </c>
      <c r="P38">
        <v>75</v>
      </c>
    </row>
    <row r="39" spans="2:16" ht="12.75">
      <c r="B39" s="6">
        <f t="shared" si="3"/>
        <v>0</v>
      </c>
      <c r="C39" s="6"/>
      <c r="D39" s="6">
        <f t="shared" si="1"/>
        <v>237.8</v>
      </c>
      <c r="E39">
        <v>76</v>
      </c>
      <c r="F39" t="s">
        <v>166</v>
      </c>
      <c r="M39" s="1">
        <v>176.4</v>
      </c>
      <c r="N39" s="1">
        <v>61.4</v>
      </c>
      <c r="O39" s="1">
        <f t="shared" si="2"/>
        <v>237.8</v>
      </c>
      <c r="P39">
        <v>76</v>
      </c>
    </row>
    <row r="40" spans="2:17" ht="12.75">
      <c r="B40" s="6">
        <f t="shared" si="3"/>
        <v>2921.5</v>
      </c>
      <c r="C40" s="6">
        <f>SUM(D40:D43)</f>
        <v>6284.6</v>
      </c>
      <c r="D40" s="6">
        <f t="shared" si="1"/>
        <v>3073.4</v>
      </c>
      <c r="E40">
        <v>81</v>
      </c>
      <c r="F40" t="s">
        <v>167</v>
      </c>
      <c r="G40" s="1">
        <v>557.9</v>
      </c>
      <c r="H40" s="1">
        <v>1221.8</v>
      </c>
      <c r="I40" s="1">
        <v>1141.8</v>
      </c>
      <c r="J40" s="1">
        <v>67</v>
      </c>
      <c r="K40" s="1">
        <v>1138.1</v>
      </c>
      <c r="L40" s="1">
        <v>1044.1</v>
      </c>
      <c r="M40" s="1">
        <v>758.9</v>
      </c>
      <c r="N40" s="1">
        <v>132.3</v>
      </c>
      <c r="O40" s="1">
        <f t="shared" si="2"/>
        <v>6061.900000000001</v>
      </c>
      <c r="P40">
        <v>81</v>
      </c>
      <c r="Q40" s="6">
        <f>SUM(O40:O44)</f>
        <v>12634.3</v>
      </c>
    </row>
    <row r="41" spans="2:16" ht="12.75">
      <c r="B41" s="6">
        <f t="shared" si="3"/>
        <v>2956.2000000000003</v>
      </c>
      <c r="C41" s="6"/>
      <c r="D41" s="6">
        <f t="shared" si="1"/>
        <v>2011.8999999999999</v>
      </c>
      <c r="E41">
        <v>82</v>
      </c>
      <c r="F41" t="s">
        <v>168</v>
      </c>
      <c r="G41" s="1">
        <v>518.9</v>
      </c>
      <c r="H41" s="1">
        <v>1230.9</v>
      </c>
      <c r="I41" s="1">
        <v>1206.4</v>
      </c>
      <c r="J41" s="1">
        <v>-65</v>
      </c>
      <c r="K41" s="1">
        <v>1180.6</v>
      </c>
      <c r="L41" s="1">
        <v>445.9</v>
      </c>
      <c r="M41" s="1">
        <v>322.6</v>
      </c>
      <c r="N41" s="1">
        <v>62.8</v>
      </c>
      <c r="O41" s="1">
        <f t="shared" si="2"/>
        <v>4903.1</v>
      </c>
      <c r="P41">
        <v>82</v>
      </c>
    </row>
    <row r="42" spans="2:16" ht="12.75">
      <c r="B42" s="6">
        <f>SUM(G42:I42)</f>
        <v>470</v>
      </c>
      <c r="C42" s="6"/>
      <c r="D42" s="6">
        <f t="shared" si="1"/>
        <v>0</v>
      </c>
      <c r="E42">
        <v>84</v>
      </c>
      <c r="F42" t="s">
        <v>169</v>
      </c>
      <c r="G42" s="1">
        <v>251.3</v>
      </c>
      <c r="H42" s="1">
        <v>218.7</v>
      </c>
      <c r="O42" s="1">
        <f t="shared" si="2"/>
        <v>470</v>
      </c>
      <c r="P42">
        <v>84</v>
      </c>
    </row>
    <row r="43" spans="4:16" ht="12.75">
      <c r="D43" s="6">
        <f t="shared" si="1"/>
        <v>1199.3000000000002</v>
      </c>
      <c r="E43">
        <v>85</v>
      </c>
      <c r="F43" t="s">
        <v>170</v>
      </c>
      <c r="M43" s="1">
        <v>365.1</v>
      </c>
      <c r="N43" s="1">
        <v>834.2</v>
      </c>
      <c r="O43" s="1">
        <f t="shared" si="2"/>
        <v>1199.3000000000002</v>
      </c>
      <c r="P43">
        <v>85</v>
      </c>
    </row>
    <row r="44" spans="7:14" ht="15">
      <c r="G44" s="2"/>
      <c r="H44" s="2"/>
      <c r="I44" s="2"/>
      <c r="J44" s="2"/>
      <c r="K44" s="2"/>
      <c r="L44" s="2"/>
      <c r="M44" s="2"/>
      <c r="N44" s="2"/>
    </row>
    <row r="45" spans="7:17" ht="12.75">
      <c r="G45" s="3">
        <f>SUM(G2:G44)</f>
        <v>6062.5999999999985</v>
      </c>
      <c r="H45" s="3">
        <f aca="true" t="shared" si="4" ref="H45:O45">SUM(H2:H44)</f>
        <v>13713.8</v>
      </c>
      <c r="I45" s="3">
        <f t="shared" si="4"/>
        <v>16943.5</v>
      </c>
      <c r="J45" s="3">
        <f t="shared" si="4"/>
        <v>1593</v>
      </c>
      <c r="K45" s="3">
        <f t="shared" si="4"/>
        <v>17516.4</v>
      </c>
      <c r="L45" s="3">
        <f t="shared" si="4"/>
        <v>13409.300000000001</v>
      </c>
      <c r="M45" s="3">
        <f t="shared" si="4"/>
        <v>11143.6</v>
      </c>
      <c r="N45" s="3">
        <f t="shared" si="4"/>
        <v>2331.8999999999996</v>
      </c>
      <c r="O45" s="3">
        <f t="shared" si="4"/>
        <v>82714.10000000002</v>
      </c>
      <c r="P45" s="6">
        <f>SUM(G45:N45)</f>
        <v>82714.09999999999</v>
      </c>
      <c r="Q45" s="1">
        <f>SUM(Q1:Q44)</f>
        <v>86659.50000000003</v>
      </c>
    </row>
    <row r="46" spans="9:11" ht="12.75">
      <c r="I46" s="7">
        <f>SUM(G45:I45)</f>
        <v>36719.899999999994</v>
      </c>
      <c r="K46" s="5">
        <f>SUM(K45:N45)</f>
        <v>44401.200000000004</v>
      </c>
    </row>
    <row r="47" spans="5:16" ht="12.75">
      <c r="E47" t="s">
        <v>171</v>
      </c>
      <c r="F47" t="s">
        <v>172</v>
      </c>
      <c r="I47" s="1">
        <v>1582</v>
      </c>
      <c r="J47" s="8">
        <f>+J49-I46</f>
        <v>1593</v>
      </c>
      <c r="K47" s="1">
        <v>1295</v>
      </c>
      <c r="L47" s="1">
        <v>2518</v>
      </c>
      <c r="M47" s="1">
        <v>4750</v>
      </c>
      <c r="N47" s="1">
        <v>1049</v>
      </c>
      <c r="O47" s="1">
        <f>SUM(K47:N47)</f>
        <v>9612</v>
      </c>
      <c r="P47" t="s">
        <v>171</v>
      </c>
    </row>
    <row r="48" spans="7:16" ht="15.75">
      <c r="G48" s="4">
        <f>SUM(G45,G47)</f>
        <v>6062.5999999999985</v>
      </c>
      <c r="H48" s="4">
        <f>SUM(H45,H47)</f>
        <v>13713.8</v>
      </c>
      <c r="I48" s="4">
        <f>SUM(I45:J45)</f>
        <v>18536.5</v>
      </c>
      <c r="J48" s="4"/>
      <c r="K48" s="4">
        <f>SUM(K45,K47)</f>
        <v>18811.4</v>
      </c>
      <c r="L48" s="4">
        <f>SUM(L45,L47)</f>
        <v>15927.300000000001</v>
      </c>
      <c r="M48" s="4">
        <f>SUM(M45,M47)</f>
        <v>15893.6</v>
      </c>
      <c r="N48" s="4">
        <f>SUM(N45,N47)</f>
        <v>3380.8999999999996</v>
      </c>
      <c r="O48" s="4">
        <f>SUM(G48:N48)</f>
        <v>92326.09999999999</v>
      </c>
      <c r="P48" s="6">
        <f>SUM(O45:O47)</f>
        <v>92326.10000000002</v>
      </c>
    </row>
    <row r="49" spans="9:10" ht="12.75">
      <c r="I49" s="7">
        <v>38313</v>
      </c>
      <c r="J49" s="7">
        <f>SUM(G45:J45)</f>
        <v>38312.899999999994</v>
      </c>
    </row>
    <row r="50" spans="5:16" ht="12.75">
      <c r="E50" t="s">
        <v>173</v>
      </c>
      <c r="F50" t="s">
        <v>174</v>
      </c>
      <c r="H50" s="8">
        <v>75</v>
      </c>
      <c r="O50" s="8">
        <v>75</v>
      </c>
      <c r="P50" s="8">
        <v>75</v>
      </c>
    </row>
    <row r="51" ht="12.75">
      <c r="P51" s="1"/>
    </row>
    <row r="52" spans="7:16" ht="15.75">
      <c r="G52" s="4"/>
      <c r="H52" s="4"/>
      <c r="I52" s="4"/>
      <c r="J52" s="4"/>
      <c r="K52" s="4">
        <f>SUM(G48:K48)</f>
        <v>57124.299999999996</v>
      </c>
      <c r="L52" s="4">
        <f>SUM(G48:L48)</f>
        <v>73051.59999999999</v>
      </c>
      <c r="M52" s="4"/>
      <c r="N52" s="4"/>
      <c r="O52" s="4">
        <f>SUM(O48:O50)</f>
        <v>92401.09999999999</v>
      </c>
      <c r="P52" s="4"/>
    </row>
    <row r="55" ht="12.75">
      <c r="I55" s="1">
        <f>SUM(G40:I40,G44:I44)</f>
        <v>2921.5</v>
      </c>
    </row>
    <row r="56" ht="12.75">
      <c r="I56" s="1">
        <f>SUM(G41:I41)</f>
        <v>2956.2000000000003</v>
      </c>
    </row>
    <row r="60" spans="7:14" ht="12.75">
      <c r="G60" s="1">
        <f>SUM(G40,G44)</f>
        <v>557.9</v>
      </c>
      <c r="H60" s="1">
        <f aca="true" t="shared" si="5" ref="H60:N60">SUM(H40,H44)</f>
        <v>1221.8</v>
      </c>
      <c r="I60" s="1">
        <f t="shared" si="5"/>
        <v>1141.8</v>
      </c>
      <c r="J60" s="1">
        <f t="shared" si="5"/>
        <v>67</v>
      </c>
      <c r="K60" s="1">
        <f t="shared" si="5"/>
        <v>1138.1</v>
      </c>
      <c r="L60" s="1">
        <f t="shared" si="5"/>
        <v>1044.1</v>
      </c>
      <c r="M60" s="1">
        <f t="shared" si="5"/>
        <v>758.9</v>
      </c>
      <c r="N60" s="1">
        <f t="shared" si="5"/>
        <v>132.3</v>
      </c>
    </row>
    <row r="65" ht="12.75">
      <c r="I65" s="1">
        <f>SUM(J49,K46,O47,O50)</f>
        <v>92401.1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80" zoomScaleNormal="80" workbookViewId="0" topLeftCell="A1">
      <selection activeCell="G25" sqref="G25:L39"/>
    </sheetView>
  </sheetViews>
  <sheetFormatPr defaultColWidth="9.140625" defaultRowHeight="12.75"/>
  <cols>
    <col min="1" max="1" width="6.7109375" style="0" customWidth="1"/>
    <col min="2" max="2" width="10.28125" style="0" customWidth="1"/>
    <col min="3" max="3" width="11.28125" style="0" hidden="1" customWidth="1"/>
    <col min="4" max="4" width="36.28125" style="0" customWidth="1"/>
    <col min="5" max="5" width="9.140625" style="29" customWidth="1"/>
    <col min="6" max="6" width="59.421875" style="0" customWidth="1"/>
    <col min="7" max="7" width="30.7109375" style="0" customWidth="1"/>
    <col min="8" max="8" width="8.57421875" style="0" customWidth="1"/>
    <col min="9" max="9" width="27.57421875" style="0" customWidth="1"/>
    <col min="10" max="10" width="1.421875" style="0" customWidth="1"/>
    <col min="12" max="12" width="28.57421875" style="0" customWidth="1"/>
  </cols>
  <sheetData>
    <row r="1" ht="15.75">
      <c r="A1" s="71" t="s">
        <v>206</v>
      </c>
    </row>
    <row r="2" spans="2:6" ht="12.75">
      <c r="B2" s="31" t="s">
        <v>289</v>
      </c>
      <c r="C2" s="31">
        <v>1203</v>
      </c>
      <c r="D2" t="s">
        <v>208</v>
      </c>
      <c r="E2" s="29">
        <v>204.3</v>
      </c>
      <c r="F2" t="s">
        <v>215</v>
      </c>
    </row>
    <row r="3" spans="2:6" ht="12.75">
      <c r="B3" s="31" t="s">
        <v>289</v>
      </c>
      <c r="C3" s="31">
        <v>1204</v>
      </c>
      <c r="D3" t="s">
        <v>211</v>
      </c>
      <c r="E3" s="29">
        <v>-97.8</v>
      </c>
      <c r="F3" t="s">
        <v>212</v>
      </c>
    </row>
    <row r="4" spans="2:6" ht="12.75">
      <c r="B4" s="31" t="s">
        <v>290</v>
      </c>
      <c r="C4" s="31" t="s">
        <v>238</v>
      </c>
      <c r="D4" t="s">
        <v>217</v>
      </c>
      <c r="E4" s="29">
        <v>432.3</v>
      </c>
      <c r="F4" t="s">
        <v>218</v>
      </c>
    </row>
    <row r="5" spans="2:6" ht="12.75">
      <c r="B5" s="31" t="s">
        <v>291</v>
      </c>
      <c r="C5" s="31">
        <v>1352</v>
      </c>
      <c r="D5" t="s">
        <v>232</v>
      </c>
      <c r="E5" s="29">
        <v>-466</v>
      </c>
      <c r="F5" t="s">
        <v>233</v>
      </c>
    </row>
    <row r="6" spans="2:6" ht="12.75">
      <c r="B6" s="31" t="s">
        <v>292</v>
      </c>
      <c r="C6" s="31">
        <v>1354</v>
      </c>
      <c r="D6" t="s">
        <v>234</v>
      </c>
      <c r="E6" s="29">
        <v>-154</v>
      </c>
      <c r="F6" t="s">
        <v>256</v>
      </c>
    </row>
    <row r="7" spans="2:6" ht="12.75">
      <c r="B7" s="31" t="s">
        <v>293</v>
      </c>
      <c r="C7" s="31">
        <v>1416</v>
      </c>
      <c r="D7" t="s">
        <v>219</v>
      </c>
      <c r="E7" s="29">
        <v>520.4</v>
      </c>
      <c r="F7" t="s">
        <v>214</v>
      </c>
    </row>
    <row r="8" spans="2:6" ht="12.75">
      <c r="B8" s="31" t="s">
        <v>293</v>
      </c>
      <c r="C8" s="31">
        <v>1451</v>
      </c>
      <c r="D8" t="s">
        <v>209</v>
      </c>
      <c r="E8" s="29">
        <v>241.5</v>
      </c>
      <c r="F8" t="s">
        <v>306</v>
      </c>
    </row>
    <row r="9" spans="2:6" ht="12.75">
      <c r="B9" s="31" t="s">
        <v>293</v>
      </c>
      <c r="C9" s="31">
        <v>1451</v>
      </c>
      <c r="D9" t="s">
        <v>210</v>
      </c>
      <c r="E9" s="29">
        <v>-258</v>
      </c>
      <c r="F9" t="s">
        <v>213</v>
      </c>
    </row>
    <row r="10" spans="2:6" ht="12.75">
      <c r="B10" s="31" t="s">
        <v>293</v>
      </c>
      <c r="C10" s="31">
        <v>1421</v>
      </c>
      <c r="D10" t="s">
        <v>220</v>
      </c>
      <c r="E10" s="29">
        <v>655.1</v>
      </c>
      <c r="F10" t="s">
        <v>221</v>
      </c>
    </row>
    <row r="11" spans="2:6" ht="12.75">
      <c r="B11" s="31" t="s">
        <v>293</v>
      </c>
      <c r="C11" s="31">
        <v>1411</v>
      </c>
      <c r="D11" t="s">
        <v>225</v>
      </c>
      <c r="E11" s="29">
        <v>68.5</v>
      </c>
      <c r="F11" t="s">
        <v>226</v>
      </c>
    </row>
    <row r="12" spans="2:5" ht="12.75">
      <c r="B12" s="31" t="s">
        <v>294</v>
      </c>
      <c r="C12" s="31">
        <v>1803</v>
      </c>
      <c r="D12" t="s">
        <v>216</v>
      </c>
      <c r="E12" s="29">
        <v>-40</v>
      </c>
    </row>
    <row r="13" spans="2:6" ht="12.75">
      <c r="B13" s="31" t="s">
        <v>294</v>
      </c>
      <c r="C13" s="31">
        <v>1803</v>
      </c>
      <c r="D13" t="s">
        <v>222</v>
      </c>
      <c r="E13" s="29">
        <v>-50</v>
      </c>
      <c r="F13" t="s">
        <v>223</v>
      </c>
    </row>
    <row r="14" spans="2:6" ht="12.75">
      <c r="B14" s="31" t="s">
        <v>295</v>
      </c>
      <c r="C14" s="31">
        <v>3101</v>
      </c>
      <c r="D14" t="s">
        <v>224</v>
      </c>
      <c r="E14" s="29">
        <v>61.7</v>
      </c>
      <c r="F14" t="s">
        <v>254</v>
      </c>
    </row>
    <row r="15" spans="2:6" ht="12.75">
      <c r="B15" s="31" t="s">
        <v>296</v>
      </c>
      <c r="C15" s="31">
        <v>3801</v>
      </c>
      <c r="D15" t="s">
        <v>230</v>
      </c>
      <c r="E15" s="29">
        <v>-103.9</v>
      </c>
      <c r="F15" t="s">
        <v>231</v>
      </c>
    </row>
    <row r="16" spans="2:6" ht="12.75">
      <c r="B16" s="31" t="s">
        <v>297</v>
      </c>
      <c r="C16" s="31">
        <v>8101</v>
      </c>
      <c r="D16" t="s">
        <v>236</v>
      </c>
      <c r="E16" s="29">
        <v>-53.9</v>
      </c>
      <c r="F16" t="s">
        <v>237</v>
      </c>
    </row>
    <row r="17" spans="2:6" ht="12.75">
      <c r="B17" s="31" t="s">
        <v>279</v>
      </c>
      <c r="C17" s="31">
        <v>8205</v>
      </c>
      <c r="D17" t="s">
        <v>255</v>
      </c>
      <c r="E17" s="29">
        <v>84</v>
      </c>
      <c r="F17" t="s">
        <v>227</v>
      </c>
    </row>
    <row r="18" spans="2:6" ht="12.75">
      <c r="B18" s="31" t="s">
        <v>298</v>
      </c>
      <c r="C18" s="31" t="s">
        <v>239</v>
      </c>
      <c r="D18" t="s">
        <v>228</v>
      </c>
      <c r="E18" s="29">
        <v>-100</v>
      </c>
      <c r="F18" t="s">
        <v>229</v>
      </c>
    </row>
    <row r="19" spans="2:5" ht="12.75">
      <c r="B19" s="31" t="s">
        <v>235</v>
      </c>
      <c r="D19" t="s">
        <v>257</v>
      </c>
      <c r="E19" s="30">
        <v>-180</v>
      </c>
    </row>
    <row r="20" spans="2:5" ht="12.75">
      <c r="B20" s="31"/>
      <c r="E20" s="32">
        <f>SUM(E2:E19)</f>
        <v>764.2000000000003</v>
      </c>
    </row>
    <row r="21" spans="1:2" ht="15.75">
      <c r="A21" s="71" t="s">
        <v>207</v>
      </c>
      <c r="B21" s="31"/>
    </row>
    <row r="22" spans="2:6" ht="12.75">
      <c r="B22" s="31" t="s">
        <v>299</v>
      </c>
      <c r="C22">
        <v>1301</v>
      </c>
      <c r="D22" t="s">
        <v>240</v>
      </c>
      <c r="E22" s="29">
        <v>119</v>
      </c>
      <c r="F22" t="s">
        <v>241</v>
      </c>
    </row>
    <row r="23" spans="2:5" ht="12.75">
      <c r="B23" s="31" t="s">
        <v>299</v>
      </c>
      <c r="C23" t="s">
        <v>242</v>
      </c>
      <c r="D23" t="s">
        <v>243</v>
      </c>
      <c r="E23" s="29">
        <v>149</v>
      </c>
    </row>
    <row r="24" spans="2:5" ht="12.75">
      <c r="B24" s="31" t="s">
        <v>293</v>
      </c>
      <c r="C24">
        <v>1403</v>
      </c>
      <c r="D24" t="s">
        <v>244</v>
      </c>
      <c r="E24" s="29">
        <v>409</v>
      </c>
    </row>
    <row r="25" spans="2:5" ht="12.75">
      <c r="B25" s="31" t="s">
        <v>293</v>
      </c>
      <c r="C25" t="s">
        <v>245</v>
      </c>
      <c r="D25" t="s">
        <v>246</v>
      </c>
      <c r="E25" s="29">
        <f>88+62</f>
        <v>150</v>
      </c>
    </row>
    <row r="26" spans="2:9" ht="12.75">
      <c r="B26" s="31" t="s">
        <v>293</v>
      </c>
      <c r="C26">
        <v>1411</v>
      </c>
      <c r="D26" t="s">
        <v>247</v>
      </c>
      <c r="E26" s="29">
        <v>137</v>
      </c>
      <c r="F26" t="s">
        <v>248</v>
      </c>
      <c r="I26" s="81"/>
    </row>
    <row r="27" spans="2:5" ht="12.75">
      <c r="B27" s="31" t="s">
        <v>293</v>
      </c>
      <c r="C27">
        <v>1411</v>
      </c>
      <c r="D27" t="s">
        <v>249</v>
      </c>
      <c r="E27" s="29">
        <v>110</v>
      </c>
    </row>
    <row r="28" spans="2:5" ht="12.75">
      <c r="B28" s="31" t="s">
        <v>300</v>
      </c>
      <c r="C28">
        <v>1701</v>
      </c>
      <c r="D28" t="s">
        <v>250</v>
      </c>
      <c r="E28" s="29">
        <v>178</v>
      </c>
    </row>
    <row r="29" spans="2:7" ht="12.75">
      <c r="B29" s="31" t="s">
        <v>301</v>
      </c>
      <c r="C29">
        <v>7401</v>
      </c>
      <c r="D29" t="s">
        <v>251</v>
      </c>
      <c r="E29" s="29">
        <v>178</v>
      </c>
      <c r="G29" s="72"/>
    </row>
    <row r="30" spans="2:7" ht="12.75">
      <c r="B30" s="31" t="s">
        <v>302</v>
      </c>
      <c r="C30" t="s">
        <v>252</v>
      </c>
      <c r="D30" t="s">
        <v>253</v>
      </c>
      <c r="E30" s="29">
        <v>68</v>
      </c>
      <c r="G30" s="72"/>
    </row>
    <row r="31" spans="2:12" s="73" customFormat="1" ht="15">
      <c r="B31" s="74" t="s">
        <v>235</v>
      </c>
      <c r="E31" s="75">
        <f>-SUM(E22:E30)+1593</f>
        <v>95</v>
      </c>
      <c r="G31" s="82"/>
      <c r="H31" s="83"/>
      <c r="I31" s="83"/>
      <c r="J31" s="84"/>
      <c r="K31" s="85"/>
      <c r="L31" s="85"/>
    </row>
    <row r="32" spans="5:12" s="73" customFormat="1" ht="15.75" thickBot="1">
      <c r="E32" s="76">
        <f>SUM(E22:E31)</f>
        <v>1593</v>
      </c>
      <c r="G32" s="86"/>
      <c r="H32" s="87"/>
      <c r="I32" s="87"/>
      <c r="J32" s="88"/>
      <c r="K32" s="89"/>
      <c r="L32" s="89"/>
    </row>
    <row r="33" spans="5:12" s="73" customFormat="1" ht="15.75" thickTop="1">
      <c r="E33" s="77">
        <f>SUM(E20,E32)</f>
        <v>2357.2000000000003</v>
      </c>
      <c r="G33" s="86"/>
      <c r="H33" s="90"/>
      <c r="I33" s="91"/>
      <c r="J33" s="92"/>
      <c r="K33" s="93"/>
      <c r="L33" s="94"/>
    </row>
    <row r="34" spans="5:12" s="73" customFormat="1" ht="15">
      <c r="E34" s="78"/>
      <c r="G34" s="86"/>
      <c r="H34" s="90"/>
      <c r="I34" s="91"/>
      <c r="J34" s="92"/>
      <c r="K34" s="93"/>
      <c r="L34" s="94"/>
    </row>
    <row r="35" spans="5:12" s="73" customFormat="1" ht="15">
      <c r="E35" s="78"/>
      <c r="G35" s="86"/>
      <c r="H35" s="90"/>
      <c r="I35" s="91"/>
      <c r="J35" s="92"/>
      <c r="K35" s="93"/>
      <c r="L35" s="94"/>
    </row>
    <row r="36" spans="5:12" s="73" customFormat="1" ht="15">
      <c r="E36" s="78"/>
      <c r="G36" s="86"/>
      <c r="H36" s="90"/>
      <c r="I36" s="91"/>
      <c r="J36" s="92"/>
      <c r="K36" s="93"/>
      <c r="L36" s="94"/>
    </row>
    <row r="37" spans="5:12" s="73" customFormat="1" ht="15">
      <c r="E37" s="78"/>
      <c r="G37" s="86"/>
      <c r="H37" s="90"/>
      <c r="I37" s="91"/>
      <c r="J37" s="92"/>
      <c r="K37" s="93"/>
      <c r="L37" s="93"/>
    </row>
    <row r="38" spans="5:12" s="73" customFormat="1" ht="15.75" thickBot="1">
      <c r="E38" s="78"/>
      <c r="G38" s="82"/>
      <c r="H38" s="95"/>
      <c r="I38" s="91"/>
      <c r="J38" s="92"/>
      <c r="K38" s="96"/>
      <c r="L38" s="94"/>
    </row>
    <row r="39" spans="5:12" s="73" customFormat="1" ht="15.75" thickTop="1">
      <c r="E39" s="78"/>
      <c r="G39" s="82"/>
      <c r="H39" s="90"/>
      <c r="I39" s="91"/>
      <c r="J39" s="92"/>
      <c r="K39" s="93"/>
      <c r="L39" s="94"/>
    </row>
    <row r="40" spans="5:12" s="73" customFormat="1" ht="12.75">
      <c r="E40" s="78"/>
      <c r="G40" s="80"/>
      <c r="H40" s="78"/>
      <c r="I40" s="79"/>
      <c r="J40" s="79"/>
      <c r="K40" s="79"/>
      <c r="L40" s="80"/>
    </row>
    <row r="41" spans="5:12" s="73" customFormat="1" ht="12.75">
      <c r="E41" s="78"/>
      <c r="G41" s="80"/>
      <c r="H41" s="78"/>
      <c r="I41" s="79"/>
      <c r="J41" s="79"/>
      <c r="K41" s="79"/>
      <c r="L41" s="80"/>
    </row>
    <row r="42" spans="5:12" s="73" customFormat="1" ht="12.75">
      <c r="E42" s="78"/>
      <c r="H42" s="78"/>
      <c r="I42" s="79"/>
      <c r="J42" s="79"/>
      <c r="K42" s="79"/>
      <c r="L42" s="80"/>
    </row>
    <row r="43" spans="5:12" s="73" customFormat="1" ht="12.75">
      <c r="E43" s="78"/>
      <c r="H43" s="78"/>
      <c r="K43" s="79"/>
      <c r="L43" s="80"/>
    </row>
    <row r="44" spans="5:12" s="73" customFormat="1" ht="12.75">
      <c r="E44" s="78"/>
      <c r="H44" s="78"/>
      <c r="I44" s="79"/>
      <c r="J44" s="79"/>
      <c r="K44" s="79"/>
      <c r="L44" s="80"/>
    </row>
    <row r="45" s="73" customFormat="1" ht="12.75">
      <c r="E45" s="78"/>
    </row>
    <row r="46" s="73" customFormat="1" ht="12.75">
      <c r="E46" s="78"/>
    </row>
    <row r="47" s="73" customFormat="1" ht="12.75">
      <c r="E47" s="78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0"/>
  <sheetViews>
    <sheetView zoomScale="75" zoomScaleNormal="75" workbookViewId="0" topLeftCell="A29">
      <selection activeCell="O12" sqref="O12"/>
    </sheetView>
  </sheetViews>
  <sheetFormatPr defaultColWidth="9.140625" defaultRowHeight="12.75"/>
  <cols>
    <col min="10" max="10" width="13.7109375" style="0" customWidth="1"/>
  </cols>
  <sheetData>
    <row r="1" spans="1:15" ht="12.75">
      <c r="A1" t="s">
        <v>258</v>
      </c>
      <c r="B1" t="s">
        <v>258</v>
      </c>
      <c r="C1" t="s">
        <v>258</v>
      </c>
      <c r="D1" t="s">
        <v>258</v>
      </c>
      <c r="E1" t="s">
        <v>258</v>
      </c>
      <c r="F1" t="s">
        <v>258</v>
      </c>
      <c r="G1" t="s">
        <v>258</v>
      </c>
      <c r="H1" t="s">
        <v>258</v>
      </c>
      <c r="I1" t="s">
        <v>258</v>
      </c>
      <c r="J1" t="s">
        <v>258</v>
      </c>
      <c r="L1" t="s">
        <v>259</v>
      </c>
      <c r="M1" t="s">
        <v>259</v>
      </c>
      <c r="O1" t="s">
        <v>260</v>
      </c>
    </row>
    <row r="2" spans="1:10" ht="12.75">
      <c r="A2" t="s">
        <v>261</v>
      </c>
      <c r="B2" t="s">
        <v>127</v>
      </c>
      <c r="C2" s="33" t="s">
        <v>175</v>
      </c>
      <c r="D2" s="33" t="s">
        <v>176</v>
      </c>
      <c r="E2" s="33" t="s">
        <v>177</v>
      </c>
      <c r="F2" s="33" t="s">
        <v>178</v>
      </c>
      <c r="G2" s="33" t="s">
        <v>179</v>
      </c>
      <c r="H2" s="33" t="s">
        <v>180</v>
      </c>
      <c r="I2" s="33" t="s">
        <v>181</v>
      </c>
      <c r="J2" s="33" t="s">
        <v>182</v>
      </c>
    </row>
    <row r="3" spans="2:15" ht="13.5" thickBot="1">
      <c r="B3">
        <v>1101</v>
      </c>
      <c r="C3" s="33">
        <v>0.1</v>
      </c>
      <c r="D3" s="33"/>
      <c r="E3" s="33"/>
      <c r="F3" s="33"/>
      <c r="G3" s="33"/>
      <c r="H3" s="33"/>
      <c r="I3" s="33"/>
      <c r="J3" s="33">
        <f aca="true" t="shared" si="0" ref="J3:J66">SUM(C3:I3)</f>
        <v>0.1</v>
      </c>
      <c r="K3">
        <v>1101</v>
      </c>
      <c r="L3">
        <v>1101</v>
      </c>
      <c r="M3">
        <v>0.06</v>
      </c>
      <c r="O3" s="34">
        <f>+J3-M3</f>
        <v>0.04000000000000001</v>
      </c>
    </row>
    <row r="4" spans="2:18" ht="13.5" thickBot="1">
      <c r="B4">
        <v>1201</v>
      </c>
      <c r="C4" s="33">
        <v>424.4</v>
      </c>
      <c r="D4" s="33"/>
      <c r="E4" s="33"/>
      <c r="F4" s="33"/>
      <c r="G4" s="33"/>
      <c r="H4" s="33"/>
      <c r="I4" s="33"/>
      <c r="J4" s="33">
        <f t="shared" si="0"/>
        <v>424.4</v>
      </c>
      <c r="K4">
        <v>1201</v>
      </c>
      <c r="L4">
        <v>1201</v>
      </c>
      <c r="M4">
        <v>424.42</v>
      </c>
      <c r="O4" s="34">
        <f aca="true" t="shared" si="1" ref="O4:O68">+J4-M4</f>
        <v>-0.020000000000038654</v>
      </c>
      <c r="P4" s="35">
        <f>SUM(O4:O6,O8:O9)</f>
        <v>204.34000000000006</v>
      </c>
      <c r="Q4" s="36" t="s">
        <v>262</v>
      </c>
      <c r="R4">
        <v>6</v>
      </c>
    </row>
    <row r="5" spans="2:15" ht="12.75">
      <c r="B5">
        <v>1202</v>
      </c>
      <c r="C5" s="33">
        <v>793</v>
      </c>
      <c r="D5" s="33">
        <v>998.2</v>
      </c>
      <c r="E5" s="33"/>
      <c r="F5" s="33"/>
      <c r="G5" s="33"/>
      <c r="H5" s="33"/>
      <c r="I5" s="33"/>
      <c r="J5" s="33">
        <f t="shared" si="0"/>
        <v>1791.2</v>
      </c>
      <c r="K5">
        <v>1202</v>
      </c>
      <c r="L5">
        <v>1202</v>
      </c>
      <c r="M5">
        <v>1791.18</v>
      </c>
      <c r="O5" s="34">
        <f t="shared" si="1"/>
        <v>0.01999999999998181</v>
      </c>
    </row>
    <row r="6" spans="2:15" ht="13.5" thickBot="1">
      <c r="B6">
        <v>1203</v>
      </c>
      <c r="C6" s="33"/>
      <c r="D6" s="33">
        <v>624.8</v>
      </c>
      <c r="E6" s="33">
        <v>315.1</v>
      </c>
      <c r="F6" s="33">
        <v>155.3</v>
      </c>
      <c r="G6" s="33"/>
      <c r="H6" s="33"/>
      <c r="I6" s="33"/>
      <c r="J6" s="33">
        <f t="shared" si="0"/>
        <v>1095.2</v>
      </c>
      <c r="K6">
        <v>1203</v>
      </c>
      <c r="L6">
        <v>1203</v>
      </c>
      <c r="M6">
        <v>943.53</v>
      </c>
      <c r="O6" s="34">
        <f t="shared" si="1"/>
        <v>151.67000000000007</v>
      </c>
    </row>
    <row r="7" spans="2:18" ht="13.5" thickBot="1">
      <c r="B7">
        <v>1204</v>
      </c>
      <c r="C7" s="33"/>
      <c r="D7" s="33"/>
      <c r="E7" s="33"/>
      <c r="F7" s="33">
        <v>187.4</v>
      </c>
      <c r="G7" s="33">
        <v>182.6</v>
      </c>
      <c r="H7" s="33">
        <v>89.4</v>
      </c>
      <c r="I7" s="33"/>
      <c r="J7" s="33">
        <f t="shared" si="0"/>
        <v>459.4</v>
      </c>
      <c r="K7">
        <v>1204</v>
      </c>
      <c r="L7">
        <v>1204</v>
      </c>
      <c r="M7">
        <v>557.24</v>
      </c>
      <c r="O7" s="37">
        <f t="shared" si="1"/>
        <v>-97.84000000000003</v>
      </c>
      <c r="P7" s="38" t="s">
        <v>263</v>
      </c>
      <c r="Q7" s="38"/>
      <c r="R7">
        <v>8</v>
      </c>
    </row>
    <row r="8" spans="2:15" ht="12.75">
      <c r="B8">
        <v>1206</v>
      </c>
      <c r="C8" s="33"/>
      <c r="D8" s="33">
        <v>3.4</v>
      </c>
      <c r="E8" s="33">
        <v>14.2</v>
      </c>
      <c r="F8" s="33"/>
      <c r="G8" s="33"/>
      <c r="H8" s="33"/>
      <c r="I8" s="33"/>
      <c r="J8" s="33">
        <f t="shared" si="0"/>
        <v>17.599999999999998</v>
      </c>
      <c r="K8">
        <v>1206</v>
      </c>
      <c r="L8">
        <v>1206</v>
      </c>
      <c r="M8">
        <v>17.64</v>
      </c>
      <c r="O8" s="34">
        <f t="shared" si="1"/>
        <v>-0.0400000000000027</v>
      </c>
    </row>
    <row r="9" spans="2:15" ht="12.75">
      <c r="B9">
        <v>1250</v>
      </c>
      <c r="C9" s="33"/>
      <c r="D9" s="33">
        <v>36.9</v>
      </c>
      <c r="E9" s="33">
        <v>3041.9</v>
      </c>
      <c r="F9" s="33">
        <v>2627.7</v>
      </c>
      <c r="G9" s="33">
        <v>12.2</v>
      </c>
      <c r="H9" s="33"/>
      <c r="I9" s="33"/>
      <c r="J9" s="33">
        <f t="shared" si="0"/>
        <v>5718.7</v>
      </c>
      <c r="K9">
        <v>1250</v>
      </c>
      <c r="L9">
        <v>1250</v>
      </c>
      <c r="M9">
        <v>5665.99</v>
      </c>
      <c r="O9" s="39">
        <f t="shared" si="1"/>
        <v>52.710000000000036</v>
      </c>
    </row>
    <row r="10" spans="2:15" ht="12.75">
      <c r="B10">
        <v>1301</v>
      </c>
      <c r="C10" s="33">
        <v>91.7</v>
      </c>
      <c r="D10" s="33">
        <v>333.9</v>
      </c>
      <c r="E10" s="33">
        <v>397.9</v>
      </c>
      <c r="F10" s="33"/>
      <c r="G10" s="33"/>
      <c r="H10" s="33"/>
      <c r="I10" s="33"/>
      <c r="J10" s="33">
        <f t="shared" si="0"/>
        <v>823.5</v>
      </c>
      <c r="K10">
        <v>1301</v>
      </c>
      <c r="L10">
        <v>1301</v>
      </c>
      <c r="M10">
        <v>837.4</v>
      </c>
      <c r="O10" s="39">
        <f t="shared" si="1"/>
        <v>-13.899999999999977</v>
      </c>
    </row>
    <row r="11" spans="2:15" ht="12.75">
      <c r="B11">
        <v>1302</v>
      </c>
      <c r="C11" s="33"/>
      <c r="D11" s="33"/>
      <c r="E11" s="33">
        <v>20.5</v>
      </c>
      <c r="F11" s="33">
        <v>12.5</v>
      </c>
      <c r="G11" s="33">
        <v>219.1</v>
      </c>
      <c r="H11" s="33"/>
      <c r="I11" s="33"/>
      <c r="J11" s="33">
        <f t="shared" si="0"/>
        <v>252.1</v>
      </c>
      <c r="K11">
        <v>1302</v>
      </c>
      <c r="L11">
        <v>1302</v>
      </c>
      <c r="M11">
        <v>253.18</v>
      </c>
      <c r="O11" s="39">
        <f t="shared" si="1"/>
        <v>-1.0800000000000125</v>
      </c>
    </row>
    <row r="12" spans="2:15" ht="12.75">
      <c r="B12">
        <v>1350</v>
      </c>
      <c r="C12" s="33"/>
      <c r="D12" s="33"/>
      <c r="E12" s="33">
        <v>256</v>
      </c>
      <c r="F12" s="33">
        <v>377.9</v>
      </c>
      <c r="G12" s="33"/>
      <c r="H12" s="33"/>
      <c r="I12" s="33"/>
      <c r="J12" s="33">
        <f t="shared" si="0"/>
        <v>633.9</v>
      </c>
      <c r="K12">
        <v>1350</v>
      </c>
      <c r="L12">
        <v>1350</v>
      </c>
      <c r="M12">
        <v>399.59</v>
      </c>
      <c r="O12" s="40">
        <f t="shared" si="1"/>
        <v>234.31</v>
      </c>
    </row>
    <row r="13" spans="2:15" ht="13.5" thickBot="1">
      <c r="B13">
        <v>1351</v>
      </c>
      <c r="C13" s="33"/>
      <c r="D13" s="33"/>
      <c r="E13" s="33">
        <v>165.9</v>
      </c>
      <c r="F13" s="33">
        <v>631.3</v>
      </c>
      <c r="G13" s="33">
        <v>53.3</v>
      </c>
      <c r="H13" s="33">
        <v>5.9</v>
      </c>
      <c r="I13" s="33"/>
      <c r="J13" s="33">
        <f t="shared" si="0"/>
        <v>856.3999999999999</v>
      </c>
      <c r="K13">
        <v>1351</v>
      </c>
      <c r="L13">
        <v>1351</v>
      </c>
      <c r="M13">
        <v>1318.24</v>
      </c>
      <c r="O13" s="40">
        <f t="shared" si="1"/>
        <v>-461.84000000000015</v>
      </c>
    </row>
    <row r="14" spans="2:18" ht="13.5" thickBot="1">
      <c r="B14">
        <v>1352</v>
      </c>
      <c r="C14" s="33"/>
      <c r="D14" s="33"/>
      <c r="E14" s="33"/>
      <c r="F14" s="33">
        <v>1.3</v>
      </c>
      <c r="G14" s="33">
        <v>10.1</v>
      </c>
      <c r="H14" s="33">
        <v>884.5</v>
      </c>
      <c r="I14" s="33"/>
      <c r="J14" s="33">
        <f t="shared" si="0"/>
        <v>895.9</v>
      </c>
      <c r="K14">
        <v>1352</v>
      </c>
      <c r="L14">
        <v>1352</v>
      </c>
      <c r="M14">
        <v>1361.87</v>
      </c>
      <c r="O14" s="41">
        <f t="shared" si="1"/>
        <v>-465.9699999999999</v>
      </c>
      <c r="P14" s="42" t="s">
        <v>264</v>
      </c>
      <c r="Q14" s="43"/>
      <c r="R14">
        <v>23</v>
      </c>
    </row>
    <row r="15" spans="2:15" ht="13.5" thickBot="1">
      <c r="B15">
        <v>1353</v>
      </c>
      <c r="C15" s="33"/>
      <c r="D15" s="33"/>
      <c r="E15" s="33"/>
      <c r="F15" s="33"/>
      <c r="G15" s="33">
        <v>82.4</v>
      </c>
      <c r="H15" s="33">
        <v>183.4</v>
      </c>
      <c r="I15" s="33"/>
      <c r="J15" s="33">
        <f t="shared" si="0"/>
        <v>265.8</v>
      </c>
      <c r="K15">
        <v>1353</v>
      </c>
      <c r="L15">
        <v>1353</v>
      </c>
      <c r="M15">
        <v>270.3</v>
      </c>
      <c r="O15" s="39">
        <f t="shared" si="1"/>
        <v>-4.5</v>
      </c>
    </row>
    <row r="16" spans="2:18" ht="13.5" thickBot="1">
      <c r="B16">
        <v>1354</v>
      </c>
      <c r="C16" s="33"/>
      <c r="D16" s="33"/>
      <c r="E16" s="33"/>
      <c r="F16" s="33"/>
      <c r="G16" s="33">
        <v>103.4</v>
      </c>
      <c r="H16" s="33"/>
      <c r="I16" s="33"/>
      <c r="J16" s="33">
        <f t="shared" si="0"/>
        <v>103.4</v>
      </c>
      <c r="K16">
        <v>1354</v>
      </c>
      <c r="L16">
        <v>1354</v>
      </c>
      <c r="M16">
        <v>257.67</v>
      </c>
      <c r="O16" s="41">
        <f t="shared" si="1"/>
        <v>-154.27</v>
      </c>
      <c r="P16" s="42" t="s">
        <v>265</v>
      </c>
      <c r="Q16" s="43"/>
      <c r="R16">
        <v>24</v>
      </c>
    </row>
    <row r="17" spans="2:15" ht="13.5" thickBot="1">
      <c r="B17">
        <v>1355</v>
      </c>
      <c r="C17" s="33"/>
      <c r="D17" s="33"/>
      <c r="E17" s="33"/>
      <c r="F17" s="33"/>
      <c r="G17" s="33">
        <v>70.7</v>
      </c>
      <c r="H17" s="33">
        <v>20.5</v>
      </c>
      <c r="I17" s="33"/>
      <c r="J17" s="33">
        <f t="shared" si="0"/>
        <v>91.2</v>
      </c>
      <c r="K17">
        <v>1355</v>
      </c>
      <c r="L17">
        <v>1355</v>
      </c>
      <c r="M17">
        <v>91.87</v>
      </c>
      <c r="O17" s="39">
        <f t="shared" si="1"/>
        <v>-0.6700000000000017</v>
      </c>
    </row>
    <row r="18" spans="2:18" ht="13.5" thickBot="1">
      <c r="B18">
        <v>1361</v>
      </c>
      <c r="C18" s="33"/>
      <c r="D18" s="33"/>
      <c r="E18" s="33"/>
      <c r="F18" s="33">
        <v>254.9</v>
      </c>
      <c r="G18" s="33">
        <v>378</v>
      </c>
      <c r="H18" s="33">
        <v>26.9</v>
      </c>
      <c r="I18" s="33"/>
      <c r="J18" s="33">
        <f t="shared" si="0"/>
        <v>659.8</v>
      </c>
      <c r="K18">
        <v>1361</v>
      </c>
      <c r="O18" s="40">
        <f t="shared" si="1"/>
        <v>659.8</v>
      </c>
      <c r="P18" s="44">
        <f>SUM(O18,O13,O12)</f>
        <v>432.2699999999998</v>
      </c>
      <c r="Q18" s="45" t="s">
        <v>266</v>
      </c>
      <c r="R18">
        <v>10</v>
      </c>
    </row>
    <row r="19" spans="2:15" ht="12.75">
      <c r="B19">
        <v>1401</v>
      </c>
      <c r="C19" s="33">
        <v>303</v>
      </c>
      <c r="D19" s="33"/>
      <c r="E19" s="33"/>
      <c r="F19" s="33"/>
      <c r="G19" s="33"/>
      <c r="H19" s="33"/>
      <c r="I19" s="33"/>
      <c r="J19" s="33">
        <f t="shared" si="0"/>
        <v>303</v>
      </c>
      <c r="K19">
        <v>1401</v>
      </c>
      <c r="L19">
        <v>1401</v>
      </c>
      <c r="M19">
        <v>303.04</v>
      </c>
      <c r="O19" s="39">
        <f t="shared" si="1"/>
        <v>-0.040000000000020464</v>
      </c>
    </row>
    <row r="20" spans="2:15" ht="13.5" thickBot="1">
      <c r="B20">
        <v>1402</v>
      </c>
      <c r="C20" s="33">
        <v>239.1</v>
      </c>
      <c r="D20" s="33"/>
      <c r="E20" s="33"/>
      <c r="F20" s="33"/>
      <c r="G20" s="33"/>
      <c r="H20" s="33"/>
      <c r="I20" s="33"/>
      <c r="J20" s="33">
        <f t="shared" si="0"/>
        <v>239.1</v>
      </c>
      <c r="K20">
        <v>1402</v>
      </c>
      <c r="L20">
        <v>1402</v>
      </c>
      <c r="M20">
        <v>239.14</v>
      </c>
      <c r="O20" s="39">
        <f t="shared" si="1"/>
        <v>-0.03999999999999204</v>
      </c>
    </row>
    <row r="21" spans="2:18" ht="13.5" thickBot="1">
      <c r="B21">
        <v>1403</v>
      </c>
      <c r="C21" s="33"/>
      <c r="D21" s="33">
        <v>1798.7</v>
      </c>
      <c r="E21" s="33">
        <v>863.1</v>
      </c>
      <c r="F21" s="33">
        <v>84.4</v>
      </c>
      <c r="G21" s="33"/>
      <c r="H21" s="33"/>
      <c r="I21" s="33"/>
      <c r="J21" s="33">
        <f t="shared" si="0"/>
        <v>2746.2000000000003</v>
      </c>
      <c r="K21">
        <v>1403</v>
      </c>
      <c r="L21">
        <v>1403</v>
      </c>
      <c r="M21">
        <v>3148.64</v>
      </c>
      <c r="O21" s="46">
        <f t="shared" si="1"/>
        <v>-402.4399999999996</v>
      </c>
      <c r="P21" s="47">
        <f>SUM(O21,O34,O35)</f>
        <v>520.3600000000004</v>
      </c>
      <c r="Q21" t="s">
        <v>267</v>
      </c>
      <c r="R21">
        <v>5</v>
      </c>
    </row>
    <row r="22" spans="2:15" ht="12.75">
      <c r="B22">
        <v>1404</v>
      </c>
      <c r="C22" s="33">
        <v>586</v>
      </c>
      <c r="D22" s="33">
        <v>1625.8</v>
      </c>
      <c r="E22" s="33">
        <v>321.6</v>
      </c>
      <c r="F22" s="33"/>
      <c r="G22" s="33"/>
      <c r="H22" s="33"/>
      <c r="I22" s="33"/>
      <c r="J22" s="33">
        <f t="shared" si="0"/>
        <v>2533.4</v>
      </c>
      <c r="K22">
        <v>1404</v>
      </c>
      <c r="L22">
        <v>1404</v>
      </c>
      <c r="M22">
        <v>2533.52</v>
      </c>
      <c r="O22" s="39">
        <f t="shared" si="1"/>
        <v>-0.11999999999989086</v>
      </c>
    </row>
    <row r="23" spans="2:15" ht="12.75">
      <c r="B23">
        <v>1405</v>
      </c>
      <c r="C23" s="33">
        <v>168.1</v>
      </c>
      <c r="D23" s="33"/>
      <c r="E23" s="33"/>
      <c r="F23" s="33"/>
      <c r="G23" s="33"/>
      <c r="H23" s="33"/>
      <c r="I23" s="33"/>
      <c r="J23" s="33">
        <f t="shared" si="0"/>
        <v>168.1</v>
      </c>
      <c r="K23">
        <v>1405</v>
      </c>
      <c r="L23">
        <v>1405</v>
      </c>
      <c r="M23">
        <v>168.07</v>
      </c>
      <c r="O23" s="39">
        <f t="shared" si="1"/>
        <v>0.030000000000001137</v>
      </c>
    </row>
    <row r="24" spans="2:15" ht="12.75">
      <c r="B24">
        <v>1406</v>
      </c>
      <c r="C24" s="33">
        <v>831.1</v>
      </c>
      <c r="D24" s="33">
        <v>1266.5</v>
      </c>
      <c r="E24" s="33">
        <v>116</v>
      </c>
      <c r="F24" s="33"/>
      <c r="G24" s="33"/>
      <c r="H24" s="33"/>
      <c r="I24" s="33"/>
      <c r="J24" s="33">
        <f t="shared" si="0"/>
        <v>2213.6</v>
      </c>
      <c r="K24">
        <v>1406</v>
      </c>
      <c r="L24">
        <v>1406</v>
      </c>
      <c r="M24">
        <v>2213.59</v>
      </c>
      <c r="O24" s="39">
        <f t="shared" si="1"/>
        <v>0.009999999999763531</v>
      </c>
    </row>
    <row r="25" spans="2:15" ht="12.75">
      <c r="B25">
        <v>1407</v>
      </c>
      <c r="C25" s="33">
        <v>267.6</v>
      </c>
      <c r="D25" s="33">
        <v>2236.3</v>
      </c>
      <c r="E25" s="33">
        <v>19.2</v>
      </c>
      <c r="F25" s="33"/>
      <c r="G25" s="33"/>
      <c r="H25" s="33"/>
      <c r="I25" s="33"/>
      <c r="J25" s="33">
        <f t="shared" si="0"/>
        <v>2523.1</v>
      </c>
      <c r="K25">
        <v>1407</v>
      </c>
      <c r="L25">
        <v>1407</v>
      </c>
      <c r="M25">
        <v>2522.99</v>
      </c>
      <c r="O25" s="39">
        <f t="shared" si="1"/>
        <v>0.11000000000012733</v>
      </c>
    </row>
    <row r="26" spans="2:15" ht="12.75">
      <c r="B26">
        <v>1408</v>
      </c>
      <c r="C26" s="33">
        <v>29.8</v>
      </c>
      <c r="D26" s="33">
        <v>2.5</v>
      </c>
      <c r="E26" s="33">
        <v>506.9</v>
      </c>
      <c r="F26" s="33">
        <v>1065.6</v>
      </c>
      <c r="G26" s="33">
        <v>166.8</v>
      </c>
      <c r="H26" s="33">
        <v>6.8</v>
      </c>
      <c r="I26" s="33"/>
      <c r="J26" s="33">
        <f t="shared" si="0"/>
        <v>1778.3999999999996</v>
      </c>
      <c r="K26">
        <v>1408</v>
      </c>
      <c r="L26">
        <v>1408</v>
      </c>
      <c r="M26">
        <v>1852.61</v>
      </c>
      <c r="O26" s="39">
        <f t="shared" si="1"/>
        <v>-74.21000000000026</v>
      </c>
    </row>
    <row r="27" spans="2:15" ht="12.75">
      <c r="B27">
        <v>1409</v>
      </c>
      <c r="C27" s="33"/>
      <c r="D27" s="33">
        <v>363.8</v>
      </c>
      <c r="E27" s="33">
        <v>490.1</v>
      </c>
      <c r="F27" s="33"/>
      <c r="G27" s="33"/>
      <c r="H27" s="33"/>
      <c r="I27" s="33"/>
      <c r="J27" s="33">
        <f t="shared" si="0"/>
        <v>853.9000000000001</v>
      </c>
      <c r="K27">
        <v>1409</v>
      </c>
      <c r="L27">
        <v>1409</v>
      </c>
      <c r="M27">
        <v>853.95</v>
      </c>
      <c r="O27" s="39">
        <f t="shared" si="1"/>
        <v>-0.049999999999954525</v>
      </c>
    </row>
    <row r="28" spans="2:15" ht="13.5" thickBot="1">
      <c r="B28">
        <v>1410</v>
      </c>
      <c r="C28" s="33"/>
      <c r="D28" s="33"/>
      <c r="E28" s="33">
        <v>1080.2</v>
      </c>
      <c r="F28" s="33"/>
      <c r="G28" s="33"/>
      <c r="H28" s="33"/>
      <c r="I28" s="33"/>
      <c r="J28" s="33">
        <f t="shared" si="0"/>
        <v>1080.2</v>
      </c>
      <c r="K28">
        <v>1410</v>
      </c>
      <c r="L28">
        <v>1410</v>
      </c>
      <c r="M28">
        <v>1080.21</v>
      </c>
      <c r="O28" s="39">
        <f t="shared" si="1"/>
        <v>-0.009999999999990905</v>
      </c>
    </row>
    <row r="29" spans="2:18" ht="13.5" thickBot="1">
      <c r="B29">
        <v>1411</v>
      </c>
      <c r="C29" s="33"/>
      <c r="D29" s="33">
        <v>20.4</v>
      </c>
      <c r="E29" s="33">
        <v>3748.7</v>
      </c>
      <c r="F29" s="33">
        <v>4102.5</v>
      </c>
      <c r="G29" s="33">
        <v>564</v>
      </c>
      <c r="H29" s="33"/>
      <c r="I29" s="33"/>
      <c r="J29" s="33">
        <f t="shared" si="0"/>
        <v>8435.6</v>
      </c>
      <c r="K29">
        <v>1411</v>
      </c>
      <c r="L29">
        <v>1411</v>
      </c>
      <c r="M29">
        <v>8367.06</v>
      </c>
      <c r="O29" s="41">
        <f t="shared" si="1"/>
        <v>68.54000000000087</v>
      </c>
      <c r="P29" s="42" t="s">
        <v>268</v>
      </c>
      <c r="Q29" s="42"/>
      <c r="R29" s="43">
        <v>18</v>
      </c>
    </row>
    <row r="30" spans="2:15" ht="12.75">
      <c r="B30">
        <v>1412</v>
      </c>
      <c r="C30" s="33"/>
      <c r="D30" s="33"/>
      <c r="E30" s="33">
        <v>540.4</v>
      </c>
      <c r="F30" s="33"/>
      <c r="G30" s="33"/>
      <c r="H30" s="33"/>
      <c r="I30" s="33"/>
      <c r="J30" s="33">
        <f t="shared" si="0"/>
        <v>540.4</v>
      </c>
      <c r="K30">
        <v>1412</v>
      </c>
      <c r="L30">
        <v>1412</v>
      </c>
      <c r="M30">
        <v>540.44</v>
      </c>
      <c r="O30" s="39">
        <f t="shared" si="1"/>
        <v>-0.04000000000007731</v>
      </c>
    </row>
    <row r="31" spans="2:15" ht="12.75">
      <c r="B31">
        <v>1413</v>
      </c>
      <c r="C31" s="33"/>
      <c r="D31" s="33"/>
      <c r="E31" s="33">
        <v>23.2</v>
      </c>
      <c r="F31" s="33"/>
      <c r="G31" s="33"/>
      <c r="H31" s="33"/>
      <c r="I31" s="33"/>
      <c r="J31" s="33">
        <f t="shared" si="0"/>
        <v>23.2</v>
      </c>
      <c r="K31">
        <v>1413</v>
      </c>
      <c r="L31">
        <v>1413</v>
      </c>
      <c r="M31">
        <v>23.17</v>
      </c>
      <c r="O31" s="39">
        <f t="shared" si="1"/>
        <v>0.029999999999997584</v>
      </c>
    </row>
    <row r="32" spans="2:15" ht="12.75">
      <c r="B32">
        <v>1414</v>
      </c>
      <c r="C32" s="33"/>
      <c r="D32" s="33"/>
      <c r="E32" s="33">
        <v>46</v>
      </c>
      <c r="F32" s="33">
        <v>129.8</v>
      </c>
      <c r="G32" s="33">
        <v>31</v>
      </c>
      <c r="H32" s="33"/>
      <c r="I32" s="33"/>
      <c r="J32" s="33">
        <f t="shared" si="0"/>
        <v>206.8</v>
      </c>
      <c r="K32">
        <v>1414</v>
      </c>
      <c r="L32">
        <v>1414</v>
      </c>
      <c r="M32">
        <v>169.94</v>
      </c>
      <c r="O32" s="39">
        <f t="shared" si="1"/>
        <v>36.860000000000014</v>
      </c>
    </row>
    <row r="33" spans="2:15" ht="12.75">
      <c r="B33">
        <v>1415</v>
      </c>
      <c r="C33" s="33"/>
      <c r="D33" s="33"/>
      <c r="E33" s="33">
        <v>14.8</v>
      </c>
      <c r="F33" s="33"/>
      <c r="G33" s="33"/>
      <c r="H33" s="33"/>
      <c r="I33" s="33"/>
      <c r="J33" s="33">
        <f t="shared" si="0"/>
        <v>14.8</v>
      </c>
      <c r="K33">
        <v>1415</v>
      </c>
      <c r="L33">
        <v>1415</v>
      </c>
      <c r="M33">
        <v>14.85</v>
      </c>
      <c r="O33" s="39">
        <f t="shared" si="1"/>
        <v>-0.049999999999998934</v>
      </c>
    </row>
    <row r="34" spans="2:15" ht="12.75">
      <c r="B34">
        <v>1416</v>
      </c>
      <c r="C34" s="33"/>
      <c r="D34" s="33"/>
      <c r="E34" s="33">
        <v>65.1</v>
      </c>
      <c r="F34" s="33">
        <v>684.4</v>
      </c>
      <c r="G34" s="33"/>
      <c r="H34" s="33"/>
      <c r="I34" s="33"/>
      <c r="J34" s="33">
        <f t="shared" si="0"/>
        <v>749.5</v>
      </c>
      <c r="K34">
        <v>1416</v>
      </c>
      <c r="O34" s="46">
        <f t="shared" si="1"/>
        <v>749.5</v>
      </c>
    </row>
    <row r="35" spans="2:15" ht="13.5" thickBot="1">
      <c r="B35" t="s">
        <v>269</v>
      </c>
      <c r="C35" s="33"/>
      <c r="D35" s="33"/>
      <c r="E35" s="33">
        <v>65.8</v>
      </c>
      <c r="F35" s="33">
        <v>107.5</v>
      </c>
      <c r="G35" s="33"/>
      <c r="H35" s="33"/>
      <c r="I35" s="33"/>
      <c r="J35" s="33">
        <f t="shared" si="0"/>
        <v>173.3</v>
      </c>
      <c r="O35" s="46">
        <f t="shared" si="1"/>
        <v>173.3</v>
      </c>
    </row>
    <row r="36" spans="2:18" ht="13.5" thickBot="1">
      <c r="B36" t="s">
        <v>270</v>
      </c>
      <c r="C36" s="33"/>
      <c r="D36" s="33"/>
      <c r="E36" s="33"/>
      <c r="F36" s="33"/>
      <c r="G36" s="33">
        <v>655.097</v>
      </c>
      <c r="H36" s="33"/>
      <c r="I36" s="33"/>
      <c r="J36" s="33">
        <f t="shared" si="0"/>
        <v>655.097</v>
      </c>
      <c r="K36">
        <v>1421</v>
      </c>
      <c r="O36" s="48">
        <f t="shared" si="1"/>
        <v>655.097</v>
      </c>
      <c r="P36" s="39"/>
      <c r="Q36" t="s">
        <v>271</v>
      </c>
      <c r="R36">
        <v>15</v>
      </c>
    </row>
    <row r="37" spans="2:18" ht="13.5" thickBot="1">
      <c r="B37">
        <v>1451</v>
      </c>
      <c r="C37" s="33"/>
      <c r="D37" s="33"/>
      <c r="E37" s="33">
        <v>56.9</v>
      </c>
      <c r="F37" s="33">
        <v>2393.7</v>
      </c>
      <c r="G37" s="33">
        <v>2536.8</v>
      </c>
      <c r="H37" s="33">
        <v>80.3</v>
      </c>
      <c r="I37" s="33"/>
      <c r="J37" s="33">
        <f t="shared" si="0"/>
        <v>5067.7</v>
      </c>
      <c r="K37">
        <v>1451</v>
      </c>
      <c r="L37">
        <v>1451</v>
      </c>
      <c r="M37">
        <v>5082.4</v>
      </c>
      <c r="O37" s="49">
        <f t="shared" si="1"/>
        <v>-14.699999999999818</v>
      </c>
      <c r="Q37" t="s">
        <v>272</v>
      </c>
      <c r="R37">
        <v>7</v>
      </c>
    </row>
    <row r="38" spans="2:15" ht="12.75">
      <c r="B38">
        <v>1501</v>
      </c>
      <c r="C38" s="33"/>
      <c r="D38" s="33">
        <v>34.6</v>
      </c>
      <c r="E38" s="33">
        <v>44.3</v>
      </c>
      <c r="F38" s="33">
        <v>130.6</v>
      </c>
      <c r="G38" s="33"/>
      <c r="H38" s="33"/>
      <c r="I38" s="33"/>
      <c r="J38" s="33">
        <f t="shared" si="0"/>
        <v>209.5</v>
      </c>
      <c r="K38">
        <v>1501</v>
      </c>
      <c r="L38">
        <v>1501</v>
      </c>
      <c r="M38">
        <v>221.48</v>
      </c>
      <c r="O38" s="39">
        <f t="shared" si="1"/>
        <v>-11.97999999999999</v>
      </c>
    </row>
    <row r="39" spans="2:15" ht="12.75">
      <c r="B39">
        <v>1550</v>
      </c>
      <c r="C39" s="33"/>
      <c r="D39" s="33"/>
      <c r="E39" s="33"/>
      <c r="F39" s="33"/>
      <c r="G39" s="33">
        <v>1173</v>
      </c>
      <c r="H39" s="33">
        <v>4.7</v>
      </c>
      <c r="I39" s="33"/>
      <c r="J39" s="33">
        <f t="shared" si="0"/>
        <v>1177.7</v>
      </c>
      <c r="K39">
        <v>1550</v>
      </c>
      <c r="L39">
        <v>1550</v>
      </c>
      <c r="M39">
        <v>1191.47</v>
      </c>
      <c r="O39" s="39">
        <f t="shared" si="1"/>
        <v>-13.769999999999982</v>
      </c>
    </row>
    <row r="40" spans="2:15" ht="12.75">
      <c r="B40">
        <v>1601</v>
      </c>
      <c r="C40" s="33"/>
      <c r="D40" s="33"/>
      <c r="E40" s="33"/>
      <c r="F40" s="33"/>
      <c r="G40" s="33">
        <v>660</v>
      </c>
      <c r="H40" s="33">
        <v>475</v>
      </c>
      <c r="I40" s="33"/>
      <c r="J40" s="33">
        <f t="shared" si="0"/>
        <v>1135</v>
      </c>
      <c r="K40">
        <v>1601</v>
      </c>
      <c r="L40">
        <v>1601</v>
      </c>
      <c r="M40">
        <v>1139.98</v>
      </c>
      <c r="O40" s="39">
        <f t="shared" si="1"/>
        <v>-4.980000000000018</v>
      </c>
    </row>
    <row r="41" spans="2:15" ht="12.75">
      <c r="B41">
        <v>1701</v>
      </c>
      <c r="C41" s="33">
        <v>12.2</v>
      </c>
      <c r="D41" s="33">
        <v>80.9</v>
      </c>
      <c r="E41" s="33">
        <v>100.1</v>
      </c>
      <c r="F41" s="33">
        <v>5.5</v>
      </c>
      <c r="G41" s="33">
        <v>304.4</v>
      </c>
      <c r="H41" s="33"/>
      <c r="I41" s="33"/>
      <c r="J41" s="33">
        <f t="shared" si="0"/>
        <v>503.09999999999997</v>
      </c>
      <c r="K41">
        <v>1701</v>
      </c>
      <c r="L41">
        <v>1701</v>
      </c>
      <c r="M41">
        <v>504.49</v>
      </c>
      <c r="O41" s="39">
        <f t="shared" si="1"/>
        <v>-1.3900000000000432</v>
      </c>
    </row>
    <row r="42" spans="2:15" ht="12.75">
      <c r="B42">
        <v>1751</v>
      </c>
      <c r="C42" s="33"/>
      <c r="D42" s="33"/>
      <c r="E42" s="33"/>
      <c r="F42" s="33"/>
      <c r="G42" s="33">
        <v>5.6</v>
      </c>
      <c r="H42" s="33">
        <v>527.8</v>
      </c>
      <c r="I42" s="33">
        <v>7.1</v>
      </c>
      <c r="J42" s="33">
        <f t="shared" si="0"/>
        <v>540.5</v>
      </c>
      <c r="K42">
        <v>1751</v>
      </c>
      <c r="L42">
        <v>1751</v>
      </c>
      <c r="M42">
        <v>541.48</v>
      </c>
      <c r="O42" s="39">
        <f t="shared" si="1"/>
        <v>-0.9800000000000182</v>
      </c>
    </row>
    <row r="43" spans="2:15" ht="12.75">
      <c r="B43">
        <v>1752</v>
      </c>
      <c r="C43" s="33"/>
      <c r="D43" s="33"/>
      <c r="E43" s="33"/>
      <c r="F43" s="33"/>
      <c r="G43" s="33">
        <v>308.1</v>
      </c>
      <c r="H43" s="33">
        <v>3.3</v>
      </c>
      <c r="I43" s="33"/>
      <c r="J43" s="33">
        <f t="shared" si="0"/>
        <v>311.40000000000003</v>
      </c>
      <c r="K43">
        <v>1752</v>
      </c>
      <c r="L43">
        <v>1752</v>
      </c>
      <c r="M43">
        <v>314.97</v>
      </c>
      <c r="O43" s="39">
        <f t="shared" si="1"/>
        <v>-3.569999999999993</v>
      </c>
    </row>
    <row r="44" spans="2:15" ht="12.75">
      <c r="B44">
        <v>1801</v>
      </c>
      <c r="C44" s="33">
        <v>60.8</v>
      </c>
      <c r="D44" s="33"/>
      <c r="E44" s="33"/>
      <c r="F44" s="33"/>
      <c r="G44" s="33"/>
      <c r="H44" s="33"/>
      <c r="I44" s="33"/>
      <c r="J44" s="33">
        <f t="shared" si="0"/>
        <v>60.8</v>
      </c>
      <c r="K44">
        <v>1801</v>
      </c>
      <c r="L44">
        <v>1801</v>
      </c>
      <c r="M44">
        <v>60.8</v>
      </c>
      <c r="O44" s="39">
        <f t="shared" si="1"/>
        <v>0</v>
      </c>
    </row>
    <row r="45" spans="2:15" ht="13.5" thickBot="1">
      <c r="B45">
        <v>1802</v>
      </c>
      <c r="C45" s="33"/>
      <c r="D45" s="33">
        <v>164.6</v>
      </c>
      <c r="E45" s="33">
        <v>146.2</v>
      </c>
      <c r="F45" s="33">
        <v>350.2</v>
      </c>
      <c r="G45" s="33">
        <v>411.6</v>
      </c>
      <c r="H45" s="33">
        <v>355.5</v>
      </c>
      <c r="I45" s="33"/>
      <c r="J45" s="33">
        <f t="shared" si="0"/>
        <v>1428.1</v>
      </c>
      <c r="K45">
        <v>1802</v>
      </c>
      <c r="L45">
        <v>1802</v>
      </c>
      <c r="M45">
        <v>1444.46</v>
      </c>
      <c r="O45" s="39">
        <f t="shared" si="1"/>
        <v>-16.360000000000127</v>
      </c>
    </row>
    <row r="46" spans="2:18" ht="13.5" thickBot="1">
      <c r="B46">
        <v>1803</v>
      </c>
      <c r="C46" s="33"/>
      <c r="D46" s="33"/>
      <c r="E46" s="33">
        <v>615.9</v>
      </c>
      <c r="F46" s="33">
        <v>464.2</v>
      </c>
      <c r="G46" s="33">
        <v>107.6</v>
      </c>
      <c r="H46" s="33">
        <v>10.4</v>
      </c>
      <c r="I46" s="33"/>
      <c r="J46" s="33">
        <f t="shared" si="0"/>
        <v>1198.1</v>
      </c>
      <c r="K46">
        <v>1803</v>
      </c>
      <c r="L46">
        <v>1803</v>
      </c>
      <c r="M46">
        <v>1219.66</v>
      </c>
      <c r="O46" s="50">
        <f t="shared" si="1"/>
        <v>-21.560000000000173</v>
      </c>
      <c r="P46" s="51">
        <v>-50</v>
      </c>
      <c r="Q46" s="52" t="s">
        <v>273</v>
      </c>
      <c r="R46">
        <v>16</v>
      </c>
    </row>
    <row r="47" spans="2:18" ht="13.5" thickBot="1">
      <c r="B47">
        <v>1804</v>
      </c>
      <c r="C47" s="33"/>
      <c r="D47" s="33">
        <v>198</v>
      </c>
      <c r="E47" s="33">
        <v>171.6</v>
      </c>
      <c r="F47" s="33">
        <v>79.1</v>
      </c>
      <c r="G47" s="33">
        <v>11</v>
      </c>
      <c r="H47" s="33">
        <v>11.1</v>
      </c>
      <c r="I47" s="33">
        <v>11.6</v>
      </c>
      <c r="J47" s="33">
        <f t="shared" si="0"/>
        <v>482.4000000000001</v>
      </c>
      <c r="K47">
        <v>1804</v>
      </c>
      <c r="L47">
        <v>1804</v>
      </c>
      <c r="M47">
        <v>501.77</v>
      </c>
      <c r="O47" s="50">
        <f t="shared" si="1"/>
        <v>-19.36999999999989</v>
      </c>
      <c r="P47" s="53">
        <v>-40</v>
      </c>
      <c r="Q47" s="52" t="s">
        <v>274</v>
      </c>
      <c r="R47">
        <v>9</v>
      </c>
    </row>
    <row r="48" spans="2:18" ht="12.75">
      <c r="B48">
        <v>1810</v>
      </c>
      <c r="C48" s="33"/>
      <c r="D48" s="33"/>
      <c r="E48" s="33"/>
      <c r="F48" s="33">
        <v>282.4</v>
      </c>
      <c r="G48" s="33">
        <v>1174.1</v>
      </c>
      <c r="H48" s="33">
        <v>676.5</v>
      </c>
      <c r="I48" s="33"/>
      <c r="J48" s="33">
        <f t="shared" si="0"/>
        <v>2133</v>
      </c>
      <c r="K48">
        <v>1810</v>
      </c>
      <c r="L48">
        <v>1810</v>
      </c>
      <c r="M48">
        <v>2203.28</v>
      </c>
      <c r="O48" s="54">
        <f t="shared" si="1"/>
        <v>-70.2800000000002</v>
      </c>
      <c r="P48" s="54"/>
      <c r="Q48" s="9"/>
      <c r="R48" s="9"/>
    </row>
    <row r="49" spans="2:15" ht="12.75">
      <c r="B49">
        <v>1901</v>
      </c>
      <c r="C49" s="33">
        <v>254.2</v>
      </c>
      <c r="D49" s="33">
        <v>640.7</v>
      </c>
      <c r="E49" s="33">
        <v>580.8</v>
      </c>
      <c r="F49" s="33">
        <v>515.7</v>
      </c>
      <c r="G49" s="33">
        <v>361.6</v>
      </c>
      <c r="H49" s="33">
        <v>251.5</v>
      </c>
      <c r="I49" s="33">
        <v>153.7</v>
      </c>
      <c r="J49" s="33">
        <f t="shared" si="0"/>
        <v>2758.2</v>
      </c>
      <c r="K49">
        <v>1901</v>
      </c>
      <c r="L49">
        <v>1901</v>
      </c>
      <c r="M49">
        <v>2738.1</v>
      </c>
      <c r="O49" s="39">
        <f t="shared" si="1"/>
        <v>20.09999999999991</v>
      </c>
    </row>
    <row r="50" spans="2:15" ht="12.75">
      <c r="B50">
        <v>2001</v>
      </c>
      <c r="C50" s="33">
        <v>63.7</v>
      </c>
      <c r="D50" s="33"/>
      <c r="E50" s="33"/>
      <c r="F50" s="33"/>
      <c r="G50" s="33"/>
      <c r="H50" s="33"/>
      <c r="I50" s="33"/>
      <c r="J50" s="33">
        <f t="shared" si="0"/>
        <v>63.7</v>
      </c>
      <c r="K50">
        <v>2001</v>
      </c>
      <c r="L50">
        <v>2001</v>
      </c>
      <c r="M50">
        <v>63.67</v>
      </c>
      <c r="O50" s="39">
        <f t="shared" si="1"/>
        <v>0.030000000000001137</v>
      </c>
    </row>
    <row r="51" spans="2:15" ht="12.75">
      <c r="B51">
        <v>2101</v>
      </c>
      <c r="C51" s="33"/>
      <c r="D51" s="33"/>
      <c r="E51" s="33"/>
      <c r="F51" s="33"/>
      <c r="G51" s="33">
        <v>52.7</v>
      </c>
      <c r="H51" s="33">
        <v>35.4</v>
      </c>
      <c r="I51" s="33"/>
      <c r="J51" s="33">
        <f t="shared" si="0"/>
        <v>88.1</v>
      </c>
      <c r="K51">
        <v>2101</v>
      </c>
      <c r="L51">
        <v>2101</v>
      </c>
      <c r="M51">
        <v>86.54</v>
      </c>
      <c r="O51" s="39">
        <f t="shared" si="1"/>
        <v>1.559999999999988</v>
      </c>
    </row>
    <row r="52" spans="2:15" ht="12.75">
      <c r="B52">
        <v>2201</v>
      </c>
      <c r="C52" s="33"/>
      <c r="D52" s="33"/>
      <c r="E52" s="33"/>
      <c r="F52" s="33"/>
      <c r="G52" s="33">
        <v>125.5</v>
      </c>
      <c r="H52" s="33">
        <v>229.7</v>
      </c>
      <c r="I52" s="33"/>
      <c r="J52" s="33">
        <f t="shared" si="0"/>
        <v>355.2</v>
      </c>
      <c r="K52">
        <v>2201</v>
      </c>
      <c r="L52">
        <v>2201</v>
      </c>
      <c r="M52">
        <v>348.88</v>
      </c>
      <c r="O52" s="39">
        <f t="shared" si="1"/>
        <v>6.319999999999993</v>
      </c>
    </row>
    <row r="53" spans="2:15" ht="13.5" thickBot="1">
      <c r="B53">
        <v>2501</v>
      </c>
      <c r="C53" s="33">
        <v>123</v>
      </c>
      <c r="D53" s="33">
        <v>161.4</v>
      </c>
      <c r="E53" s="33"/>
      <c r="F53" s="33"/>
      <c r="G53" s="33"/>
      <c r="H53" s="33"/>
      <c r="I53" s="33"/>
      <c r="J53" s="33">
        <f t="shared" si="0"/>
        <v>284.4</v>
      </c>
      <c r="K53">
        <v>2501</v>
      </c>
      <c r="L53">
        <v>2501</v>
      </c>
      <c r="M53">
        <v>284.37</v>
      </c>
      <c r="O53" s="39">
        <f t="shared" si="1"/>
        <v>0.029999999999972715</v>
      </c>
    </row>
    <row r="54" spans="2:18" ht="13.5" thickBot="1">
      <c r="B54">
        <v>3101</v>
      </c>
      <c r="C54" s="33"/>
      <c r="D54" s="33"/>
      <c r="E54" s="33">
        <v>100.2</v>
      </c>
      <c r="F54" s="33">
        <v>307</v>
      </c>
      <c r="G54" s="33">
        <v>65.7</v>
      </c>
      <c r="H54" s="33">
        <v>15.2</v>
      </c>
      <c r="I54" s="33"/>
      <c r="J54" s="33">
        <f t="shared" si="0"/>
        <v>488.09999999999997</v>
      </c>
      <c r="K54">
        <v>3101</v>
      </c>
      <c r="L54">
        <v>3101</v>
      </c>
      <c r="M54">
        <v>426.36</v>
      </c>
      <c r="O54" s="41">
        <f t="shared" si="1"/>
        <v>61.73999999999995</v>
      </c>
      <c r="P54" s="42" t="s">
        <v>275</v>
      </c>
      <c r="Q54" s="42"/>
      <c r="R54" s="43">
        <v>17</v>
      </c>
    </row>
    <row r="55" spans="2:15" ht="13.5" thickBot="1">
      <c r="B55">
        <v>3601</v>
      </c>
      <c r="C55" s="33"/>
      <c r="D55" s="33"/>
      <c r="E55" s="33"/>
      <c r="F55" s="33"/>
      <c r="G55" s="33">
        <v>5.7</v>
      </c>
      <c r="H55" s="33">
        <v>39.9</v>
      </c>
      <c r="I55" s="33"/>
      <c r="J55" s="33">
        <f t="shared" si="0"/>
        <v>45.6</v>
      </c>
      <c r="K55">
        <v>3601</v>
      </c>
      <c r="L55">
        <v>3601</v>
      </c>
      <c r="M55">
        <v>45.96</v>
      </c>
      <c r="O55" s="39">
        <f t="shared" si="1"/>
        <v>-0.35999999999999943</v>
      </c>
    </row>
    <row r="56" spans="2:18" ht="13.5" thickBot="1">
      <c r="B56">
        <v>3801</v>
      </c>
      <c r="C56" s="33"/>
      <c r="D56" s="33"/>
      <c r="E56" s="33"/>
      <c r="F56" s="33"/>
      <c r="G56" s="33"/>
      <c r="H56" s="33">
        <v>206.2</v>
      </c>
      <c r="I56" s="33"/>
      <c r="J56" s="33">
        <f t="shared" si="0"/>
        <v>206.2</v>
      </c>
      <c r="K56">
        <v>3801</v>
      </c>
      <c r="L56">
        <v>3801</v>
      </c>
      <c r="M56">
        <v>310.09</v>
      </c>
      <c r="O56" s="41">
        <f t="shared" si="1"/>
        <v>-103.88999999999999</v>
      </c>
      <c r="P56" s="42" t="s">
        <v>276</v>
      </c>
      <c r="Q56" s="43"/>
      <c r="R56">
        <v>22</v>
      </c>
    </row>
    <row r="57" spans="2:15" ht="12.75">
      <c r="B57">
        <v>3901</v>
      </c>
      <c r="C57" s="33">
        <v>155.5</v>
      </c>
      <c r="D57" s="33">
        <v>65</v>
      </c>
      <c r="E57" s="33">
        <v>66.4</v>
      </c>
      <c r="F57" s="33">
        <v>70.5</v>
      </c>
      <c r="G57" s="33"/>
      <c r="H57" s="33"/>
      <c r="I57" s="33"/>
      <c r="J57" s="33">
        <f t="shared" si="0"/>
        <v>357.4</v>
      </c>
      <c r="K57">
        <v>3901</v>
      </c>
      <c r="L57">
        <v>3901</v>
      </c>
      <c r="M57">
        <v>360.52</v>
      </c>
      <c r="O57" s="39">
        <f t="shared" si="1"/>
        <v>-3.1200000000000045</v>
      </c>
    </row>
    <row r="58" spans="2:15" ht="12.75">
      <c r="B58">
        <v>4101</v>
      </c>
      <c r="C58" s="33"/>
      <c r="D58" s="33">
        <v>85.8</v>
      </c>
      <c r="E58" s="33">
        <v>18.7</v>
      </c>
      <c r="F58" s="33">
        <v>0.1</v>
      </c>
      <c r="G58" s="33">
        <v>288</v>
      </c>
      <c r="H58" s="33">
        <v>29.3</v>
      </c>
      <c r="I58" s="33"/>
      <c r="J58" s="33">
        <f t="shared" si="0"/>
        <v>421.90000000000003</v>
      </c>
      <c r="K58">
        <v>4101</v>
      </c>
      <c r="L58">
        <v>4101</v>
      </c>
      <c r="M58">
        <v>430.17</v>
      </c>
      <c r="O58" s="39">
        <f t="shared" si="1"/>
        <v>-8.269999999999982</v>
      </c>
    </row>
    <row r="59" spans="2:15" ht="12.75">
      <c r="B59">
        <v>4301</v>
      </c>
      <c r="C59" s="33"/>
      <c r="D59" s="33"/>
      <c r="E59" s="33">
        <v>156.9</v>
      </c>
      <c r="F59" s="33">
        <v>38.4</v>
      </c>
      <c r="G59" s="33">
        <v>214.5</v>
      </c>
      <c r="H59" s="33"/>
      <c r="I59" s="33"/>
      <c r="J59" s="33">
        <f t="shared" si="0"/>
        <v>409.8</v>
      </c>
      <c r="K59">
        <v>4301</v>
      </c>
      <c r="L59">
        <v>4301</v>
      </c>
      <c r="M59">
        <v>453.94</v>
      </c>
      <c r="O59" s="39">
        <f t="shared" si="1"/>
        <v>-44.139999999999986</v>
      </c>
    </row>
    <row r="60" spans="2:15" ht="12.75">
      <c r="B60">
        <v>4401</v>
      </c>
      <c r="C60" s="33"/>
      <c r="D60" s="33">
        <v>1.1</v>
      </c>
      <c r="E60" s="33">
        <v>4.4</v>
      </c>
      <c r="F60" s="33"/>
      <c r="G60" s="33">
        <v>842.5</v>
      </c>
      <c r="H60" s="33">
        <v>431.3</v>
      </c>
      <c r="I60" s="33">
        <v>17.8</v>
      </c>
      <c r="J60" s="33">
        <f t="shared" si="0"/>
        <v>1297.1</v>
      </c>
      <c r="K60">
        <v>4401</v>
      </c>
      <c r="L60">
        <v>4401</v>
      </c>
      <c r="M60">
        <v>1308.88</v>
      </c>
      <c r="O60" s="39">
        <f t="shared" si="1"/>
        <v>-11.7800000000002</v>
      </c>
    </row>
    <row r="61" spans="2:15" ht="12.75">
      <c r="B61">
        <v>4501</v>
      </c>
      <c r="C61" s="33">
        <v>112.3</v>
      </c>
      <c r="D61" s="33">
        <v>29.9</v>
      </c>
      <c r="E61" s="33">
        <v>47.5</v>
      </c>
      <c r="F61" s="33">
        <v>129.2</v>
      </c>
      <c r="G61" s="33">
        <v>350.4</v>
      </c>
      <c r="H61" s="33">
        <v>437.7</v>
      </c>
      <c r="I61" s="33"/>
      <c r="J61" s="33">
        <f t="shared" si="0"/>
        <v>1107</v>
      </c>
      <c r="K61">
        <v>4501</v>
      </c>
      <c r="L61">
        <v>4501</v>
      </c>
      <c r="M61">
        <v>1106.78</v>
      </c>
      <c r="O61" s="39">
        <f t="shared" si="1"/>
        <v>0.22000000000002728</v>
      </c>
    </row>
    <row r="62" spans="2:15" ht="12.75">
      <c r="B62">
        <v>4601</v>
      </c>
      <c r="C62" s="33">
        <v>1.3</v>
      </c>
      <c r="D62" s="33"/>
      <c r="E62" s="33"/>
      <c r="F62" s="33"/>
      <c r="G62" s="33"/>
      <c r="H62" s="33"/>
      <c r="I62" s="33"/>
      <c r="J62" s="33">
        <f t="shared" si="0"/>
        <v>1.3</v>
      </c>
      <c r="K62">
        <v>4601</v>
      </c>
      <c r="L62">
        <v>4601</v>
      </c>
      <c r="M62">
        <v>1.3</v>
      </c>
      <c r="O62" s="39">
        <f t="shared" si="1"/>
        <v>0</v>
      </c>
    </row>
    <row r="63" spans="2:16" ht="12.75">
      <c r="B63">
        <v>5101</v>
      </c>
      <c r="C63" s="33"/>
      <c r="D63" s="33"/>
      <c r="E63" s="33"/>
      <c r="F63" s="33"/>
      <c r="G63" s="33"/>
      <c r="H63" s="33">
        <v>280.4</v>
      </c>
      <c r="I63" s="33"/>
      <c r="J63" s="33">
        <f t="shared" si="0"/>
        <v>280.4</v>
      </c>
      <c r="K63">
        <v>5101</v>
      </c>
      <c r="L63">
        <v>5101</v>
      </c>
      <c r="M63">
        <v>282.69</v>
      </c>
      <c r="O63" s="39">
        <f t="shared" si="1"/>
        <v>-2.2900000000000205</v>
      </c>
      <c r="P63" s="39"/>
    </row>
    <row r="64" spans="2:18" ht="12.75">
      <c r="B64">
        <v>5201</v>
      </c>
      <c r="C64" s="33"/>
      <c r="D64" s="33"/>
      <c r="E64" s="33"/>
      <c r="F64" s="33"/>
      <c r="G64" s="33">
        <v>9.4</v>
      </c>
      <c r="H64" s="33">
        <v>429.1</v>
      </c>
      <c r="I64" s="33">
        <v>91.6</v>
      </c>
      <c r="J64" s="33">
        <f t="shared" si="0"/>
        <v>530.1</v>
      </c>
      <c r="K64">
        <v>5201</v>
      </c>
      <c r="L64">
        <v>5201</v>
      </c>
      <c r="M64">
        <v>610.92</v>
      </c>
      <c r="O64" s="39">
        <f t="shared" si="1"/>
        <v>-80.81999999999994</v>
      </c>
      <c r="P64" s="1">
        <v>-100</v>
      </c>
      <c r="Q64" t="s">
        <v>277</v>
      </c>
      <c r="R64">
        <v>20</v>
      </c>
    </row>
    <row r="65" spans="2:15" ht="12.75">
      <c r="B65">
        <v>5301</v>
      </c>
      <c r="C65" s="33"/>
      <c r="D65" s="33"/>
      <c r="E65" s="33"/>
      <c r="F65" s="33"/>
      <c r="G65" s="33">
        <v>11.1</v>
      </c>
      <c r="H65" s="33">
        <v>299.1</v>
      </c>
      <c r="I65" s="33">
        <v>18.9</v>
      </c>
      <c r="J65" s="33">
        <f t="shared" si="0"/>
        <v>329.1</v>
      </c>
      <c r="K65">
        <v>5301</v>
      </c>
      <c r="L65">
        <v>5301</v>
      </c>
      <c r="M65">
        <v>351.01</v>
      </c>
      <c r="O65" s="39">
        <f t="shared" si="1"/>
        <v>-21.909999999999968</v>
      </c>
    </row>
    <row r="66" spans="2:15" ht="12.75">
      <c r="B66">
        <v>5401</v>
      </c>
      <c r="C66" s="33"/>
      <c r="D66" s="33"/>
      <c r="E66" s="33"/>
      <c r="F66" s="33"/>
      <c r="G66" s="33"/>
      <c r="H66" s="33">
        <v>195.8</v>
      </c>
      <c r="I66" s="33"/>
      <c r="J66" s="33">
        <f t="shared" si="0"/>
        <v>195.8</v>
      </c>
      <c r="K66">
        <v>5401</v>
      </c>
      <c r="L66">
        <v>5401</v>
      </c>
      <c r="M66">
        <v>220.96</v>
      </c>
      <c r="O66" s="39">
        <f t="shared" si="1"/>
        <v>-25.159999999999997</v>
      </c>
    </row>
    <row r="67" spans="2:15" ht="12.75">
      <c r="B67">
        <v>5501</v>
      </c>
      <c r="C67" s="33"/>
      <c r="D67" s="33"/>
      <c r="E67" s="33"/>
      <c r="F67" s="33"/>
      <c r="G67" s="33"/>
      <c r="H67" s="33">
        <v>179.3</v>
      </c>
      <c r="I67" s="33"/>
      <c r="J67" s="33">
        <f aca="true" t="shared" si="2" ref="J67:J92">SUM(C67:I67)</f>
        <v>179.3</v>
      </c>
      <c r="K67">
        <v>5501</v>
      </c>
      <c r="L67">
        <v>5501</v>
      </c>
      <c r="M67">
        <v>161.65</v>
      </c>
      <c r="O67" s="39">
        <f t="shared" si="1"/>
        <v>17.650000000000006</v>
      </c>
    </row>
    <row r="68" spans="2:15" ht="12.75">
      <c r="B68">
        <v>5601</v>
      </c>
      <c r="C68" s="33"/>
      <c r="D68" s="33"/>
      <c r="E68" s="33"/>
      <c r="F68" s="33"/>
      <c r="G68" s="33"/>
      <c r="H68" s="33">
        <v>325.5</v>
      </c>
      <c r="I68" s="33"/>
      <c r="J68" s="33">
        <f t="shared" si="2"/>
        <v>325.5</v>
      </c>
      <c r="K68">
        <v>5601</v>
      </c>
      <c r="L68">
        <v>5601</v>
      </c>
      <c r="M68">
        <v>381.94</v>
      </c>
      <c r="O68" s="39">
        <f t="shared" si="1"/>
        <v>-56.44</v>
      </c>
    </row>
    <row r="69" spans="2:15" ht="12.75">
      <c r="B69">
        <v>5801</v>
      </c>
      <c r="C69" s="33">
        <v>11.9</v>
      </c>
      <c r="D69" s="33">
        <v>16</v>
      </c>
      <c r="E69" s="33">
        <v>12.5</v>
      </c>
      <c r="F69" s="33"/>
      <c r="G69" s="33"/>
      <c r="H69" s="33"/>
      <c r="I69" s="33"/>
      <c r="J69" s="33">
        <f t="shared" si="2"/>
        <v>40.4</v>
      </c>
      <c r="K69">
        <v>5801</v>
      </c>
      <c r="L69">
        <v>5801</v>
      </c>
      <c r="M69">
        <v>40.36</v>
      </c>
      <c r="O69" s="39">
        <f aca="true" t="shared" si="3" ref="O69:O92">+J69-M69</f>
        <v>0.03999999999999915</v>
      </c>
    </row>
    <row r="70" spans="2:15" ht="12.75">
      <c r="B70">
        <v>6101</v>
      </c>
      <c r="C70" s="33"/>
      <c r="D70" s="33"/>
      <c r="E70" s="33"/>
      <c r="F70" s="33"/>
      <c r="G70" s="33"/>
      <c r="H70" s="33">
        <v>92.3</v>
      </c>
      <c r="I70" s="33"/>
      <c r="J70" s="33">
        <f t="shared" si="2"/>
        <v>92.3</v>
      </c>
      <c r="K70">
        <v>6101</v>
      </c>
      <c r="L70">
        <v>6101</v>
      </c>
      <c r="M70">
        <v>94.51</v>
      </c>
      <c r="O70" s="39">
        <f t="shared" si="3"/>
        <v>-2.210000000000008</v>
      </c>
    </row>
    <row r="71" spans="2:15" ht="12.75">
      <c r="B71">
        <v>6163</v>
      </c>
      <c r="C71" s="33"/>
      <c r="D71" s="33">
        <v>15</v>
      </c>
      <c r="E71" s="33"/>
      <c r="F71" s="33"/>
      <c r="G71" s="33"/>
      <c r="H71" s="33"/>
      <c r="I71" s="33"/>
      <c r="J71" s="33">
        <f t="shared" si="2"/>
        <v>15</v>
      </c>
      <c r="K71">
        <v>6163</v>
      </c>
      <c r="L71">
        <v>6163</v>
      </c>
      <c r="M71">
        <v>15</v>
      </c>
      <c r="O71" s="39">
        <f t="shared" si="3"/>
        <v>0</v>
      </c>
    </row>
    <row r="72" spans="2:15" ht="12.75">
      <c r="B72">
        <v>6201</v>
      </c>
      <c r="C72" s="33"/>
      <c r="D72" s="33"/>
      <c r="E72" s="33"/>
      <c r="F72" s="33"/>
      <c r="G72" s="33">
        <v>41.8</v>
      </c>
      <c r="H72" s="33">
        <v>413.2</v>
      </c>
      <c r="I72" s="33"/>
      <c r="J72" s="33">
        <f t="shared" si="2"/>
        <v>455</v>
      </c>
      <c r="K72">
        <v>6201</v>
      </c>
      <c r="L72">
        <v>6201</v>
      </c>
      <c r="M72">
        <v>463.26</v>
      </c>
      <c r="O72" s="39">
        <f t="shared" si="3"/>
        <v>-8.259999999999991</v>
      </c>
    </row>
    <row r="73" spans="2:15" ht="12.75">
      <c r="B73">
        <v>6301</v>
      </c>
      <c r="C73" s="33"/>
      <c r="D73" s="33"/>
      <c r="E73" s="33"/>
      <c r="F73" s="33"/>
      <c r="G73" s="33"/>
      <c r="H73" s="33">
        <v>106.9</v>
      </c>
      <c r="I73" s="33"/>
      <c r="J73" s="33">
        <f t="shared" si="2"/>
        <v>106.9</v>
      </c>
      <c r="K73">
        <v>6301</v>
      </c>
      <c r="L73">
        <v>6301</v>
      </c>
      <c r="M73">
        <v>109.3</v>
      </c>
      <c r="O73" s="39">
        <f t="shared" si="3"/>
        <v>-2.3999999999999915</v>
      </c>
    </row>
    <row r="74" spans="2:15" ht="12.75">
      <c r="B74">
        <v>6501</v>
      </c>
      <c r="C74" s="33">
        <v>9.4</v>
      </c>
      <c r="D74" s="33"/>
      <c r="E74" s="33"/>
      <c r="F74" s="33"/>
      <c r="G74" s="33"/>
      <c r="H74" s="33"/>
      <c r="I74" s="33"/>
      <c r="J74" s="33">
        <f t="shared" si="2"/>
        <v>9.4</v>
      </c>
      <c r="K74">
        <v>6501</v>
      </c>
      <c r="L74">
        <v>6501</v>
      </c>
      <c r="M74">
        <v>9.38</v>
      </c>
      <c r="O74" s="39">
        <f t="shared" si="3"/>
        <v>0.019999999999999574</v>
      </c>
    </row>
    <row r="75" spans="2:15" ht="12.75">
      <c r="B75">
        <v>7101</v>
      </c>
      <c r="C75" s="33">
        <v>32.2</v>
      </c>
      <c r="D75" s="33"/>
      <c r="E75" s="33"/>
      <c r="F75" s="33"/>
      <c r="G75" s="33"/>
      <c r="H75" s="33"/>
      <c r="I75" s="33"/>
      <c r="J75" s="33">
        <f t="shared" si="2"/>
        <v>32.2</v>
      </c>
      <c r="K75">
        <v>7101</v>
      </c>
      <c r="L75">
        <v>7101</v>
      </c>
      <c r="M75">
        <v>32.15</v>
      </c>
      <c r="O75" s="39">
        <f t="shared" si="3"/>
        <v>0.05000000000000426</v>
      </c>
    </row>
    <row r="76" spans="2:15" ht="12.75">
      <c r="B76">
        <v>7201</v>
      </c>
      <c r="C76" s="33"/>
      <c r="D76" s="33"/>
      <c r="E76" s="33"/>
      <c r="F76" s="33"/>
      <c r="G76" s="33">
        <v>9.1</v>
      </c>
      <c r="H76" s="33"/>
      <c r="I76" s="33"/>
      <c r="J76" s="33">
        <f t="shared" si="2"/>
        <v>9.1</v>
      </c>
      <c r="K76">
        <v>7201</v>
      </c>
      <c r="L76">
        <v>7201</v>
      </c>
      <c r="M76">
        <v>8.02</v>
      </c>
      <c r="O76" s="39">
        <f t="shared" si="3"/>
        <v>1.08</v>
      </c>
    </row>
    <row r="77" spans="2:15" ht="12.75">
      <c r="B77">
        <v>7301</v>
      </c>
      <c r="C77" s="33"/>
      <c r="D77" s="33"/>
      <c r="E77" s="33">
        <v>120.7</v>
      </c>
      <c r="F77" s="33"/>
      <c r="G77" s="33">
        <v>38.3</v>
      </c>
      <c r="H77" s="33"/>
      <c r="I77" s="33"/>
      <c r="J77" s="33">
        <f t="shared" si="2"/>
        <v>159</v>
      </c>
      <c r="K77">
        <v>7301</v>
      </c>
      <c r="L77">
        <v>7301</v>
      </c>
      <c r="M77">
        <v>164.42</v>
      </c>
      <c r="O77" s="39">
        <f t="shared" si="3"/>
        <v>-5.4199999999999875</v>
      </c>
    </row>
    <row r="78" spans="2:15" ht="12.75">
      <c r="B78">
        <v>7401</v>
      </c>
      <c r="C78" s="33">
        <v>164</v>
      </c>
      <c r="D78" s="33">
        <v>238.2</v>
      </c>
      <c r="E78" s="33">
        <v>213.6</v>
      </c>
      <c r="F78" s="33">
        <v>17.6</v>
      </c>
      <c r="G78" s="33">
        <v>188.5</v>
      </c>
      <c r="H78" s="33">
        <v>496.1</v>
      </c>
      <c r="I78" s="33">
        <v>257</v>
      </c>
      <c r="J78" s="33">
        <f t="shared" si="2"/>
        <v>1575</v>
      </c>
      <c r="K78">
        <v>7401</v>
      </c>
      <c r="L78">
        <v>7401</v>
      </c>
      <c r="M78">
        <v>1564.76</v>
      </c>
      <c r="O78" s="39">
        <f t="shared" si="3"/>
        <v>10.240000000000009</v>
      </c>
    </row>
    <row r="79" spans="2:15" ht="12.75">
      <c r="B79">
        <v>7501</v>
      </c>
      <c r="C79" s="33"/>
      <c r="D79" s="33"/>
      <c r="E79" s="33"/>
      <c r="F79" s="33"/>
      <c r="G79" s="33"/>
      <c r="H79" s="33">
        <v>831.3</v>
      </c>
      <c r="I79" s="33">
        <v>232.1</v>
      </c>
      <c r="J79" s="33">
        <f t="shared" si="2"/>
        <v>1063.3999999999999</v>
      </c>
      <c r="K79">
        <v>7501</v>
      </c>
      <c r="L79">
        <v>7501</v>
      </c>
      <c r="M79">
        <v>1054.34</v>
      </c>
      <c r="O79" s="39">
        <f t="shared" si="3"/>
        <v>9.059999999999945</v>
      </c>
    </row>
    <row r="80" spans="2:15" ht="12.75">
      <c r="B80">
        <v>7502</v>
      </c>
      <c r="C80" s="33"/>
      <c r="D80" s="33"/>
      <c r="E80" s="33"/>
      <c r="F80" s="33"/>
      <c r="G80" s="33">
        <v>74.6</v>
      </c>
      <c r="H80" s="33"/>
      <c r="I80" s="33"/>
      <c r="J80" s="33">
        <f t="shared" si="2"/>
        <v>74.6</v>
      </c>
      <c r="K80">
        <v>7502</v>
      </c>
      <c r="L80">
        <v>7502</v>
      </c>
      <c r="M80">
        <v>57.17</v>
      </c>
      <c r="O80" s="39">
        <f t="shared" si="3"/>
        <v>17.429999999999993</v>
      </c>
    </row>
    <row r="81" spans="2:15" ht="12.75">
      <c r="B81">
        <v>7503</v>
      </c>
      <c r="C81" s="33"/>
      <c r="D81" s="33"/>
      <c r="E81" s="33"/>
      <c r="F81" s="33"/>
      <c r="G81" s="33"/>
      <c r="H81" s="33">
        <v>833.1</v>
      </c>
      <c r="I81" s="33">
        <v>451.4</v>
      </c>
      <c r="J81" s="33">
        <f t="shared" si="2"/>
        <v>1284.5</v>
      </c>
      <c r="K81">
        <v>7503</v>
      </c>
      <c r="L81">
        <v>7503</v>
      </c>
      <c r="M81">
        <v>1254.04</v>
      </c>
      <c r="O81" s="54">
        <f t="shared" si="3"/>
        <v>30.460000000000036</v>
      </c>
    </row>
    <row r="82" spans="2:15" ht="13.5" thickBot="1">
      <c r="B82">
        <v>7601</v>
      </c>
      <c r="C82" s="33"/>
      <c r="D82" s="33"/>
      <c r="E82" s="33"/>
      <c r="F82" s="33"/>
      <c r="G82" s="33"/>
      <c r="H82" s="33">
        <v>176.4</v>
      </c>
      <c r="I82" s="33">
        <v>61.4</v>
      </c>
      <c r="J82" s="33">
        <f t="shared" si="2"/>
        <v>237.8</v>
      </c>
      <c r="K82">
        <v>7601</v>
      </c>
      <c r="L82">
        <v>7601</v>
      </c>
      <c r="M82">
        <v>238.25</v>
      </c>
      <c r="O82" s="39">
        <f t="shared" si="3"/>
        <v>-0.44999999999998863</v>
      </c>
    </row>
    <row r="83" spans="2:17" ht="12.75">
      <c r="B83">
        <v>8101</v>
      </c>
      <c r="C83" s="33">
        <v>387.3</v>
      </c>
      <c r="D83" s="33">
        <v>873.1</v>
      </c>
      <c r="E83" s="33">
        <v>696.1</v>
      </c>
      <c r="F83" s="33">
        <v>634.6</v>
      </c>
      <c r="G83" s="33">
        <v>662.1</v>
      </c>
      <c r="H83" s="33">
        <v>554.5</v>
      </c>
      <c r="I83" s="33">
        <v>132.3</v>
      </c>
      <c r="J83" s="33">
        <f t="shared" si="2"/>
        <v>3940</v>
      </c>
      <c r="K83">
        <v>8101</v>
      </c>
      <c r="L83">
        <v>8101</v>
      </c>
      <c r="M83">
        <v>4110.21</v>
      </c>
      <c r="O83" s="55">
        <f t="shared" si="3"/>
        <v>-170.21000000000004</v>
      </c>
      <c r="P83" s="56">
        <f>SUM(O83:O84)</f>
        <v>-53.910000000000025</v>
      </c>
      <c r="Q83" t="s">
        <v>278</v>
      </c>
    </row>
    <row r="84" spans="2:16" ht="13.5" thickBot="1">
      <c r="B84">
        <v>8102</v>
      </c>
      <c r="C84" s="33">
        <v>58.6</v>
      </c>
      <c r="D84" s="33">
        <v>88</v>
      </c>
      <c r="E84" s="33">
        <v>95.4</v>
      </c>
      <c r="F84" s="33">
        <v>173.6</v>
      </c>
      <c r="G84" s="33">
        <v>50.5</v>
      </c>
      <c r="H84" s="33">
        <v>36.7</v>
      </c>
      <c r="I84" s="33"/>
      <c r="J84" s="33">
        <f t="shared" si="2"/>
        <v>502.8</v>
      </c>
      <c r="K84">
        <v>8102</v>
      </c>
      <c r="L84">
        <v>8102</v>
      </c>
      <c r="M84">
        <v>386.5</v>
      </c>
      <c r="O84" s="57">
        <f t="shared" si="3"/>
        <v>116.30000000000001</v>
      </c>
      <c r="P84" s="58"/>
    </row>
    <row r="85" spans="2:18" ht="12.75">
      <c r="B85">
        <v>8202</v>
      </c>
      <c r="C85" s="33">
        <v>295.5</v>
      </c>
      <c r="D85" s="33">
        <v>669.6</v>
      </c>
      <c r="E85" s="33">
        <v>669.3</v>
      </c>
      <c r="F85" s="33">
        <v>625.6</v>
      </c>
      <c r="G85" s="33">
        <v>239.6</v>
      </c>
      <c r="H85" s="33">
        <v>246</v>
      </c>
      <c r="I85" s="33">
        <v>62.8</v>
      </c>
      <c r="J85" s="33">
        <f t="shared" si="2"/>
        <v>2808.4</v>
      </c>
      <c r="K85">
        <v>8202</v>
      </c>
      <c r="L85">
        <v>8202</v>
      </c>
      <c r="M85">
        <v>2834.97</v>
      </c>
      <c r="O85" s="55">
        <f t="shared" si="3"/>
        <v>-26.56999999999971</v>
      </c>
      <c r="P85" s="59">
        <f>SUM(O85:O88)</f>
        <v>84.01000000000056</v>
      </c>
      <c r="Q85" s="60"/>
      <c r="R85">
        <v>19</v>
      </c>
    </row>
    <row r="86" spans="2:17" ht="12.75">
      <c r="B86">
        <v>8203</v>
      </c>
      <c r="C86" s="33">
        <v>178.8</v>
      </c>
      <c r="D86" s="33">
        <v>372.6</v>
      </c>
      <c r="E86" s="33">
        <v>171</v>
      </c>
      <c r="F86" s="33">
        <v>140.2</v>
      </c>
      <c r="G86" s="33">
        <v>132.5</v>
      </c>
      <c r="H86" s="33">
        <v>0.5</v>
      </c>
      <c r="I86" s="33"/>
      <c r="J86" s="33">
        <f t="shared" si="2"/>
        <v>995.6000000000001</v>
      </c>
      <c r="K86">
        <v>8203</v>
      </c>
      <c r="L86">
        <v>8203</v>
      </c>
      <c r="M86">
        <v>1116.34</v>
      </c>
      <c r="O86" s="61">
        <f t="shared" si="3"/>
        <v>-120.73999999999978</v>
      </c>
      <c r="P86" s="22" t="s">
        <v>279</v>
      </c>
      <c r="Q86" s="62"/>
    </row>
    <row r="87" spans="2:17" ht="12.75">
      <c r="B87">
        <v>8204</v>
      </c>
      <c r="C87" s="33">
        <v>44.6</v>
      </c>
      <c r="D87" s="33">
        <v>188.8</v>
      </c>
      <c r="E87" s="33">
        <v>256.6</v>
      </c>
      <c r="F87" s="33">
        <v>225.4</v>
      </c>
      <c r="G87" s="33"/>
      <c r="H87" s="33"/>
      <c r="I87" s="33"/>
      <c r="J87" s="33">
        <f t="shared" si="2"/>
        <v>715.4</v>
      </c>
      <c r="K87">
        <v>8204</v>
      </c>
      <c r="L87">
        <v>8204</v>
      </c>
      <c r="M87">
        <v>600.93</v>
      </c>
      <c r="O87" s="61">
        <f t="shared" si="3"/>
        <v>114.47000000000003</v>
      </c>
      <c r="P87" s="22"/>
      <c r="Q87" s="62"/>
    </row>
    <row r="88" spans="2:17" ht="13.5" thickBot="1">
      <c r="B88">
        <v>8205</v>
      </c>
      <c r="C88" s="33"/>
      <c r="D88" s="33"/>
      <c r="E88" s="33">
        <v>109.5</v>
      </c>
      <c r="F88" s="33">
        <v>189.3</v>
      </c>
      <c r="G88" s="33">
        <v>73.8</v>
      </c>
      <c r="H88" s="33">
        <v>76.1</v>
      </c>
      <c r="I88" s="33"/>
      <c r="J88" s="33">
        <f t="shared" si="2"/>
        <v>448.70000000000005</v>
      </c>
      <c r="K88">
        <v>8205</v>
      </c>
      <c r="L88">
        <v>8205</v>
      </c>
      <c r="M88">
        <v>331.85</v>
      </c>
      <c r="O88" s="57">
        <f t="shared" si="3"/>
        <v>116.85000000000002</v>
      </c>
      <c r="P88" s="63"/>
      <c r="Q88" s="58"/>
    </row>
    <row r="89" spans="2:15" ht="12.75">
      <c r="B89">
        <v>8401</v>
      </c>
      <c r="C89" s="33">
        <v>210.3</v>
      </c>
      <c r="D89" s="33">
        <v>113.8</v>
      </c>
      <c r="E89" s="33"/>
      <c r="F89" s="33"/>
      <c r="G89" s="33"/>
      <c r="H89" s="33"/>
      <c r="I89" s="33"/>
      <c r="J89" s="33">
        <f t="shared" si="2"/>
        <v>324.1</v>
      </c>
      <c r="K89">
        <v>8401</v>
      </c>
      <c r="L89">
        <v>8401</v>
      </c>
      <c r="M89">
        <v>324.5</v>
      </c>
      <c r="O89" s="39">
        <f t="shared" si="3"/>
        <v>-0.39999999999997726</v>
      </c>
    </row>
    <row r="90" spans="2:15" ht="12.75">
      <c r="B90">
        <v>8402</v>
      </c>
      <c r="C90" s="33">
        <v>41</v>
      </c>
      <c r="D90" s="33">
        <v>104.9</v>
      </c>
      <c r="E90" s="33"/>
      <c r="F90" s="33"/>
      <c r="G90" s="33"/>
      <c r="H90" s="33"/>
      <c r="I90" s="33"/>
      <c r="J90" s="33">
        <f t="shared" si="2"/>
        <v>145.9</v>
      </c>
      <c r="K90">
        <v>8402</v>
      </c>
      <c r="L90">
        <v>8402</v>
      </c>
      <c r="M90">
        <v>145.86</v>
      </c>
      <c r="O90" s="39">
        <f t="shared" si="3"/>
        <v>0.03999999999999204</v>
      </c>
    </row>
    <row r="91" spans="2:15" ht="12.75">
      <c r="B91">
        <v>8501</v>
      </c>
      <c r="C91" s="33"/>
      <c r="D91" s="33"/>
      <c r="E91" s="33"/>
      <c r="F91" s="33"/>
      <c r="G91" s="33"/>
      <c r="H91" s="33">
        <v>365.1</v>
      </c>
      <c r="I91" s="33">
        <v>834.2</v>
      </c>
      <c r="J91" s="33">
        <f t="shared" si="2"/>
        <v>1199.3000000000002</v>
      </c>
      <c r="K91">
        <v>8501</v>
      </c>
      <c r="L91">
        <v>8501</v>
      </c>
      <c r="M91">
        <v>1189.18</v>
      </c>
      <c r="O91" s="39">
        <f t="shared" si="3"/>
        <v>10.120000000000118</v>
      </c>
    </row>
    <row r="92" spans="2:15" ht="12.75">
      <c r="B92">
        <v>8998</v>
      </c>
      <c r="C92" s="33">
        <v>112</v>
      </c>
      <c r="D92" s="33">
        <v>260.7</v>
      </c>
      <c r="E92" s="33">
        <v>350.8</v>
      </c>
      <c r="F92" s="33">
        <v>329.8</v>
      </c>
      <c r="G92" s="33">
        <v>331.5</v>
      </c>
      <c r="H92" s="33">
        <v>167.7</v>
      </c>
      <c r="I92" s="33"/>
      <c r="J92" s="33">
        <f t="shared" si="2"/>
        <v>1552.5</v>
      </c>
      <c r="K92">
        <v>8998</v>
      </c>
      <c r="L92">
        <v>8998</v>
      </c>
      <c r="M92">
        <v>1576.89</v>
      </c>
      <c r="O92" s="39">
        <f t="shared" si="3"/>
        <v>-24.3900000000001</v>
      </c>
    </row>
    <row r="93" spans="3:16" ht="12.75">
      <c r="C93" s="64">
        <f>SUM(C3:C92)</f>
        <v>6062.500000000001</v>
      </c>
      <c r="D93" s="64">
        <f aca="true" t="shared" si="4" ref="D93:J93">SUM(D3:D92)</f>
        <v>13713.9</v>
      </c>
      <c r="E93" s="64">
        <f t="shared" si="4"/>
        <v>16917.999999999996</v>
      </c>
      <c r="F93" s="64">
        <f t="shared" si="4"/>
        <v>17525.2</v>
      </c>
      <c r="G93" s="64">
        <f t="shared" si="4"/>
        <v>13390.297000000002</v>
      </c>
      <c r="H93" s="64">
        <f t="shared" si="4"/>
        <v>11143.300000000003</v>
      </c>
      <c r="I93" s="64">
        <f t="shared" si="4"/>
        <v>2331.8999999999996</v>
      </c>
      <c r="J93" s="64">
        <f t="shared" si="4"/>
        <v>81085.09700000001</v>
      </c>
      <c r="L93" t="s">
        <v>280</v>
      </c>
      <c r="M93">
        <v>11984</v>
      </c>
      <c r="P93" s="39">
        <f>SUM(P85,P64,O56,O54,P47,P46,O37,O36,O29,P21,P18,O16,O14,O7,P4,P83)</f>
        <v>945.7770000000019</v>
      </c>
    </row>
    <row r="94" spans="3:17" ht="12.75">
      <c r="C94" s="33"/>
      <c r="D94" s="33"/>
      <c r="E94" s="33"/>
      <c r="F94" s="33"/>
      <c r="G94" s="33"/>
      <c r="H94" s="33"/>
      <c r="I94" s="33"/>
      <c r="J94" s="33"/>
      <c r="L94" t="s">
        <v>174</v>
      </c>
      <c r="M94">
        <v>75</v>
      </c>
      <c r="P94" s="39">
        <f>+O95-P93</f>
        <v>-205.24000000000115</v>
      </c>
      <c r="Q94" t="s">
        <v>281</v>
      </c>
    </row>
    <row r="95" spans="2:17" ht="12.75">
      <c r="B95" t="s">
        <v>282</v>
      </c>
      <c r="C95" s="33"/>
      <c r="D95" s="33"/>
      <c r="E95" s="33"/>
      <c r="F95" s="33">
        <f>SUM(F109:F110)</f>
        <v>1295.7</v>
      </c>
      <c r="G95" s="33">
        <f>SUM(G109:G110)</f>
        <v>2518.3</v>
      </c>
      <c r="H95" s="33">
        <f>SUM(H109:H110)</f>
        <v>4756.7</v>
      </c>
      <c r="I95" s="33">
        <f>SUM(I109:I110)</f>
        <v>1051</v>
      </c>
      <c r="J95" s="33">
        <f>SUM(C95:I95)</f>
        <v>9621.7</v>
      </c>
      <c r="O95" s="39">
        <f>SUM(O3:O94)</f>
        <v>740.5370000000007</v>
      </c>
      <c r="Q95" t="s">
        <v>283</v>
      </c>
    </row>
    <row r="96" spans="3:10" ht="12.75">
      <c r="C96" s="33"/>
      <c r="D96" s="33"/>
      <c r="E96" s="33"/>
      <c r="F96" s="33"/>
      <c r="G96" s="33"/>
      <c r="H96" s="33"/>
      <c r="I96" s="33"/>
      <c r="J96" s="33"/>
    </row>
    <row r="97" spans="2:10" ht="12.75">
      <c r="B97" t="s">
        <v>284</v>
      </c>
      <c r="C97" s="33"/>
      <c r="D97" s="33"/>
      <c r="E97" s="33">
        <v>1593</v>
      </c>
      <c r="F97" s="33"/>
      <c r="G97" s="33"/>
      <c r="H97" s="33"/>
      <c r="I97" s="33"/>
      <c r="J97" s="33"/>
    </row>
    <row r="98" spans="3:10" ht="12.75">
      <c r="C98" s="33">
        <f>SUM(C93:C97)</f>
        <v>6062.500000000001</v>
      </c>
      <c r="D98" s="33">
        <f aca="true" t="shared" si="5" ref="D98:I98">SUM(D93:D97)</f>
        <v>13713.9</v>
      </c>
      <c r="E98" s="33">
        <f t="shared" si="5"/>
        <v>18510.999999999996</v>
      </c>
      <c r="F98" s="33">
        <f t="shared" si="5"/>
        <v>18820.9</v>
      </c>
      <c r="G98" s="33">
        <f t="shared" si="5"/>
        <v>15908.597000000002</v>
      </c>
      <c r="H98" s="33">
        <f t="shared" si="5"/>
        <v>15900.000000000004</v>
      </c>
      <c r="I98" s="33">
        <f t="shared" si="5"/>
        <v>3382.8999999999996</v>
      </c>
      <c r="J98" s="33">
        <f>SUM(C98:I98)</f>
        <v>92299.79699999999</v>
      </c>
    </row>
    <row r="99" spans="2:10" ht="12.75">
      <c r="B99" t="s">
        <v>285</v>
      </c>
      <c r="C99" s="33"/>
      <c r="D99" s="33"/>
      <c r="E99" s="33"/>
      <c r="F99" s="33">
        <v>18830</v>
      </c>
      <c r="G99" s="33">
        <v>15900</v>
      </c>
      <c r="H99" s="33">
        <v>15900</v>
      </c>
      <c r="I99" s="33">
        <v>3383</v>
      </c>
      <c r="J99" s="33"/>
    </row>
    <row r="100" spans="3:10" ht="12.75">
      <c r="C100" s="33"/>
      <c r="D100" s="33"/>
      <c r="E100" s="33"/>
      <c r="F100" s="33"/>
      <c r="G100" s="33"/>
      <c r="H100" s="33"/>
      <c r="I100" s="33"/>
      <c r="J100" s="33"/>
    </row>
    <row r="101" spans="3:10" ht="12.75">
      <c r="C101" s="33"/>
      <c r="D101" s="33"/>
      <c r="E101" s="33"/>
      <c r="F101" s="33"/>
      <c r="G101" s="33"/>
      <c r="H101" s="33"/>
      <c r="I101" s="33"/>
      <c r="J101" s="33"/>
    </row>
    <row r="102" spans="2:11" ht="12.75">
      <c r="B102" t="s">
        <v>286</v>
      </c>
      <c r="C102" s="33">
        <f>SUM(C98)</f>
        <v>6062.500000000001</v>
      </c>
      <c r="D102" s="33">
        <f aca="true" t="shared" si="6" ref="D102:I102">+C102+D98</f>
        <v>19776.4</v>
      </c>
      <c r="E102" s="33">
        <f t="shared" si="6"/>
        <v>38287.399999999994</v>
      </c>
      <c r="F102" s="33">
        <f t="shared" si="6"/>
        <v>57108.299999999996</v>
      </c>
      <c r="G102" s="33">
        <f t="shared" si="6"/>
        <v>73016.897</v>
      </c>
      <c r="H102" s="33">
        <f t="shared" si="6"/>
        <v>88916.897</v>
      </c>
      <c r="I102" s="33">
        <f t="shared" si="6"/>
        <v>92299.79699999999</v>
      </c>
      <c r="J102" s="33">
        <v>74</v>
      </c>
      <c r="K102" s="65">
        <f>+J102+I102</f>
        <v>92373.79699999999</v>
      </c>
    </row>
    <row r="103" spans="2:11" ht="12.75">
      <c r="B103" t="s">
        <v>287</v>
      </c>
      <c r="C103" s="33"/>
      <c r="D103" s="33"/>
      <c r="E103" s="33">
        <f>41318-75</f>
        <v>41243</v>
      </c>
      <c r="F103" s="33">
        <f>+E103+15900</f>
        <v>57143</v>
      </c>
      <c r="G103" s="33">
        <f>+F103+G99</f>
        <v>73043</v>
      </c>
      <c r="H103" s="33">
        <f>+G103+H99</f>
        <v>88943</v>
      </c>
      <c r="I103" s="33">
        <f>+H103+I99</f>
        <v>92326</v>
      </c>
      <c r="J103" s="33">
        <v>75</v>
      </c>
      <c r="K103" s="65">
        <f>+J103+I103</f>
        <v>92401</v>
      </c>
    </row>
    <row r="104" spans="3:10" ht="12.75">
      <c r="C104" s="33"/>
      <c r="D104" s="33"/>
      <c r="E104" s="33"/>
      <c r="F104" s="33"/>
      <c r="G104" s="33"/>
      <c r="H104" s="33"/>
      <c r="I104" s="33"/>
      <c r="J104" s="33"/>
    </row>
    <row r="105" spans="3:10" ht="12.75">
      <c r="C105" s="33"/>
      <c r="D105" s="33"/>
      <c r="E105" s="33"/>
      <c r="F105" s="33"/>
      <c r="G105" s="33"/>
      <c r="H105" s="33"/>
      <c r="I105" s="33"/>
      <c r="J105" s="33"/>
    </row>
    <row r="106" spans="3:10" ht="12.75">
      <c r="C106" s="33" t="s">
        <v>175</v>
      </c>
      <c r="D106" s="33" t="s">
        <v>176</v>
      </c>
      <c r="E106" s="33" t="s">
        <v>177</v>
      </c>
      <c r="F106" s="33" t="s">
        <v>178</v>
      </c>
      <c r="G106" s="33" t="s">
        <v>179</v>
      </c>
      <c r="H106" s="33" t="s">
        <v>180</v>
      </c>
      <c r="I106" s="33" t="s">
        <v>181</v>
      </c>
      <c r="J106" s="33" t="s">
        <v>182</v>
      </c>
    </row>
    <row r="107" spans="3:10" ht="12.75">
      <c r="C107" s="33"/>
      <c r="D107" s="33"/>
      <c r="E107" s="33"/>
      <c r="F107" s="33"/>
      <c r="G107" s="33"/>
      <c r="H107" s="33"/>
      <c r="I107" s="33"/>
      <c r="J107" s="33"/>
    </row>
    <row r="108" spans="3:10" ht="13.5" thickBot="1">
      <c r="C108" s="33"/>
      <c r="D108" s="33"/>
      <c r="E108" s="33"/>
      <c r="F108" s="33"/>
      <c r="G108" s="33"/>
      <c r="H108" s="33"/>
      <c r="I108" s="33"/>
      <c r="J108" s="33"/>
    </row>
    <row r="109" spans="1:19" ht="13.5" thickBot="1">
      <c r="A109" s="66"/>
      <c r="B109" s="66"/>
      <c r="C109" s="67"/>
      <c r="D109" s="67"/>
      <c r="E109" s="67"/>
      <c r="F109" s="68">
        <v>42</v>
      </c>
      <c r="G109" s="68">
        <v>44</v>
      </c>
      <c r="H109" s="68">
        <v>38</v>
      </c>
      <c r="I109" s="68">
        <v>11</v>
      </c>
      <c r="J109" s="68">
        <f>SUM(F109:I109)</f>
        <v>135</v>
      </c>
      <c r="K109" s="66"/>
      <c r="N109" s="66"/>
      <c r="O109" s="66"/>
      <c r="P109" s="66"/>
      <c r="Q109" s="66"/>
      <c r="R109" s="66"/>
      <c r="S109" s="66"/>
    </row>
    <row r="110" spans="3:10" ht="12.75">
      <c r="C110" s="33"/>
      <c r="D110" s="33"/>
      <c r="E110" s="33"/>
      <c r="F110" s="33">
        <v>1253.7</v>
      </c>
      <c r="G110" s="33">
        <v>2474.3</v>
      </c>
      <c r="H110" s="33">
        <v>4718.7</v>
      </c>
      <c r="I110" s="33">
        <v>1040</v>
      </c>
      <c r="J110" s="33"/>
    </row>
    <row r="111" spans="3:10" ht="12.75">
      <c r="C111" s="33"/>
      <c r="D111" s="33"/>
      <c r="E111" s="33"/>
      <c r="F111" s="33"/>
      <c r="G111" s="33"/>
      <c r="H111" s="33"/>
      <c r="I111" s="33"/>
      <c r="J111" s="33"/>
    </row>
    <row r="112" spans="3:10" ht="12.75">
      <c r="C112" s="33"/>
      <c r="D112" s="33"/>
      <c r="E112" s="33"/>
      <c r="F112" s="33"/>
      <c r="G112" s="33"/>
      <c r="H112" s="33"/>
      <c r="I112" s="33"/>
      <c r="J112" s="33"/>
    </row>
    <row r="113" spans="3:13" ht="12.75">
      <c r="C113" s="33"/>
      <c r="D113" s="33"/>
      <c r="E113" s="33"/>
      <c r="F113" s="33">
        <f>SUM(C98:F98)</f>
        <v>57108.299999999996</v>
      </c>
      <c r="G113" s="33">
        <f>+F113+G98</f>
        <v>73016.897</v>
      </c>
      <c r="H113" s="33">
        <f>+G113+H98</f>
        <v>88916.897</v>
      </c>
      <c r="I113" s="33">
        <f>+H113+I98</f>
        <v>92299.79699999999</v>
      </c>
      <c r="J113" s="33"/>
      <c r="L113" s="66"/>
      <c r="M113" s="66"/>
    </row>
    <row r="114" spans="3:10" ht="12.75">
      <c r="C114" s="33"/>
      <c r="D114" s="33"/>
      <c r="E114" s="33"/>
      <c r="F114" s="33"/>
      <c r="G114" s="33"/>
      <c r="H114" s="33"/>
      <c r="I114" s="33"/>
      <c r="J114" s="33"/>
    </row>
    <row r="115" spans="3:10" ht="12.75">
      <c r="C115" s="33"/>
      <c r="D115" s="33"/>
      <c r="E115" s="33"/>
      <c r="F115" s="33">
        <f>SUM(J95)</f>
        <v>9621.7</v>
      </c>
      <c r="G115" s="69">
        <f>+F115/F116</f>
        <v>0.2167503700155913</v>
      </c>
      <c r="H115" s="33"/>
      <c r="I115" s="33"/>
      <c r="J115" s="33"/>
    </row>
    <row r="116" spans="3:10" ht="12.75">
      <c r="C116" s="33"/>
      <c r="D116" s="33"/>
      <c r="E116" s="33">
        <v>38312.887</v>
      </c>
      <c r="F116" s="33">
        <f>SUM(F93:I93)</f>
        <v>44390.69700000001</v>
      </c>
      <c r="G116" s="33"/>
      <c r="H116" s="33"/>
      <c r="I116" s="33"/>
      <c r="J116" s="33">
        <f>SUM(E116:F116)</f>
        <v>82703.584</v>
      </c>
    </row>
    <row r="117" spans="3:10" ht="12.75">
      <c r="C117" s="33"/>
      <c r="D117" s="33"/>
      <c r="E117" s="33"/>
      <c r="F117" s="33"/>
      <c r="G117" s="33"/>
      <c r="H117" s="33"/>
      <c r="I117" s="70" t="s">
        <v>288</v>
      </c>
      <c r="J117" s="33">
        <v>75</v>
      </c>
    </row>
    <row r="118" spans="3:10" ht="12.75">
      <c r="C118" s="33"/>
      <c r="D118" s="33"/>
      <c r="E118" s="33"/>
      <c r="F118" s="33"/>
      <c r="G118" s="33"/>
      <c r="H118" s="33"/>
      <c r="I118" s="33"/>
      <c r="J118" s="33"/>
    </row>
    <row r="119" spans="3:10" ht="12.75">
      <c r="C119" s="33"/>
      <c r="D119" s="33"/>
      <c r="E119" s="33"/>
      <c r="F119" s="33"/>
      <c r="G119" s="33"/>
      <c r="H119" s="33"/>
      <c r="I119" s="33"/>
      <c r="J119" s="33">
        <f>SUM(J95,J116:J117)</f>
        <v>92400.284</v>
      </c>
    </row>
    <row r="120" spans="3:10" ht="12.75">
      <c r="C120" s="33"/>
      <c r="D120" s="33"/>
      <c r="E120" s="33"/>
      <c r="F120" s="33"/>
      <c r="G120" s="33"/>
      <c r="H120" s="33"/>
      <c r="I120" s="33"/>
      <c r="J120" s="3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5:M90"/>
  <sheetViews>
    <sheetView workbookViewId="0" topLeftCell="A1">
      <selection activeCell="C5" sqref="C5:G90"/>
    </sheetView>
  </sheetViews>
  <sheetFormatPr defaultColWidth="9.140625" defaultRowHeight="12.75"/>
  <cols>
    <col min="3" max="3" width="32.7109375" style="0" customWidth="1"/>
    <col min="4" max="6" width="11.00390625" style="31" customWidth="1"/>
    <col min="7" max="7" width="9.57421875" style="31" customWidth="1"/>
    <col min="8" max="9" width="11.421875" style="31" customWidth="1"/>
    <col min="11" max="11" width="17.140625" style="0" bestFit="1" customWidth="1"/>
    <col min="12" max="12" width="15.8515625" style="0" bestFit="1" customWidth="1"/>
    <col min="13" max="13" width="6.28125" style="0" bestFit="1" customWidth="1"/>
  </cols>
  <sheetData>
    <row r="5" spans="3:9" ht="12.75">
      <c r="C5" s="9"/>
      <c r="D5" s="125" t="s">
        <v>201</v>
      </c>
      <c r="E5" s="126" t="s">
        <v>199</v>
      </c>
      <c r="F5" s="126" t="s">
        <v>172</v>
      </c>
      <c r="G5" s="126" t="s">
        <v>313</v>
      </c>
      <c r="H5" s="126"/>
      <c r="I5" s="126"/>
    </row>
    <row r="6" spans="3:13" ht="12.75">
      <c r="C6" s="12" t="s">
        <v>130</v>
      </c>
      <c r="D6" s="127">
        <f>9438.7-5134</f>
        <v>4304.700000000001</v>
      </c>
      <c r="E6" s="128">
        <v>863</v>
      </c>
      <c r="F6" s="128">
        <f>525.15266296-239</f>
        <v>286.15266296000004</v>
      </c>
      <c r="G6" s="129">
        <f>+F6/E6</f>
        <v>0.3315789837311704</v>
      </c>
      <c r="H6" s="129"/>
      <c r="I6" s="129"/>
      <c r="J6" s="22" t="s">
        <v>314</v>
      </c>
      <c r="K6" s="121">
        <v>3245017.8509</v>
      </c>
      <c r="L6" s="121">
        <v>525152.66296</v>
      </c>
      <c r="M6" s="122">
        <f>+L6/K6</f>
        <v>0.1618335205195712</v>
      </c>
    </row>
    <row r="7" spans="3:13" ht="12.75">
      <c r="C7" s="12" t="s">
        <v>359</v>
      </c>
      <c r="D7" s="127">
        <v>5134</v>
      </c>
      <c r="E7" s="128">
        <v>2392</v>
      </c>
      <c r="F7" s="128">
        <f>+E7*0.1</f>
        <v>239.20000000000002</v>
      </c>
      <c r="G7" s="129">
        <f>+F7/E7</f>
        <v>0.1</v>
      </c>
      <c r="H7" s="129"/>
      <c r="I7" s="129"/>
      <c r="J7" s="22"/>
      <c r="K7" s="121"/>
      <c r="L7" s="121"/>
      <c r="M7" s="122"/>
    </row>
    <row r="8" spans="3:13" ht="12.75">
      <c r="C8" s="12" t="s">
        <v>131</v>
      </c>
      <c r="D8" s="127">
        <v>4827.2</v>
      </c>
      <c r="E8" s="128">
        <v>3316</v>
      </c>
      <c r="F8" s="128">
        <v>1115.1433807335989</v>
      </c>
      <c r="G8" s="129">
        <f>+F8/E8</f>
        <v>0.33629173122243633</v>
      </c>
      <c r="H8" s="129"/>
      <c r="I8" s="129"/>
      <c r="J8" s="22" t="s">
        <v>315</v>
      </c>
      <c r="K8" s="121">
        <v>3309741.3526400006</v>
      </c>
      <c r="L8" s="121">
        <v>1115143.380733599</v>
      </c>
      <c r="M8" s="123">
        <f>+L8/K8</f>
        <v>0.33692765141424413</v>
      </c>
    </row>
    <row r="9" spans="3:13" ht="12.75">
      <c r="C9" s="12" t="s">
        <v>132</v>
      </c>
      <c r="D9" s="127">
        <f>31350.9-8192</f>
        <v>23158.9</v>
      </c>
      <c r="E9" s="128">
        <v>8086</v>
      </c>
      <c r="F9" s="128">
        <f>2799.40849424361-460</f>
        <v>2339.40849424361</v>
      </c>
      <c r="G9" s="129">
        <f>+F9/E9</f>
        <v>0.28931591568681797</v>
      </c>
      <c r="H9" s="129"/>
      <c r="I9" s="129"/>
      <c r="J9" s="22" t="s">
        <v>316</v>
      </c>
      <c r="K9" s="121">
        <v>12601589.329945397</v>
      </c>
      <c r="L9" s="121">
        <v>2799408.4942436093</v>
      </c>
      <c r="M9" s="123">
        <f>+L9/K9</f>
        <v>0.2221472562664236</v>
      </c>
    </row>
    <row r="10" spans="3:13" ht="12.75">
      <c r="C10" s="12" t="s">
        <v>360</v>
      </c>
      <c r="D10" s="127">
        <v>8192</v>
      </c>
      <c r="E10" s="128">
        <v>4499</v>
      </c>
      <c r="F10" s="128">
        <f>+E10*0.1</f>
        <v>449.90000000000003</v>
      </c>
      <c r="G10" s="129">
        <f>+F10/E10</f>
        <v>0.1</v>
      </c>
      <c r="H10" s="129"/>
      <c r="I10" s="129"/>
      <c r="J10" s="22"/>
      <c r="K10" s="121"/>
      <c r="L10" s="121"/>
      <c r="M10" s="123"/>
    </row>
    <row r="11" spans="3:13" ht="12.75">
      <c r="C11" s="12" t="s">
        <v>133</v>
      </c>
      <c r="D11" s="127">
        <v>1386.2</v>
      </c>
      <c r="E11" s="128">
        <v>1308</v>
      </c>
      <c r="F11" s="128">
        <v>417.04751912</v>
      </c>
      <c r="G11" s="129">
        <f aca="true" t="shared" si="0" ref="G11:G24">+F11/E11</f>
        <v>0.31884366905198774</v>
      </c>
      <c r="H11" s="129"/>
      <c r="I11" s="129"/>
      <c r="J11" s="22" t="s">
        <v>317</v>
      </c>
      <c r="K11" s="121">
        <v>1307049.9460000002</v>
      </c>
      <c r="L11" s="121">
        <v>417047.51912</v>
      </c>
      <c r="M11" s="123">
        <f aca="true" t="shared" si="1" ref="M11:M16">+L11/K11</f>
        <v>0.3190754266095964</v>
      </c>
    </row>
    <row r="12" spans="3:13" ht="12.75">
      <c r="C12" s="12" t="s">
        <v>134</v>
      </c>
      <c r="D12" s="127">
        <v>1135</v>
      </c>
      <c r="E12" s="128">
        <v>1135</v>
      </c>
      <c r="F12" s="128">
        <v>281.71459020000003</v>
      </c>
      <c r="G12" s="129">
        <f t="shared" si="0"/>
        <v>0.2482066874008811</v>
      </c>
      <c r="H12" s="129"/>
      <c r="I12" s="129"/>
      <c r="J12" s="22" t="s">
        <v>318</v>
      </c>
      <c r="K12" s="121">
        <v>1135012.25</v>
      </c>
      <c r="L12" s="121">
        <v>281714.59020000004</v>
      </c>
      <c r="M12" s="123">
        <f t="shared" si="1"/>
        <v>0.24820400854704436</v>
      </c>
    </row>
    <row r="13" spans="3:13" ht="12.75">
      <c r="C13" s="12" t="s">
        <v>184</v>
      </c>
      <c r="D13" s="127">
        <v>1533.1</v>
      </c>
      <c r="E13" s="128">
        <v>1162</v>
      </c>
      <c r="F13" s="128">
        <v>338.949177416</v>
      </c>
      <c r="G13" s="129">
        <f t="shared" si="0"/>
        <v>0.2916946449363167</v>
      </c>
      <c r="H13" s="129"/>
      <c r="I13" s="129"/>
      <c r="J13" s="22" t="s">
        <v>319</v>
      </c>
      <c r="K13" s="121">
        <v>1155896.5262</v>
      </c>
      <c r="L13" s="121">
        <v>338949.177416</v>
      </c>
      <c r="M13" s="123">
        <f t="shared" si="1"/>
        <v>0.2932348784975525</v>
      </c>
    </row>
    <row r="14" spans="3:13" ht="12.75">
      <c r="C14" s="12" t="s">
        <v>136</v>
      </c>
      <c r="D14" s="127">
        <v>5280.3</v>
      </c>
      <c r="E14" s="128">
        <v>3945</v>
      </c>
      <c r="F14" s="128">
        <v>1411.7428319999992</v>
      </c>
      <c r="G14" s="129">
        <f t="shared" si="0"/>
        <v>0.357856231178707</v>
      </c>
      <c r="H14" s="129"/>
      <c r="I14" s="129"/>
      <c r="J14" s="22" t="s">
        <v>320</v>
      </c>
      <c r="K14" s="121">
        <v>3945762.16</v>
      </c>
      <c r="L14" s="121">
        <v>1411742.8319999992</v>
      </c>
      <c r="M14" s="123">
        <f t="shared" si="1"/>
        <v>0.35778710797915886</v>
      </c>
    </row>
    <row r="15" spans="3:13" ht="15">
      <c r="C15" s="12" t="s">
        <v>185</v>
      </c>
      <c r="D15" s="130">
        <v>2767.2</v>
      </c>
      <c r="E15" s="134">
        <v>1283</v>
      </c>
      <c r="F15" s="134">
        <v>128.2096445</v>
      </c>
      <c r="G15" s="129">
        <f t="shared" si="0"/>
        <v>0.09992957482462977</v>
      </c>
      <c r="H15" s="129"/>
      <c r="I15" s="129"/>
      <c r="J15" s="22" t="s">
        <v>321</v>
      </c>
      <c r="K15" s="121">
        <v>1282096.4449999998</v>
      </c>
      <c r="L15" s="121">
        <v>128209.6445</v>
      </c>
      <c r="M15" s="123">
        <f t="shared" si="1"/>
        <v>0.1</v>
      </c>
    </row>
    <row r="16" spans="3:13" ht="12.75">
      <c r="C16" s="15" t="s">
        <v>186</v>
      </c>
      <c r="D16" s="127">
        <f>SUM(D6:D15)</f>
        <v>57718.6</v>
      </c>
      <c r="E16" s="127">
        <f>SUM(E6:E15)</f>
        <v>27989</v>
      </c>
      <c r="F16" s="127">
        <f>SUM(F6:F15)</f>
        <v>7007.468301173208</v>
      </c>
      <c r="G16" s="129">
        <f t="shared" si="0"/>
        <v>0.2503650827529818</v>
      </c>
      <c r="H16" s="129"/>
      <c r="I16" s="129"/>
      <c r="J16" s="22">
        <v>1</v>
      </c>
      <c r="K16" s="124">
        <f>SUM(K4:K15)</f>
        <v>27982165.860685397</v>
      </c>
      <c r="L16" s="124">
        <f>SUM(L4:L15)</f>
        <v>7017368.301173208</v>
      </c>
      <c r="M16" s="123">
        <f t="shared" si="1"/>
        <v>0.25078002668237076</v>
      </c>
    </row>
    <row r="17" spans="3:13" ht="12.75">
      <c r="C17" s="15" t="s">
        <v>187</v>
      </c>
      <c r="D17" s="127">
        <v>791.4</v>
      </c>
      <c r="E17" s="131">
        <v>443.24968</v>
      </c>
      <c r="F17" s="131">
        <v>62.05495520000001</v>
      </c>
      <c r="G17" s="129">
        <f t="shared" si="0"/>
        <v>0.14</v>
      </c>
      <c r="H17" s="129"/>
      <c r="I17" s="129"/>
      <c r="J17" s="22" t="s">
        <v>322</v>
      </c>
      <c r="K17" s="121">
        <v>88092.99</v>
      </c>
      <c r="L17" s="121">
        <v>12333.0186</v>
      </c>
      <c r="M17" s="22"/>
    </row>
    <row r="18" spans="3:13" ht="12.75">
      <c r="C18" s="15" t="s">
        <v>188</v>
      </c>
      <c r="D18" s="127">
        <v>1149.3</v>
      </c>
      <c r="E18" s="128">
        <v>744</v>
      </c>
      <c r="F18" s="128">
        <v>207.707603652</v>
      </c>
      <c r="G18" s="129">
        <f t="shared" si="0"/>
        <v>0.27917688662903223</v>
      </c>
      <c r="H18" s="129"/>
      <c r="I18" s="129"/>
      <c r="J18" s="22"/>
      <c r="K18" s="121"/>
      <c r="L18" s="22"/>
      <c r="M18" s="22"/>
    </row>
    <row r="19" spans="3:13" ht="12.75">
      <c r="C19" s="15" t="s">
        <v>189</v>
      </c>
      <c r="D19" s="127">
        <v>3305.1</v>
      </c>
      <c r="E19" s="128">
        <v>2779</v>
      </c>
      <c r="F19" s="128">
        <v>548.805699088</v>
      </c>
      <c r="G19" s="129">
        <f t="shared" si="0"/>
        <v>0.19748315908168404</v>
      </c>
      <c r="H19" s="129"/>
      <c r="I19" s="129"/>
      <c r="J19" s="22" t="s">
        <v>323</v>
      </c>
      <c r="K19" s="121">
        <v>355156.69</v>
      </c>
      <c r="L19" s="121">
        <v>49721.93660000001</v>
      </c>
      <c r="M19" s="22"/>
    </row>
    <row r="20" spans="3:13" ht="12.75">
      <c r="C20" s="15" t="s">
        <v>190</v>
      </c>
      <c r="D20" s="127">
        <v>1873.6</v>
      </c>
      <c r="E20" s="128">
        <v>1840</v>
      </c>
      <c r="F20" s="128">
        <v>187.4838442</v>
      </c>
      <c r="G20" s="129">
        <f t="shared" si="0"/>
        <v>0.10189339358695652</v>
      </c>
      <c r="H20" s="129"/>
      <c r="I20" s="129"/>
      <c r="J20" s="22">
        <v>2</v>
      </c>
      <c r="K20" s="124">
        <f>SUM(K17:K19)</f>
        <v>443249.68</v>
      </c>
      <c r="L20" s="124">
        <f>SUM(L17:L19)</f>
        <v>62054.95520000001</v>
      </c>
      <c r="M20" s="123">
        <f>+L20/K20</f>
        <v>0.14000000000000004</v>
      </c>
    </row>
    <row r="21" spans="3:13" ht="12.75">
      <c r="C21" s="15" t="s">
        <v>191</v>
      </c>
      <c r="D21" s="127">
        <v>678.6</v>
      </c>
      <c r="E21" s="128">
        <v>654</v>
      </c>
      <c r="F21" s="128">
        <v>130.84174800000002</v>
      </c>
      <c r="G21" s="129">
        <f t="shared" si="0"/>
        <v>0.20006383486238535</v>
      </c>
      <c r="H21" s="129"/>
      <c r="I21" s="129"/>
      <c r="J21" s="22" t="s">
        <v>324</v>
      </c>
      <c r="K21" s="121">
        <v>0</v>
      </c>
      <c r="L21" s="121">
        <v>0</v>
      </c>
      <c r="M21" s="22"/>
    </row>
    <row r="22" spans="3:13" ht="12.75">
      <c r="C22" s="15" t="s">
        <v>192</v>
      </c>
      <c r="D22" s="127">
        <v>4563.1</v>
      </c>
      <c r="E22" s="128">
        <v>3667</v>
      </c>
      <c r="F22" s="128">
        <v>793.1465926799998</v>
      </c>
      <c r="G22" s="129">
        <f t="shared" si="0"/>
        <v>0.21629304409053718</v>
      </c>
      <c r="H22" s="129"/>
      <c r="I22" s="129"/>
      <c r="J22" s="22"/>
      <c r="K22" s="121"/>
      <c r="L22" s="22"/>
      <c r="M22" s="22"/>
    </row>
    <row r="23" spans="3:13" ht="15">
      <c r="C23" s="15" t="s">
        <v>193</v>
      </c>
      <c r="D23" s="130">
        <v>12634.3</v>
      </c>
      <c r="E23" s="134">
        <v>6285</v>
      </c>
      <c r="F23" s="134">
        <v>674.6458815</v>
      </c>
      <c r="G23" s="129">
        <f t="shared" si="0"/>
        <v>0.1073422245823389</v>
      </c>
      <c r="H23" s="129"/>
      <c r="I23" s="129"/>
      <c r="J23" s="22" t="s">
        <v>325</v>
      </c>
      <c r="K23" s="121">
        <v>357766.5088400002</v>
      </c>
      <c r="L23" s="121">
        <v>107329.95265199998</v>
      </c>
      <c r="M23" s="22"/>
    </row>
    <row r="24" spans="3:13" ht="12.75">
      <c r="C24" s="15" t="s">
        <v>194</v>
      </c>
      <c r="D24" s="127">
        <f>SUM(D16:D23)</f>
        <v>82714</v>
      </c>
      <c r="E24" s="127">
        <f>SUM(E16:E23)</f>
        <v>44401.24968</v>
      </c>
      <c r="F24" s="127">
        <f>SUM(F16:F23)</f>
        <v>9612.15462549321</v>
      </c>
      <c r="G24" s="132">
        <f t="shared" si="0"/>
        <v>0.21648387589917062</v>
      </c>
      <c r="H24" s="132"/>
      <c r="I24" s="132"/>
      <c r="J24" s="22"/>
      <c r="K24" s="121"/>
      <c r="L24" s="22"/>
      <c r="M24" s="22"/>
    </row>
    <row r="25" spans="3:13" ht="15">
      <c r="C25" s="15" t="s">
        <v>172</v>
      </c>
      <c r="D25" s="130">
        <v>9612</v>
      </c>
      <c r="J25" s="22" t="s">
        <v>326</v>
      </c>
      <c r="K25" s="121">
        <v>45581.15</v>
      </c>
      <c r="L25" s="121">
        <v>9116.23</v>
      </c>
      <c r="M25" s="22"/>
    </row>
    <row r="26" spans="3:13" ht="12.75">
      <c r="C26" s="15" t="s">
        <v>195</v>
      </c>
      <c r="D26" s="127">
        <v>92326</v>
      </c>
      <c r="J26" s="22"/>
      <c r="K26" s="121"/>
      <c r="L26" s="22"/>
      <c r="M26" s="22"/>
    </row>
    <row r="27" spans="3:13" ht="12.75">
      <c r="C27" s="15" t="s">
        <v>174</v>
      </c>
      <c r="D27" s="147">
        <v>75</v>
      </c>
      <c r="J27" s="22" t="s">
        <v>327</v>
      </c>
      <c r="K27" s="121">
        <v>206196.8</v>
      </c>
      <c r="L27" s="121">
        <v>70106.91200000001</v>
      </c>
      <c r="M27" s="22"/>
    </row>
    <row r="28" spans="3:13" ht="13.5" thickBot="1">
      <c r="C28" s="15"/>
      <c r="D28" s="133">
        <v>92401</v>
      </c>
      <c r="J28" s="22"/>
      <c r="K28" s="121"/>
      <c r="L28" s="22"/>
      <c r="M28" s="22"/>
    </row>
    <row r="29" spans="10:13" ht="12.75" hidden="1">
      <c r="J29" s="22" t="s">
        <v>328</v>
      </c>
      <c r="K29" s="121">
        <v>70515.03</v>
      </c>
      <c r="L29" s="121">
        <v>21154.509</v>
      </c>
      <c r="M29" s="22"/>
    </row>
    <row r="30" spans="10:13" ht="12.75" hidden="1">
      <c r="J30" s="22">
        <v>3</v>
      </c>
      <c r="K30" s="124">
        <f>SUM(K23:K29)</f>
        <v>680059.4888400002</v>
      </c>
      <c r="L30" s="124">
        <f>SUM(L23:L29)</f>
        <v>207707.603652</v>
      </c>
      <c r="M30" s="123">
        <f>+L30/K30</f>
        <v>0.30542563858096244</v>
      </c>
    </row>
    <row r="31" spans="10:13" ht="12.75" hidden="1">
      <c r="J31" s="22" t="s">
        <v>329</v>
      </c>
      <c r="K31" s="121">
        <v>314949.46</v>
      </c>
      <c r="L31" s="121">
        <v>56690.90279999999</v>
      </c>
      <c r="M31" s="22"/>
    </row>
    <row r="32" spans="10:13" ht="12.75" hidden="1">
      <c r="J32" s="22"/>
      <c r="K32" s="121"/>
      <c r="L32" s="22"/>
      <c r="M32" s="22"/>
    </row>
    <row r="33" spans="10:13" ht="12.75" hidden="1">
      <c r="J33" s="22" t="s">
        <v>330</v>
      </c>
      <c r="K33" s="121">
        <v>298006.76399999997</v>
      </c>
      <c r="L33" s="121">
        <v>53641.21752</v>
      </c>
      <c r="M33" s="22"/>
    </row>
    <row r="34" spans="10:13" ht="12.75" hidden="1">
      <c r="J34" s="22"/>
      <c r="K34" s="121"/>
      <c r="L34" s="22"/>
      <c r="M34" s="22"/>
    </row>
    <row r="35" spans="10:13" ht="12.75" hidden="1">
      <c r="J35" s="22" t="s">
        <v>331</v>
      </c>
      <c r="K35" s="121">
        <v>1289552.6376000005</v>
      </c>
      <c r="L35" s="121">
        <v>252769.593168</v>
      </c>
      <c r="M35" s="22"/>
    </row>
    <row r="36" spans="10:13" ht="12.75" hidden="1">
      <c r="J36" s="22"/>
      <c r="K36" s="121"/>
      <c r="L36" s="22"/>
      <c r="M36" s="22"/>
    </row>
    <row r="37" spans="10:13" ht="12.75" hidden="1">
      <c r="J37" s="22" t="s">
        <v>332</v>
      </c>
      <c r="K37" s="121">
        <v>916464.64</v>
      </c>
      <c r="L37" s="121">
        <v>185703.98560000004</v>
      </c>
      <c r="M37" s="22"/>
    </row>
    <row r="38" spans="10:13" ht="12.75" hidden="1">
      <c r="J38" s="22"/>
      <c r="K38" s="121"/>
      <c r="L38" s="22"/>
      <c r="M38" s="22"/>
    </row>
    <row r="39" spans="10:13" ht="12.75" hidden="1">
      <c r="J39" s="22" t="s">
        <v>333</v>
      </c>
      <c r="K39" s="121">
        <v>0</v>
      </c>
      <c r="L39" s="121">
        <v>0</v>
      </c>
      <c r="M39" s="22"/>
    </row>
    <row r="40" spans="10:13" ht="13.5" hidden="1" thickBot="1">
      <c r="J40" s="22">
        <v>4</v>
      </c>
      <c r="K40" s="124">
        <f>SUM(K31:K39)</f>
        <v>2818973.5016000005</v>
      </c>
      <c r="L40" s="124">
        <f>SUM(L31:L39)</f>
        <v>548805.699088</v>
      </c>
      <c r="M40" s="123">
        <f>+L40/K40</f>
        <v>0.1946828158464446</v>
      </c>
    </row>
    <row r="41" spans="10:13" ht="13.5" hidden="1" thickBot="1">
      <c r="J41" s="22" t="s">
        <v>334</v>
      </c>
      <c r="K41" s="121">
        <v>280385.9</v>
      </c>
      <c r="L41" s="121">
        <v>14019.295000000002</v>
      </c>
      <c r="M41" s="22"/>
    </row>
    <row r="42" spans="10:13" ht="13.5" hidden="1" thickBot="1">
      <c r="J42" s="22"/>
      <c r="K42" s="121"/>
      <c r="L42" s="22"/>
      <c r="M42" s="22"/>
    </row>
    <row r="43" spans="10:13" ht="13.5" hidden="1" thickBot="1">
      <c r="J43" s="22" t="s">
        <v>335</v>
      </c>
      <c r="K43" s="121">
        <v>530112.41</v>
      </c>
      <c r="L43" s="121">
        <v>53011.241</v>
      </c>
      <c r="M43" s="22"/>
    </row>
    <row r="44" spans="10:13" ht="13.5" hidden="1" thickBot="1">
      <c r="J44" s="22"/>
      <c r="K44" s="121"/>
      <c r="L44" s="22"/>
      <c r="M44" s="22"/>
    </row>
    <row r="45" spans="10:13" ht="13.5" hidden="1" thickBot="1">
      <c r="J45" s="22" t="s">
        <v>336</v>
      </c>
      <c r="K45" s="121">
        <v>329072.83</v>
      </c>
      <c r="L45" s="121">
        <v>52651.652799999996</v>
      </c>
      <c r="M45" s="22"/>
    </row>
    <row r="46" spans="10:13" ht="13.5" hidden="1" thickBot="1">
      <c r="J46" s="22"/>
      <c r="K46" s="121"/>
      <c r="L46" s="22"/>
      <c r="M46" s="22"/>
    </row>
    <row r="47" spans="10:13" ht="13.5" hidden="1" thickBot="1">
      <c r="J47" s="22" t="s">
        <v>337</v>
      </c>
      <c r="K47" s="121">
        <v>195823.11</v>
      </c>
      <c r="L47" s="121">
        <v>27415.235399999998</v>
      </c>
      <c r="M47" s="22"/>
    </row>
    <row r="48" spans="10:13" ht="13.5" hidden="1" thickBot="1">
      <c r="J48" s="22"/>
      <c r="K48" s="121"/>
      <c r="L48" s="22"/>
      <c r="M48" s="22"/>
    </row>
    <row r="49" spans="10:13" ht="13.5" hidden="1" thickBot="1">
      <c r="J49" s="22" t="s">
        <v>338</v>
      </c>
      <c r="K49" s="121">
        <v>179331.4</v>
      </c>
      <c r="L49" s="121">
        <v>14346.511999999999</v>
      </c>
      <c r="M49" s="22"/>
    </row>
    <row r="50" spans="10:13" ht="13.5" hidden="1" thickBot="1">
      <c r="J50" s="22"/>
      <c r="K50" s="121"/>
      <c r="L50" s="22"/>
      <c r="M50" s="22"/>
    </row>
    <row r="51" spans="10:13" ht="13.5" hidden="1" thickBot="1">
      <c r="J51" s="22" t="s">
        <v>339</v>
      </c>
      <c r="K51" s="121">
        <v>325498.85</v>
      </c>
      <c r="L51" s="121">
        <v>26039.908</v>
      </c>
      <c r="M51" s="22"/>
    </row>
    <row r="52" spans="10:13" ht="13.5" hidden="1" thickBot="1">
      <c r="J52" s="22"/>
      <c r="K52" s="121"/>
      <c r="L52" s="22"/>
      <c r="M52" s="22"/>
    </row>
    <row r="53" spans="10:13" ht="13.5" hidden="1" thickBot="1">
      <c r="J53" s="22" t="s">
        <v>340</v>
      </c>
      <c r="K53" s="121">
        <v>0</v>
      </c>
      <c r="L53" s="121">
        <v>0</v>
      </c>
      <c r="M53" s="22"/>
    </row>
    <row r="54" spans="10:13" ht="13.5" hidden="1" thickBot="1">
      <c r="J54" s="22"/>
      <c r="K54" s="121"/>
      <c r="L54" s="22"/>
      <c r="M54" s="22"/>
    </row>
    <row r="55" spans="10:13" ht="13.5" hidden="1" thickBot="1">
      <c r="J55" s="22" t="s">
        <v>341</v>
      </c>
      <c r="K55" s="121">
        <v>0</v>
      </c>
      <c r="L55" s="121">
        <v>0</v>
      </c>
      <c r="M55" s="22"/>
    </row>
    <row r="56" spans="3:13" ht="12.75">
      <c r="C56" s="135" t="s">
        <v>359</v>
      </c>
      <c r="D56" s="136">
        <f>SUM(D7)</f>
        <v>5134</v>
      </c>
      <c r="E56" s="136">
        <f>SUM(E7)</f>
        <v>2392</v>
      </c>
      <c r="F56" s="136">
        <f>SUM(F7)</f>
        <v>239.20000000000002</v>
      </c>
      <c r="G56" s="137">
        <f aca="true" t="shared" si="2" ref="G56:G90">+F56/E56</f>
        <v>0.1</v>
      </c>
      <c r="J56" s="22">
        <v>5</v>
      </c>
      <c r="K56" s="124">
        <f>SUM(K41:K55)</f>
        <v>1840224.5</v>
      </c>
      <c r="L56" s="124">
        <f>SUM(L41:L55)</f>
        <v>187483.8442</v>
      </c>
      <c r="M56" s="123">
        <f>+L56/K56</f>
        <v>0.10188096300206849</v>
      </c>
    </row>
    <row r="57" spans="3:13" ht="12.75" hidden="1">
      <c r="C57" s="138"/>
      <c r="D57" s="139"/>
      <c r="E57" s="139"/>
      <c r="F57" s="139"/>
      <c r="G57" s="140" t="e">
        <f t="shared" si="2"/>
        <v>#DIV/0!</v>
      </c>
      <c r="J57" s="22" t="s">
        <v>342</v>
      </c>
      <c r="K57" s="121">
        <v>92271.78</v>
      </c>
      <c r="L57" s="121">
        <v>18454.356</v>
      </c>
      <c r="M57" s="22"/>
    </row>
    <row r="58" spans="3:13" ht="12.75" hidden="1">
      <c r="C58" s="138"/>
      <c r="D58" s="139"/>
      <c r="E58" s="139"/>
      <c r="F58" s="139"/>
      <c r="G58" s="140" t="e">
        <f t="shared" si="2"/>
        <v>#DIV/0!</v>
      </c>
      <c r="J58" s="22"/>
      <c r="K58" s="121"/>
      <c r="L58" s="22"/>
      <c r="M58" s="22"/>
    </row>
    <row r="59" spans="3:13" ht="12.75" hidden="1">
      <c r="C59" s="138"/>
      <c r="D59" s="139"/>
      <c r="E59" s="139"/>
      <c r="F59" s="139"/>
      <c r="G59" s="140" t="e">
        <f t="shared" si="2"/>
        <v>#DIV/0!</v>
      </c>
      <c r="J59" s="22" t="s">
        <v>343</v>
      </c>
      <c r="K59" s="121">
        <v>455033.04</v>
      </c>
      <c r="L59" s="121">
        <v>91006.60800000002</v>
      </c>
      <c r="M59" s="22"/>
    </row>
    <row r="60" spans="3:13" ht="12.75" hidden="1">
      <c r="C60" s="138"/>
      <c r="D60" s="139"/>
      <c r="E60" s="139"/>
      <c r="F60" s="139"/>
      <c r="G60" s="140" t="e">
        <f t="shared" si="2"/>
        <v>#DIV/0!</v>
      </c>
      <c r="J60" s="22"/>
      <c r="K60" s="121"/>
      <c r="L60" s="22"/>
      <c r="M60" s="22"/>
    </row>
    <row r="61" spans="3:13" ht="12.75" hidden="1">
      <c r="C61" s="138"/>
      <c r="D61" s="139"/>
      <c r="E61" s="139"/>
      <c r="F61" s="139"/>
      <c r="G61" s="140" t="e">
        <f t="shared" si="2"/>
        <v>#DIV/0!</v>
      </c>
      <c r="J61" s="22" t="s">
        <v>344</v>
      </c>
      <c r="K61" s="121">
        <v>106903.92</v>
      </c>
      <c r="L61" s="121">
        <v>21380.784</v>
      </c>
      <c r="M61" s="22"/>
    </row>
    <row r="62" spans="3:13" ht="12.75" hidden="1">
      <c r="C62" s="138"/>
      <c r="D62" s="139"/>
      <c r="E62" s="139"/>
      <c r="F62" s="139"/>
      <c r="G62" s="140" t="e">
        <f t="shared" si="2"/>
        <v>#DIV/0!</v>
      </c>
      <c r="J62" s="22"/>
      <c r="K62" s="121"/>
      <c r="L62" s="22"/>
      <c r="M62" s="22"/>
    </row>
    <row r="63" spans="3:13" ht="12.75" hidden="1">
      <c r="C63" s="138"/>
      <c r="D63" s="139"/>
      <c r="E63" s="139"/>
      <c r="F63" s="139"/>
      <c r="G63" s="140" t="e">
        <f t="shared" si="2"/>
        <v>#DIV/0!</v>
      </c>
      <c r="J63" s="22" t="s">
        <v>345</v>
      </c>
      <c r="K63" s="121">
        <v>0</v>
      </c>
      <c r="L63" s="121">
        <v>0</v>
      </c>
      <c r="M63" s="22"/>
    </row>
    <row r="64" spans="3:13" ht="12.75" hidden="1">
      <c r="C64" s="138"/>
      <c r="D64" s="139"/>
      <c r="E64" s="139"/>
      <c r="F64" s="139"/>
      <c r="G64" s="140" t="e">
        <f t="shared" si="2"/>
        <v>#DIV/0!</v>
      </c>
      <c r="J64" s="22"/>
      <c r="K64" s="121"/>
      <c r="L64" s="22"/>
      <c r="M64" s="22"/>
    </row>
    <row r="65" spans="3:13" ht="12.75" hidden="1">
      <c r="C65" s="138"/>
      <c r="D65" s="139"/>
      <c r="E65" s="139"/>
      <c r="F65" s="139"/>
      <c r="G65" s="140" t="e">
        <f t="shared" si="2"/>
        <v>#DIV/0!</v>
      </c>
      <c r="J65" s="22" t="s">
        <v>346</v>
      </c>
      <c r="K65" s="121">
        <v>0</v>
      </c>
      <c r="L65" s="121">
        <v>0</v>
      </c>
      <c r="M65" s="22"/>
    </row>
    <row r="66" spans="3:13" ht="12.75">
      <c r="C66" s="138" t="s">
        <v>360</v>
      </c>
      <c r="D66" s="141">
        <f>SUM(D10)</f>
        <v>8192</v>
      </c>
      <c r="E66" s="141">
        <f>SUM(E10)</f>
        <v>4499</v>
      </c>
      <c r="F66" s="141">
        <f>SUM(F10)</f>
        <v>449.90000000000003</v>
      </c>
      <c r="G66" s="140">
        <f t="shared" si="2"/>
        <v>0.1</v>
      </c>
      <c r="J66" s="22"/>
      <c r="K66" s="124">
        <f>SUM(K57:K65)</f>
        <v>654208.74</v>
      </c>
      <c r="L66" s="124">
        <f>SUM(L57:L65)</f>
        <v>130841.74800000002</v>
      </c>
      <c r="M66" s="123">
        <f>+L66/K66</f>
        <v>0.20000000000000004</v>
      </c>
    </row>
    <row r="67" spans="3:13" ht="12.75" hidden="1">
      <c r="C67" s="138"/>
      <c r="D67" s="139"/>
      <c r="E67" s="139"/>
      <c r="F67" s="139"/>
      <c r="G67" s="140" t="e">
        <f t="shared" si="2"/>
        <v>#DIV/0!</v>
      </c>
      <c r="J67" s="22" t="s">
        <v>347</v>
      </c>
      <c r="K67" s="121">
        <v>0</v>
      </c>
      <c r="L67" s="121">
        <v>0</v>
      </c>
      <c r="M67" s="22"/>
    </row>
    <row r="68" spans="3:13" ht="12.75" hidden="1">
      <c r="C68" s="138"/>
      <c r="D68" s="139"/>
      <c r="E68" s="139"/>
      <c r="F68" s="139"/>
      <c r="G68" s="140" t="e">
        <f t="shared" si="2"/>
        <v>#DIV/0!</v>
      </c>
      <c r="J68" s="22"/>
      <c r="K68" s="121"/>
      <c r="L68" s="22"/>
      <c r="M68" s="22"/>
    </row>
    <row r="69" spans="3:13" ht="12.75" hidden="1">
      <c r="C69" s="138"/>
      <c r="D69" s="139"/>
      <c r="E69" s="139"/>
      <c r="F69" s="139"/>
      <c r="G69" s="140" t="e">
        <f t="shared" si="2"/>
        <v>#DIV/0!</v>
      </c>
      <c r="J69" s="22" t="s">
        <v>348</v>
      </c>
      <c r="K69" s="121">
        <v>9097.92</v>
      </c>
      <c r="L69" s="121">
        <v>909.7920000000001</v>
      </c>
      <c r="M69" s="22"/>
    </row>
    <row r="70" spans="3:13" ht="12.75" hidden="1">
      <c r="C70" s="138"/>
      <c r="D70" s="139"/>
      <c r="E70" s="139"/>
      <c r="F70" s="139"/>
      <c r="G70" s="140" t="e">
        <f t="shared" si="2"/>
        <v>#DIV/0!</v>
      </c>
      <c r="J70" s="22"/>
      <c r="K70" s="121"/>
      <c r="L70" s="22"/>
      <c r="M70" s="22"/>
    </row>
    <row r="71" spans="3:13" ht="12.75" hidden="1">
      <c r="C71" s="138"/>
      <c r="D71" s="139"/>
      <c r="E71" s="139"/>
      <c r="F71" s="139"/>
      <c r="G71" s="140" t="e">
        <f t="shared" si="2"/>
        <v>#DIV/0!</v>
      </c>
      <c r="J71" s="22" t="s">
        <v>349</v>
      </c>
      <c r="K71" s="121">
        <v>37599.901</v>
      </c>
      <c r="L71" s="121">
        <v>3643.5384599999998</v>
      </c>
      <c r="M71" s="22"/>
    </row>
    <row r="72" spans="3:13" ht="12.75" hidden="1">
      <c r="C72" s="138"/>
      <c r="D72" s="139"/>
      <c r="E72" s="139"/>
      <c r="F72" s="139"/>
      <c r="G72" s="140" t="e">
        <f t="shared" si="2"/>
        <v>#DIV/0!</v>
      </c>
      <c r="J72" s="22"/>
      <c r="K72" s="121"/>
      <c r="L72" s="22"/>
      <c r="M72" s="22"/>
    </row>
    <row r="73" spans="3:13" ht="12.75" hidden="1">
      <c r="C73" s="138"/>
      <c r="D73" s="139"/>
      <c r="E73" s="139"/>
      <c r="F73" s="139"/>
      <c r="G73" s="140" t="e">
        <f t="shared" si="2"/>
        <v>#DIV/0!</v>
      </c>
      <c r="J73" s="22" t="s">
        <v>350</v>
      </c>
      <c r="K73" s="121">
        <v>956980.383</v>
      </c>
      <c r="L73" s="121">
        <v>145873.41821999996</v>
      </c>
      <c r="M73" s="22"/>
    </row>
    <row r="74" spans="3:13" ht="12.75" hidden="1">
      <c r="C74" s="138"/>
      <c r="D74" s="139"/>
      <c r="E74" s="139"/>
      <c r="F74" s="139"/>
      <c r="G74" s="140" t="e">
        <f t="shared" si="2"/>
        <v>#DIV/0!</v>
      </c>
      <c r="J74" s="22"/>
      <c r="K74" s="121"/>
      <c r="L74" s="22"/>
      <c r="M74" s="22"/>
    </row>
    <row r="75" spans="3:13" ht="12.75" hidden="1">
      <c r="C75" s="138"/>
      <c r="D75" s="139"/>
      <c r="E75" s="139"/>
      <c r="F75" s="139"/>
      <c r="G75" s="140" t="e">
        <f t="shared" si="2"/>
        <v>#DIV/0!</v>
      </c>
      <c r="J75" s="22" t="s">
        <v>351</v>
      </c>
      <c r="K75" s="121">
        <v>2422508.16</v>
      </c>
      <c r="L75" s="121">
        <v>585652.9823999997</v>
      </c>
      <c r="M75" s="22"/>
    </row>
    <row r="76" spans="3:13" ht="12.75" hidden="1">
      <c r="C76" s="138"/>
      <c r="D76" s="139"/>
      <c r="E76" s="139"/>
      <c r="F76" s="139"/>
      <c r="G76" s="140" t="e">
        <f t="shared" si="2"/>
        <v>#DIV/0!</v>
      </c>
      <c r="J76" s="22"/>
      <c r="K76" s="121"/>
      <c r="L76" s="22"/>
      <c r="M76" s="22"/>
    </row>
    <row r="77" spans="3:13" ht="12.75" hidden="1">
      <c r="C77" s="138"/>
      <c r="D77" s="139"/>
      <c r="E77" s="139"/>
      <c r="F77" s="139"/>
      <c r="G77" s="140" t="e">
        <f t="shared" si="2"/>
        <v>#DIV/0!</v>
      </c>
      <c r="J77" s="22" t="s">
        <v>352</v>
      </c>
      <c r="K77" s="121">
        <v>237778.59</v>
      </c>
      <c r="L77" s="121">
        <v>57066.861600000004</v>
      </c>
      <c r="M77" s="22"/>
    </row>
    <row r="78" spans="3:13" ht="12.75">
      <c r="C78" s="138" t="s">
        <v>361</v>
      </c>
      <c r="D78" s="141">
        <f>SUM(D6,D8,D9,D11:D14)</f>
        <v>41625.4</v>
      </c>
      <c r="E78" s="141">
        <f>SUM(E6,E8,E9,E11:E14)</f>
        <v>19815</v>
      </c>
      <c r="F78" s="141">
        <f>SUM(F6,F8,F9,F11:F14)</f>
        <v>6190.1586566732085</v>
      </c>
      <c r="G78" s="140">
        <f t="shared" si="2"/>
        <v>0.31239761073294015</v>
      </c>
      <c r="J78" s="22">
        <v>7</v>
      </c>
      <c r="K78" s="124">
        <f>SUM(K67:K77)</f>
        <v>3663964.954</v>
      </c>
      <c r="L78" s="124">
        <f>SUM(L67:L77)</f>
        <v>793146.5926799998</v>
      </c>
      <c r="M78" s="123">
        <f>+L78/K78</f>
        <v>0.21647221047082094</v>
      </c>
    </row>
    <row r="79" spans="3:13" ht="12.75" hidden="1">
      <c r="C79" s="138"/>
      <c r="D79" s="139"/>
      <c r="E79" s="139"/>
      <c r="F79" s="139"/>
      <c r="G79" s="140" t="e">
        <f t="shared" si="2"/>
        <v>#DIV/0!</v>
      </c>
      <c r="J79" s="22" t="s">
        <v>353</v>
      </c>
      <c r="K79" s="121">
        <v>2244301.07</v>
      </c>
      <c r="L79" s="121">
        <v>112320.25349999998</v>
      </c>
      <c r="M79" s="22"/>
    </row>
    <row r="80" spans="3:13" ht="12.75" hidden="1">
      <c r="C80" s="138"/>
      <c r="D80" s="139"/>
      <c r="E80" s="139"/>
      <c r="F80" s="139"/>
      <c r="G80" s="140" t="e">
        <f t="shared" si="2"/>
        <v>#DIV/0!</v>
      </c>
      <c r="J80" s="22"/>
      <c r="K80" s="121"/>
      <c r="L80" s="22"/>
      <c r="M80" s="22"/>
    </row>
    <row r="81" spans="3:13" ht="12.75" hidden="1">
      <c r="C81" s="138"/>
      <c r="D81" s="139"/>
      <c r="E81" s="139"/>
      <c r="F81" s="139"/>
      <c r="G81" s="140" t="e">
        <f t="shared" si="2"/>
        <v>#DIV/0!</v>
      </c>
      <c r="J81" s="22" t="s">
        <v>354</v>
      </c>
      <c r="K81" s="121">
        <v>2011860.24</v>
      </c>
      <c r="L81" s="121">
        <v>168437.38799999998</v>
      </c>
      <c r="M81" s="22"/>
    </row>
    <row r="82" spans="3:13" ht="12.75" hidden="1">
      <c r="C82" s="138"/>
      <c r="D82" s="139"/>
      <c r="E82" s="139"/>
      <c r="F82" s="139"/>
      <c r="G82" s="140" t="e">
        <f t="shared" si="2"/>
        <v>#DIV/0!</v>
      </c>
      <c r="J82" s="22"/>
      <c r="K82" s="121"/>
      <c r="L82" s="22"/>
      <c r="M82" s="22"/>
    </row>
    <row r="83" spans="3:13" ht="12.75" hidden="1">
      <c r="C83" s="138"/>
      <c r="D83" s="139"/>
      <c r="E83" s="139"/>
      <c r="F83" s="139"/>
      <c r="G83" s="140" t="e">
        <f t="shared" si="2"/>
        <v>#DIV/0!</v>
      </c>
      <c r="J83" s="22" t="s">
        <v>355</v>
      </c>
      <c r="K83" s="121">
        <v>0</v>
      </c>
      <c r="L83" s="121">
        <v>0</v>
      </c>
      <c r="M83" s="22"/>
    </row>
    <row r="84" spans="3:13" ht="12.75" hidden="1">
      <c r="C84" s="138"/>
      <c r="D84" s="139"/>
      <c r="E84" s="139"/>
      <c r="F84" s="139"/>
      <c r="G84" s="140" t="e">
        <f t="shared" si="2"/>
        <v>#DIV/0!</v>
      </c>
      <c r="J84" s="22"/>
      <c r="K84" s="121"/>
      <c r="L84" s="22"/>
      <c r="M84" s="22"/>
    </row>
    <row r="85" spans="3:13" ht="12.75" hidden="1">
      <c r="C85" s="138"/>
      <c r="D85" s="139"/>
      <c r="E85" s="139"/>
      <c r="F85" s="139"/>
      <c r="G85" s="140" t="e">
        <f t="shared" si="2"/>
        <v>#DIV/0!</v>
      </c>
      <c r="J85" s="22" t="s">
        <v>356</v>
      </c>
      <c r="K85" s="121">
        <v>1199387.27</v>
      </c>
      <c r="L85" s="121">
        <v>310999.39900000003</v>
      </c>
      <c r="M85" s="22"/>
    </row>
    <row r="86" spans="3:13" ht="12.75" hidden="1">
      <c r="C86" s="138"/>
      <c r="D86" s="139"/>
      <c r="E86" s="139"/>
      <c r="F86" s="139"/>
      <c r="G86" s="140" t="e">
        <f t="shared" si="2"/>
        <v>#DIV/0!</v>
      </c>
      <c r="J86" s="22"/>
      <c r="K86" s="121"/>
      <c r="L86" s="22"/>
      <c r="M86" s="22"/>
    </row>
    <row r="87" spans="3:13" ht="12.75" hidden="1">
      <c r="C87" s="138"/>
      <c r="D87" s="139"/>
      <c r="E87" s="139"/>
      <c r="F87" s="139"/>
      <c r="G87" s="140" t="e">
        <f t="shared" si="2"/>
        <v>#DIV/0!</v>
      </c>
      <c r="J87" s="22" t="s">
        <v>357</v>
      </c>
      <c r="K87" s="121">
        <v>828888.41</v>
      </c>
      <c r="L87" s="121">
        <v>82888.84099999999</v>
      </c>
      <c r="M87" s="22"/>
    </row>
    <row r="88" spans="3:13" ht="12.75">
      <c r="C88" s="138" t="s">
        <v>363</v>
      </c>
      <c r="D88" s="141">
        <f>SUM(D17:D22)+1199</f>
        <v>13560.1</v>
      </c>
      <c r="E88" s="141">
        <f>SUM(E17:E22)+1199</f>
        <v>11326.24968</v>
      </c>
      <c r="F88" s="141">
        <f>SUM(F17:F22)+311</f>
        <v>2241.04044282</v>
      </c>
      <c r="G88" s="140">
        <f t="shared" si="2"/>
        <v>0.19786253227114095</v>
      </c>
      <c r="J88" s="22">
        <v>8</v>
      </c>
      <c r="K88" s="124">
        <f>SUM(K79:K87)</f>
        <v>6284436.99</v>
      </c>
      <c r="L88" s="124">
        <f>SUM(L79:L87)</f>
        <v>674645.8815</v>
      </c>
      <c r="M88" s="123">
        <f>+L88/K88</f>
        <v>0.10735184115514539</v>
      </c>
    </row>
    <row r="89" spans="3:13" ht="15">
      <c r="C89" s="138" t="s">
        <v>362</v>
      </c>
      <c r="D89" s="142">
        <f>SUM(D15,D23)-1199</f>
        <v>14202.5</v>
      </c>
      <c r="E89" s="142">
        <f>SUM(E15,E23)-1199</f>
        <v>6369</v>
      </c>
      <c r="F89" s="142">
        <f>SUM(F15,F23)-311</f>
        <v>491.85552599999994</v>
      </c>
      <c r="G89" s="143">
        <f t="shared" si="2"/>
        <v>0.07722649175694771</v>
      </c>
      <c r="J89" s="22" t="s">
        <v>358</v>
      </c>
      <c r="K89" s="121">
        <v>44367283.715125404</v>
      </c>
      <c r="L89" s="121">
        <v>9622054.62549321</v>
      </c>
      <c r="M89" s="123">
        <f>+L89/K89</f>
        <v>0.21687274540570808</v>
      </c>
    </row>
    <row r="90" spans="3:7" ht="13.5" thickBot="1">
      <c r="C90" s="144"/>
      <c r="D90" s="145">
        <f>SUM(D56:D89)</f>
        <v>82714</v>
      </c>
      <c r="E90" s="145">
        <f>SUM(E56:E89)</f>
        <v>44401.24968</v>
      </c>
      <c r="F90" s="145">
        <f>SUM(F56:F89)</f>
        <v>9612.154625493207</v>
      </c>
      <c r="G90" s="146">
        <f t="shared" si="2"/>
        <v>0.21648387589917056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L37"/>
  <sheetViews>
    <sheetView workbookViewId="0" topLeftCell="A1">
      <selection activeCell="H34" sqref="H34"/>
    </sheetView>
  </sheetViews>
  <sheetFormatPr defaultColWidth="9.140625" defaultRowHeight="12.75"/>
  <cols>
    <col min="3" max="3" width="38.00390625" style="0" customWidth="1"/>
    <col min="4" max="4" width="11.57421875" style="0" customWidth="1"/>
    <col min="5" max="5" width="7.00390625" style="0" customWidth="1"/>
    <col min="8" max="8" width="11.7109375" style="0" customWidth="1"/>
  </cols>
  <sheetData>
    <row r="3" spans="3:9" ht="12.75">
      <c r="C3" s="9"/>
      <c r="D3" s="10" t="s">
        <v>202</v>
      </c>
      <c r="E3" s="10"/>
      <c r="F3" s="10" t="s">
        <v>183</v>
      </c>
      <c r="G3" s="10"/>
      <c r="H3" s="11" t="s">
        <v>201</v>
      </c>
      <c r="I3" s="9"/>
    </row>
    <row r="4" spans="3:9" ht="12.75">
      <c r="C4" s="12" t="s">
        <v>130</v>
      </c>
      <c r="D4" s="13">
        <v>9400</v>
      </c>
      <c r="E4" s="13"/>
      <c r="F4" s="13">
        <f>+H4-D4</f>
        <v>38.69999999999891</v>
      </c>
      <c r="G4" s="13"/>
      <c r="H4" s="13">
        <f>SUM('wbs2 budgets by fy'!O3)</f>
        <v>9438.699999999999</v>
      </c>
      <c r="I4" s="9"/>
    </row>
    <row r="5" spans="3:9" ht="12.75">
      <c r="C5" s="12" t="s">
        <v>131</v>
      </c>
      <c r="D5" s="13">
        <v>4790</v>
      </c>
      <c r="E5" s="13"/>
      <c r="F5" s="13">
        <f aca="true" t="shared" si="0" ref="F5:F21">+H5-D5</f>
        <v>37.19999999999982</v>
      </c>
      <c r="G5" s="13"/>
      <c r="H5" s="13">
        <f>SUM('wbs2 budgets by fy'!O4)</f>
        <v>4827.2</v>
      </c>
      <c r="I5" s="9"/>
    </row>
    <row r="6" spans="3:9" ht="12.75">
      <c r="C6" s="12" t="s">
        <v>132</v>
      </c>
      <c r="D6" s="13">
        <v>29114</v>
      </c>
      <c r="E6" s="13"/>
      <c r="F6" s="13">
        <f t="shared" si="0"/>
        <v>2236.9000000000015</v>
      </c>
      <c r="G6" s="13"/>
      <c r="H6" s="13">
        <f>SUM('wbs2 budgets by fy'!O5)</f>
        <v>31350.9</v>
      </c>
      <c r="I6" s="9"/>
    </row>
    <row r="7" spans="3:9" ht="12.75">
      <c r="C7" s="12" t="s">
        <v>133</v>
      </c>
      <c r="D7" s="13">
        <v>1413</v>
      </c>
      <c r="E7" s="13"/>
      <c r="F7" s="13">
        <f t="shared" si="0"/>
        <v>-26.799999999999955</v>
      </c>
      <c r="G7" s="13"/>
      <c r="H7" s="13">
        <f>SUM('wbs2 budgets by fy'!O6)</f>
        <v>1386.2</v>
      </c>
      <c r="I7" s="9"/>
    </row>
    <row r="8" spans="3:9" ht="12.75">
      <c r="C8" s="12" t="s">
        <v>134</v>
      </c>
      <c r="D8" s="13">
        <v>1140</v>
      </c>
      <c r="E8" s="13"/>
      <c r="F8" s="13">
        <f t="shared" si="0"/>
        <v>-5</v>
      </c>
      <c r="G8" s="13"/>
      <c r="H8" s="13">
        <f>SUM('wbs2 budgets by fy'!O7)</f>
        <v>1135</v>
      </c>
      <c r="I8" s="9"/>
    </row>
    <row r="9" spans="3:9" ht="12.75">
      <c r="C9" s="12" t="s">
        <v>184</v>
      </c>
      <c r="D9" s="13">
        <v>1361</v>
      </c>
      <c r="E9" s="13"/>
      <c r="F9" s="13">
        <f t="shared" si="0"/>
        <v>172.0999999999999</v>
      </c>
      <c r="G9" s="13"/>
      <c r="H9" s="13">
        <f>SUM('wbs2 budgets by fy'!O8)</f>
        <v>1533.1</v>
      </c>
      <c r="I9" s="9"/>
    </row>
    <row r="10" spans="3:9" ht="12.75">
      <c r="C10" s="12" t="s">
        <v>136</v>
      </c>
      <c r="D10" s="13">
        <v>5430</v>
      </c>
      <c r="E10" s="13"/>
      <c r="F10" s="13">
        <f t="shared" si="0"/>
        <v>-149.6999999999989</v>
      </c>
      <c r="G10" s="13"/>
      <c r="H10" s="13">
        <f>SUM('wbs2 budgets by fy'!O9)</f>
        <v>5280.300000000001</v>
      </c>
      <c r="I10" s="9"/>
    </row>
    <row r="11" spans="3:9" ht="15">
      <c r="C11" s="12" t="s">
        <v>185</v>
      </c>
      <c r="D11" s="14">
        <v>2738</v>
      </c>
      <c r="E11" s="14"/>
      <c r="F11" s="14">
        <f t="shared" si="0"/>
        <v>29.199999999999818</v>
      </c>
      <c r="G11" s="14"/>
      <c r="H11" s="14">
        <f>SUM('wbs2 budgets by fy'!O10)</f>
        <v>2767.2</v>
      </c>
      <c r="I11" s="9"/>
    </row>
    <row r="12" spans="3:9" ht="12.75">
      <c r="C12" s="15" t="s">
        <v>186</v>
      </c>
      <c r="D12" s="13">
        <f>SUM(D4:D11)</f>
        <v>55386</v>
      </c>
      <c r="E12" s="13"/>
      <c r="F12" s="13">
        <f t="shared" si="0"/>
        <v>2332.5999999999985</v>
      </c>
      <c r="G12" s="13"/>
      <c r="H12" s="13">
        <f>SUM(H4:H11)</f>
        <v>57718.6</v>
      </c>
      <c r="I12" s="9"/>
    </row>
    <row r="13" spans="3:9" ht="12.75">
      <c r="C13" s="15" t="s">
        <v>187</v>
      </c>
      <c r="D13" s="13">
        <v>783</v>
      </c>
      <c r="E13" s="13"/>
      <c r="F13" s="13">
        <f t="shared" si="0"/>
        <v>8.399999999999977</v>
      </c>
      <c r="G13" s="13"/>
      <c r="H13" s="13">
        <f>SUM('wbs2 budgets by fy'!Q11)</f>
        <v>791.4</v>
      </c>
      <c r="I13" s="9"/>
    </row>
    <row r="14" spans="3:9" ht="12.75">
      <c r="C14" s="15" t="s">
        <v>188</v>
      </c>
      <c r="D14" s="13">
        <v>1143</v>
      </c>
      <c r="E14" s="13"/>
      <c r="F14" s="13">
        <f t="shared" si="0"/>
        <v>6.300000000000182</v>
      </c>
      <c r="G14" s="13"/>
      <c r="H14" s="13">
        <f>SUM('wbs2 budgets by fy'!Q14)</f>
        <v>1149.3000000000002</v>
      </c>
      <c r="I14" s="9"/>
    </row>
    <row r="15" spans="3:9" ht="12.75">
      <c r="C15" s="15" t="s">
        <v>189</v>
      </c>
      <c r="D15" s="13">
        <v>3301</v>
      </c>
      <c r="E15" s="13"/>
      <c r="F15" s="13">
        <f t="shared" si="0"/>
        <v>4.100000000000364</v>
      </c>
      <c r="G15" s="13"/>
      <c r="H15" s="13">
        <f>SUM('wbs2 budgets by fy'!Q18)</f>
        <v>3305.1000000000004</v>
      </c>
      <c r="I15" s="9"/>
    </row>
    <row r="16" spans="3:9" ht="12.75">
      <c r="C16" s="15" t="s">
        <v>190</v>
      </c>
      <c r="D16" s="13">
        <v>2050</v>
      </c>
      <c r="E16" s="13"/>
      <c r="F16" s="13">
        <f t="shared" si="0"/>
        <v>-176.4000000000001</v>
      </c>
      <c r="G16" s="13"/>
      <c r="H16" s="13">
        <f>SUM('wbs2 budgets by fy'!Q23)</f>
        <v>1873.6</v>
      </c>
      <c r="I16" s="9"/>
    </row>
    <row r="17" spans="3:9" ht="12.75">
      <c r="C17" s="15" t="s">
        <v>191</v>
      </c>
      <c r="D17" s="13">
        <v>691</v>
      </c>
      <c r="E17" s="13"/>
      <c r="F17" s="13">
        <f t="shared" si="0"/>
        <v>-12.400000000000091</v>
      </c>
      <c r="G17" s="13"/>
      <c r="H17" s="13">
        <f>SUM('wbs2 budgets by fy'!Q30)</f>
        <v>678.5999999999999</v>
      </c>
      <c r="I17" s="9"/>
    </row>
    <row r="18" spans="3:9" ht="12.75">
      <c r="C18" s="15" t="s">
        <v>192</v>
      </c>
      <c r="D18" s="13">
        <v>4373</v>
      </c>
      <c r="E18" s="13"/>
      <c r="F18" s="13">
        <f t="shared" si="0"/>
        <v>190.10000000000036</v>
      </c>
      <c r="G18" s="13"/>
      <c r="H18" s="13">
        <f>SUM('wbs2 budgets by fy'!Q34)</f>
        <v>4563.1</v>
      </c>
      <c r="I18" s="9"/>
    </row>
    <row r="19" spans="3:9" ht="15">
      <c r="C19" s="15" t="s">
        <v>193</v>
      </c>
      <c r="D19" s="14">
        <f>11053+1577</f>
        <v>12630</v>
      </c>
      <c r="E19" s="14"/>
      <c r="F19" s="14">
        <f t="shared" si="0"/>
        <v>4.299999999999272</v>
      </c>
      <c r="G19" s="14"/>
      <c r="H19" s="14">
        <f>SUM('wbs2 budgets by fy'!Q40)</f>
        <v>12634.3</v>
      </c>
      <c r="I19" s="9"/>
    </row>
    <row r="20" spans="3:9" ht="12.75">
      <c r="C20" s="15" t="s">
        <v>194</v>
      </c>
      <c r="D20" s="13">
        <f>SUM(D12:D19)</f>
        <v>80357</v>
      </c>
      <c r="E20" s="13"/>
      <c r="F20" s="13">
        <f t="shared" si="0"/>
        <v>2357</v>
      </c>
      <c r="G20" s="13"/>
      <c r="H20" s="13">
        <f>SUM(H12:H19)</f>
        <v>82714</v>
      </c>
      <c r="I20" s="9"/>
    </row>
    <row r="21" spans="3:9" ht="15">
      <c r="C21" s="15" t="s">
        <v>172</v>
      </c>
      <c r="D21" s="14">
        <v>11969</v>
      </c>
      <c r="E21" s="16"/>
      <c r="F21" s="14">
        <f t="shared" si="0"/>
        <v>-2357</v>
      </c>
      <c r="G21" s="14"/>
      <c r="H21" s="14">
        <f>SUM('wbs2 budgets by fy'!O47)</f>
        <v>9612</v>
      </c>
      <c r="I21" s="25">
        <f>+I35</f>
        <v>0.2164806356584957</v>
      </c>
    </row>
    <row r="22" spans="3:9" ht="12.75">
      <c r="C22" s="15" t="s">
        <v>195</v>
      </c>
      <c r="D22" s="13">
        <f>SUM(D20:D21)</f>
        <v>92326</v>
      </c>
      <c r="E22" s="13"/>
      <c r="F22" s="13"/>
      <c r="G22" s="13"/>
      <c r="H22" s="13">
        <f>SUM(H20:H21)</f>
        <v>92326</v>
      </c>
      <c r="I22" s="9"/>
    </row>
    <row r="23" spans="3:9" ht="12.75">
      <c r="C23" s="9"/>
      <c r="D23" s="9"/>
      <c r="E23" s="9"/>
      <c r="F23" s="17"/>
      <c r="G23" s="17"/>
      <c r="H23" s="9"/>
      <c r="I23" s="9"/>
    </row>
    <row r="24" spans="3:9" ht="12.75">
      <c r="C24" s="15" t="s">
        <v>174</v>
      </c>
      <c r="D24" s="26">
        <v>75</v>
      </c>
      <c r="E24" s="9"/>
      <c r="F24" s="9"/>
      <c r="G24" s="9"/>
      <c r="H24" s="26">
        <v>75</v>
      </c>
      <c r="I24" s="12"/>
    </row>
    <row r="25" spans="3:9" ht="12.75">
      <c r="C25" s="15"/>
      <c r="D25" s="27">
        <f>SUM(D24,D22)</f>
        <v>92401</v>
      </c>
      <c r="E25" s="9"/>
      <c r="F25" s="9"/>
      <c r="G25" s="9"/>
      <c r="H25" s="27">
        <f>SUM(H24,H22)</f>
        <v>92401</v>
      </c>
      <c r="I25" s="12"/>
    </row>
    <row r="26" spans="3:9" ht="12.75">
      <c r="C26" s="15"/>
      <c r="D26" s="9"/>
      <c r="E26" s="9"/>
      <c r="F26" s="9"/>
      <c r="G26" s="9"/>
      <c r="H26" s="9"/>
      <c r="I26" s="12"/>
    </row>
    <row r="27" spans="3:9" ht="12.75">
      <c r="C27" s="20" t="s">
        <v>203</v>
      </c>
      <c r="D27" s="21"/>
      <c r="E27" s="21"/>
      <c r="F27" s="18"/>
      <c r="G27" s="18"/>
      <c r="H27" s="18"/>
      <c r="I27" s="19"/>
    </row>
    <row r="28" spans="3:9" ht="12.75">
      <c r="C28" s="18"/>
      <c r="D28" s="21"/>
      <c r="E28" s="21"/>
      <c r="F28" s="18"/>
      <c r="G28" s="18"/>
      <c r="H28" s="18"/>
      <c r="I28" s="19"/>
    </row>
    <row r="29" spans="6:9" ht="12.75">
      <c r="F29" s="18" t="s">
        <v>196</v>
      </c>
      <c r="G29" s="21">
        <v>36720</v>
      </c>
      <c r="H29" s="18"/>
      <c r="I29" s="22"/>
    </row>
    <row r="30" spans="6:9" ht="12.75">
      <c r="F30" s="18" t="s">
        <v>197</v>
      </c>
      <c r="G30" s="21">
        <v>38313</v>
      </c>
      <c r="H30" s="18"/>
      <c r="I30" s="22"/>
    </row>
    <row r="31" spans="6:12" ht="12.75">
      <c r="F31" s="18" t="s">
        <v>198</v>
      </c>
      <c r="G31" s="23">
        <f>+G29/G30</f>
        <v>0.9584214235377027</v>
      </c>
      <c r="H31" s="18"/>
      <c r="I31" s="22"/>
      <c r="L31" s="6">
        <f>SUM(H24,G30,H34,H35)</f>
        <v>92401.20000000001</v>
      </c>
    </row>
    <row r="32" spans="6:9" ht="12.75">
      <c r="F32" s="18" t="s">
        <v>204</v>
      </c>
      <c r="G32" s="21">
        <f>+G30-G29</f>
        <v>1593</v>
      </c>
      <c r="H32" s="18"/>
      <c r="I32" s="18"/>
    </row>
    <row r="33" spans="3:9" ht="12.75">
      <c r="C33" s="18"/>
      <c r="D33" s="21"/>
      <c r="F33" s="21"/>
      <c r="G33" s="18"/>
      <c r="H33" s="18"/>
      <c r="I33" s="18"/>
    </row>
    <row r="34" spans="4:9" ht="12.75">
      <c r="D34" s="18"/>
      <c r="F34" s="18" t="s">
        <v>199</v>
      </c>
      <c r="G34" s="9"/>
      <c r="H34" s="21">
        <f>SUM('wbs2 budgets by fy'!K46)</f>
        <v>44401.200000000004</v>
      </c>
      <c r="I34" s="21"/>
    </row>
    <row r="35" spans="4:9" ht="12.75">
      <c r="D35" s="18"/>
      <c r="F35" s="18" t="s">
        <v>200</v>
      </c>
      <c r="G35" s="9"/>
      <c r="H35" s="21">
        <v>9612</v>
      </c>
      <c r="I35" s="24">
        <f>+H35/H34</f>
        <v>0.2164806356584957</v>
      </c>
    </row>
    <row r="36" spans="3:9" ht="12.75">
      <c r="C36" s="18"/>
      <c r="D36" s="18"/>
      <c r="E36" s="18"/>
      <c r="F36" s="18"/>
      <c r="G36" s="18"/>
      <c r="H36" s="18"/>
      <c r="I36" s="18"/>
    </row>
    <row r="37" spans="3:9" ht="12.75">
      <c r="C37" s="18"/>
      <c r="D37" s="18"/>
      <c r="E37" s="18"/>
      <c r="F37" s="18"/>
      <c r="G37" s="18"/>
      <c r="H37" s="18"/>
      <c r="I37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C41"/>
  <sheetViews>
    <sheetView zoomScale="75" zoomScaleNormal="75" workbookViewId="0" topLeftCell="A30">
      <selection activeCell="Q83" sqref="Q83"/>
    </sheetView>
  </sheetViews>
  <sheetFormatPr defaultColWidth="9.140625" defaultRowHeight="12.75"/>
  <sheetData>
    <row r="1" spans="3:55" ht="12.75">
      <c r="C1" t="s">
        <v>261</v>
      </c>
      <c r="D1" t="s">
        <v>127</v>
      </c>
      <c r="E1" t="s">
        <v>531</v>
      </c>
      <c r="F1" t="s">
        <v>532</v>
      </c>
      <c r="G1" t="s">
        <v>533</v>
      </c>
      <c r="H1" t="s">
        <v>534</v>
      </c>
      <c r="I1" t="s">
        <v>535</v>
      </c>
      <c r="J1" t="s">
        <v>536</v>
      </c>
      <c r="K1" t="s">
        <v>537</v>
      </c>
      <c r="L1" t="s">
        <v>538</v>
      </c>
      <c r="M1" t="s">
        <v>539</v>
      </c>
      <c r="N1" t="s">
        <v>540</v>
      </c>
      <c r="O1" t="s">
        <v>541</v>
      </c>
      <c r="P1" t="s">
        <v>542</v>
      </c>
      <c r="Q1" t="s">
        <v>543</v>
      </c>
      <c r="R1" t="s">
        <v>544</v>
      </c>
      <c r="S1" t="s">
        <v>545</v>
      </c>
      <c r="T1" t="s">
        <v>546</v>
      </c>
      <c r="U1" t="s">
        <v>547</v>
      </c>
      <c r="V1" t="s">
        <v>548</v>
      </c>
      <c r="W1" t="s">
        <v>549</v>
      </c>
      <c r="X1" t="s">
        <v>550</v>
      </c>
      <c r="Y1" t="s">
        <v>551</v>
      </c>
      <c r="Z1" t="s">
        <v>552</v>
      </c>
      <c r="AA1" t="s">
        <v>553</v>
      </c>
      <c r="AB1" t="s">
        <v>554</v>
      </c>
      <c r="AC1" t="s">
        <v>555</v>
      </c>
      <c r="AD1" t="s">
        <v>556</v>
      </c>
      <c r="AE1" t="s">
        <v>557</v>
      </c>
      <c r="AF1" t="s">
        <v>558</v>
      </c>
      <c r="AG1" t="s">
        <v>559</v>
      </c>
      <c r="AH1" t="s">
        <v>560</v>
      </c>
      <c r="AI1" t="s">
        <v>561</v>
      </c>
      <c r="AJ1" t="s">
        <v>562</v>
      </c>
      <c r="AK1" t="s">
        <v>563</v>
      </c>
      <c r="AL1" t="s">
        <v>564</v>
      </c>
      <c r="AM1" t="s">
        <v>565</v>
      </c>
      <c r="AN1" t="s">
        <v>566</v>
      </c>
      <c r="AO1" t="s">
        <v>567</v>
      </c>
      <c r="AP1" t="s">
        <v>568</v>
      </c>
      <c r="AQ1" t="s">
        <v>569</v>
      </c>
      <c r="AR1" t="s">
        <v>570</v>
      </c>
      <c r="AS1" t="s">
        <v>571</v>
      </c>
      <c r="AT1" t="s">
        <v>572</v>
      </c>
      <c r="AU1" t="s">
        <v>573</v>
      </c>
      <c r="AV1" t="s">
        <v>574</v>
      </c>
      <c r="AW1" t="s">
        <v>575</v>
      </c>
      <c r="AX1" t="s">
        <v>576</v>
      </c>
      <c r="AY1" t="s">
        <v>577</v>
      </c>
      <c r="AZ1" t="s">
        <v>578</v>
      </c>
      <c r="BA1" t="s">
        <v>579</v>
      </c>
      <c r="BB1" t="s">
        <v>580</v>
      </c>
      <c r="BC1" t="s">
        <v>581</v>
      </c>
    </row>
    <row r="2" spans="3:28" ht="12.75">
      <c r="C2">
        <v>6.3</v>
      </c>
      <c r="D2">
        <v>1408</v>
      </c>
      <c r="E2">
        <v>0.3</v>
      </c>
      <c r="F2">
        <v>0.2</v>
      </c>
      <c r="G2">
        <v>0.2</v>
      </c>
      <c r="H2">
        <v>0.3</v>
      </c>
      <c r="I2">
        <v>0.2</v>
      </c>
      <c r="J2">
        <v>0.3</v>
      </c>
      <c r="K2">
        <v>0.2</v>
      </c>
      <c r="L2">
        <v>0.3</v>
      </c>
      <c r="M2">
        <v>0.3</v>
      </c>
      <c r="N2">
        <v>0.2</v>
      </c>
      <c r="O2">
        <v>0.3</v>
      </c>
      <c r="P2">
        <v>0.3</v>
      </c>
      <c r="Q2">
        <v>0.3</v>
      </c>
      <c r="R2">
        <v>0.2</v>
      </c>
      <c r="S2">
        <v>0.2</v>
      </c>
      <c r="T2">
        <v>0.3</v>
      </c>
      <c r="U2">
        <v>0.2</v>
      </c>
      <c r="V2">
        <v>0.3</v>
      </c>
      <c r="W2">
        <v>0.3</v>
      </c>
      <c r="X2">
        <v>0.3</v>
      </c>
      <c r="Y2">
        <v>0.3</v>
      </c>
      <c r="Z2">
        <v>0.3</v>
      </c>
      <c r="AA2">
        <v>0.3</v>
      </c>
      <c r="AB2">
        <v>0.2</v>
      </c>
    </row>
    <row r="3" spans="3:31" ht="12.75">
      <c r="C3">
        <v>273.2</v>
      </c>
      <c r="D3">
        <v>1451</v>
      </c>
      <c r="E3">
        <v>8.7</v>
      </c>
      <c r="F3">
        <v>11.4</v>
      </c>
      <c r="G3">
        <v>9.5</v>
      </c>
      <c r="H3">
        <v>11.9</v>
      </c>
      <c r="I3">
        <v>14.7</v>
      </c>
      <c r="J3">
        <v>9.9</v>
      </c>
      <c r="K3">
        <v>13.2</v>
      </c>
      <c r="L3">
        <v>15.2</v>
      </c>
      <c r="M3">
        <v>14.4</v>
      </c>
      <c r="N3">
        <v>16</v>
      </c>
      <c r="O3">
        <v>13.5</v>
      </c>
      <c r="P3">
        <v>13.3</v>
      </c>
      <c r="Q3">
        <v>11.2</v>
      </c>
      <c r="R3">
        <v>12.4</v>
      </c>
      <c r="S3">
        <v>7.1</v>
      </c>
      <c r="T3">
        <v>13.2</v>
      </c>
      <c r="U3">
        <v>8.5</v>
      </c>
      <c r="V3">
        <v>9.4</v>
      </c>
      <c r="W3">
        <v>9.5</v>
      </c>
      <c r="X3">
        <v>7.9</v>
      </c>
      <c r="Y3">
        <v>8.1</v>
      </c>
      <c r="Z3">
        <v>9.3</v>
      </c>
      <c r="AA3">
        <v>9</v>
      </c>
      <c r="AB3">
        <v>6.6</v>
      </c>
      <c r="AC3">
        <v>5.5</v>
      </c>
      <c r="AD3">
        <v>3.1</v>
      </c>
      <c r="AE3">
        <v>0.7</v>
      </c>
    </row>
    <row r="4" spans="2:32" ht="12.75">
      <c r="B4">
        <v>53.3</v>
      </c>
      <c r="C4">
        <v>52.999200000000016</v>
      </c>
      <c r="D4" t="s">
        <v>586</v>
      </c>
      <c r="I4">
        <v>2.2083</v>
      </c>
      <c r="J4">
        <v>2.2083</v>
      </c>
      <c r="K4">
        <v>2.2083</v>
      </c>
      <c r="L4">
        <v>2.2083</v>
      </c>
      <c r="M4">
        <v>2.2083</v>
      </c>
      <c r="N4">
        <v>2.2083</v>
      </c>
      <c r="O4">
        <v>2.2083</v>
      </c>
      <c r="P4">
        <v>2.2083</v>
      </c>
      <c r="Q4">
        <v>2.2083</v>
      </c>
      <c r="R4">
        <v>2.2083</v>
      </c>
      <c r="S4">
        <v>2.2083</v>
      </c>
      <c r="T4">
        <v>2.2083</v>
      </c>
      <c r="U4">
        <v>2.2083</v>
      </c>
      <c r="V4">
        <v>2.2083</v>
      </c>
      <c r="W4">
        <v>2.2083</v>
      </c>
      <c r="X4">
        <v>2.2083</v>
      </c>
      <c r="Y4">
        <v>2.2083</v>
      </c>
      <c r="Z4">
        <v>2.2083</v>
      </c>
      <c r="AA4">
        <v>2.2083</v>
      </c>
      <c r="AB4">
        <v>2.2083</v>
      </c>
      <c r="AC4">
        <v>2.2083</v>
      </c>
      <c r="AD4">
        <v>2.2083</v>
      </c>
      <c r="AE4">
        <v>2.2083</v>
      </c>
      <c r="AF4">
        <v>2.2083</v>
      </c>
    </row>
    <row r="5" spans="3:6" ht="12.75">
      <c r="C5">
        <v>0.5</v>
      </c>
      <c r="D5">
        <v>1204</v>
      </c>
      <c r="E5">
        <v>0.5</v>
      </c>
      <c r="F5">
        <v>0</v>
      </c>
    </row>
    <row r="6" spans="3:6" ht="12.75">
      <c r="C6">
        <v>0.5</v>
      </c>
      <c r="D6">
        <v>1350</v>
      </c>
      <c r="E6">
        <v>0.5</v>
      </c>
      <c r="F6">
        <v>0</v>
      </c>
    </row>
    <row r="7" spans="3:25" ht="12.75">
      <c r="C7">
        <v>34.8</v>
      </c>
      <c r="D7">
        <v>1351</v>
      </c>
      <c r="E7">
        <v>0.7</v>
      </c>
      <c r="F7">
        <v>1.4</v>
      </c>
      <c r="G7">
        <v>2.6</v>
      </c>
      <c r="H7">
        <v>2.7</v>
      </c>
      <c r="I7">
        <v>2.5</v>
      </c>
      <c r="J7">
        <v>0.4</v>
      </c>
      <c r="K7">
        <v>1.5</v>
      </c>
      <c r="M7">
        <v>0.5</v>
      </c>
      <c r="Q7">
        <v>1.7</v>
      </c>
      <c r="R7">
        <v>3.6</v>
      </c>
      <c r="S7">
        <v>1.8</v>
      </c>
      <c r="T7">
        <v>3.8</v>
      </c>
      <c r="U7">
        <v>2.3</v>
      </c>
      <c r="V7">
        <v>4.3</v>
      </c>
      <c r="W7">
        <v>1.9</v>
      </c>
      <c r="X7">
        <v>2.8</v>
      </c>
      <c r="Y7">
        <v>0.3</v>
      </c>
    </row>
    <row r="8" spans="3:32" ht="12.75">
      <c r="C8">
        <v>36</v>
      </c>
      <c r="D8" t="s">
        <v>586</v>
      </c>
      <c r="Q8">
        <v>2.4</v>
      </c>
      <c r="R8">
        <v>2.2</v>
      </c>
      <c r="S8">
        <v>1.7</v>
      </c>
      <c r="T8">
        <v>2.4</v>
      </c>
      <c r="U8">
        <v>2.2</v>
      </c>
      <c r="V8">
        <v>2.4</v>
      </c>
      <c r="W8">
        <v>2.3</v>
      </c>
      <c r="X8">
        <v>2.4</v>
      </c>
      <c r="Y8">
        <v>2.3</v>
      </c>
      <c r="Z8">
        <v>2.3</v>
      </c>
      <c r="AA8">
        <v>2.5</v>
      </c>
      <c r="AB8">
        <v>2.1</v>
      </c>
      <c r="AC8">
        <v>2.5</v>
      </c>
      <c r="AD8">
        <v>2.2</v>
      </c>
      <c r="AE8">
        <v>1.6</v>
      </c>
      <c r="AF8">
        <v>2.5</v>
      </c>
    </row>
    <row r="9" spans="3:39" ht="12.75">
      <c r="C9">
        <v>1.4</v>
      </c>
      <c r="D9">
        <v>1352</v>
      </c>
      <c r="AG9">
        <v>0.1</v>
      </c>
      <c r="AH9">
        <v>0.2</v>
      </c>
      <c r="AI9">
        <v>0.3</v>
      </c>
      <c r="AJ9">
        <v>0.2</v>
      </c>
      <c r="AK9">
        <v>0.2</v>
      </c>
      <c r="AL9">
        <v>0.3</v>
      </c>
      <c r="AM9">
        <v>0.1</v>
      </c>
    </row>
    <row r="10" spans="3:40" ht="12.75">
      <c r="C10">
        <v>5</v>
      </c>
      <c r="D10">
        <v>1355</v>
      </c>
      <c r="Q10">
        <v>0.6</v>
      </c>
      <c r="R10">
        <v>0.5</v>
      </c>
      <c r="S10">
        <v>0.4</v>
      </c>
      <c r="T10">
        <v>0.6</v>
      </c>
      <c r="U10">
        <v>0.5</v>
      </c>
      <c r="V10">
        <v>0.6</v>
      </c>
      <c r="W10">
        <v>0.2</v>
      </c>
      <c r="AM10">
        <v>1</v>
      </c>
      <c r="AN10">
        <v>0.6</v>
      </c>
    </row>
    <row r="11" spans="3:15" ht="12.75">
      <c r="C11">
        <v>3.6</v>
      </c>
      <c r="D11">
        <v>1414</v>
      </c>
      <c r="F11">
        <v>1.2</v>
      </c>
      <c r="J11">
        <v>1.2</v>
      </c>
      <c r="N11">
        <v>0.2</v>
      </c>
      <c r="O11">
        <v>1</v>
      </c>
    </row>
    <row r="12" spans="3:32" ht="12.75">
      <c r="C12">
        <v>2.5</v>
      </c>
      <c r="D12">
        <v>1601</v>
      </c>
      <c r="AC12">
        <v>0.7</v>
      </c>
      <c r="AD12">
        <v>0.8</v>
      </c>
      <c r="AE12">
        <v>0.6</v>
      </c>
      <c r="AF12">
        <v>0.4</v>
      </c>
    </row>
    <row r="13" spans="3:20" ht="12.75">
      <c r="C13">
        <v>1.6</v>
      </c>
      <c r="D13">
        <v>1803</v>
      </c>
      <c r="Q13">
        <v>0.5</v>
      </c>
      <c r="R13">
        <v>0.5</v>
      </c>
      <c r="S13">
        <v>0.4</v>
      </c>
      <c r="T13">
        <v>0.2</v>
      </c>
    </row>
    <row r="14" spans="3:9" ht="12.75">
      <c r="C14">
        <v>2.7</v>
      </c>
      <c r="D14">
        <v>1804</v>
      </c>
      <c r="E14">
        <v>0.6</v>
      </c>
      <c r="F14">
        <v>0.6</v>
      </c>
      <c r="G14">
        <v>0.5</v>
      </c>
      <c r="H14">
        <v>0.6</v>
      </c>
      <c r="I14">
        <v>0.4</v>
      </c>
    </row>
    <row r="15" spans="3:37" ht="12.75">
      <c r="C15">
        <v>165.6</v>
      </c>
      <c r="D15">
        <v>1810</v>
      </c>
      <c r="K15">
        <v>2.9</v>
      </c>
      <c r="L15">
        <v>3.9</v>
      </c>
      <c r="M15">
        <v>3.6</v>
      </c>
      <c r="N15">
        <v>4.1</v>
      </c>
      <c r="O15">
        <v>1.6</v>
      </c>
      <c r="Q15">
        <v>3.1</v>
      </c>
      <c r="R15">
        <v>3.7</v>
      </c>
      <c r="S15">
        <v>3</v>
      </c>
      <c r="T15">
        <v>8.4</v>
      </c>
      <c r="U15">
        <v>9.3</v>
      </c>
      <c r="V15">
        <v>7.2</v>
      </c>
      <c r="W15">
        <v>11.9</v>
      </c>
      <c r="X15">
        <v>13.1</v>
      </c>
      <c r="Y15">
        <v>9.7</v>
      </c>
      <c r="Z15">
        <v>2.7</v>
      </c>
      <c r="AA15">
        <v>9.8</v>
      </c>
      <c r="AB15">
        <v>4.5</v>
      </c>
      <c r="AC15">
        <v>8.7</v>
      </c>
      <c r="AD15">
        <v>9.1</v>
      </c>
      <c r="AE15">
        <v>7.6</v>
      </c>
      <c r="AF15">
        <v>9.7</v>
      </c>
      <c r="AG15">
        <v>8.9</v>
      </c>
      <c r="AH15">
        <v>4.4</v>
      </c>
      <c r="AI15">
        <v>6.7</v>
      </c>
      <c r="AJ15">
        <v>6.2</v>
      </c>
      <c r="AK15">
        <v>1.8</v>
      </c>
    </row>
    <row r="16" spans="3:32" ht="12.75">
      <c r="C16">
        <v>0.6</v>
      </c>
      <c r="D16">
        <v>2101</v>
      </c>
      <c r="AC16">
        <v>0.2</v>
      </c>
      <c r="AD16">
        <v>0.2</v>
      </c>
      <c r="AE16">
        <v>0.1</v>
      </c>
      <c r="AF16">
        <v>0.1</v>
      </c>
    </row>
    <row r="17" spans="3:34" ht="12.75">
      <c r="C17">
        <v>2.5</v>
      </c>
      <c r="D17">
        <v>2201</v>
      </c>
      <c r="AC17">
        <v>0</v>
      </c>
      <c r="AD17">
        <v>0.6</v>
      </c>
      <c r="AE17">
        <v>0.5</v>
      </c>
      <c r="AF17">
        <v>0.7</v>
      </c>
      <c r="AG17">
        <v>0.7</v>
      </c>
      <c r="AH17">
        <v>0</v>
      </c>
    </row>
    <row r="18" spans="3:32" ht="12.75">
      <c r="C18">
        <v>2.7</v>
      </c>
      <c r="D18">
        <v>3101</v>
      </c>
      <c r="E18">
        <v>0</v>
      </c>
      <c r="F18">
        <v>0.4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0.5</v>
      </c>
      <c r="N18">
        <v>0.6</v>
      </c>
      <c r="O18">
        <v>0.5</v>
      </c>
      <c r="P18">
        <v>0.1</v>
      </c>
      <c r="Q18">
        <v>0</v>
      </c>
      <c r="R18">
        <v>0</v>
      </c>
      <c r="S18">
        <v>0.1</v>
      </c>
      <c r="T18">
        <v>0</v>
      </c>
      <c r="U18">
        <v>0</v>
      </c>
      <c r="V18">
        <v>0</v>
      </c>
      <c r="W18">
        <v>0</v>
      </c>
      <c r="X18">
        <v>0</v>
      </c>
      <c r="Z18">
        <v>0</v>
      </c>
      <c r="AA18">
        <v>0.1</v>
      </c>
      <c r="AB18">
        <v>0.1</v>
      </c>
      <c r="AC18">
        <v>0.1</v>
      </c>
      <c r="AD18">
        <v>0.1</v>
      </c>
      <c r="AE18">
        <v>0.1</v>
      </c>
      <c r="AF18">
        <v>0</v>
      </c>
    </row>
    <row r="19" spans="3:34" ht="12.75">
      <c r="C19">
        <v>2</v>
      </c>
      <c r="D19">
        <v>6101</v>
      </c>
      <c r="AG19">
        <v>1</v>
      </c>
      <c r="AH19">
        <v>1</v>
      </c>
    </row>
    <row r="20" spans="3:37" ht="12.75">
      <c r="C20">
        <v>8.5</v>
      </c>
      <c r="D20">
        <v>6201</v>
      </c>
      <c r="AF20">
        <v>0.3</v>
      </c>
      <c r="AG20">
        <v>1</v>
      </c>
      <c r="AH20">
        <v>2.1</v>
      </c>
      <c r="AI20">
        <v>2.5</v>
      </c>
      <c r="AJ20">
        <v>2.2</v>
      </c>
      <c r="AK20">
        <v>0.4</v>
      </c>
    </row>
    <row r="21" spans="3:33" ht="12.75">
      <c r="C21">
        <v>3.1</v>
      </c>
      <c r="D21">
        <v>6301</v>
      </c>
      <c r="AF21">
        <v>1.7</v>
      </c>
      <c r="AG21">
        <v>1.4</v>
      </c>
    </row>
    <row r="22" spans="3:23" ht="12.75">
      <c r="C22">
        <v>3.4</v>
      </c>
      <c r="D22">
        <v>7301</v>
      </c>
      <c r="E22">
        <v>0.8</v>
      </c>
      <c r="F22">
        <v>0.7</v>
      </c>
      <c r="G22">
        <v>0.1</v>
      </c>
      <c r="Q22">
        <v>0.3</v>
      </c>
      <c r="R22">
        <v>0.3</v>
      </c>
      <c r="S22">
        <v>0.2</v>
      </c>
      <c r="T22">
        <v>0.3</v>
      </c>
      <c r="U22">
        <v>0.3</v>
      </c>
      <c r="V22">
        <v>0.3</v>
      </c>
      <c r="W22">
        <v>0.1</v>
      </c>
    </row>
    <row r="23" spans="3:46" ht="12.75">
      <c r="C23">
        <v>52.9</v>
      </c>
      <c r="D23">
        <v>7501</v>
      </c>
      <c r="AC23">
        <v>3.6</v>
      </c>
      <c r="AD23">
        <v>3.2</v>
      </c>
      <c r="AE23">
        <v>2.4</v>
      </c>
      <c r="AF23">
        <v>3.6</v>
      </c>
      <c r="AG23">
        <v>3.3</v>
      </c>
      <c r="AH23">
        <v>3.3</v>
      </c>
      <c r="AI23">
        <v>3.5</v>
      </c>
      <c r="AJ23">
        <v>3.3</v>
      </c>
      <c r="AK23">
        <v>3.3</v>
      </c>
      <c r="AL23">
        <v>3.5</v>
      </c>
      <c r="AM23">
        <v>3.3</v>
      </c>
      <c r="AN23">
        <v>3.3</v>
      </c>
      <c r="AO23">
        <v>1.4</v>
      </c>
      <c r="AP23">
        <v>2</v>
      </c>
      <c r="AQ23">
        <v>2.7</v>
      </c>
      <c r="AR23">
        <v>2.1</v>
      </c>
      <c r="AS23">
        <v>3.5</v>
      </c>
      <c r="AT23">
        <v>1.6</v>
      </c>
    </row>
    <row r="24" spans="3:44" ht="12.75">
      <c r="C24">
        <v>63.6</v>
      </c>
      <c r="D24">
        <v>7503</v>
      </c>
      <c r="AC24">
        <v>4.9</v>
      </c>
      <c r="AD24">
        <v>4.3</v>
      </c>
      <c r="AE24">
        <v>3.2</v>
      </c>
      <c r="AF24">
        <v>1.5</v>
      </c>
      <c r="AH24">
        <v>3.2</v>
      </c>
      <c r="AI24">
        <v>0.2</v>
      </c>
      <c r="AK24">
        <v>0.6</v>
      </c>
      <c r="AL24">
        <v>5.1</v>
      </c>
      <c r="AM24">
        <v>6.7</v>
      </c>
      <c r="AN24">
        <v>10.2</v>
      </c>
      <c r="AO24">
        <v>10.7</v>
      </c>
      <c r="AP24">
        <v>4.9</v>
      </c>
      <c r="AQ24">
        <v>4.9</v>
      </c>
      <c r="AR24">
        <v>3.2</v>
      </c>
    </row>
    <row r="25" spans="3:44" ht="12.75">
      <c r="C25">
        <v>1.5</v>
      </c>
      <c r="D25">
        <v>7601</v>
      </c>
      <c r="AC25">
        <v>0.1</v>
      </c>
      <c r="AD25">
        <v>0.1</v>
      </c>
      <c r="AE25">
        <v>0</v>
      </c>
      <c r="AF25">
        <v>0.1</v>
      </c>
      <c r="AG25">
        <v>0.1</v>
      </c>
      <c r="AH25">
        <v>0.1</v>
      </c>
      <c r="AI25">
        <v>0.1</v>
      </c>
      <c r="AJ25">
        <v>0.1</v>
      </c>
      <c r="AK25">
        <v>0.1</v>
      </c>
      <c r="AL25">
        <v>0.1</v>
      </c>
      <c r="AM25">
        <v>0.1</v>
      </c>
      <c r="AN25">
        <v>0.1</v>
      </c>
      <c r="AO25">
        <v>0.1</v>
      </c>
      <c r="AP25">
        <v>0.1</v>
      </c>
      <c r="AQ25">
        <v>0.1</v>
      </c>
      <c r="AR25">
        <v>0.1</v>
      </c>
    </row>
    <row r="26" spans="3:46" ht="12.75">
      <c r="C26">
        <v>2.9</v>
      </c>
      <c r="D26">
        <v>8501</v>
      </c>
      <c r="AP26">
        <v>0.2</v>
      </c>
      <c r="AQ26">
        <v>0.9</v>
      </c>
      <c r="AR26">
        <v>0.9</v>
      </c>
      <c r="AS26">
        <v>0.8</v>
      </c>
      <c r="AT26">
        <v>0.1</v>
      </c>
    </row>
    <row r="27" spans="3:25" ht="12.75">
      <c r="C27">
        <v>440.54110000000003</v>
      </c>
      <c r="E27">
        <v>12.1</v>
      </c>
      <c r="F27">
        <v>15.9</v>
      </c>
      <c r="G27">
        <v>12.9</v>
      </c>
      <c r="H27">
        <v>15.5</v>
      </c>
      <c r="I27">
        <v>20.0083</v>
      </c>
      <c r="J27">
        <v>14.0083</v>
      </c>
      <c r="K27">
        <v>20.0083</v>
      </c>
      <c r="L27">
        <v>21.6083</v>
      </c>
      <c r="M27">
        <v>21.508300000000002</v>
      </c>
      <c r="N27">
        <v>23.308300000000003</v>
      </c>
      <c r="O27">
        <v>19.108300000000003</v>
      </c>
      <c r="P27">
        <v>15.9083</v>
      </c>
      <c r="Q27">
        <v>22.308300000000003</v>
      </c>
      <c r="R27">
        <v>25.6083</v>
      </c>
      <c r="S27">
        <v>17.108300000000003</v>
      </c>
      <c r="T27">
        <v>31.4083</v>
      </c>
      <c r="U27">
        <v>25.5083</v>
      </c>
      <c r="V27">
        <v>26.7083</v>
      </c>
      <c r="W27">
        <v>28.408300000000004</v>
      </c>
      <c r="X27">
        <v>28.7083</v>
      </c>
      <c r="Y27">
        <v>22.9083</v>
      </c>
    </row>
    <row r="28" spans="2:46" ht="12.75">
      <c r="B28" t="s">
        <v>525</v>
      </c>
      <c r="C28" t="s">
        <v>526</v>
      </c>
      <c r="D28" t="s">
        <v>527</v>
      </c>
      <c r="E28" t="s">
        <v>516</v>
      </c>
      <c r="F28" t="s">
        <v>517</v>
      </c>
      <c r="G28" t="s">
        <v>518</v>
      </c>
      <c r="H28" t="s">
        <v>519</v>
      </c>
      <c r="I28" t="s">
        <v>520</v>
      </c>
      <c r="J28" t="s">
        <v>521</v>
      </c>
      <c r="K28" t="s">
        <v>522</v>
      </c>
      <c r="L28" t="s">
        <v>523</v>
      </c>
      <c r="M28" t="s">
        <v>524</v>
      </c>
      <c r="N28" t="s">
        <v>525</v>
      </c>
      <c r="O28" t="s">
        <v>526</v>
      </c>
      <c r="P28" t="s">
        <v>527</v>
      </c>
      <c r="Q28" t="s">
        <v>516</v>
      </c>
      <c r="R28" t="s">
        <v>517</v>
      </c>
      <c r="S28" t="s">
        <v>518</v>
      </c>
      <c r="T28" t="s">
        <v>519</v>
      </c>
      <c r="U28" t="s">
        <v>520</v>
      </c>
      <c r="V28" t="s">
        <v>521</v>
      </c>
      <c r="W28" t="s">
        <v>522</v>
      </c>
      <c r="X28" t="s">
        <v>523</v>
      </c>
      <c r="Y28" t="s">
        <v>524</v>
      </c>
      <c r="Z28" t="s">
        <v>525</v>
      </c>
      <c r="AA28" t="s">
        <v>526</v>
      </c>
      <c r="AB28" t="s">
        <v>527</v>
      </c>
      <c r="AC28" t="s">
        <v>516</v>
      </c>
      <c r="AD28" t="s">
        <v>517</v>
      </c>
      <c r="AE28" t="s">
        <v>518</v>
      </c>
      <c r="AF28" t="s">
        <v>519</v>
      </c>
      <c r="AG28" t="s">
        <v>520</v>
      </c>
      <c r="AH28" t="s">
        <v>521</v>
      </c>
      <c r="AI28" t="s">
        <v>522</v>
      </c>
      <c r="AJ28" t="s">
        <v>523</v>
      </c>
      <c r="AK28" t="s">
        <v>524</v>
      </c>
      <c r="AL28" t="s">
        <v>525</v>
      </c>
      <c r="AM28" t="s">
        <v>526</v>
      </c>
      <c r="AN28" t="s">
        <v>527</v>
      </c>
      <c r="AO28" t="s">
        <v>516</v>
      </c>
      <c r="AP28" t="s">
        <v>517</v>
      </c>
      <c r="AQ28" t="s">
        <v>518</v>
      </c>
      <c r="AR28" t="s">
        <v>519</v>
      </c>
      <c r="AS28" t="s">
        <v>520</v>
      </c>
      <c r="AT28" t="s">
        <v>521</v>
      </c>
    </row>
    <row r="29" spans="4:46" ht="12.75">
      <c r="D29" t="s">
        <v>582</v>
      </c>
      <c r="E29">
        <v>9</v>
      </c>
      <c r="F29">
        <v>11.6</v>
      </c>
      <c r="G29">
        <v>9.7</v>
      </c>
      <c r="H29">
        <v>12.2</v>
      </c>
      <c r="I29">
        <v>17.1083</v>
      </c>
      <c r="J29">
        <v>12.4083</v>
      </c>
      <c r="K29">
        <v>15.608299999999998</v>
      </c>
      <c r="L29">
        <v>17.7083</v>
      </c>
      <c r="M29">
        <v>16.9083</v>
      </c>
      <c r="N29">
        <v>18.4083</v>
      </c>
      <c r="O29">
        <v>16.008300000000002</v>
      </c>
      <c r="P29">
        <v>15.808300000000001</v>
      </c>
      <c r="Q29">
        <v>13.7083</v>
      </c>
      <c r="R29">
        <v>14.8083</v>
      </c>
      <c r="S29">
        <v>9.5083</v>
      </c>
      <c r="T29">
        <v>15.7083</v>
      </c>
      <c r="U29">
        <v>10.908299999999999</v>
      </c>
      <c r="V29">
        <v>11.9083</v>
      </c>
      <c r="W29">
        <v>12.0083</v>
      </c>
      <c r="X29">
        <v>10.4083</v>
      </c>
      <c r="Y29">
        <v>10.6083</v>
      </c>
      <c r="Z29">
        <v>11.808300000000001</v>
      </c>
      <c r="AA29">
        <v>11.5083</v>
      </c>
      <c r="AB29">
        <v>9.0083</v>
      </c>
      <c r="AC29">
        <v>7.7082999999999995</v>
      </c>
      <c r="AD29">
        <v>5.3083</v>
      </c>
      <c r="AE29">
        <v>2.9082999999999997</v>
      </c>
      <c r="AF29">
        <v>2.2083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</row>
    <row r="30" spans="4:46" ht="12.75">
      <c r="D30" t="s">
        <v>583</v>
      </c>
      <c r="E30">
        <v>1.2</v>
      </c>
      <c r="F30">
        <v>1.4</v>
      </c>
      <c r="G30">
        <v>2.6</v>
      </c>
      <c r="H30">
        <v>2.7</v>
      </c>
      <c r="I30">
        <v>2.5</v>
      </c>
      <c r="J30">
        <v>0.4</v>
      </c>
      <c r="K30">
        <v>1.5</v>
      </c>
      <c r="L30">
        <v>0</v>
      </c>
      <c r="M30">
        <v>0.5</v>
      </c>
      <c r="N30">
        <v>0</v>
      </c>
      <c r="O30">
        <v>0</v>
      </c>
      <c r="P30">
        <v>0</v>
      </c>
      <c r="Q30">
        <v>4.1</v>
      </c>
      <c r="R30">
        <v>5.8</v>
      </c>
      <c r="S30">
        <v>3.5</v>
      </c>
      <c r="T30">
        <v>6.2</v>
      </c>
      <c r="U30">
        <v>4.5</v>
      </c>
      <c r="V30">
        <v>6.7</v>
      </c>
      <c r="W30">
        <v>4.2</v>
      </c>
      <c r="X30">
        <v>5.2</v>
      </c>
      <c r="Y30">
        <v>2.6</v>
      </c>
      <c r="Z30">
        <v>2.3</v>
      </c>
      <c r="AA30">
        <v>2.5</v>
      </c>
      <c r="AB30">
        <v>2.1</v>
      </c>
      <c r="AC30">
        <v>2.5</v>
      </c>
      <c r="AD30">
        <v>2.2</v>
      </c>
      <c r="AE30">
        <v>1.6</v>
      </c>
      <c r="AF30">
        <v>2.5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</row>
    <row r="31" spans="4:46" ht="12.75">
      <c r="D31" t="s">
        <v>584</v>
      </c>
      <c r="E31">
        <v>0.6</v>
      </c>
      <c r="F31">
        <v>0.6</v>
      </c>
      <c r="G31">
        <v>0.5</v>
      </c>
      <c r="H31">
        <v>0.6</v>
      </c>
      <c r="I31">
        <v>0.4</v>
      </c>
      <c r="J31">
        <v>0</v>
      </c>
      <c r="K31">
        <v>2.9</v>
      </c>
      <c r="L31">
        <v>3.9</v>
      </c>
      <c r="M31">
        <v>3.6</v>
      </c>
      <c r="N31">
        <v>4.1</v>
      </c>
      <c r="O31">
        <v>1.6</v>
      </c>
      <c r="P31">
        <v>0</v>
      </c>
      <c r="Q31">
        <v>3.6</v>
      </c>
      <c r="R31">
        <v>4.2</v>
      </c>
      <c r="S31">
        <v>3.4</v>
      </c>
      <c r="T31">
        <v>8.6</v>
      </c>
      <c r="U31">
        <v>9.3</v>
      </c>
      <c r="V31">
        <v>7.2</v>
      </c>
      <c r="W31">
        <v>11.9</v>
      </c>
      <c r="X31">
        <v>13.1</v>
      </c>
      <c r="Y31">
        <v>9.7</v>
      </c>
      <c r="Z31">
        <v>2.7</v>
      </c>
      <c r="AA31">
        <v>9.8</v>
      </c>
      <c r="AB31">
        <v>4.5</v>
      </c>
      <c r="AC31">
        <v>8.7</v>
      </c>
      <c r="AD31">
        <v>9.1</v>
      </c>
      <c r="AE31">
        <v>7.6</v>
      </c>
      <c r="AF31">
        <v>9.7</v>
      </c>
      <c r="AG31">
        <v>8.9</v>
      </c>
      <c r="AH31">
        <v>4.4</v>
      </c>
      <c r="AI31">
        <v>6.7</v>
      </c>
      <c r="AJ31">
        <v>6.2</v>
      </c>
      <c r="AK31">
        <v>1.8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</row>
    <row r="32" spans="4:46" ht="12.75">
      <c r="D32" t="s">
        <v>585</v>
      </c>
      <c r="E32">
        <v>0.8</v>
      </c>
      <c r="F32">
        <v>0.7</v>
      </c>
      <c r="G32">
        <v>0.1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0.3</v>
      </c>
      <c r="R32">
        <v>0.3</v>
      </c>
      <c r="S32">
        <v>0.2</v>
      </c>
      <c r="T32">
        <v>0.3</v>
      </c>
      <c r="U32">
        <v>0.3</v>
      </c>
      <c r="V32">
        <v>0.3</v>
      </c>
      <c r="W32">
        <v>0.1</v>
      </c>
      <c r="X32">
        <v>0</v>
      </c>
      <c r="Y32">
        <v>0</v>
      </c>
      <c r="Z32">
        <v>0</v>
      </c>
      <c r="AA32">
        <v>0</v>
      </c>
      <c r="AB32">
        <v>0</v>
      </c>
      <c r="AC32">
        <v>8.6</v>
      </c>
      <c r="AD32">
        <v>7.6</v>
      </c>
      <c r="AE32">
        <v>5.6</v>
      </c>
      <c r="AF32">
        <v>5.2</v>
      </c>
      <c r="AG32">
        <v>3.4</v>
      </c>
      <c r="AH32">
        <v>6.6</v>
      </c>
      <c r="AI32">
        <v>3.8</v>
      </c>
      <c r="AJ32">
        <v>3.4</v>
      </c>
      <c r="AK32">
        <v>4</v>
      </c>
      <c r="AL32">
        <v>8.7</v>
      </c>
      <c r="AM32">
        <v>10.1</v>
      </c>
      <c r="AN32">
        <v>13.6</v>
      </c>
      <c r="AO32">
        <v>12.2</v>
      </c>
      <c r="AP32">
        <v>7</v>
      </c>
      <c r="AQ32">
        <v>7.7</v>
      </c>
      <c r="AR32">
        <v>5.4</v>
      </c>
      <c r="AS32">
        <v>3.5</v>
      </c>
      <c r="AT32">
        <v>1.6</v>
      </c>
    </row>
    <row r="33" spans="4:46" ht="12.75">
      <c r="D33" t="s">
        <v>235</v>
      </c>
      <c r="E33">
        <v>0.5</v>
      </c>
      <c r="F33">
        <v>1.6</v>
      </c>
      <c r="G33">
        <v>0</v>
      </c>
      <c r="H33">
        <v>0</v>
      </c>
      <c r="I33">
        <v>0</v>
      </c>
      <c r="J33">
        <v>1.2</v>
      </c>
      <c r="K33">
        <v>0</v>
      </c>
      <c r="L33">
        <v>0</v>
      </c>
      <c r="M33">
        <v>0.5</v>
      </c>
      <c r="N33">
        <v>0.8</v>
      </c>
      <c r="O33">
        <v>1.5</v>
      </c>
      <c r="P33">
        <v>0.1</v>
      </c>
      <c r="Q33">
        <v>0.6</v>
      </c>
      <c r="R33">
        <v>0.5</v>
      </c>
      <c r="S33">
        <v>0.5</v>
      </c>
      <c r="T33">
        <v>0.6</v>
      </c>
      <c r="U33">
        <v>0.5</v>
      </c>
      <c r="V33">
        <v>0.6</v>
      </c>
      <c r="W33">
        <v>0.2</v>
      </c>
      <c r="X33">
        <v>0</v>
      </c>
      <c r="Y33">
        <v>0</v>
      </c>
      <c r="Z33">
        <v>0</v>
      </c>
      <c r="AA33">
        <v>0.1</v>
      </c>
      <c r="AB33">
        <v>0.1</v>
      </c>
      <c r="AC33">
        <v>1</v>
      </c>
      <c r="AD33">
        <v>1.7</v>
      </c>
      <c r="AE33">
        <v>1.3</v>
      </c>
      <c r="AF33">
        <v>3.2</v>
      </c>
      <c r="AG33">
        <v>4.2</v>
      </c>
      <c r="AH33">
        <v>3.3</v>
      </c>
      <c r="AI33">
        <v>2.8</v>
      </c>
      <c r="AJ33">
        <v>2.4</v>
      </c>
      <c r="AK33">
        <v>0.6</v>
      </c>
      <c r="AL33">
        <v>0.3</v>
      </c>
      <c r="AM33">
        <v>1.1</v>
      </c>
      <c r="AN33">
        <v>0.6</v>
      </c>
      <c r="AO33">
        <v>0</v>
      </c>
      <c r="AP33">
        <v>0.2</v>
      </c>
      <c r="AQ33">
        <v>0.9</v>
      </c>
      <c r="AR33">
        <v>0.9</v>
      </c>
      <c r="AS33">
        <v>0.8</v>
      </c>
      <c r="AT33">
        <v>0.1</v>
      </c>
    </row>
    <row r="34" spans="3:46" ht="12.75">
      <c r="C34">
        <v>730.3992000000001</v>
      </c>
      <c r="E34">
        <v>12.1</v>
      </c>
      <c r="F34">
        <v>15.9</v>
      </c>
      <c r="G34">
        <v>12.9</v>
      </c>
      <c r="H34">
        <v>15.5</v>
      </c>
      <c r="I34">
        <v>20.0083</v>
      </c>
      <c r="J34">
        <v>14.0083</v>
      </c>
      <c r="K34">
        <v>20.0083</v>
      </c>
      <c r="L34">
        <v>21.6083</v>
      </c>
      <c r="M34">
        <v>21.508300000000002</v>
      </c>
      <c r="N34">
        <v>23.3083</v>
      </c>
      <c r="O34">
        <v>19.108300000000003</v>
      </c>
      <c r="P34">
        <v>15.9083</v>
      </c>
      <c r="Q34">
        <v>22.308300000000003</v>
      </c>
      <c r="R34">
        <v>25.6083</v>
      </c>
      <c r="S34">
        <v>17.1083</v>
      </c>
      <c r="T34">
        <v>31.4083</v>
      </c>
      <c r="U34">
        <v>25.508300000000002</v>
      </c>
      <c r="V34">
        <v>26.7083</v>
      </c>
      <c r="W34">
        <v>28.4083</v>
      </c>
      <c r="X34">
        <v>28.7083</v>
      </c>
      <c r="Y34">
        <v>22.908299999999997</v>
      </c>
      <c r="Z34">
        <v>16.8083</v>
      </c>
      <c r="AA34">
        <v>23.908300000000004</v>
      </c>
      <c r="AB34">
        <v>15.7083</v>
      </c>
      <c r="AC34">
        <v>28.5083</v>
      </c>
      <c r="AD34">
        <v>25.9083</v>
      </c>
      <c r="AE34">
        <v>19.008300000000002</v>
      </c>
      <c r="AF34">
        <v>22.8083</v>
      </c>
      <c r="AG34">
        <v>16.5</v>
      </c>
      <c r="AH34">
        <v>14.3</v>
      </c>
      <c r="AI34">
        <v>13.3</v>
      </c>
      <c r="AJ34">
        <v>12</v>
      </c>
      <c r="AK34">
        <v>6.4</v>
      </c>
      <c r="AL34">
        <v>9</v>
      </c>
      <c r="AM34">
        <v>11.2</v>
      </c>
      <c r="AN34">
        <v>14.2</v>
      </c>
      <c r="AO34">
        <v>12.2</v>
      </c>
      <c r="AP34">
        <v>7.2</v>
      </c>
      <c r="AQ34">
        <v>8.6</v>
      </c>
      <c r="AR34">
        <v>6.3</v>
      </c>
      <c r="AS34">
        <v>4.3</v>
      </c>
      <c r="AT34">
        <v>1.7</v>
      </c>
    </row>
    <row r="36" spans="5:52" ht="12.75">
      <c r="E36" t="s">
        <v>17</v>
      </c>
      <c r="F36" t="s">
        <v>18</v>
      </c>
      <c r="G36" t="s">
        <v>19</v>
      </c>
      <c r="H36" t="s">
        <v>14</v>
      </c>
      <c r="I36" t="s">
        <v>20</v>
      </c>
      <c r="J36" t="s">
        <v>13</v>
      </c>
      <c r="K36" t="s">
        <v>15</v>
      </c>
      <c r="L36" t="s">
        <v>13</v>
      </c>
      <c r="M36" t="s">
        <v>14</v>
      </c>
      <c r="N36" t="s">
        <v>14</v>
      </c>
      <c r="O36" t="s">
        <v>15</v>
      </c>
      <c r="P36" t="s">
        <v>16</v>
      </c>
      <c r="Q36" t="s">
        <v>17</v>
      </c>
      <c r="R36" t="s">
        <v>18</v>
      </c>
      <c r="S36" t="s">
        <v>19</v>
      </c>
      <c r="T36" t="s">
        <v>14</v>
      </c>
      <c r="U36" t="s">
        <v>20</v>
      </c>
      <c r="V36" t="s">
        <v>13</v>
      </c>
      <c r="W36" t="s">
        <v>15</v>
      </c>
      <c r="X36" t="s">
        <v>13</v>
      </c>
      <c r="Y36" t="s">
        <v>14</v>
      </c>
      <c r="Z36" t="s">
        <v>14</v>
      </c>
      <c r="AA36" t="s">
        <v>15</v>
      </c>
      <c r="AB36" t="s">
        <v>16</v>
      </c>
      <c r="AC36" t="s">
        <v>17</v>
      </c>
      <c r="AD36" t="s">
        <v>18</v>
      </c>
      <c r="AE36" t="s">
        <v>19</v>
      </c>
      <c r="AF36" t="s">
        <v>14</v>
      </c>
      <c r="AG36" t="s">
        <v>20</v>
      </c>
      <c r="AH36" t="s">
        <v>13</v>
      </c>
      <c r="AI36" t="s">
        <v>15</v>
      </c>
      <c r="AJ36" t="s">
        <v>13</v>
      </c>
      <c r="AK36" t="s">
        <v>14</v>
      </c>
      <c r="AL36" t="s">
        <v>14</v>
      </c>
      <c r="AM36" t="s">
        <v>15</v>
      </c>
      <c r="AN36" t="s">
        <v>16</v>
      </c>
      <c r="AO36" t="s">
        <v>17</v>
      </c>
      <c r="AP36" t="s">
        <v>18</v>
      </c>
      <c r="AQ36" t="s">
        <v>19</v>
      </c>
      <c r="AR36" t="s">
        <v>14</v>
      </c>
      <c r="AS36" t="s">
        <v>20</v>
      </c>
      <c r="AT36" t="s">
        <v>13</v>
      </c>
      <c r="AU36" t="s">
        <v>15</v>
      </c>
      <c r="AV36" t="s">
        <v>13</v>
      </c>
      <c r="AW36" t="s">
        <v>14</v>
      </c>
      <c r="AX36" t="s">
        <v>14</v>
      </c>
      <c r="AY36" t="s">
        <v>15</v>
      </c>
      <c r="AZ36" t="s">
        <v>16</v>
      </c>
    </row>
    <row r="37" spans="3:46" ht="12.75">
      <c r="C37">
        <v>9</v>
      </c>
      <c r="D37" t="s">
        <v>589</v>
      </c>
      <c r="E37">
        <v>9</v>
      </c>
      <c r="F37">
        <v>9.86666666666667</v>
      </c>
      <c r="G37">
        <v>10.1</v>
      </c>
      <c r="H37">
        <v>10.625</v>
      </c>
      <c r="I37">
        <v>12.652075</v>
      </c>
      <c r="J37">
        <v>12.85415</v>
      </c>
      <c r="K37">
        <v>14.331225</v>
      </c>
      <c r="L37">
        <v>15.7083</v>
      </c>
      <c r="M37">
        <v>15.6583</v>
      </c>
      <c r="N37">
        <v>17.1583</v>
      </c>
      <c r="O37">
        <v>17.258300000000002</v>
      </c>
      <c r="P37">
        <v>16.7833</v>
      </c>
      <c r="Q37">
        <v>15.983300000000002</v>
      </c>
      <c r="R37">
        <v>15.083300000000001</v>
      </c>
      <c r="S37">
        <v>13.4583</v>
      </c>
      <c r="T37">
        <v>13.4333</v>
      </c>
      <c r="U37">
        <v>12.7333</v>
      </c>
      <c r="V37">
        <v>12.008299999999998</v>
      </c>
      <c r="W37">
        <v>12.6333</v>
      </c>
      <c r="X37">
        <v>11.3083</v>
      </c>
      <c r="Y37">
        <v>11.2333</v>
      </c>
      <c r="Z37">
        <v>11.208300000000001</v>
      </c>
      <c r="AA37">
        <v>11.0833</v>
      </c>
      <c r="AB37">
        <v>10.7333</v>
      </c>
      <c r="AC37">
        <v>10.0083</v>
      </c>
      <c r="AD37">
        <v>8.3833</v>
      </c>
      <c r="AE37">
        <v>6.2333</v>
      </c>
      <c r="AF37">
        <v>4.5333000000000006</v>
      </c>
      <c r="AG37">
        <v>2.606225</v>
      </c>
      <c r="AH37">
        <v>1.27915</v>
      </c>
      <c r="AI37">
        <v>0.552075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</row>
    <row r="38" spans="3:46" ht="12.75">
      <c r="C38">
        <v>1.2</v>
      </c>
      <c r="D38" t="s">
        <v>583</v>
      </c>
      <c r="E38">
        <v>1.2</v>
      </c>
      <c r="F38">
        <v>1.2666666666666666</v>
      </c>
      <c r="G38">
        <v>1.7333333333333332</v>
      </c>
      <c r="H38">
        <v>1.975</v>
      </c>
      <c r="I38">
        <v>2.3</v>
      </c>
      <c r="J38">
        <v>2.05</v>
      </c>
      <c r="K38">
        <v>1.775</v>
      </c>
      <c r="L38">
        <v>1.1</v>
      </c>
      <c r="M38">
        <v>0.6</v>
      </c>
      <c r="N38">
        <v>0.5</v>
      </c>
      <c r="O38">
        <v>0.125</v>
      </c>
      <c r="P38">
        <v>0.125</v>
      </c>
      <c r="Q38">
        <v>1.025</v>
      </c>
      <c r="R38">
        <v>2.475</v>
      </c>
      <c r="S38">
        <v>3.35</v>
      </c>
      <c r="T38">
        <v>4.9</v>
      </c>
      <c r="U38">
        <v>5</v>
      </c>
      <c r="V38">
        <v>5.225</v>
      </c>
      <c r="W38">
        <v>5.4</v>
      </c>
      <c r="X38">
        <v>5.15</v>
      </c>
      <c r="Y38">
        <v>4.675</v>
      </c>
      <c r="Z38">
        <v>3.575</v>
      </c>
      <c r="AA38">
        <v>3.15</v>
      </c>
      <c r="AB38">
        <v>2.375</v>
      </c>
      <c r="AC38">
        <v>2.35</v>
      </c>
      <c r="AD38">
        <v>2.325</v>
      </c>
      <c r="AE38">
        <v>2.1</v>
      </c>
      <c r="AF38">
        <v>2.2</v>
      </c>
      <c r="AG38">
        <v>1.575</v>
      </c>
      <c r="AH38">
        <v>1.025</v>
      </c>
      <c r="AI38">
        <v>0.625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</row>
    <row r="39" spans="3:46" ht="12.75">
      <c r="C39">
        <v>0.6</v>
      </c>
      <c r="D39" t="s">
        <v>587</v>
      </c>
      <c r="E39">
        <v>0.6</v>
      </c>
      <c r="F39">
        <v>0.6</v>
      </c>
      <c r="G39">
        <v>0.5666666666666667</v>
      </c>
      <c r="H39">
        <v>0.575</v>
      </c>
      <c r="I39">
        <v>0.525</v>
      </c>
      <c r="J39">
        <v>0.375</v>
      </c>
      <c r="K39">
        <v>0.975</v>
      </c>
      <c r="L39">
        <v>1.8</v>
      </c>
      <c r="M39">
        <v>2.6</v>
      </c>
      <c r="N39">
        <v>3.625</v>
      </c>
      <c r="O39">
        <v>3.3</v>
      </c>
      <c r="P39">
        <v>2.325</v>
      </c>
      <c r="Q39">
        <v>2.325</v>
      </c>
      <c r="R39">
        <v>2.35</v>
      </c>
      <c r="S39">
        <v>2.8</v>
      </c>
      <c r="T39">
        <v>4.95</v>
      </c>
      <c r="U39">
        <v>6.375</v>
      </c>
      <c r="V39">
        <v>7.125</v>
      </c>
      <c r="W39">
        <v>9.25</v>
      </c>
      <c r="X39">
        <v>10.375</v>
      </c>
      <c r="Y39">
        <v>10.475</v>
      </c>
      <c r="Z39">
        <v>9.35</v>
      </c>
      <c r="AA39">
        <v>8.825</v>
      </c>
      <c r="AB39">
        <v>6.675</v>
      </c>
      <c r="AC39">
        <v>6.425</v>
      </c>
      <c r="AD39">
        <v>8.025</v>
      </c>
      <c r="AE39">
        <v>7.475</v>
      </c>
      <c r="AF39">
        <v>8.775</v>
      </c>
      <c r="AG39">
        <v>8.825</v>
      </c>
      <c r="AH39">
        <v>7.65</v>
      </c>
      <c r="AI39">
        <v>7.425</v>
      </c>
      <c r="AJ39">
        <v>6.55</v>
      </c>
      <c r="AK39">
        <v>4.775</v>
      </c>
      <c r="AL39">
        <v>3.675</v>
      </c>
      <c r="AM39">
        <v>2</v>
      </c>
      <c r="AN39">
        <v>0.45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</row>
    <row r="40" spans="3:46" ht="12.75">
      <c r="C40">
        <v>0.8</v>
      </c>
      <c r="D40" t="s">
        <v>588</v>
      </c>
      <c r="E40">
        <v>0.8</v>
      </c>
      <c r="F40">
        <v>0.7666666666666666</v>
      </c>
      <c r="G40">
        <v>0.5333333333333333</v>
      </c>
      <c r="H40">
        <v>0.4</v>
      </c>
      <c r="I40">
        <v>0.2</v>
      </c>
      <c r="J40">
        <v>0.025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0.075</v>
      </c>
      <c r="R40">
        <v>0.15</v>
      </c>
      <c r="S40">
        <v>0.2</v>
      </c>
      <c r="T40">
        <v>0.275</v>
      </c>
      <c r="U40">
        <v>0.275</v>
      </c>
      <c r="V40">
        <v>0.275</v>
      </c>
      <c r="W40">
        <v>0.25</v>
      </c>
      <c r="X40">
        <v>0.175</v>
      </c>
      <c r="Y40">
        <v>0.1</v>
      </c>
      <c r="Z40">
        <v>0.025</v>
      </c>
      <c r="AA40">
        <v>0</v>
      </c>
      <c r="AB40">
        <v>0</v>
      </c>
      <c r="AC40">
        <v>2.15</v>
      </c>
      <c r="AD40">
        <v>4.05</v>
      </c>
      <c r="AE40">
        <v>5.45</v>
      </c>
      <c r="AF40">
        <v>6.75</v>
      </c>
      <c r="AG40">
        <v>5.45</v>
      </c>
      <c r="AH40">
        <v>5.2</v>
      </c>
      <c r="AI40">
        <v>4.75</v>
      </c>
      <c r="AJ40">
        <v>4.3</v>
      </c>
      <c r="AK40">
        <v>4.45</v>
      </c>
      <c r="AL40">
        <v>4.975</v>
      </c>
      <c r="AM40">
        <v>6.55</v>
      </c>
      <c r="AN40">
        <v>9.1</v>
      </c>
      <c r="AO40">
        <v>11.15</v>
      </c>
      <c r="AP40">
        <v>10.725</v>
      </c>
      <c r="AQ40">
        <v>10.125</v>
      </c>
      <c r="AR40">
        <v>8.075</v>
      </c>
      <c r="AS40">
        <v>5.9</v>
      </c>
      <c r="AT40">
        <v>3.5</v>
      </c>
    </row>
    <row r="41" spans="3:46" ht="12.75">
      <c r="C41">
        <v>0.5</v>
      </c>
      <c r="D41" t="s">
        <v>235</v>
      </c>
      <c r="E41">
        <v>0.5</v>
      </c>
      <c r="F41">
        <v>0.8666666666666667</v>
      </c>
      <c r="G41">
        <v>0.7</v>
      </c>
      <c r="H41">
        <v>0.525</v>
      </c>
      <c r="I41">
        <v>0.4</v>
      </c>
      <c r="J41">
        <v>0.3</v>
      </c>
      <c r="K41">
        <v>0.3</v>
      </c>
      <c r="L41">
        <v>0.3</v>
      </c>
      <c r="M41">
        <v>0.425</v>
      </c>
      <c r="N41">
        <v>0.325</v>
      </c>
      <c r="O41">
        <v>0.7</v>
      </c>
      <c r="P41">
        <v>0.725</v>
      </c>
      <c r="Q41">
        <v>0.75</v>
      </c>
      <c r="R41">
        <v>0.675</v>
      </c>
      <c r="S41">
        <v>0.425</v>
      </c>
      <c r="T41">
        <v>0.55</v>
      </c>
      <c r="U41">
        <v>0.525</v>
      </c>
      <c r="V41">
        <v>0.55</v>
      </c>
      <c r="W41">
        <v>0.475</v>
      </c>
      <c r="X41">
        <v>0.325</v>
      </c>
      <c r="Y41">
        <v>0.2</v>
      </c>
      <c r="Z41">
        <v>0.05</v>
      </c>
      <c r="AA41">
        <v>0.025</v>
      </c>
      <c r="AB41">
        <v>0.05</v>
      </c>
      <c r="AC41">
        <v>0.3</v>
      </c>
      <c r="AD41">
        <v>0.725</v>
      </c>
      <c r="AE41">
        <v>1.025</v>
      </c>
      <c r="AF41">
        <v>1.8</v>
      </c>
      <c r="AG41">
        <v>2.6</v>
      </c>
      <c r="AH41">
        <v>3</v>
      </c>
      <c r="AI41">
        <v>3.375</v>
      </c>
      <c r="AJ41">
        <v>3.175</v>
      </c>
      <c r="AK41">
        <v>2.275</v>
      </c>
      <c r="AL41">
        <v>1.525</v>
      </c>
      <c r="AM41">
        <v>1.1</v>
      </c>
      <c r="AN41">
        <v>0.65</v>
      </c>
      <c r="AO41">
        <v>0.5</v>
      </c>
      <c r="AP41">
        <v>0.475</v>
      </c>
      <c r="AQ41">
        <v>0.425</v>
      </c>
      <c r="AR41">
        <v>0.5</v>
      </c>
      <c r="AS41">
        <v>0.7</v>
      </c>
      <c r="AT41">
        <v>0.6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30"/>
  <sheetViews>
    <sheetView zoomScale="75" zoomScaleNormal="75" workbookViewId="0" topLeftCell="A47">
      <selection activeCell="K94" sqref="K94"/>
    </sheetView>
  </sheetViews>
  <sheetFormatPr defaultColWidth="9.140625" defaultRowHeight="12.75"/>
  <cols>
    <col min="1" max="1" width="13.00390625" style="0" customWidth="1"/>
    <col min="2" max="2" width="16.28125" style="0" customWidth="1"/>
  </cols>
  <sheetData>
    <row r="1" spans="46:50" ht="12.75">
      <c r="AT1" s="495"/>
      <c r="AU1" s="495"/>
      <c r="AV1" s="495"/>
      <c r="AW1" s="495"/>
      <c r="AX1" s="495"/>
    </row>
    <row r="2" spans="1:50" ht="12.75">
      <c r="A2" t="s">
        <v>451</v>
      </c>
      <c r="B2" t="s">
        <v>452</v>
      </c>
      <c r="C2" t="s">
        <v>453</v>
      </c>
      <c r="D2" t="s">
        <v>454</v>
      </c>
      <c r="E2" t="s">
        <v>455</v>
      </c>
      <c r="F2" t="s">
        <v>456</v>
      </c>
      <c r="G2" t="s">
        <v>457</v>
      </c>
      <c r="H2" t="s">
        <v>458</v>
      </c>
      <c r="I2" t="s">
        <v>459</v>
      </c>
      <c r="J2" t="s">
        <v>460</v>
      </c>
      <c r="K2" t="s">
        <v>461</v>
      </c>
      <c r="L2" t="s">
        <v>462</v>
      </c>
      <c r="M2" t="s">
        <v>463</v>
      </c>
      <c r="N2" t="s">
        <v>464</v>
      </c>
      <c r="O2" t="s">
        <v>465</v>
      </c>
      <c r="P2" t="s">
        <v>466</v>
      </c>
      <c r="Q2" t="s">
        <v>467</v>
      </c>
      <c r="R2" t="s">
        <v>468</v>
      </c>
      <c r="S2" t="s">
        <v>469</v>
      </c>
      <c r="T2" t="s">
        <v>470</v>
      </c>
      <c r="U2" t="s">
        <v>471</v>
      </c>
      <c r="V2" t="s">
        <v>472</v>
      </c>
      <c r="W2" t="s">
        <v>473</v>
      </c>
      <c r="X2" t="s">
        <v>474</v>
      </c>
      <c r="Y2" t="s">
        <v>475</v>
      </c>
      <c r="Z2" t="s">
        <v>476</v>
      </c>
      <c r="AA2" t="s">
        <v>477</v>
      </c>
      <c r="AB2" t="s">
        <v>478</v>
      </c>
      <c r="AC2" t="s">
        <v>479</v>
      </c>
      <c r="AD2" t="s">
        <v>480</v>
      </c>
      <c r="AE2" t="s">
        <v>481</v>
      </c>
      <c r="AF2" t="s">
        <v>482</v>
      </c>
      <c r="AG2" t="s">
        <v>483</v>
      </c>
      <c r="AH2" t="s">
        <v>484</v>
      </c>
      <c r="AI2" t="s">
        <v>485</v>
      </c>
      <c r="AJ2" t="s">
        <v>486</v>
      </c>
      <c r="AK2" t="s">
        <v>487</v>
      </c>
      <c r="AL2" t="s">
        <v>488</v>
      </c>
      <c r="AM2" t="s">
        <v>489</v>
      </c>
      <c r="AN2" t="s">
        <v>490</v>
      </c>
      <c r="AO2" t="s">
        <v>491</v>
      </c>
      <c r="AP2" t="s">
        <v>492</v>
      </c>
      <c r="AQ2" t="s">
        <v>493</v>
      </c>
      <c r="AR2" t="s">
        <v>494</v>
      </c>
      <c r="AS2" t="s">
        <v>495</v>
      </c>
      <c r="AT2" s="495" t="s">
        <v>496</v>
      </c>
      <c r="AU2" s="495" t="s">
        <v>497</v>
      </c>
      <c r="AV2" s="495" t="s">
        <v>498</v>
      </c>
      <c r="AW2" s="495" t="s">
        <v>499</v>
      </c>
      <c r="AX2" s="495" t="s">
        <v>500</v>
      </c>
    </row>
    <row r="3" spans="1:46" ht="12.75">
      <c r="A3" t="s">
        <v>258</v>
      </c>
      <c r="B3" t="s">
        <v>501</v>
      </c>
      <c r="C3">
        <v>6.1</v>
      </c>
      <c r="D3">
        <v>5.5</v>
      </c>
      <c r="E3">
        <v>4.1</v>
      </c>
      <c r="F3">
        <v>5.6</v>
      </c>
      <c r="G3">
        <v>6.5</v>
      </c>
      <c r="H3">
        <v>7.2</v>
      </c>
      <c r="I3">
        <v>5.8</v>
      </c>
      <c r="J3">
        <v>6.6</v>
      </c>
      <c r="K3">
        <v>6.1</v>
      </c>
      <c r="L3">
        <v>3.8</v>
      </c>
      <c r="M3">
        <v>4.4</v>
      </c>
      <c r="N3">
        <v>3.9</v>
      </c>
      <c r="O3">
        <v>5.1</v>
      </c>
      <c r="P3">
        <v>4.7</v>
      </c>
      <c r="Q3">
        <v>3.4</v>
      </c>
      <c r="R3">
        <v>5.3</v>
      </c>
      <c r="S3">
        <v>4.8</v>
      </c>
      <c r="T3">
        <v>5</v>
      </c>
      <c r="U3">
        <v>3.7</v>
      </c>
      <c r="V3">
        <v>3</v>
      </c>
      <c r="W3">
        <v>2.9</v>
      </c>
      <c r="X3">
        <v>2.9</v>
      </c>
      <c r="Y3">
        <v>3.1</v>
      </c>
      <c r="Z3">
        <v>2.8</v>
      </c>
      <c r="AA3">
        <v>3.1</v>
      </c>
      <c r="AB3">
        <v>1.8</v>
      </c>
      <c r="AC3">
        <v>1.3</v>
      </c>
      <c r="AD3">
        <v>1.6</v>
      </c>
      <c r="AE3">
        <v>1.7</v>
      </c>
      <c r="AF3">
        <v>1.3</v>
      </c>
      <c r="AG3">
        <v>1.4</v>
      </c>
      <c r="AH3">
        <v>1.3</v>
      </c>
      <c r="AI3">
        <v>1.5</v>
      </c>
      <c r="AJ3">
        <v>1.8</v>
      </c>
      <c r="AK3">
        <v>1.3</v>
      </c>
      <c r="AL3">
        <v>1.4</v>
      </c>
      <c r="AM3">
        <v>0.3</v>
      </c>
      <c r="AN3">
        <v>0.2</v>
      </c>
      <c r="AO3">
        <v>0.3</v>
      </c>
      <c r="AP3">
        <v>0.2</v>
      </c>
      <c r="AQ3">
        <v>0.2</v>
      </c>
      <c r="AR3">
        <v>0.2</v>
      </c>
      <c r="AS3">
        <v>0.2</v>
      </c>
      <c r="AT3">
        <v>0.2</v>
      </c>
    </row>
    <row r="4" spans="1:42" ht="12.75">
      <c r="A4" t="s">
        <v>529</v>
      </c>
      <c r="B4" t="s">
        <v>502</v>
      </c>
      <c r="C4">
        <v>3.1</v>
      </c>
      <c r="D4">
        <v>1.3</v>
      </c>
      <c r="E4">
        <v>0.9</v>
      </c>
      <c r="F4">
        <v>3</v>
      </c>
      <c r="G4">
        <v>1</v>
      </c>
      <c r="H4">
        <v>1.1</v>
      </c>
      <c r="I4">
        <v>1</v>
      </c>
      <c r="J4">
        <v>1.1</v>
      </c>
      <c r="K4">
        <v>1.1</v>
      </c>
      <c r="L4">
        <v>1</v>
      </c>
      <c r="M4">
        <v>1.1</v>
      </c>
      <c r="N4">
        <v>1</v>
      </c>
      <c r="O4">
        <v>4.4</v>
      </c>
      <c r="P4">
        <v>4.2</v>
      </c>
      <c r="Q4">
        <v>3.2</v>
      </c>
      <c r="R4">
        <v>3.9</v>
      </c>
      <c r="S4">
        <v>2.2</v>
      </c>
      <c r="T4">
        <v>1.8</v>
      </c>
      <c r="U4">
        <v>1.9</v>
      </c>
      <c r="V4">
        <v>1.8</v>
      </c>
      <c r="W4">
        <v>1.8</v>
      </c>
      <c r="X4">
        <v>2.2</v>
      </c>
      <c r="Y4">
        <v>2.3</v>
      </c>
      <c r="Z4">
        <v>1.1</v>
      </c>
      <c r="AA4">
        <v>1.4</v>
      </c>
      <c r="AB4">
        <v>1.5</v>
      </c>
      <c r="AC4">
        <v>0.9</v>
      </c>
      <c r="AD4">
        <v>0.9</v>
      </c>
      <c r="AE4">
        <v>0.7</v>
      </c>
      <c r="AF4">
        <v>0.6</v>
      </c>
      <c r="AG4">
        <v>0.7</v>
      </c>
      <c r="AH4">
        <v>0.6</v>
      </c>
      <c r="AI4">
        <v>0.6</v>
      </c>
      <c r="AJ4">
        <v>0.5</v>
      </c>
      <c r="AK4">
        <v>0.5</v>
      </c>
      <c r="AL4">
        <v>0.5</v>
      </c>
      <c r="AM4">
        <v>0.2</v>
      </c>
      <c r="AN4">
        <v>0.1</v>
      </c>
      <c r="AO4">
        <v>0.1</v>
      </c>
      <c r="AP4">
        <v>0.1</v>
      </c>
    </row>
    <row r="5" spans="1:43" ht="12.75">
      <c r="A5" s="497" t="s">
        <v>530</v>
      </c>
      <c r="B5" t="s">
        <v>503</v>
      </c>
      <c r="Z5">
        <v>0.9</v>
      </c>
      <c r="AA5">
        <v>2.1</v>
      </c>
      <c r="AB5">
        <v>2.1</v>
      </c>
      <c r="AC5">
        <v>1.8</v>
      </c>
      <c r="AD5">
        <v>2.9</v>
      </c>
      <c r="AE5">
        <v>2.8</v>
      </c>
      <c r="AF5">
        <v>3.2</v>
      </c>
      <c r="AG5">
        <v>3.8</v>
      </c>
      <c r="AH5">
        <v>3.8</v>
      </c>
      <c r="AI5">
        <v>3.8</v>
      </c>
      <c r="AJ5">
        <v>3.1</v>
      </c>
      <c r="AK5">
        <v>3</v>
      </c>
      <c r="AL5">
        <v>2.5</v>
      </c>
      <c r="AM5">
        <v>1.6</v>
      </c>
      <c r="AN5">
        <v>0.8</v>
      </c>
      <c r="AO5">
        <v>0.9</v>
      </c>
      <c r="AP5">
        <v>0.9</v>
      </c>
      <c r="AQ5">
        <v>0.8</v>
      </c>
    </row>
    <row r="6" spans="2:40" ht="12.75">
      <c r="B6" t="s">
        <v>504</v>
      </c>
      <c r="AD6">
        <v>0.4</v>
      </c>
      <c r="AE6">
        <v>0.6</v>
      </c>
      <c r="AF6">
        <v>1.2</v>
      </c>
      <c r="AG6">
        <v>1.9</v>
      </c>
      <c r="AH6">
        <v>1.8</v>
      </c>
      <c r="AI6">
        <v>1.8</v>
      </c>
      <c r="AJ6">
        <v>1.3</v>
      </c>
      <c r="AK6">
        <v>1.2</v>
      </c>
      <c r="AL6">
        <v>1</v>
      </c>
      <c r="AM6">
        <v>0.5</v>
      </c>
      <c r="AN6">
        <v>0.3</v>
      </c>
    </row>
    <row r="7" spans="2:38" ht="12.75">
      <c r="B7" t="s">
        <v>505</v>
      </c>
      <c r="C7">
        <v>0.2</v>
      </c>
      <c r="D7">
        <v>0.2</v>
      </c>
      <c r="E7">
        <v>0.2</v>
      </c>
      <c r="F7">
        <v>0.2</v>
      </c>
      <c r="G7">
        <v>0.2</v>
      </c>
      <c r="H7">
        <v>0.3</v>
      </c>
      <c r="I7">
        <v>0.2</v>
      </c>
      <c r="J7">
        <v>0.3</v>
      </c>
      <c r="K7">
        <v>0.3</v>
      </c>
      <c r="L7">
        <v>0.2</v>
      </c>
      <c r="M7">
        <v>0.3</v>
      </c>
      <c r="N7">
        <v>0.2</v>
      </c>
      <c r="O7">
        <v>0.1</v>
      </c>
      <c r="P7">
        <v>0.1</v>
      </c>
      <c r="Q7">
        <v>0.1</v>
      </c>
      <c r="R7">
        <v>0.1</v>
      </c>
      <c r="S7">
        <v>0.1</v>
      </c>
      <c r="T7">
        <v>0.1</v>
      </c>
      <c r="U7">
        <v>0.1</v>
      </c>
      <c r="V7">
        <v>0.1</v>
      </c>
      <c r="W7">
        <v>0.1</v>
      </c>
      <c r="X7">
        <v>0.1</v>
      </c>
      <c r="Y7">
        <v>0.1</v>
      </c>
      <c r="Z7">
        <v>0.1</v>
      </c>
      <c r="AA7">
        <v>0.1</v>
      </c>
      <c r="AB7">
        <v>0.1</v>
      </c>
      <c r="AC7">
        <v>0.1</v>
      </c>
      <c r="AD7">
        <v>0.1</v>
      </c>
      <c r="AE7">
        <v>0.1</v>
      </c>
      <c r="AF7">
        <v>0.1</v>
      </c>
      <c r="AG7">
        <v>0.1</v>
      </c>
      <c r="AH7">
        <v>0.1</v>
      </c>
      <c r="AI7">
        <v>0.1</v>
      </c>
      <c r="AJ7">
        <v>0.1</v>
      </c>
      <c r="AK7">
        <v>0.1</v>
      </c>
      <c r="AL7">
        <v>0.1</v>
      </c>
    </row>
    <row r="8" spans="2:43" ht="12.75">
      <c r="B8" t="s">
        <v>506</v>
      </c>
      <c r="C8">
        <v>1.7</v>
      </c>
      <c r="D8">
        <v>0.7</v>
      </c>
      <c r="E8">
        <v>0.3</v>
      </c>
      <c r="F8">
        <v>0.2</v>
      </c>
      <c r="G8">
        <v>0.2</v>
      </c>
      <c r="H8">
        <v>0.2</v>
      </c>
      <c r="I8">
        <v>0.2</v>
      </c>
      <c r="J8">
        <v>0.2</v>
      </c>
      <c r="K8">
        <v>0.2</v>
      </c>
      <c r="L8">
        <v>0.1</v>
      </c>
      <c r="M8">
        <v>0.2</v>
      </c>
      <c r="N8">
        <v>0.3</v>
      </c>
      <c r="O8">
        <v>1.9</v>
      </c>
      <c r="P8">
        <v>1.8</v>
      </c>
      <c r="Q8">
        <v>1.8</v>
      </c>
      <c r="R8">
        <v>2.5</v>
      </c>
      <c r="S8">
        <v>1.7</v>
      </c>
      <c r="T8">
        <v>1.2</v>
      </c>
      <c r="U8">
        <v>1.2</v>
      </c>
      <c r="V8">
        <v>1</v>
      </c>
      <c r="W8">
        <v>1.2</v>
      </c>
      <c r="X8">
        <v>1.4</v>
      </c>
      <c r="Y8">
        <v>1.6</v>
      </c>
      <c r="Z8">
        <v>1.5</v>
      </c>
      <c r="AA8">
        <v>2.2</v>
      </c>
      <c r="AB8">
        <v>2.2</v>
      </c>
      <c r="AC8">
        <v>1.5</v>
      </c>
      <c r="AD8">
        <v>1.9</v>
      </c>
      <c r="AE8">
        <v>1.5</v>
      </c>
      <c r="AF8">
        <v>1</v>
      </c>
      <c r="AG8">
        <v>0.4</v>
      </c>
      <c r="AH8">
        <v>0.2</v>
      </c>
      <c r="AI8">
        <v>0.2</v>
      </c>
      <c r="AJ8">
        <v>0.2</v>
      </c>
      <c r="AK8">
        <v>0.1</v>
      </c>
      <c r="AL8">
        <v>0.1</v>
      </c>
      <c r="AM8">
        <v>0.1</v>
      </c>
      <c r="AN8">
        <v>0.3</v>
      </c>
      <c r="AO8">
        <v>0.9</v>
      </c>
      <c r="AP8">
        <v>0.9</v>
      </c>
      <c r="AQ8">
        <v>0.8</v>
      </c>
    </row>
    <row r="9" spans="2:40" ht="12.75">
      <c r="B9" t="s">
        <v>507</v>
      </c>
      <c r="C9">
        <v>0</v>
      </c>
      <c r="D9">
        <v>0</v>
      </c>
      <c r="E9">
        <v>0</v>
      </c>
      <c r="F9">
        <v>0</v>
      </c>
      <c r="G9">
        <v>0</v>
      </c>
      <c r="H9">
        <v>0.1</v>
      </c>
      <c r="I9">
        <v>0.1</v>
      </c>
      <c r="J9">
        <v>0</v>
      </c>
      <c r="K9">
        <v>0</v>
      </c>
      <c r="N9">
        <v>0.1</v>
      </c>
      <c r="O9">
        <v>0.5</v>
      </c>
      <c r="P9">
        <v>0.6</v>
      </c>
      <c r="Q9">
        <v>0.4</v>
      </c>
      <c r="R9">
        <v>0.8</v>
      </c>
      <c r="S9">
        <v>0.6</v>
      </c>
      <c r="T9">
        <v>0.7</v>
      </c>
      <c r="U9">
        <v>0.9</v>
      </c>
      <c r="V9">
        <v>1.7</v>
      </c>
      <c r="W9">
        <v>2</v>
      </c>
      <c r="X9">
        <v>2.7</v>
      </c>
      <c r="Y9">
        <v>2.8</v>
      </c>
      <c r="Z9">
        <v>1.8</v>
      </c>
      <c r="AA9">
        <v>2.4</v>
      </c>
      <c r="AB9">
        <v>2</v>
      </c>
      <c r="AC9">
        <v>1.5</v>
      </c>
      <c r="AD9">
        <v>2.5</v>
      </c>
      <c r="AE9">
        <v>2.2</v>
      </c>
      <c r="AF9">
        <v>2</v>
      </c>
      <c r="AG9">
        <v>2.5</v>
      </c>
      <c r="AH9">
        <v>2.7</v>
      </c>
      <c r="AI9">
        <v>2.5</v>
      </c>
      <c r="AJ9">
        <v>1.7</v>
      </c>
      <c r="AK9">
        <v>1.6</v>
      </c>
      <c r="AL9">
        <v>0.9</v>
      </c>
      <c r="AM9">
        <v>0</v>
      </c>
      <c r="AN9">
        <v>0</v>
      </c>
    </row>
    <row r="10" spans="2:43" ht="12.75">
      <c r="B10" t="s">
        <v>508</v>
      </c>
      <c r="C10">
        <v>0.6</v>
      </c>
      <c r="D10">
        <v>0.1</v>
      </c>
      <c r="E10">
        <v>0.1</v>
      </c>
      <c r="F10">
        <v>0.1</v>
      </c>
      <c r="G10">
        <v>0.1</v>
      </c>
      <c r="H10">
        <v>0.2</v>
      </c>
      <c r="I10">
        <v>0.4</v>
      </c>
      <c r="J10">
        <v>0.1</v>
      </c>
      <c r="K10">
        <v>0.1</v>
      </c>
      <c r="N10">
        <v>0.5</v>
      </c>
      <c r="O10">
        <v>0.8</v>
      </c>
      <c r="P10">
        <v>0.7</v>
      </c>
      <c r="Q10">
        <v>0.7</v>
      </c>
      <c r="R10">
        <v>1.4</v>
      </c>
      <c r="S10">
        <v>0.8</v>
      </c>
      <c r="T10">
        <v>0.9</v>
      </c>
      <c r="U10">
        <v>0.3</v>
      </c>
      <c r="V10">
        <v>0.7</v>
      </c>
      <c r="W10">
        <v>1.1</v>
      </c>
      <c r="X10">
        <v>1.6</v>
      </c>
      <c r="Y10">
        <v>2.4</v>
      </c>
      <c r="Z10">
        <v>2</v>
      </c>
      <c r="AA10">
        <v>3.2</v>
      </c>
      <c r="AB10">
        <v>3.4</v>
      </c>
      <c r="AC10">
        <v>1.8</v>
      </c>
      <c r="AD10">
        <v>1.9</v>
      </c>
      <c r="AE10">
        <v>1.6</v>
      </c>
      <c r="AF10">
        <v>1</v>
      </c>
      <c r="AG10">
        <v>0.7</v>
      </c>
      <c r="AH10">
        <v>0.3</v>
      </c>
      <c r="AI10">
        <v>0.1</v>
      </c>
      <c r="AJ10">
        <v>0.1</v>
      </c>
      <c r="AK10">
        <v>0.1</v>
      </c>
      <c r="AL10">
        <v>0.1</v>
      </c>
      <c r="AM10">
        <v>0.1</v>
      </c>
      <c r="AN10">
        <v>0.6</v>
      </c>
      <c r="AO10">
        <v>1.8</v>
      </c>
      <c r="AP10">
        <v>1.8</v>
      </c>
      <c r="AQ10">
        <v>1.6</v>
      </c>
    </row>
    <row r="11" spans="2:44" ht="12.75">
      <c r="B11" t="s">
        <v>509</v>
      </c>
      <c r="C11">
        <v>2.8</v>
      </c>
      <c r="D11">
        <v>2.7</v>
      </c>
      <c r="E11">
        <v>2.4</v>
      </c>
      <c r="F11">
        <v>2.7</v>
      </c>
      <c r="G11">
        <v>1.5</v>
      </c>
      <c r="H11">
        <v>1.7</v>
      </c>
      <c r="I11">
        <v>1.5</v>
      </c>
      <c r="J11">
        <v>1.3</v>
      </c>
      <c r="K11">
        <v>1.4</v>
      </c>
      <c r="L11">
        <v>1.3</v>
      </c>
      <c r="M11">
        <v>1.5</v>
      </c>
      <c r="N11">
        <v>1.5</v>
      </c>
      <c r="O11">
        <v>2.8</v>
      </c>
      <c r="P11">
        <v>2.5</v>
      </c>
      <c r="Q11">
        <v>1.6</v>
      </c>
      <c r="R11">
        <v>2.3</v>
      </c>
      <c r="S11">
        <v>2</v>
      </c>
      <c r="T11">
        <v>2.1</v>
      </c>
      <c r="U11">
        <v>2</v>
      </c>
      <c r="V11">
        <v>2.3</v>
      </c>
      <c r="W11">
        <v>2</v>
      </c>
      <c r="X11">
        <v>2.5</v>
      </c>
      <c r="Y11">
        <v>2.7</v>
      </c>
      <c r="Z11">
        <v>2.6</v>
      </c>
      <c r="AA11">
        <v>3.6</v>
      </c>
      <c r="AB11">
        <v>3</v>
      </c>
      <c r="AC11">
        <v>2.1</v>
      </c>
      <c r="AD11">
        <v>3.6</v>
      </c>
      <c r="AE11">
        <v>3.5</v>
      </c>
      <c r="AF11">
        <v>3.8</v>
      </c>
      <c r="AG11">
        <v>3.4</v>
      </c>
      <c r="AH11">
        <v>3.1</v>
      </c>
      <c r="AI11">
        <v>2.7</v>
      </c>
      <c r="AJ11">
        <v>1.9</v>
      </c>
      <c r="AK11">
        <v>1.9</v>
      </c>
      <c r="AL11">
        <v>1.8</v>
      </c>
      <c r="AM11">
        <v>1.9</v>
      </c>
      <c r="AN11">
        <v>2.4</v>
      </c>
      <c r="AO11">
        <v>4.2</v>
      </c>
      <c r="AP11">
        <v>3.5</v>
      </c>
      <c r="AQ11">
        <v>2.8</v>
      </c>
      <c r="AR11">
        <v>0.9</v>
      </c>
    </row>
    <row r="12" spans="2:44" ht="12.75">
      <c r="B12" t="s">
        <v>510</v>
      </c>
      <c r="C12">
        <v>4</v>
      </c>
      <c r="D12">
        <v>3</v>
      </c>
      <c r="E12">
        <v>1.6</v>
      </c>
      <c r="F12">
        <v>1.7</v>
      </c>
      <c r="G12">
        <v>1</v>
      </c>
      <c r="H12">
        <v>0.9</v>
      </c>
      <c r="I12">
        <v>0.7</v>
      </c>
      <c r="J12">
        <v>1.3</v>
      </c>
      <c r="K12">
        <v>1.3</v>
      </c>
      <c r="L12">
        <v>0.7</v>
      </c>
      <c r="M12">
        <v>0.8</v>
      </c>
      <c r="N12">
        <v>0.7</v>
      </c>
      <c r="O12">
        <v>1.3</v>
      </c>
      <c r="P12">
        <v>1</v>
      </c>
      <c r="Q12">
        <v>0.8</v>
      </c>
      <c r="R12">
        <v>1.4</v>
      </c>
      <c r="S12">
        <v>1.4</v>
      </c>
      <c r="T12">
        <v>1.4</v>
      </c>
      <c r="U12">
        <v>1.7</v>
      </c>
      <c r="V12">
        <v>2.2</v>
      </c>
      <c r="W12">
        <v>1.9</v>
      </c>
      <c r="X12">
        <v>2.3</v>
      </c>
      <c r="Y12">
        <v>1.8</v>
      </c>
      <c r="Z12">
        <v>1.8</v>
      </c>
      <c r="AA12">
        <v>5.6</v>
      </c>
      <c r="AB12">
        <v>5</v>
      </c>
      <c r="AC12">
        <v>3.7</v>
      </c>
      <c r="AD12">
        <v>5.1</v>
      </c>
      <c r="AE12">
        <v>5</v>
      </c>
      <c r="AF12">
        <v>3.6</v>
      </c>
      <c r="AG12">
        <v>3.8</v>
      </c>
      <c r="AH12">
        <v>3.3</v>
      </c>
      <c r="AI12">
        <v>3.7</v>
      </c>
      <c r="AJ12">
        <v>4.5</v>
      </c>
      <c r="AK12">
        <v>4.5</v>
      </c>
      <c r="AL12">
        <v>4.4</v>
      </c>
      <c r="AM12">
        <v>5.3</v>
      </c>
      <c r="AN12">
        <v>4.3</v>
      </c>
      <c r="AO12">
        <v>6</v>
      </c>
      <c r="AP12">
        <v>3.3</v>
      </c>
      <c r="AQ12">
        <v>2.6</v>
      </c>
      <c r="AR12">
        <v>0.9</v>
      </c>
    </row>
    <row r="13" spans="2:44" ht="12.75">
      <c r="B13" t="s">
        <v>511</v>
      </c>
      <c r="C13">
        <v>9</v>
      </c>
      <c r="D13">
        <v>13.9</v>
      </c>
      <c r="E13">
        <v>12.3</v>
      </c>
      <c r="F13">
        <v>18.2</v>
      </c>
      <c r="G13">
        <v>16.9</v>
      </c>
      <c r="H13">
        <v>26.7</v>
      </c>
      <c r="I13">
        <v>23.9</v>
      </c>
      <c r="J13">
        <v>24.6</v>
      </c>
      <c r="K13">
        <v>24.5</v>
      </c>
      <c r="L13">
        <v>18.9</v>
      </c>
      <c r="M13">
        <v>22.5</v>
      </c>
      <c r="N13">
        <v>19</v>
      </c>
      <c r="O13">
        <v>30.9</v>
      </c>
      <c r="P13">
        <v>28.8</v>
      </c>
      <c r="Q13">
        <v>20.5</v>
      </c>
      <c r="R13">
        <v>34.3</v>
      </c>
      <c r="S13">
        <v>26.4</v>
      </c>
      <c r="T13">
        <v>25.3</v>
      </c>
      <c r="U13">
        <v>29.4</v>
      </c>
      <c r="V13">
        <v>29.6</v>
      </c>
      <c r="W13">
        <v>31.2</v>
      </c>
      <c r="X13">
        <v>34.4</v>
      </c>
      <c r="Y13">
        <v>35.5</v>
      </c>
      <c r="Z13">
        <v>17.9</v>
      </c>
      <c r="AA13">
        <v>25.9</v>
      </c>
      <c r="AB13">
        <v>22.2</v>
      </c>
      <c r="AC13">
        <v>16.4</v>
      </c>
      <c r="AD13">
        <v>17.1</v>
      </c>
      <c r="AE13">
        <v>14.1</v>
      </c>
      <c r="AF13">
        <v>12</v>
      </c>
      <c r="AG13">
        <v>12.6</v>
      </c>
      <c r="AH13">
        <v>9.1</v>
      </c>
      <c r="AI13">
        <v>6.9</v>
      </c>
      <c r="AJ13">
        <v>10.4</v>
      </c>
      <c r="AK13">
        <v>12.7</v>
      </c>
      <c r="AL13">
        <v>13.1</v>
      </c>
      <c r="AM13">
        <v>12.8</v>
      </c>
      <c r="AN13">
        <v>6.9</v>
      </c>
      <c r="AO13">
        <v>8.5</v>
      </c>
      <c r="AP13">
        <v>5.8</v>
      </c>
      <c r="AQ13">
        <v>4.3</v>
      </c>
      <c r="AR13">
        <v>1.1</v>
      </c>
    </row>
    <row r="14" spans="2:45" ht="12.75">
      <c r="B14" t="s">
        <v>512</v>
      </c>
      <c r="C14">
        <v>10.7</v>
      </c>
      <c r="D14">
        <v>8.5</v>
      </c>
      <c r="E14">
        <v>6.1</v>
      </c>
      <c r="F14">
        <v>6.8</v>
      </c>
      <c r="G14">
        <v>5.8</v>
      </c>
      <c r="H14">
        <v>4.7</v>
      </c>
      <c r="I14">
        <v>4.1</v>
      </c>
      <c r="J14">
        <v>3.1</v>
      </c>
      <c r="K14">
        <v>2.5</v>
      </c>
      <c r="L14">
        <v>2.2</v>
      </c>
      <c r="M14">
        <v>3</v>
      </c>
      <c r="N14">
        <v>2.4</v>
      </c>
      <c r="O14">
        <v>3.4</v>
      </c>
      <c r="P14">
        <v>3</v>
      </c>
      <c r="Q14">
        <v>2.3</v>
      </c>
      <c r="R14">
        <v>3.6</v>
      </c>
      <c r="S14">
        <v>3.5</v>
      </c>
      <c r="T14">
        <v>3.6</v>
      </c>
      <c r="U14">
        <v>2.4</v>
      </c>
      <c r="V14">
        <v>2.3</v>
      </c>
      <c r="W14">
        <v>2.2</v>
      </c>
      <c r="X14">
        <v>2.2</v>
      </c>
      <c r="Y14">
        <v>2.5</v>
      </c>
      <c r="Z14">
        <v>1.9</v>
      </c>
      <c r="AA14">
        <v>1.7</v>
      </c>
      <c r="AB14">
        <v>1</v>
      </c>
      <c r="AC14">
        <v>0.7</v>
      </c>
      <c r="AD14">
        <v>1</v>
      </c>
      <c r="AE14">
        <v>0.8</v>
      </c>
      <c r="AF14">
        <v>0.8</v>
      </c>
      <c r="AG14">
        <v>0.8</v>
      </c>
      <c r="AH14">
        <v>0.6</v>
      </c>
      <c r="AI14">
        <v>0.6</v>
      </c>
      <c r="AJ14">
        <v>0.7</v>
      </c>
      <c r="AK14">
        <v>0.6</v>
      </c>
      <c r="AL14">
        <v>0.5</v>
      </c>
      <c r="AM14">
        <v>0.7</v>
      </c>
      <c r="AN14">
        <v>0.7</v>
      </c>
      <c r="AO14">
        <v>0.8</v>
      </c>
      <c r="AP14">
        <v>0.7</v>
      </c>
      <c r="AQ14">
        <v>0.7</v>
      </c>
      <c r="AR14">
        <v>0.7</v>
      </c>
      <c r="AS14">
        <v>0</v>
      </c>
    </row>
    <row r="15" spans="46:50" ht="12.75">
      <c r="AT15" s="495"/>
      <c r="AU15" s="495"/>
      <c r="AV15" s="495"/>
      <c r="AW15" s="495"/>
      <c r="AX15" s="495"/>
    </row>
    <row r="16" spans="3:50" ht="12.75">
      <c r="C16" s="494">
        <v>38626</v>
      </c>
      <c r="D16" s="494">
        <v>38657</v>
      </c>
      <c r="E16" s="494">
        <v>38687</v>
      </c>
      <c r="F16" s="494">
        <v>38718</v>
      </c>
      <c r="G16" s="494">
        <v>38749</v>
      </c>
      <c r="H16" s="494">
        <v>38777</v>
      </c>
      <c r="I16" s="494">
        <v>38808</v>
      </c>
      <c r="J16" s="494">
        <v>38838</v>
      </c>
      <c r="K16" s="494">
        <v>38869</v>
      </c>
      <c r="L16" s="494">
        <v>38899</v>
      </c>
      <c r="M16" s="494">
        <v>38930</v>
      </c>
      <c r="N16" s="494">
        <v>38961</v>
      </c>
      <c r="O16" s="494">
        <v>38991</v>
      </c>
      <c r="P16" s="494">
        <v>39022</v>
      </c>
      <c r="Q16" s="494">
        <v>39052</v>
      </c>
      <c r="R16" s="494">
        <v>39083</v>
      </c>
      <c r="S16" s="494">
        <v>39114</v>
      </c>
      <c r="T16" s="494">
        <v>39142</v>
      </c>
      <c r="U16" s="494">
        <v>39173</v>
      </c>
      <c r="V16" s="494">
        <v>39203</v>
      </c>
      <c r="W16" s="494">
        <v>39234</v>
      </c>
      <c r="X16" s="494">
        <v>39264</v>
      </c>
      <c r="Y16" s="494">
        <v>39295</v>
      </c>
      <c r="Z16" s="494">
        <v>39326</v>
      </c>
      <c r="AA16" s="494">
        <v>39356</v>
      </c>
      <c r="AB16" s="494">
        <v>39387</v>
      </c>
      <c r="AC16" s="494">
        <v>39417</v>
      </c>
      <c r="AD16" s="494">
        <v>39448</v>
      </c>
      <c r="AE16" s="494">
        <v>39479</v>
      </c>
      <c r="AF16" s="494">
        <v>39508</v>
      </c>
      <c r="AG16" s="494">
        <v>39539</v>
      </c>
      <c r="AH16" s="494">
        <v>39569</v>
      </c>
      <c r="AI16" s="494">
        <v>39600</v>
      </c>
      <c r="AJ16" s="494">
        <v>39630</v>
      </c>
      <c r="AK16" s="494">
        <v>39661</v>
      </c>
      <c r="AL16" s="494">
        <v>39692</v>
      </c>
      <c r="AM16" s="494">
        <v>39722</v>
      </c>
      <c r="AN16" s="494">
        <v>39753</v>
      </c>
      <c r="AO16" s="494">
        <v>39783</v>
      </c>
      <c r="AP16" s="494">
        <v>39814</v>
      </c>
      <c r="AQ16" s="494">
        <v>39845</v>
      </c>
      <c r="AR16" s="494">
        <v>39873</v>
      </c>
      <c r="AS16" s="494">
        <v>39904</v>
      </c>
      <c r="AT16" s="496">
        <v>39934</v>
      </c>
      <c r="AU16" s="496">
        <v>39965</v>
      </c>
      <c r="AV16" s="496">
        <v>39995</v>
      </c>
      <c r="AW16" s="496">
        <v>40026</v>
      </c>
      <c r="AX16" s="496">
        <v>40057</v>
      </c>
    </row>
    <row r="17" spans="2:50" ht="12.75">
      <c r="B17" t="s">
        <v>513</v>
      </c>
      <c r="C17">
        <f>SUM(C3,C5,C8,C11)</f>
        <v>10.6</v>
      </c>
      <c r="D17">
        <f aca="true" t="shared" si="0" ref="D17:AX17">SUM(D3,D5,D8,D11)</f>
        <v>8.9</v>
      </c>
      <c r="E17">
        <f t="shared" si="0"/>
        <v>6.799999999999999</v>
      </c>
      <c r="F17">
        <f t="shared" si="0"/>
        <v>8.5</v>
      </c>
      <c r="G17">
        <f t="shared" si="0"/>
        <v>8.2</v>
      </c>
      <c r="H17">
        <f t="shared" si="0"/>
        <v>9.1</v>
      </c>
      <c r="I17">
        <f t="shared" si="0"/>
        <v>7.5</v>
      </c>
      <c r="J17">
        <f t="shared" si="0"/>
        <v>8.1</v>
      </c>
      <c r="K17">
        <f t="shared" si="0"/>
        <v>7.699999999999999</v>
      </c>
      <c r="L17">
        <f t="shared" si="0"/>
        <v>5.2</v>
      </c>
      <c r="M17">
        <f t="shared" si="0"/>
        <v>6.1000000000000005</v>
      </c>
      <c r="N17">
        <f t="shared" si="0"/>
        <v>5.7</v>
      </c>
      <c r="O17">
        <f t="shared" si="0"/>
        <v>9.8</v>
      </c>
      <c r="P17">
        <f t="shared" si="0"/>
        <v>9</v>
      </c>
      <c r="Q17">
        <f t="shared" si="0"/>
        <v>6.800000000000001</v>
      </c>
      <c r="R17">
        <f t="shared" si="0"/>
        <v>10.1</v>
      </c>
      <c r="S17">
        <f t="shared" si="0"/>
        <v>8.5</v>
      </c>
      <c r="T17">
        <f t="shared" si="0"/>
        <v>8.3</v>
      </c>
      <c r="U17">
        <f t="shared" si="0"/>
        <v>6.9</v>
      </c>
      <c r="V17">
        <f t="shared" si="0"/>
        <v>6.3</v>
      </c>
      <c r="W17">
        <f t="shared" si="0"/>
        <v>6.1</v>
      </c>
      <c r="X17">
        <f t="shared" si="0"/>
        <v>6.8</v>
      </c>
      <c r="Y17">
        <f t="shared" si="0"/>
        <v>7.4</v>
      </c>
      <c r="Z17">
        <f t="shared" si="0"/>
        <v>7.799999999999999</v>
      </c>
      <c r="AA17">
        <f t="shared" si="0"/>
        <v>11</v>
      </c>
      <c r="AB17">
        <f t="shared" si="0"/>
        <v>9.100000000000001</v>
      </c>
      <c r="AC17">
        <f t="shared" si="0"/>
        <v>6.699999999999999</v>
      </c>
      <c r="AD17">
        <f t="shared" si="0"/>
        <v>10</v>
      </c>
      <c r="AE17">
        <f t="shared" si="0"/>
        <v>9.5</v>
      </c>
      <c r="AF17">
        <f t="shared" si="0"/>
        <v>9.3</v>
      </c>
      <c r="AG17">
        <f t="shared" si="0"/>
        <v>9</v>
      </c>
      <c r="AH17">
        <f t="shared" si="0"/>
        <v>8.4</v>
      </c>
      <c r="AI17">
        <f t="shared" si="0"/>
        <v>8.2</v>
      </c>
      <c r="AJ17">
        <f t="shared" si="0"/>
        <v>7</v>
      </c>
      <c r="AK17">
        <f t="shared" si="0"/>
        <v>6.299999999999999</v>
      </c>
      <c r="AL17">
        <f t="shared" si="0"/>
        <v>5.8</v>
      </c>
      <c r="AM17">
        <f t="shared" si="0"/>
        <v>3.9</v>
      </c>
      <c r="AN17">
        <f t="shared" si="0"/>
        <v>3.7</v>
      </c>
      <c r="AO17">
        <f t="shared" si="0"/>
        <v>6.300000000000001</v>
      </c>
      <c r="AP17">
        <f t="shared" si="0"/>
        <v>5.5</v>
      </c>
      <c r="AQ17">
        <f t="shared" si="0"/>
        <v>4.6</v>
      </c>
      <c r="AR17">
        <f t="shared" si="0"/>
        <v>1.1</v>
      </c>
      <c r="AS17">
        <f t="shared" si="0"/>
        <v>0.2</v>
      </c>
      <c r="AT17">
        <f t="shared" si="0"/>
        <v>0.2</v>
      </c>
      <c r="AU17">
        <f t="shared" si="0"/>
        <v>0</v>
      </c>
      <c r="AV17">
        <f t="shared" si="0"/>
        <v>0</v>
      </c>
      <c r="AW17">
        <f t="shared" si="0"/>
        <v>0</v>
      </c>
      <c r="AX17">
        <f t="shared" si="0"/>
        <v>0</v>
      </c>
    </row>
    <row r="18" spans="2:50" ht="12.75">
      <c r="B18" t="s">
        <v>514</v>
      </c>
      <c r="C18">
        <f>SUM(C6,C9:C10,C12:C13)</f>
        <v>13.6</v>
      </c>
      <c r="D18">
        <f aca="true" t="shared" si="1" ref="D18:AX18">SUM(D6,D9:D10,D12:D13)</f>
        <v>17</v>
      </c>
      <c r="E18">
        <f t="shared" si="1"/>
        <v>14</v>
      </c>
      <c r="F18">
        <f t="shared" si="1"/>
        <v>20</v>
      </c>
      <c r="G18">
        <f t="shared" si="1"/>
        <v>18</v>
      </c>
      <c r="H18">
        <f t="shared" si="1"/>
        <v>27.9</v>
      </c>
      <c r="I18">
        <f t="shared" si="1"/>
        <v>25.099999999999998</v>
      </c>
      <c r="J18">
        <f t="shared" si="1"/>
        <v>26</v>
      </c>
      <c r="K18">
        <f t="shared" si="1"/>
        <v>25.9</v>
      </c>
      <c r="L18">
        <f t="shared" si="1"/>
        <v>19.599999999999998</v>
      </c>
      <c r="M18">
        <f t="shared" si="1"/>
        <v>23.3</v>
      </c>
      <c r="N18">
        <f t="shared" si="1"/>
        <v>20.3</v>
      </c>
      <c r="O18">
        <f t="shared" si="1"/>
        <v>33.5</v>
      </c>
      <c r="P18">
        <f t="shared" si="1"/>
        <v>31.1</v>
      </c>
      <c r="Q18">
        <f t="shared" si="1"/>
        <v>22.4</v>
      </c>
      <c r="R18">
        <f t="shared" si="1"/>
        <v>37.9</v>
      </c>
      <c r="S18">
        <f t="shared" si="1"/>
        <v>29.2</v>
      </c>
      <c r="T18">
        <f t="shared" si="1"/>
        <v>28.3</v>
      </c>
      <c r="U18">
        <f t="shared" si="1"/>
        <v>32.3</v>
      </c>
      <c r="V18">
        <f t="shared" si="1"/>
        <v>34.2</v>
      </c>
      <c r="W18">
        <f t="shared" si="1"/>
        <v>36.2</v>
      </c>
      <c r="X18">
        <f t="shared" si="1"/>
        <v>41</v>
      </c>
      <c r="Y18">
        <f t="shared" si="1"/>
        <v>42.5</v>
      </c>
      <c r="Z18">
        <f t="shared" si="1"/>
        <v>23.5</v>
      </c>
      <c r="AA18">
        <f t="shared" si="1"/>
        <v>37.099999999999994</v>
      </c>
      <c r="AB18">
        <f t="shared" si="1"/>
        <v>32.6</v>
      </c>
      <c r="AC18">
        <f t="shared" si="1"/>
        <v>23.4</v>
      </c>
      <c r="AD18">
        <f t="shared" si="1"/>
        <v>27</v>
      </c>
      <c r="AE18">
        <f t="shared" si="1"/>
        <v>23.5</v>
      </c>
      <c r="AF18">
        <f t="shared" si="1"/>
        <v>19.8</v>
      </c>
      <c r="AG18">
        <f t="shared" si="1"/>
        <v>21.5</v>
      </c>
      <c r="AH18">
        <f t="shared" si="1"/>
        <v>17.2</v>
      </c>
      <c r="AI18">
        <f t="shared" si="1"/>
        <v>15</v>
      </c>
      <c r="AJ18">
        <f t="shared" si="1"/>
        <v>18</v>
      </c>
      <c r="AK18">
        <f t="shared" si="1"/>
        <v>20.1</v>
      </c>
      <c r="AL18">
        <f t="shared" si="1"/>
        <v>19.5</v>
      </c>
      <c r="AM18">
        <f t="shared" si="1"/>
        <v>18.7</v>
      </c>
      <c r="AN18">
        <f t="shared" si="1"/>
        <v>12.1</v>
      </c>
      <c r="AO18">
        <f t="shared" si="1"/>
        <v>16.3</v>
      </c>
      <c r="AP18">
        <f t="shared" si="1"/>
        <v>10.899999999999999</v>
      </c>
      <c r="AQ18">
        <f t="shared" si="1"/>
        <v>8.5</v>
      </c>
      <c r="AR18">
        <f t="shared" si="1"/>
        <v>2</v>
      </c>
      <c r="AS18">
        <f t="shared" si="1"/>
        <v>0</v>
      </c>
      <c r="AT18">
        <f t="shared" si="1"/>
        <v>0</v>
      </c>
      <c r="AU18">
        <f t="shared" si="1"/>
        <v>0</v>
      </c>
      <c r="AV18">
        <f t="shared" si="1"/>
        <v>0</v>
      </c>
      <c r="AW18">
        <f t="shared" si="1"/>
        <v>0</v>
      </c>
      <c r="AX18">
        <f t="shared" si="1"/>
        <v>0</v>
      </c>
    </row>
    <row r="19" spans="2:50" ht="12.75">
      <c r="B19" t="s">
        <v>515</v>
      </c>
      <c r="C19">
        <f>SUM(C14)</f>
        <v>10.7</v>
      </c>
      <c r="D19">
        <f aca="true" t="shared" si="2" ref="D19:AX19">SUM(D14)</f>
        <v>8.5</v>
      </c>
      <c r="E19">
        <f t="shared" si="2"/>
        <v>6.1</v>
      </c>
      <c r="F19">
        <f t="shared" si="2"/>
        <v>6.8</v>
      </c>
      <c r="G19">
        <f t="shared" si="2"/>
        <v>5.8</v>
      </c>
      <c r="H19">
        <f t="shared" si="2"/>
        <v>4.7</v>
      </c>
      <c r="I19">
        <f t="shared" si="2"/>
        <v>4.1</v>
      </c>
      <c r="J19">
        <f t="shared" si="2"/>
        <v>3.1</v>
      </c>
      <c r="K19">
        <f t="shared" si="2"/>
        <v>2.5</v>
      </c>
      <c r="L19">
        <f t="shared" si="2"/>
        <v>2.2</v>
      </c>
      <c r="M19">
        <f t="shared" si="2"/>
        <v>3</v>
      </c>
      <c r="N19">
        <f t="shared" si="2"/>
        <v>2.4</v>
      </c>
      <c r="O19">
        <f t="shared" si="2"/>
        <v>3.4</v>
      </c>
      <c r="P19">
        <f t="shared" si="2"/>
        <v>3</v>
      </c>
      <c r="Q19">
        <f t="shared" si="2"/>
        <v>2.3</v>
      </c>
      <c r="R19">
        <f t="shared" si="2"/>
        <v>3.6</v>
      </c>
      <c r="S19">
        <f t="shared" si="2"/>
        <v>3.5</v>
      </c>
      <c r="T19">
        <f t="shared" si="2"/>
        <v>3.6</v>
      </c>
      <c r="U19">
        <f t="shared" si="2"/>
        <v>2.4</v>
      </c>
      <c r="V19">
        <f t="shared" si="2"/>
        <v>2.3</v>
      </c>
      <c r="W19">
        <f t="shared" si="2"/>
        <v>2.2</v>
      </c>
      <c r="X19">
        <f t="shared" si="2"/>
        <v>2.2</v>
      </c>
      <c r="Y19">
        <f t="shared" si="2"/>
        <v>2.5</v>
      </c>
      <c r="Z19">
        <f t="shared" si="2"/>
        <v>1.9</v>
      </c>
      <c r="AA19">
        <f t="shared" si="2"/>
        <v>1.7</v>
      </c>
      <c r="AB19">
        <f t="shared" si="2"/>
        <v>1</v>
      </c>
      <c r="AC19">
        <f t="shared" si="2"/>
        <v>0.7</v>
      </c>
      <c r="AD19">
        <f t="shared" si="2"/>
        <v>1</v>
      </c>
      <c r="AE19">
        <f t="shared" si="2"/>
        <v>0.8</v>
      </c>
      <c r="AF19">
        <f t="shared" si="2"/>
        <v>0.8</v>
      </c>
      <c r="AG19">
        <f t="shared" si="2"/>
        <v>0.8</v>
      </c>
      <c r="AH19">
        <f t="shared" si="2"/>
        <v>0.6</v>
      </c>
      <c r="AI19">
        <f t="shared" si="2"/>
        <v>0.6</v>
      </c>
      <c r="AJ19">
        <f t="shared" si="2"/>
        <v>0.7</v>
      </c>
      <c r="AK19">
        <f t="shared" si="2"/>
        <v>0.6</v>
      </c>
      <c r="AL19">
        <f t="shared" si="2"/>
        <v>0.5</v>
      </c>
      <c r="AM19">
        <f t="shared" si="2"/>
        <v>0.7</v>
      </c>
      <c r="AN19">
        <f t="shared" si="2"/>
        <v>0.7</v>
      </c>
      <c r="AO19">
        <f t="shared" si="2"/>
        <v>0.8</v>
      </c>
      <c r="AP19">
        <f t="shared" si="2"/>
        <v>0.7</v>
      </c>
      <c r="AQ19">
        <f t="shared" si="2"/>
        <v>0.7</v>
      </c>
      <c r="AR19">
        <f t="shared" si="2"/>
        <v>0.7</v>
      </c>
      <c r="AS19">
        <f t="shared" si="2"/>
        <v>0</v>
      </c>
      <c r="AT19">
        <f t="shared" si="2"/>
        <v>0</v>
      </c>
      <c r="AU19">
        <f t="shared" si="2"/>
        <v>0</v>
      </c>
      <c r="AV19">
        <f t="shared" si="2"/>
        <v>0</v>
      </c>
      <c r="AW19">
        <f t="shared" si="2"/>
        <v>0</v>
      </c>
      <c r="AX19">
        <f t="shared" si="2"/>
        <v>0</v>
      </c>
    </row>
    <row r="20" spans="46:50" ht="12.75">
      <c r="AT20" s="495"/>
      <c r="AU20" s="495"/>
      <c r="AV20" s="495"/>
      <c r="AW20" s="495"/>
      <c r="AX20" s="495"/>
    </row>
    <row r="21" spans="46:50" ht="12.75">
      <c r="AT21" s="495"/>
      <c r="AU21" s="495"/>
      <c r="AV21" s="495"/>
      <c r="AW21" s="495"/>
      <c r="AX21" s="495"/>
    </row>
    <row r="22" spans="46:50" ht="12.75">
      <c r="AT22" s="495"/>
      <c r="AU22" s="495"/>
      <c r="AV22" s="495"/>
      <c r="AW22" s="495"/>
      <c r="AX22" s="495"/>
    </row>
    <row r="23" spans="3:50" ht="12.75">
      <c r="C23" t="s">
        <v>516</v>
      </c>
      <c r="D23" t="s">
        <v>517</v>
      </c>
      <c r="E23" t="s">
        <v>518</v>
      </c>
      <c r="F23" t="s">
        <v>519</v>
      </c>
      <c r="G23" t="s">
        <v>520</v>
      </c>
      <c r="H23" t="s">
        <v>521</v>
      </c>
      <c r="I23" t="s">
        <v>522</v>
      </c>
      <c r="J23" t="s">
        <v>523</v>
      </c>
      <c r="K23" t="s">
        <v>524</v>
      </c>
      <c r="L23" t="s">
        <v>525</v>
      </c>
      <c r="M23" t="s">
        <v>526</v>
      </c>
      <c r="N23" t="s">
        <v>527</v>
      </c>
      <c r="O23" t="s">
        <v>516</v>
      </c>
      <c r="P23" t="s">
        <v>517</v>
      </c>
      <c r="Q23" t="s">
        <v>518</v>
      </c>
      <c r="R23" t="s">
        <v>519</v>
      </c>
      <c r="S23" t="s">
        <v>520</v>
      </c>
      <c r="T23" t="s">
        <v>521</v>
      </c>
      <c r="U23" t="s">
        <v>522</v>
      </c>
      <c r="V23" t="s">
        <v>523</v>
      </c>
      <c r="W23" t="s">
        <v>524</v>
      </c>
      <c r="X23" t="s">
        <v>525</v>
      </c>
      <c r="Y23" t="s">
        <v>526</v>
      </c>
      <c r="Z23" t="s">
        <v>527</v>
      </c>
      <c r="AA23" t="s">
        <v>516</v>
      </c>
      <c r="AB23" t="s">
        <v>517</v>
      </c>
      <c r="AC23" t="s">
        <v>518</v>
      </c>
      <c r="AD23" t="s">
        <v>519</v>
      </c>
      <c r="AE23" t="s">
        <v>520</v>
      </c>
      <c r="AF23" t="s">
        <v>521</v>
      </c>
      <c r="AG23" t="s">
        <v>522</v>
      </c>
      <c r="AH23" t="s">
        <v>523</v>
      </c>
      <c r="AI23" t="s">
        <v>524</v>
      </c>
      <c r="AJ23" t="s">
        <v>525</v>
      </c>
      <c r="AK23" t="s">
        <v>526</v>
      </c>
      <c r="AL23" t="s">
        <v>527</v>
      </c>
      <c r="AM23" t="s">
        <v>516</v>
      </c>
      <c r="AN23" t="s">
        <v>517</v>
      </c>
      <c r="AO23" t="s">
        <v>518</v>
      </c>
      <c r="AP23" t="s">
        <v>519</v>
      </c>
      <c r="AQ23" t="s">
        <v>520</v>
      </c>
      <c r="AR23" t="s">
        <v>521</v>
      </c>
      <c r="AS23" t="s">
        <v>522</v>
      </c>
      <c r="AT23" s="495" t="s">
        <v>523</v>
      </c>
      <c r="AU23" s="495" t="s">
        <v>524</v>
      </c>
      <c r="AV23" s="495" t="s">
        <v>525</v>
      </c>
      <c r="AW23" s="495"/>
      <c r="AX23" s="495"/>
    </row>
    <row r="24" spans="2:50" ht="12.75">
      <c r="B24" t="s">
        <v>528</v>
      </c>
      <c r="C24">
        <v>16</v>
      </c>
      <c r="D24">
        <v>19.1</v>
      </c>
      <c r="E24">
        <v>14.3</v>
      </c>
      <c r="F24">
        <v>19.1</v>
      </c>
      <c r="G24">
        <v>19.5</v>
      </c>
      <c r="H24">
        <v>15.3</v>
      </c>
      <c r="I24">
        <v>20.3</v>
      </c>
      <c r="J24">
        <v>21.3</v>
      </c>
      <c r="K24">
        <v>22.5</v>
      </c>
      <c r="L24">
        <v>22.7</v>
      </c>
      <c r="M24">
        <v>20.6</v>
      </c>
      <c r="N24">
        <v>15.8</v>
      </c>
      <c r="O24">
        <v>23.5</v>
      </c>
      <c r="P24">
        <v>25.7</v>
      </c>
      <c r="Q24">
        <v>16.8</v>
      </c>
      <c r="R24">
        <v>30.2</v>
      </c>
      <c r="S24">
        <v>24.7</v>
      </c>
      <c r="T24">
        <v>25.8</v>
      </c>
      <c r="U24">
        <v>26.9</v>
      </c>
      <c r="V24">
        <v>29.3</v>
      </c>
      <c r="W24">
        <v>23.4</v>
      </c>
      <c r="X24">
        <v>16.8</v>
      </c>
      <c r="Y24">
        <v>25.7</v>
      </c>
      <c r="Z24">
        <v>16.2</v>
      </c>
      <c r="AA24">
        <v>34.9</v>
      </c>
      <c r="AB24">
        <v>31.8</v>
      </c>
      <c r="AC24">
        <v>22.3</v>
      </c>
      <c r="AD24">
        <v>28.5</v>
      </c>
      <c r="AE24">
        <v>25.5</v>
      </c>
      <c r="AF24">
        <v>22.8</v>
      </c>
      <c r="AG24">
        <v>22.1</v>
      </c>
      <c r="AH24">
        <v>20.1</v>
      </c>
      <c r="AI24">
        <v>14.2</v>
      </c>
      <c r="AJ24">
        <v>16.4</v>
      </c>
      <c r="AK24">
        <v>18.3</v>
      </c>
      <c r="AL24">
        <v>21.3</v>
      </c>
      <c r="AM24">
        <v>17.9</v>
      </c>
      <c r="AN24">
        <v>11.8</v>
      </c>
      <c r="AO24">
        <v>16.6</v>
      </c>
      <c r="AP24">
        <v>11.5</v>
      </c>
      <c r="AQ24">
        <v>8.5</v>
      </c>
      <c r="AR24">
        <v>3.1</v>
      </c>
      <c r="AS24">
        <v>0</v>
      </c>
      <c r="AT24" s="495">
        <v>0</v>
      </c>
      <c r="AU24" s="495">
        <v>0</v>
      </c>
      <c r="AV24" s="495">
        <v>0</v>
      </c>
      <c r="AW24" s="495"/>
      <c r="AX24" s="495"/>
    </row>
    <row r="25" spans="46:50" ht="12.75">
      <c r="AT25" s="495"/>
      <c r="AU25" s="495"/>
      <c r="AV25" s="495"/>
      <c r="AW25" s="495"/>
      <c r="AX25" s="495"/>
    </row>
    <row r="26" spans="46:50" ht="12.75">
      <c r="AT26" s="495"/>
      <c r="AU26" s="495"/>
      <c r="AV26" s="495"/>
      <c r="AW26" s="495"/>
      <c r="AX26" s="495"/>
    </row>
    <row r="27" spans="46:50" ht="12.75">
      <c r="AT27" s="495"/>
      <c r="AU27" s="495"/>
      <c r="AV27" s="495"/>
      <c r="AW27" s="495"/>
      <c r="AX27" s="495"/>
    </row>
    <row r="28" spans="46:50" ht="12.75">
      <c r="AT28" s="495"/>
      <c r="AU28" s="495"/>
      <c r="AV28" s="495"/>
      <c r="AW28" s="495"/>
      <c r="AX28" s="495"/>
    </row>
    <row r="29" spans="46:50" ht="12.75">
      <c r="AT29" s="495"/>
      <c r="AU29" s="495"/>
      <c r="AV29" s="495"/>
      <c r="AW29" s="495"/>
      <c r="AX29" s="495"/>
    </row>
    <row r="30" spans="46:50" ht="12.75">
      <c r="AT30" s="495"/>
      <c r="AU30" s="495"/>
      <c r="AV30" s="495"/>
      <c r="AW30" s="495"/>
      <c r="AX30" s="49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5" zoomScaleNormal="75" workbookViewId="0" topLeftCell="A1">
      <selection activeCell="C40" sqref="C40"/>
    </sheetView>
  </sheetViews>
  <sheetFormatPr defaultColWidth="10.28125" defaultRowHeight="17.25" customHeight="1"/>
  <cols>
    <col min="1" max="1" width="15.00390625" style="442" bestFit="1" customWidth="1"/>
    <col min="2" max="2" width="12.421875" style="448" customWidth="1"/>
    <col min="3" max="3" width="85.7109375" style="442" customWidth="1"/>
    <col min="4" max="5" width="2.140625" style="442" hidden="1" customWidth="1"/>
    <col min="6" max="6" width="19.00390625" style="466" customWidth="1"/>
    <col min="7" max="7" width="21.7109375" style="466" hidden="1" customWidth="1"/>
    <col min="8" max="8" width="22.7109375" style="459" bestFit="1" customWidth="1"/>
    <col min="9" max="9" width="21.00390625" style="467" customWidth="1"/>
    <col min="10" max="10" width="23.140625" style="442" customWidth="1"/>
    <col min="11" max="11" width="29.7109375" style="442" customWidth="1"/>
    <col min="12" max="12" width="7.8515625" style="442" bestFit="1" customWidth="1"/>
    <col min="13" max="13" width="15.7109375" style="442" bestFit="1" customWidth="1"/>
    <col min="14" max="14" width="13.57421875" style="442" bestFit="1" customWidth="1"/>
    <col min="15" max="16384" width="13.140625" style="442" customWidth="1"/>
  </cols>
  <sheetData>
    <row r="1" spans="2:9" ht="30.75" customHeight="1">
      <c r="B1" s="443" t="s">
        <v>375</v>
      </c>
      <c r="C1" s="444"/>
      <c r="D1" s="444"/>
      <c r="E1" s="444"/>
      <c r="F1" s="444"/>
      <c r="G1" s="444"/>
      <c r="H1" s="445"/>
      <c r="I1" s="446"/>
    </row>
    <row r="2" spans="1:14" ht="9.75" customHeight="1">
      <c r="A2" s="447"/>
      <c r="C2" s="447"/>
      <c r="D2" s="449" t="s">
        <v>376</v>
      </c>
      <c r="E2" s="449" t="s">
        <v>376</v>
      </c>
      <c r="F2" s="449"/>
      <c r="G2" s="449"/>
      <c r="H2" s="450"/>
      <c r="I2" s="451"/>
      <c r="J2" s="449"/>
      <c r="K2" s="447"/>
      <c r="L2" s="447"/>
      <c r="M2" s="447"/>
      <c r="N2" s="447"/>
    </row>
    <row r="3" spans="1:14" s="448" customFormat="1" ht="17.25" customHeight="1">
      <c r="A3" s="452"/>
      <c r="B3" s="452"/>
      <c r="C3" s="452"/>
      <c r="D3" s="453" t="s">
        <v>377</v>
      </c>
      <c r="E3" s="453"/>
      <c r="F3" s="453" t="s">
        <v>377</v>
      </c>
      <c r="G3" s="453" t="s">
        <v>378</v>
      </c>
      <c r="H3" s="454" t="s">
        <v>379</v>
      </c>
      <c r="I3" s="455" t="s">
        <v>380</v>
      </c>
      <c r="J3" s="453" t="s">
        <v>381</v>
      </c>
      <c r="K3" s="456" t="s">
        <v>382</v>
      </c>
      <c r="L3" s="452"/>
      <c r="M3" s="452"/>
      <c r="N3" s="452"/>
    </row>
    <row r="4" spans="1:14" ht="17.25" customHeight="1">
      <c r="A4" s="447"/>
      <c r="F4" s="442"/>
      <c r="G4" s="442"/>
      <c r="H4" s="457"/>
      <c r="I4" s="458"/>
      <c r="J4" s="447"/>
      <c r="K4" s="447"/>
      <c r="L4" s="447"/>
      <c r="M4" s="447"/>
      <c r="N4" s="447"/>
    </row>
    <row r="5" spans="1:14" ht="17.25" customHeight="1">
      <c r="A5" s="447"/>
      <c r="B5" s="452" t="s">
        <v>383</v>
      </c>
      <c r="C5" s="447" t="s">
        <v>118</v>
      </c>
      <c r="D5" s="459">
        <v>37742</v>
      </c>
      <c r="E5" s="460">
        <f aca="true" t="shared" si="0" ref="E5:E13">(+F5-D5)/30</f>
        <v>0</v>
      </c>
      <c r="F5" s="459">
        <v>37742</v>
      </c>
      <c r="G5" s="459"/>
      <c r="H5" s="457"/>
      <c r="I5" s="461">
        <v>37742</v>
      </c>
      <c r="J5" s="459"/>
      <c r="K5" s="447"/>
      <c r="L5" s="447"/>
      <c r="M5" s="447"/>
      <c r="N5" s="447"/>
    </row>
    <row r="6" spans="1:14" ht="17.25" customHeight="1">
      <c r="A6" s="447" t="s">
        <v>384</v>
      </c>
      <c r="B6" s="452"/>
      <c r="C6" s="447" t="s">
        <v>385</v>
      </c>
      <c r="D6" s="459">
        <v>38018</v>
      </c>
      <c r="E6" s="460">
        <f t="shared" si="0"/>
        <v>0</v>
      </c>
      <c r="F6" s="459">
        <v>38018</v>
      </c>
      <c r="G6" s="459"/>
      <c r="H6" s="457"/>
      <c r="I6" s="461">
        <v>38018</v>
      </c>
      <c r="J6" s="459"/>
      <c r="K6" s="462"/>
      <c r="L6" s="447"/>
      <c r="N6" s="447"/>
    </row>
    <row r="7" spans="1:14" ht="17.25" customHeight="1">
      <c r="A7" s="447" t="s">
        <v>386</v>
      </c>
      <c r="B7" s="452"/>
      <c r="C7" s="447" t="s">
        <v>387</v>
      </c>
      <c r="D7" s="463">
        <f>DATE(104,9,30)</f>
        <v>38260</v>
      </c>
      <c r="E7" s="460">
        <f t="shared" si="0"/>
        <v>0</v>
      </c>
      <c r="F7" s="463">
        <v>38260</v>
      </c>
      <c r="G7" s="463"/>
      <c r="H7" s="457"/>
      <c r="I7" s="450">
        <f>DATE(104,10,30)</f>
        <v>38290</v>
      </c>
      <c r="J7" s="463"/>
      <c r="K7" s="462"/>
      <c r="L7" s="447"/>
      <c r="N7" s="447"/>
    </row>
    <row r="8" spans="1:14" ht="17.25" customHeight="1">
      <c r="A8" s="447" t="s">
        <v>428</v>
      </c>
      <c r="B8" s="452"/>
      <c r="C8" s="447" t="s">
        <v>429</v>
      </c>
      <c r="D8" s="463">
        <f>DATE(108,5,30)</f>
        <v>39598</v>
      </c>
      <c r="E8" s="460">
        <f>(+F8-D8)/30</f>
        <v>14.233333333333333</v>
      </c>
      <c r="F8" s="463">
        <v>40025</v>
      </c>
      <c r="G8" s="463">
        <f>(+F8-H8)/30</f>
        <v>5.133333333333334</v>
      </c>
      <c r="H8" s="482">
        <f>SUM(J8)</f>
        <v>39871</v>
      </c>
      <c r="I8" s="461"/>
      <c r="J8" s="488">
        <v>39871</v>
      </c>
      <c r="K8" s="473">
        <f>(+F8-J8)/30</f>
        <v>5.133333333333334</v>
      </c>
      <c r="L8" s="469"/>
      <c r="N8" s="447"/>
    </row>
    <row r="9" spans="1:14" ht="16.5" customHeight="1">
      <c r="A9" s="447"/>
      <c r="C9" s="447"/>
      <c r="D9" s="463"/>
      <c r="E9" s="460">
        <f t="shared" si="0"/>
        <v>0</v>
      </c>
      <c r="F9" s="463"/>
      <c r="G9" s="463"/>
      <c r="H9" s="450"/>
      <c r="I9" s="461"/>
      <c r="J9" s="463"/>
      <c r="K9" s="462"/>
      <c r="L9" s="447"/>
      <c r="N9" s="447"/>
    </row>
    <row r="10" spans="1:14" ht="17.25" customHeight="1">
      <c r="A10" s="447" t="s">
        <v>388</v>
      </c>
      <c r="B10" s="452" t="s">
        <v>389</v>
      </c>
      <c r="C10" s="447" t="s">
        <v>390</v>
      </c>
      <c r="D10" s="463">
        <f>DATE(103,10,7)</f>
        <v>37901</v>
      </c>
      <c r="E10" s="460">
        <f t="shared" si="0"/>
        <v>0</v>
      </c>
      <c r="F10" s="463">
        <v>37901</v>
      </c>
      <c r="G10" s="463"/>
      <c r="H10" s="450"/>
      <c r="I10" s="450">
        <f>DATE(103,10,7)</f>
        <v>37901</v>
      </c>
      <c r="J10" s="463"/>
      <c r="K10" s="462"/>
      <c r="L10" s="447"/>
      <c r="N10" s="447"/>
    </row>
    <row r="11" spans="1:14" ht="17.25" customHeight="1">
      <c r="A11" s="447" t="s">
        <v>391</v>
      </c>
      <c r="B11" s="452"/>
      <c r="C11" s="447" t="s">
        <v>392</v>
      </c>
      <c r="D11" s="463">
        <f>DATE(103,11,18)</f>
        <v>37943</v>
      </c>
      <c r="E11" s="460">
        <f t="shared" si="0"/>
        <v>0</v>
      </c>
      <c r="F11" s="463">
        <v>37943</v>
      </c>
      <c r="G11" s="463"/>
      <c r="H11" s="450"/>
      <c r="I11" s="450">
        <f>DATE(103,11,18)</f>
        <v>37943</v>
      </c>
      <c r="J11" s="464"/>
      <c r="K11" s="462"/>
      <c r="L11" s="447"/>
      <c r="N11" s="447"/>
    </row>
    <row r="12" spans="1:14" ht="17.25" customHeight="1">
      <c r="A12" s="447" t="s">
        <v>393</v>
      </c>
      <c r="B12" s="452"/>
      <c r="C12" s="447" t="s">
        <v>394</v>
      </c>
      <c r="D12" s="463">
        <f>DATE(104,7,19)</f>
        <v>38187</v>
      </c>
      <c r="E12" s="460">
        <f t="shared" si="0"/>
        <v>0</v>
      </c>
      <c r="F12" s="490">
        <v>38187</v>
      </c>
      <c r="G12" s="490"/>
      <c r="H12" s="480"/>
      <c r="I12" s="480">
        <f>DATE(104,5,19)</f>
        <v>38126</v>
      </c>
      <c r="J12" s="464"/>
      <c r="K12" s="462"/>
      <c r="L12" s="447"/>
      <c r="N12" s="447"/>
    </row>
    <row r="13" spans="1:14" ht="17.25" customHeight="1">
      <c r="A13" s="447" t="s">
        <v>395</v>
      </c>
      <c r="B13" s="452"/>
      <c r="C13" s="447" t="s">
        <v>396</v>
      </c>
      <c r="D13" s="463">
        <f>DATE(104,7,19)</f>
        <v>38187</v>
      </c>
      <c r="E13" s="460">
        <f t="shared" si="0"/>
        <v>0</v>
      </c>
      <c r="F13" s="490">
        <v>38187</v>
      </c>
      <c r="G13" s="490"/>
      <c r="H13" s="480"/>
      <c r="I13" s="480">
        <f>DATE(104,5,19)</f>
        <v>38126</v>
      </c>
      <c r="J13" s="464"/>
      <c r="K13" s="462"/>
      <c r="L13" s="447"/>
      <c r="N13" s="447"/>
    </row>
    <row r="14" spans="1:14" ht="17.25" customHeight="1">
      <c r="A14" s="447" t="s">
        <v>397</v>
      </c>
      <c r="B14" s="452"/>
      <c r="C14" s="447" t="s">
        <v>398</v>
      </c>
      <c r="D14" s="463"/>
      <c r="E14" s="460"/>
      <c r="F14" s="490">
        <v>38340</v>
      </c>
      <c r="G14" s="490"/>
      <c r="H14" s="480"/>
      <c r="I14" s="480">
        <f>DATE(104,10,15)</f>
        <v>38275</v>
      </c>
      <c r="J14" s="464"/>
      <c r="K14" s="462"/>
      <c r="L14" s="447"/>
      <c r="N14" s="447"/>
    </row>
    <row r="15" spans="1:14" ht="17.25" customHeight="1">
      <c r="A15" s="447" t="s">
        <v>399</v>
      </c>
      <c r="B15" s="452"/>
      <c r="C15" s="447" t="s">
        <v>400</v>
      </c>
      <c r="D15" s="463">
        <v>38322</v>
      </c>
      <c r="E15" s="460">
        <v>-2</v>
      </c>
      <c r="F15" s="490">
        <v>38275</v>
      </c>
      <c r="G15" s="491"/>
      <c r="H15" s="492"/>
      <c r="I15" s="480">
        <v>38245</v>
      </c>
      <c r="J15" s="464"/>
      <c r="K15" s="462"/>
      <c r="L15" s="447"/>
      <c r="N15" s="447"/>
    </row>
    <row r="16" spans="1:14" ht="17.25" customHeight="1">
      <c r="A16" s="447" t="s">
        <v>401</v>
      </c>
      <c r="B16" s="452"/>
      <c r="C16" s="447" t="s">
        <v>402</v>
      </c>
      <c r="D16" s="463">
        <v>38292</v>
      </c>
      <c r="E16" s="460">
        <v>-1</v>
      </c>
      <c r="F16" s="490">
        <v>38261</v>
      </c>
      <c r="G16" s="491"/>
      <c r="H16" s="480"/>
      <c r="I16" s="480">
        <v>38245</v>
      </c>
      <c r="J16" s="464"/>
      <c r="K16" s="462"/>
      <c r="L16" s="447"/>
      <c r="N16" s="447"/>
    </row>
    <row r="17" spans="1:14" ht="17.25" customHeight="1">
      <c r="A17" s="447" t="s">
        <v>403</v>
      </c>
      <c r="B17" s="452"/>
      <c r="C17" s="447" t="s">
        <v>404</v>
      </c>
      <c r="D17" s="463">
        <v>38412</v>
      </c>
      <c r="E17" s="460">
        <v>4</v>
      </c>
      <c r="F17" s="470">
        <v>38548</v>
      </c>
      <c r="G17" s="471">
        <f aca="true" t="shared" si="1" ref="G17:G29">(+F17-H17)/30</f>
        <v>1284.9333333333334</v>
      </c>
      <c r="H17" s="472"/>
      <c r="I17" s="472">
        <v>38625</v>
      </c>
      <c r="J17" s="464"/>
      <c r="K17" s="473"/>
      <c r="L17" s="469"/>
      <c r="N17" s="447"/>
    </row>
    <row r="18" spans="1:14" ht="17.25" customHeight="1">
      <c r="A18" s="447" t="s">
        <v>405</v>
      </c>
      <c r="B18" s="452"/>
      <c r="C18" s="474" t="s">
        <v>406</v>
      </c>
      <c r="D18" s="475">
        <v>38443</v>
      </c>
      <c r="E18" s="476">
        <v>3</v>
      </c>
      <c r="F18" s="477">
        <v>38625</v>
      </c>
      <c r="G18" s="478">
        <f t="shared" si="1"/>
        <v>1287.5</v>
      </c>
      <c r="H18" s="479"/>
      <c r="I18" s="480">
        <v>38533</v>
      </c>
      <c r="J18" s="481"/>
      <c r="K18" s="473"/>
      <c r="L18" s="469"/>
      <c r="N18" s="447"/>
    </row>
    <row r="19" spans="1:14" ht="17.25" customHeight="1">
      <c r="A19" s="447" t="s">
        <v>407</v>
      </c>
      <c r="B19" s="452"/>
      <c r="C19" s="447" t="s">
        <v>408</v>
      </c>
      <c r="D19" s="463">
        <v>38595</v>
      </c>
      <c r="E19" s="460">
        <v>6</v>
      </c>
      <c r="F19" s="463">
        <v>38805</v>
      </c>
      <c r="G19" s="463">
        <v>38822</v>
      </c>
      <c r="H19" s="482">
        <v>38776</v>
      </c>
      <c r="I19" s="461"/>
      <c r="J19" s="488">
        <v>38805</v>
      </c>
      <c r="K19" s="473">
        <f>(+F19-J19)/30</f>
        <v>0</v>
      </c>
      <c r="L19" s="469"/>
      <c r="N19" s="447"/>
    </row>
    <row r="20" spans="1:14" ht="17.25" customHeight="1">
      <c r="A20" s="447" t="s">
        <v>409</v>
      </c>
      <c r="B20" s="452"/>
      <c r="C20" s="447" t="s">
        <v>410</v>
      </c>
      <c r="D20" s="463">
        <v>38749</v>
      </c>
      <c r="E20" s="460">
        <v>0</v>
      </c>
      <c r="F20" s="463">
        <v>38852</v>
      </c>
      <c r="G20" s="465">
        <f t="shared" si="1"/>
        <v>1.8333333333333333</v>
      </c>
      <c r="H20" s="482">
        <f>SUM(J20)</f>
        <v>38797</v>
      </c>
      <c r="I20" s="461"/>
      <c r="J20" s="488">
        <v>38797</v>
      </c>
      <c r="K20" s="473">
        <f aca="true" t="shared" si="2" ref="K20:K30">(+F20-J20)/30</f>
        <v>1.8333333333333333</v>
      </c>
      <c r="L20" s="469"/>
      <c r="N20" s="447"/>
    </row>
    <row r="21" spans="1:14" ht="17.25" customHeight="1">
      <c r="A21" s="447" t="s">
        <v>411</v>
      </c>
      <c r="B21" s="452"/>
      <c r="C21" s="447" t="s">
        <v>412</v>
      </c>
      <c r="D21" s="463">
        <v>38930</v>
      </c>
      <c r="E21" s="460">
        <v>4</v>
      </c>
      <c r="F21" s="463">
        <v>39248</v>
      </c>
      <c r="G21" s="465">
        <f t="shared" si="1"/>
        <v>4.5</v>
      </c>
      <c r="H21" s="482">
        <f>SUM(J21)</f>
        <v>39113</v>
      </c>
      <c r="I21" s="461"/>
      <c r="J21" s="488">
        <v>39113</v>
      </c>
      <c r="K21" s="473">
        <f t="shared" si="2"/>
        <v>4.5</v>
      </c>
      <c r="L21" s="469"/>
      <c r="N21" s="447"/>
    </row>
    <row r="22" spans="1:14" ht="17.25" customHeight="1">
      <c r="A22" s="447" t="s">
        <v>413</v>
      </c>
      <c r="B22" s="452"/>
      <c r="C22" s="447" t="s">
        <v>414</v>
      </c>
      <c r="D22" s="463">
        <v>38869</v>
      </c>
      <c r="E22" s="460">
        <v>7</v>
      </c>
      <c r="F22" s="463">
        <v>39537</v>
      </c>
      <c r="G22" s="465">
        <f t="shared" si="1"/>
        <v>5.166666666666667</v>
      </c>
      <c r="H22" s="482">
        <f>SUM(J22)</f>
        <v>39382</v>
      </c>
      <c r="I22" s="461"/>
      <c r="J22" s="488">
        <v>39382</v>
      </c>
      <c r="K22" s="473">
        <f t="shared" si="2"/>
        <v>5.166666666666667</v>
      </c>
      <c r="L22" s="469"/>
      <c r="N22" s="447"/>
    </row>
    <row r="23" spans="1:14" ht="17.25" customHeight="1">
      <c r="A23" s="483" t="s">
        <v>415</v>
      </c>
      <c r="B23" s="452"/>
      <c r="C23" s="447" t="s">
        <v>416</v>
      </c>
      <c r="D23" s="463">
        <v>38961</v>
      </c>
      <c r="E23" s="460">
        <v>6</v>
      </c>
      <c r="F23" s="463">
        <v>39264</v>
      </c>
      <c r="G23" s="465">
        <f t="shared" si="1"/>
        <v>5.666666666666667</v>
      </c>
      <c r="H23" s="482">
        <f>SUM(J23)</f>
        <v>39094</v>
      </c>
      <c r="I23" s="461"/>
      <c r="J23" s="488">
        <v>39094</v>
      </c>
      <c r="K23" s="473">
        <f t="shared" si="2"/>
        <v>5.666666666666667</v>
      </c>
      <c r="L23" s="469"/>
      <c r="M23" s="462"/>
      <c r="N23" s="447"/>
    </row>
    <row r="24" spans="1:14" ht="17.25" customHeight="1">
      <c r="A24" s="447" t="s">
        <v>446</v>
      </c>
      <c r="B24" s="452"/>
      <c r="C24" s="447" t="s">
        <v>417</v>
      </c>
      <c r="D24" s="463">
        <v>39083</v>
      </c>
      <c r="E24" s="460">
        <v>4</v>
      </c>
      <c r="F24" s="463">
        <v>39675</v>
      </c>
      <c r="G24" s="465">
        <f t="shared" si="1"/>
        <v>9</v>
      </c>
      <c r="H24" s="482">
        <f>SUM(J24)</f>
        <v>39405</v>
      </c>
      <c r="I24" s="461"/>
      <c r="J24" s="488">
        <v>39405</v>
      </c>
      <c r="K24" s="473">
        <f t="shared" si="2"/>
        <v>9</v>
      </c>
      <c r="L24" s="469"/>
      <c r="N24" s="447"/>
    </row>
    <row r="25" spans="1:14" ht="17.25" customHeight="1">
      <c r="A25" s="483" t="s">
        <v>418</v>
      </c>
      <c r="B25" s="452"/>
      <c r="C25" s="447" t="s">
        <v>419</v>
      </c>
      <c r="D25" s="463">
        <v>39234</v>
      </c>
      <c r="E25" s="460">
        <v>3</v>
      </c>
      <c r="F25" s="463">
        <v>39767</v>
      </c>
      <c r="G25" s="465">
        <f t="shared" si="1"/>
        <v>5.2</v>
      </c>
      <c r="H25" s="482">
        <f>SUM(J25)</f>
        <v>39611</v>
      </c>
      <c r="I25" s="461"/>
      <c r="J25" s="488">
        <v>39611</v>
      </c>
      <c r="K25" s="473">
        <f t="shared" si="2"/>
        <v>5.2</v>
      </c>
      <c r="L25" s="469"/>
      <c r="N25" s="447"/>
    </row>
    <row r="26" spans="1:14" ht="17.25" customHeight="1">
      <c r="A26" s="484" t="s">
        <v>420</v>
      </c>
      <c r="B26" s="452"/>
      <c r="C26" s="447" t="s">
        <v>421</v>
      </c>
      <c r="D26" s="463">
        <v>39326</v>
      </c>
      <c r="E26" s="460">
        <v>2</v>
      </c>
      <c r="F26" s="463">
        <v>39855</v>
      </c>
      <c r="G26" s="465">
        <f t="shared" si="1"/>
        <v>5.1</v>
      </c>
      <c r="H26" s="482">
        <f>SUM(J26)</f>
        <v>39702</v>
      </c>
      <c r="I26" s="461"/>
      <c r="J26" s="488">
        <v>39702</v>
      </c>
      <c r="K26" s="473">
        <f t="shared" si="2"/>
        <v>5.1</v>
      </c>
      <c r="L26" s="469"/>
      <c r="M26" s="462"/>
      <c r="N26" s="447"/>
    </row>
    <row r="27" spans="1:14" ht="17.25" customHeight="1">
      <c r="A27" s="484" t="s">
        <v>422</v>
      </c>
      <c r="B27" s="452"/>
      <c r="C27" s="447" t="s">
        <v>423</v>
      </c>
      <c r="D27" s="463">
        <v>39387</v>
      </c>
      <c r="E27" s="460">
        <v>2</v>
      </c>
      <c r="F27" s="463">
        <v>39910</v>
      </c>
      <c r="G27" s="465">
        <f t="shared" si="1"/>
        <v>5.033333333333333</v>
      </c>
      <c r="H27" s="482">
        <f>SUM(J27)</f>
        <v>39759</v>
      </c>
      <c r="I27" s="461"/>
      <c r="J27" s="488">
        <v>39759</v>
      </c>
      <c r="K27" s="473">
        <f t="shared" si="2"/>
        <v>5.033333333333333</v>
      </c>
      <c r="L27" s="469"/>
      <c r="M27" s="462"/>
      <c r="N27" s="447"/>
    </row>
    <row r="28" spans="1:14" ht="17.25" customHeight="1">
      <c r="A28" s="447" t="s">
        <v>424</v>
      </c>
      <c r="B28" s="452"/>
      <c r="C28" s="447" t="s">
        <v>425</v>
      </c>
      <c r="D28" s="463">
        <v>39387</v>
      </c>
      <c r="E28" s="460">
        <v>4</v>
      </c>
      <c r="F28" s="463">
        <v>39965</v>
      </c>
      <c r="G28" s="465">
        <f t="shared" si="1"/>
        <v>5.166666666666667</v>
      </c>
      <c r="H28" s="482">
        <f>SUM(J28)</f>
        <v>39810</v>
      </c>
      <c r="I28" s="461"/>
      <c r="J28" s="488">
        <v>39810</v>
      </c>
      <c r="K28" s="473">
        <f t="shared" si="2"/>
        <v>5.166666666666667</v>
      </c>
      <c r="L28" s="469"/>
      <c r="M28" s="462"/>
      <c r="N28" s="447"/>
    </row>
    <row r="29" spans="1:14" ht="17.25" customHeight="1">
      <c r="A29" s="447" t="s">
        <v>426</v>
      </c>
      <c r="B29" s="452"/>
      <c r="C29" s="447" t="s">
        <v>427</v>
      </c>
      <c r="D29" s="463">
        <v>39538</v>
      </c>
      <c r="E29" s="460">
        <v>0</v>
      </c>
      <c r="F29" s="463">
        <v>39980</v>
      </c>
      <c r="G29" s="465">
        <f t="shared" si="1"/>
        <v>5.033333333333333</v>
      </c>
      <c r="H29" s="482">
        <f>SUM(J29)</f>
        <v>39829</v>
      </c>
      <c r="I29" s="461"/>
      <c r="J29" s="488">
        <v>39829</v>
      </c>
      <c r="K29" s="473">
        <f t="shared" si="2"/>
        <v>5.033333333333333</v>
      </c>
      <c r="L29" s="469"/>
      <c r="M29" s="462"/>
      <c r="N29" s="447"/>
    </row>
    <row r="30" spans="1:14" ht="17.25" customHeight="1">
      <c r="A30" s="447"/>
      <c r="B30" s="452"/>
      <c r="C30" s="447"/>
      <c r="D30" s="463"/>
      <c r="E30" s="460"/>
      <c r="F30" s="463"/>
      <c r="G30" s="465"/>
      <c r="H30" s="450"/>
      <c r="I30" s="461"/>
      <c r="J30" s="464"/>
      <c r="K30" s="473">
        <f t="shared" si="2"/>
        <v>0</v>
      </c>
      <c r="L30" s="447"/>
      <c r="M30" s="462"/>
      <c r="N30" s="447"/>
    </row>
    <row r="31" spans="1:14" ht="17.25" customHeight="1">
      <c r="A31" s="447" t="s">
        <v>430</v>
      </c>
      <c r="B31" s="452" t="s">
        <v>431</v>
      </c>
      <c r="C31" s="447" t="s">
        <v>432</v>
      </c>
      <c r="D31" s="463">
        <f>DATE(103,12,20)</f>
        <v>37975</v>
      </c>
      <c r="E31" s="460">
        <f aca="true" t="shared" si="3" ref="E31:E38">(+F31-D31)/30</f>
        <v>0.3333333333333333</v>
      </c>
      <c r="F31" s="490">
        <v>37985</v>
      </c>
      <c r="G31" s="491"/>
      <c r="H31" s="480"/>
      <c r="I31" s="480">
        <f>DATE(103,10,20)</f>
        <v>37914</v>
      </c>
      <c r="J31" s="464"/>
      <c r="K31" s="473"/>
      <c r="L31" s="447"/>
      <c r="N31" s="447"/>
    </row>
    <row r="32" spans="1:14" ht="17.25" customHeight="1">
      <c r="A32" s="447" t="s">
        <v>433</v>
      </c>
      <c r="B32" s="452"/>
      <c r="C32" s="447" t="s">
        <v>434</v>
      </c>
      <c r="D32" s="459">
        <v>38047</v>
      </c>
      <c r="E32" s="460">
        <f t="shared" si="3"/>
        <v>1</v>
      </c>
      <c r="F32" s="493">
        <v>38077</v>
      </c>
      <c r="G32" s="491"/>
      <c r="H32" s="492"/>
      <c r="I32" s="480">
        <f>DATE(104,1,30)</f>
        <v>38016</v>
      </c>
      <c r="J32" s="468"/>
      <c r="K32" s="473"/>
      <c r="L32" s="447"/>
      <c r="M32" s="462"/>
      <c r="N32" s="447"/>
    </row>
    <row r="33" spans="1:14" ht="17.25" customHeight="1">
      <c r="A33" s="447" t="s">
        <v>435</v>
      </c>
      <c r="B33" s="452"/>
      <c r="C33" s="447" t="s">
        <v>436</v>
      </c>
      <c r="D33" s="459">
        <v>38139</v>
      </c>
      <c r="E33" s="460">
        <f t="shared" si="3"/>
        <v>0.9666666666666667</v>
      </c>
      <c r="F33" s="493">
        <v>38168</v>
      </c>
      <c r="G33" s="491"/>
      <c r="H33" s="492"/>
      <c r="I33" s="480">
        <f>DATE(104,5,26)</f>
        <v>38133</v>
      </c>
      <c r="J33" s="468"/>
      <c r="K33" s="473"/>
      <c r="L33" s="447"/>
      <c r="N33" s="447"/>
    </row>
    <row r="34" spans="1:14" ht="17.25" customHeight="1">
      <c r="A34" s="447" t="s">
        <v>437</v>
      </c>
      <c r="B34" s="452"/>
      <c r="C34" s="447" t="s">
        <v>438</v>
      </c>
      <c r="D34" s="463">
        <v>38231</v>
      </c>
      <c r="E34" s="460">
        <f t="shared" si="3"/>
        <v>0.9666666666666667</v>
      </c>
      <c r="F34" s="463">
        <v>38260</v>
      </c>
      <c r="G34" s="465"/>
      <c r="H34" s="450"/>
      <c r="I34" s="450">
        <f>DATE(104,9,15)</f>
        <v>38245</v>
      </c>
      <c r="J34" s="464"/>
      <c r="K34" s="473"/>
      <c r="L34" s="447"/>
      <c r="N34" s="447"/>
    </row>
    <row r="35" spans="1:11" ht="17.25" customHeight="1">
      <c r="A35" s="485" t="s">
        <v>397</v>
      </c>
      <c r="C35" s="447" t="s">
        <v>439</v>
      </c>
      <c r="E35" s="460">
        <f t="shared" si="3"/>
        <v>1278.3666666666666</v>
      </c>
      <c r="F35" s="490">
        <v>38351</v>
      </c>
      <c r="G35" s="491">
        <f>(+F35-I35)/30</f>
        <v>2.533333333333333</v>
      </c>
      <c r="H35" s="492"/>
      <c r="I35" s="480">
        <f>DATE(104,10,15)</f>
        <v>38275</v>
      </c>
      <c r="J35" s="464"/>
      <c r="K35" s="473"/>
    </row>
    <row r="36" spans="1:11" ht="17.25" customHeight="1">
      <c r="A36" s="485" t="s">
        <v>440</v>
      </c>
      <c r="C36" s="447" t="s">
        <v>441</v>
      </c>
      <c r="E36" s="460">
        <f t="shared" si="3"/>
        <v>1281.4</v>
      </c>
      <c r="F36" s="459">
        <v>38442</v>
      </c>
      <c r="G36" s="465">
        <f>(+F36-H36)/30</f>
        <v>1281.4</v>
      </c>
      <c r="H36" s="450"/>
      <c r="I36" s="450">
        <v>38441</v>
      </c>
      <c r="J36" s="486"/>
      <c r="K36" s="473"/>
    </row>
    <row r="37" spans="1:11" ht="17.25" customHeight="1">
      <c r="A37" s="485" t="s">
        <v>442</v>
      </c>
      <c r="C37" s="447" t="s">
        <v>443</v>
      </c>
      <c r="E37" s="460">
        <f t="shared" si="3"/>
        <v>1284.4333333333334</v>
      </c>
      <c r="F37" s="459">
        <v>38533</v>
      </c>
      <c r="G37" s="465">
        <f>(+F37-H37)/30</f>
        <v>1284.4333333333334</v>
      </c>
      <c r="H37" s="461"/>
      <c r="I37" s="461">
        <f>+F37</f>
        <v>38533</v>
      </c>
      <c r="J37" s="486"/>
      <c r="K37" s="473"/>
    </row>
    <row r="38" spans="1:11" ht="17.25" customHeight="1">
      <c r="A38" s="442" t="s">
        <v>444</v>
      </c>
      <c r="C38" s="447" t="s">
        <v>445</v>
      </c>
      <c r="E38" s="460">
        <f t="shared" si="3"/>
        <v>1287.5</v>
      </c>
      <c r="F38" s="470">
        <v>38625</v>
      </c>
      <c r="G38" s="470">
        <v>38656</v>
      </c>
      <c r="H38" s="489">
        <v>38716</v>
      </c>
      <c r="J38" s="486">
        <v>38701</v>
      </c>
      <c r="K38" s="473">
        <f>(+F38-J38)/30</f>
        <v>-2.533333333333333</v>
      </c>
    </row>
    <row r="39" spans="1:11" ht="17.25" customHeight="1">
      <c r="A39" s="442" t="s">
        <v>449</v>
      </c>
      <c r="C39" s="442" t="s">
        <v>447</v>
      </c>
      <c r="F39" s="463">
        <v>38990</v>
      </c>
      <c r="H39" s="457">
        <f>+J39</f>
        <v>38770</v>
      </c>
      <c r="J39" s="486">
        <v>38770</v>
      </c>
      <c r="K39" s="473">
        <f>(+F39-J39)/30</f>
        <v>7.333333333333333</v>
      </c>
    </row>
    <row r="40" spans="1:11" ht="17.25" customHeight="1">
      <c r="A40" s="442" t="s">
        <v>448</v>
      </c>
      <c r="C40" s="442" t="s">
        <v>450</v>
      </c>
      <c r="F40" s="463">
        <v>39355</v>
      </c>
      <c r="H40" s="457">
        <f>+J40</f>
        <v>39027</v>
      </c>
      <c r="J40" s="486">
        <v>39027</v>
      </c>
      <c r="K40" s="473">
        <f>(+F40-J40)/30</f>
        <v>10.933333333333334</v>
      </c>
    </row>
    <row r="41" ht="17.25" customHeight="1">
      <c r="H41" s="487"/>
    </row>
    <row r="42" ht="17.25" customHeight="1">
      <c r="H42" s="487"/>
    </row>
    <row r="43" ht="17.25" customHeight="1">
      <c r="H43" s="487"/>
    </row>
    <row r="44" ht="17.25" customHeight="1">
      <c r="H44" s="487"/>
    </row>
    <row r="45" ht="17.25" customHeight="1">
      <c r="H45" s="487"/>
    </row>
    <row r="46" ht="17.25" customHeight="1">
      <c r="H46" s="48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5"/>
  <sheetViews>
    <sheetView zoomScale="75" zoomScaleNormal="75" workbookViewId="0" topLeftCell="A1">
      <selection activeCell="AD28" sqref="AD28"/>
    </sheetView>
  </sheetViews>
  <sheetFormatPr defaultColWidth="9.140625" defaultRowHeight="15" customHeight="1"/>
  <cols>
    <col min="1" max="1" width="2.57421875" style="404" customWidth="1"/>
    <col min="2" max="2" width="1.57421875" style="12" customWidth="1"/>
    <col min="3" max="3" width="10.28125" style="12" hidden="1" customWidth="1"/>
    <col min="4" max="4" width="8.421875" style="12" hidden="1" customWidth="1"/>
    <col min="5" max="21" width="5.57421875" style="12" customWidth="1"/>
    <col min="22" max="26" width="5.7109375" style="12" customWidth="1"/>
    <col min="27" max="34" width="5.57421875" style="12" customWidth="1"/>
    <col min="35" max="37" width="5.28125" style="12" customWidth="1"/>
    <col min="38" max="16384" width="8.421875" style="12" customWidth="1"/>
  </cols>
  <sheetData>
    <row r="1" spans="2:36" s="371" customFormat="1" ht="24" customHeight="1">
      <c r="B1" s="372"/>
      <c r="C1" s="373"/>
      <c r="D1" s="373"/>
      <c r="E1" s="374" t="s">
        <v>99</v>
      </c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6"/>
      <c r="AI1" s="376"/>
      <c r="AJ1" s="377"/>
    </row>
    <row r="2" spans="1:36" s="389" customFormat="1" ht="15" customHeight="1">
      <c r="A2" s="378"/>
      <c r="B2" s="379"/>
      <c r="C2" s="380"/>
      <c r="D2" s="380"/>
      <c r="E2" s="381"/>
      <c r="F2" s="380"/>
      <c r="G2" s="380"/>
      <c r="H2" s="382"/>
      <c r="I2" s="382" t="s">
        <v>100</v>
      </c>
      <c r="J2" s="382"/>
      <c r="K2" s="382"/>
      <c r="L2" s="382"/>
      <c r="M2" s="382" t="s">
        <v>101</v>
      </c>
      <c r="N2" s="382"/>
      <c r="O2" s="382"/>
      <c r="P2" s="380"/>
      <c r="Q2" s="382" t="s">
        <v>102</v>
      </c>
      <c r="R2" s="380"/>
      <c r="S2" s="383"/>
      <c r="T2" s="384" t="s">
        <v>103</v>
      </c>
      <c r="U2" s="384"/>
      <c r="V2" s="384"/>
      <c r="W2" s="384"/>
      <c r="X2" s="384"/>
      <c r="Y2" s="385" t="s">
        <v>104</v>
      </c>
      <c r="Z2" s="385"/>
      <c r="AA2" s="385"/>
      <c r="AB2" s="385"/>
      <c r="AC2" s="385"/>
      <c r="AD2" s="386" t="s">
        <v>105</v>
      </c>
      <c r="AE2" s="387"/>
      <c r="AF2" s="387"/>
      <c r="AG2" s="387"/>
      <c r="AH2" s="387"/>
      <c r="AI2" s="387"/>
      <c r="AJ2" s="388"/>
    </row>
    <row r="3" spans="2:36" s="389" customFormat="1" ht="15" customHeight="1">
      <c r="B3" s="379"/>
      <c r="C3" s="380"/>
      <c r="D3" s="380"/>
      <c r="E3" s="39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91"/>
      <c r="T3" s="384" t="s">
        <v>106</v>
      </c>
      <c r="U3" s="384"/>
      <c r="V3" s="384"/>
      <c r="W3" s="384"/>
      <c r="X3" s="384"/>
      <c r="Y3" s="385" t="s">
        <v>107</v>
      </c>
      <c r="Z3" s="385"/>
      <c r="AA3" s="385"/>
      <c r="AB3" s="385"/>
      <c r="AC3" s="385"/>
      <c r="AD3" s="386"/>
      <c r="AE3" s="387"/>
      <c r="AF3" s="387"/>
      <c r="AG3" s="387"/>
      <c r="AH3" s="387"/>
      <c r="AI3" s="387"/>
      <c r="AJ3" s="388"/>
    </row>
    <row r="4" spans="3:36" s="389" customFormat="1" ht="15" customHeight="1" thickBot="1">
      <c r="C4" s="383"/>
      <c r="D4" s="383"/>
      <c r="E4" s="381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91"/>
      <c r="T4" s="391"/>
      <c r="U4" s="391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8"/>
    </row>
    <row r="5" spans="1:36" s="389" customFormat="1" ht="15" customHeight="1" thickBot="1">
      <c r="A5" s="378"/>
      <c r="B5" s="379"/>
      <c r="C5" s="380"/>
      <c r="D5" s="380"/>
      <c r="E5" s="392">
        <v>2005</v>
      </c>
      <c r="F5" s="393"/>
      <c r="G5" s="393"/>
      <c r="H5" s="393"/>
      <c r="I5" s="393"/>
      <c r="J5" s="393"/>
      <c r="K5" s="393"/>
      <c r="L5" s="393"/>
      <c r="M5" s="393"/>
      <c r="N5" s="394"/>
      <c r="O5" s="392">
        <v>2006</v>
      </c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2">
        <v>2007</v>
      </c>
      <c r="AB5" s="393"/>
      <c r="AC5" s="393"/>
      <c r="AD5" s="393"/>
      <c r="AE5" s="393"/>
      <c r="AF5" s="393"/>
      <c r="AG5" s="393"/>
      <c r="AH5" s="393"/>
      <c r="AI5" s="395"/>
      <c r="AJ5" s="395"/>
    </row>
    <row r="6" spans="1:37" s="397" customFormat="1" ht="28.5" customHeight="1" thickBot="1">
      <c r="A6" s="396"/>
      <c r="C6" s="398">
        <v>38353</v>
      </c>
      <c r="D6" s="399">
        <v>38384</v>
      </c>
      <c r="E6" s="398">
        <v>38412</v>
      </c>
      <c r="F6" s="398">
        <v>38443</v>
      </c>
      <c r="G6" s="398">
        <v>38473</v>
      </c>
      <c r="H6" s="398">
        <v>38504</v>
      </c>
      <c r="I6" s="400">
        <v>38534</v>
      </c>
      <c r="J6" s="398">
        <v>38565</v>
      </c>
      <c r="K6" s="398">
        <v>38596</v>
      </c>
      <c r="L6" s="398">
        <v>38626</v>
      </c>
      <c r="M6" s="398">
        <v>38657</v>
      </c>
      <c r="N6" s="398">
        <v>38687</v>
      </c>
      <c r="O6" s="398">
        <v>38718</v>
      </c>
      <c r="P6" s="398">
        <v>38749</v>
      </c>
      <c r="Q6" s="398">
        <v>38777</v>
      </c>
      <c r="R6" s="398">
        <v>38808</v>
      </c>
      <c r="S6" s="398">
        <v>38838</v>
      </c>
      <c r="T6" s="398">
        <v>38869</v>
      </c>
      <c r="U6" s="398">
        <v>38899</v>
      </c>
      <c r="V6" s="398">
        <v>38930</v>
      </c>
      <c r="W6" s="398">
        <v>38961</v>
      </c>
      <c r="X6" s="398">
        <v>38991</v>
      </c>
      <c r="Y6" s="399">
        <v>39022</v>
      </c>
      <c r="Z6" s="398">
        <v>39052</v>
      </c>
      <c r="AA6" s="401">
        <v>39083</v>
      </c>
      <c r="AB6" s="401">
        <v>39114</v>
      </c>
      <c r="AC6" s="401">
        <v>39142</v>
      </c>
      <c r="AD6" s="401">
        <v>39173</v>
      </c>
      <c r="AE6" s="402">
        <v>39203</v>
      </c>
      <c r="AF6" s="398">
        <v>39234</v>
      </c>
      <c r="AG6" s="398">
        <v>39264</v>
      </c>
      <c r="AH6" s="398">
        <v>39295</v>
      </c>
      <c r="AI6" s="398" t="s">
        <v>108</v>
      </c>
      <c r="AJ6" s="398" t="s">
        <v>109</v>
      </c>
      <c r="AK6" s="403" t="s">
        <v>110</v>
      </c>
    </row>
    <row r="7" spans="2:36" ht="15" customHeight="1">
      <c r="B7" s="19"/>
      <c r="C7" s="405"/>
      <c r="D7" s="405"/>
      <c r="E7" s="406" t="s">
        <v>111</v>
      </c>
      <c r="F7" s="407"/>
      <c r="G7" s="407"/>
      <c r="H7" s="407"/>
      <c r="I7" s="408"/>
      <c r="J7" s="408"/>
      <c r="K7" s="408"/>
      <c r="L7" s="409"/>
      <c r="M7" s="407"/>
      <c r="N7" s="407"/>
      <c r="O7" s="407"/>
      <c r="P7" s="407"/>
      <c r="Q7" s="407"/>
      <c r="R7" s="407"/>
      <c r="S7" s="410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11"/>
      <c r="AG7" s="412"/>
      <c r="AH7" s="412"/>
      <c r="AI7" s="412"/>
      <c r="AJ7" s="413"/>
    </row>
    <row r="8" spans="1:36" ht="28.5" customHeight="1">
      <c r="A8" s="270"/>
      <c r="B8" s="19"/>
      <c r="C8" s="405"/>
      <c r="D8" s="405"/>
      <c r="E8" s="414" t="s">
        <v>81</v>
      </c>
      <c r="F8" s="407"/>
      <c r="G8" s="407"/>
      <c r="H8" s="407"/>
      <c r="I8" s="407"/>
      <c r="J8" s="407"/>
      <c r="K8" s="407"/>
      <c r="L8" s="415"/>
      <c r="M8" s="416"/>
      <c r="N8" s="416"/>
      <c r="O8" s="416"/>
      <c r="P8" s="417"/>
      <c r="Q8" s="417"/>
      <c r="R8" s="417"/>
      <c r="S8" s="418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9"/>
      <c r="AG8" s="420"/>
      <c r="AH8" s="420"/>
      <c r="AI8" s="421"/>
      <c r="AJ8" s="413"/>
    </row>
    <row r="9" spans="1:36" ht="28.5" customHeight="1">
      <c r="A9" s="270"/>
      <c r="B9" s="19"/>
      <c r="C9" s="405"/>
      <c r="D9" s="405"/>
      <c r="E9" s="414" t="s">
        <v>86</v>
      </c>
      <c r="F9" s="407"/>
      <c r="G9" s="407"/>
      <c r="H9" s="407"/>
      <c r="I9" s="407"/>
      <c r="J9" s="407"/>
      <c r="K9" s="407"/>
      <c r="L9" s="422"/>
      <c r="M9" s="423"/>
      <c r="N9" s="416"/>
      <c r="O9" s="424"/>
      <c r="P9" s="417"/>
      <c r="Q9" s="418"/>
      <c r="R9" s="417"/>
      <c r="S9" s="418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9"/>
      <c r="AG9" s="420"/>
      <c r="AH9" s="420"/>
      <c r="AI9" s="421"/>
      <c r="AJ9" s="413"/>
    </row>
    <row r="10" spans="1:36" ht="28.5" customHeight="1">
      <c r="A10" s="270"/>
      <c r="B10" s="19"/>
      <c r="C10" s="405"/>
      <c r="D10" s="405"/>
      <c r="E10" s="414" t="s">
        <v>87</v>
      </c>
      <c r="F10" s="407"/>
      <c r="G10" s="407"/>
      <c r="H10" s="407"/>
      <c r="I10" s="407"/>
      <c r="J10" s="407"/>
      <c r="K10" s="407"/>
      <c r="L10" s="424"/>
      <c r="M10" s="416"/>
      <c r="N10" s="423"/>
      <c r="O10" s="416"/>
      <c r="P10" s="417"/>
      <c r="Q10" s="417"/>
      <c r="R10" s="417"/>
      <c r="S10" s="418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9"/>
      <c r="AG10" s="420"/>
      <c r="AH10" s="420"/>
      <c r="AI10" s="421"/>
      <c r="AJ10" s="413"/>
    </row>
    <row r="11" spans="1:36" ht="28.5" customHeight="1">
      <c r="A11" s="270"/>
      <c r="B11" s="19"/>
      <c r="C11" s="405"/>
      <c r="D11" s="405"/>
      <c r="E11" s="414" t="s">
        <v>88</v>
      </c>
      <c r="F11" s="407"/>
      <c r="G11" s="407"/>
      <c r="H11" s="407"/>
      <c r="I11" s="407"/>
      <c r="J11" s="407"/>
      <c r="K11" s="407"/>
      <c r="L11" s="424"/>
      <c r="M11" s="416"/>
      <c r="N11" s="416"/>
      <c r="O11" s="416"/>
      <c r="P11" s="416"/>
      <c r="Q11" s="416"/>
      <c r="R11" s="416"/>
      <c r="S11" s="425"/>
      <c r="T11" s="416"/>
      <c r="U11" s="416"/>
      <c r="V11" s="416"/>
      <c r="W11" s="417"/>
      <c r="X11" s="417"/>
      <c r="Y11" s="417"/>
      <c r="Z11" s="417"/>
      <c r="AA11" s="417"/>
      <c r="AB11" s="417"/>
      <c r="AC11" s="417"/>
      <c r="AD11" s="417"/>
      <c r="AE11" s="417"/>
      <c r="AF11" s="419"/>
      <c r="AG11" s="420"/>
      <c r="AH11" s="420"/>
      <c r="AI11" s="421"/>
      <c r="AJ11" s="413"/>
    </row>
    <row r="12" spans="1:36" ht="28.5" customHeight="1">
      <c r="A12" s="270"/>
      <c r="B12" s="19"/>
      <c r="C12" s="405"/>
      <c r="D12" s="405"/>
      <c r="E12" s="414" t="s">
        <v>89</v>
      </c>
      <c r="F12" s="407"/>
      <c r="G12" s="407"/>
      <c r="H12" s="407"/>
      <c r="I12" s="407"/>
      <c r="J12" s="407"/>
      <c r="K12" s="407"/>
      <c r="L12" s="426"/>
      <c r="M12" s="417"/>
      <c r="N12" s="417"/>
      <c r="O12" s="416"/>
      <c r="P12" s="416"/>
      <c r="Q12" s="427"/>
      <c r="R12" s="416"/>
      <c r="S12" s="425"/>
      <c r="T12" s="416"/>
      <c r="U12" s="416"/>
      <c r="V12" s="416"/>
      <c r="W12" s="417"/>
      <c r="X12" s="417"/>
      <c r="Y12" s="417"/>
      <c r="Z12" s="417"/>
      <c r="AA12" s="417"/>
      <c r="AB12" s="417"/>
      <c r="AC12" s="417"/>
      <c r="AD12" s="417"/>
      <c r="AE12" s="417"/>
      <c r="AF12" s="419"/>
      <c r="AG12" s="420"/>
      <c r="AH12" s="420"/>
      <c r="AI12" s="421"/>
      <c r="AJ12" s="413"/>
    </row>
    <row r="13" spans="1:36" ht="28.5" customHeight="1">
      <c r="A13" s="270"/>
      <c r="B13" s="19"/>
      <c r="C13" s="405"/>
      <c r="D13" s="405"/>
      <c r="E13" s="414" t="s">
        <v>90</v>
      </c>
      <c r="F13" s="407"/>
      <c r="G13" s="407"/>
      <c r="H13" s="407"/>
      <c r="I13" s="407"/>
      <c r="J13" s="407"/>
      <c r="K13" s="407"/>
      <c r="L13" s="426"/>
      <c r="M13" s="417"/>
      <c r="N13" s="417"/>
      <c r="O13" s="416"/>
      <c r="P13" s="416"/>
      <c r="Q13" s="416"/>
      <c r="R13" s="427"/>
      <c r="S13" s="425"/>
      <c r="T13" s="416"/>
      <c r="U13" s="416"/>
      <c r="V13" s="416"/>
      <c r="W13" s="417"/>
      <c r="X13" s="417"/>
      <c r="Y13" s="417"/>
      <c r="Z13" s="417"/>
      <c r="AA13" s="417"/>
      <c r="AB13" s="417"/>
      <c r="AC13" s="417"/>
      <c r="AD13" s="417"/>
      <c r="AE13" s="417"/>
      <c r="AF13" s="419"/>
      <c r="AG13" s="420"/>
      <c r="AH13" s="420"/>
      <c r="AI13" s="421"/>
      <c r="AJ13" s="413"/>
    </row>
    <row r="14" spans="1:36" ht="28.5" customHeight="1">
      <c r="A14" s="270"/>
      <c r="B14" s="19"/>
      <c r="C14" s="405"/>
      <c r="D14" s="405"/>
      <c r="E14" s="414" t="s">
        <v>91</v>
      </c>
      <c r="F14" s="407"/>
      <c r="G14" s="407"/>
      <c r="H14" s="407"/>
      <c r="I14" s="407"/>
      <c r="J14" s="407"/>
      <c r="K14" s="407"/>
      <c r="L14" s="426"/>
      <c r="M14" s="417"/>
      <c r="N14" s="417"/>
      <c r="O14" s="416"/>
      <c r="P14" s="416"/>
      <c r="Q14" s="416"/>
      <c r="R14" s="416"/>
      <c r="S14" s="428"/>
      <c r="T14" s="416"/>
      <c r="U14" s="416"/>
      <c r="V14" s="416"/>
      <c r="W14" s="417"/>
      <c r="X14" s="417"/>
      <c r="Y14" s="417"/>
      <c r="Z14" s="417"/>
      <c r="AA14" s="417"/>
      <c r="AB14" s="417"/>
      <c r="AC14" s="417"/>
      <c r="AD14" s="417"/>
      <c r="AE14" s="417"/>
      <c r="AF14" s="419"/>
      <c r="AG14" s="420"/>
      <c r="AH14" s="420"/>
      <c r="AI14" s="421"/>
      <c r="AJ14" s="413"/>
    </row>
    <row r="15" spans="1:36" ht="28.5" customHeight="1">
      <c r="A15" s="270"/>
      <c r="B15" s="19"/>
      <c r="C15" s="405"/>
      <c r="D15" s="405"/>
      <c r="E15" s="414" t="s">
        <v>96</v>
      </c>
      <c r="F15" s="407"/>
      <c r="G15" s="407"/>
      <c r="H15" s="407"/>
      <c r="I15" s="407"/>
      <c r="J15" s="407"/>
      <c r="K15" s="407"/>
      <c r="L15" s="426"/>
      <c r="M15" s="417"/>
      <c r="N15" s="417"/>
      <c r="O15" s="416"/>
      <c r="P15" s="416"/>
      <c r="Q15" s="416"/>
      <c r="R15" s="416"/>
      <c r="S15" s="425"/>
      <c r="T15" s="427"/>
      <c r="U15" s="429"/>
      <c r="V15" s="429"/>
      <c r="W15" s="417"/>
      <c r="X15" s="417"/>
      <c r="Y15" s="417"/>
      <c r="Z15" s="417"/>
      <c r="AA15" s="417"/>
      <c r="AB15" s="417"/>
      <c r="AC15" s="417"/>
      <c r="AD15" s="417"/>
      <c r="AE15" s="417"/>
      <c r="AF15" s="419"/>
      <c r="AG15" s="420"/>
      <c r="AH15" s="420"/>
      <c r="AI15" s="421"/>
      <c r="AJ15" s="413"/>
    </row>
    <row r="16" spans="1:36" ht="28.5" customHeight="1">
      <c r="A16" s="270"/>
      <c r="B16" s="19"/>
      <c r="C16" s="405"/>
      <c r="D16" s="405"/>
      <c r="E16" s="414" t="s">
        <v>92</v>
      </c>
      <c r="F16" s="407"/>
      <c r="G16" s="407"/>
      <c r="H16" s="407"/>
      <c r="I16" s="407"/>
      <c r="J16" s="407"/>
      <c r="K16" s="407"/>
      <c r="L16" s="417"/>
      <c r="M16" s="417"/>
      <c r="N16" s="426"/>
      <c r="O16" s="416"/>
      <c r="P16" s="425"/>
      <c r="Q16" s="416"/>
      <c r="R16" s="416"/>
      <c r="S16" s="416"/>
      <c r="T16" s="416"/>
      <c r="U16" s="423"/>
      <c r="V16" s="429"/>
      <c r="W16" s="417"/>
      <c r="X16" s="417"/>
      <c r="Y16" s="417"/>
      <c r="Z16" s="417"/>
      <c r="AA16" s="417"/>
      <c r="AB16" s="417"/>
      <c r="AC16" s="417"/>
      <c r="AD16" s="417"/>
      <c r="AE16" s="417"/>
      <c r="AF16" s="419"/>
      <c r="AG16" s="420"/>
      <c r="AH16" s="420"/>
      <c r="AI16" s="421"/>
      <c r="AJ16" s="413"/>
    </row>
    <row r="17" spans="1:36" ht="28.5" customHeight="1">
      <c r="A17" s="270"/>
      <c r="B17" s="19"/>
      <c r="C17" s="405"/>
      <c r="D17" s="405"/>
      <c r="E17" s="414" t="s">
        <v>97</v>
      </c>
      <c r="F17" s="407"/>
      <c r="G17" s="407"/>
      <c r="H17" s="407"/>
      <c r="I17" s="407"/>
      <c r="J17" s="407"/>
      <c r="K17" s="407"/>
      <c r="L17" s="417"/>
      <c r="M17" s="417"/>
      <c r="N17" s="417"/>
      <c r="O17" s="416"/>
      <c r="P17" s="416"/>
      <c r="Q17" s="416"/>
      <c r="R17" s="416"/>
      <c r="S17" s="416"/>
      <c r="T17" s="416"/>
      <c r="U17" s="429"/>
      <c r="V17" s="423"/>
      <c r="W17" s="417"/>
      <c r="X17" s="417"/>
      <c r="Y17" s="417"/>
      <c r="Z17" s="417"/>
      <c r="AA17" s="417"/>
      <c r="AB17" s="417"/>
      <c r="AC17" s="417"/>
      <c r="AD17" s="417"/>
      <c r="AE17" s="417"/>
      <c r="AF17" s="419"/>
      <c r="AG17" s="420"/>
      <c r="AH17" s="420"/>
      <c r="AI17" s="421"/>
      <c r="AJ17" s="413"/>
    </row>
    <row r="18" spans="1:36" ht="28.5" customHeight="1">
      <c r="A18" s="270"/>
      <c r="B18" s="19"/>
      <c r="C18" s="405"/>
      <c r="D18" s="405"/>
      <c r="E18" s="414" t="s">
        <v>93</v>
      </c>
      <c r="F18" s="407"/>
      <c r="G18" s="407"/>
      <c r="H18" s="407"/>
      <c r="I18" s="407"/>
      <c r="J18" s="407"/>
      <c r="K18" s="40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27"/>
      <c r="Y18" s="417"/>
      <c r="Z18" s="417"/>
      <c r="AA18" s="417"/>
      <c r="AB18" s="417"/>
      <c r="AC18" s="417"/>
      <c r="AD18" s="417"/>
      <c r="AE18" s="417"/>
      <c r="AF18" s="419"/>
      <c r="AG18" s="420"/>
      <c r="AH18" s="420"/>
      <c r="AI18" s="421"/>
      <c r="AJ18" s="413"/>
    </row>
    <row r="19" spans="1:36" ht="28.5" customHeight="1">
      <c r="A19" s="270"/>
      <c r="B19" s="19"/>
      <c r="C19" s="405"/>
      <c r="D19" s="405"/>
      <c r="E19" s="414" t="s">
        <v>94</v>
      </c>
      <c r="F19" s="407"/>
      <c r="G19" s="407"/>
      <c r="H19" s="407"/>
      <c r="I19" s="407"/>
      <c r="J19" s="407"/>
      <c r="K19" s="40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29"/>
      <c r="Z19" s="417"/>
      <c r="AA19" s="417"/>
      <c r="AB19" s="417"/>
      <c r="AC19" s="417"/>
      <c r="AD19" s="417"/>
      <c r="AE19" s="417"/>
      <c r="AF19" s="419"/>
      <c r="AG19" s="420"/>
      <c r="AH19" s="420"/>
      <c r="AI19" s="421"/>
      <c r="AJ19" s="413"/>
    </row>
    <row r="20" spans="1:36" ht="28.5" customHeight="1">
      <c r="A20" s="270"/>
      <c r="B20" s="19"/>
      <c r="C20" s="405"/>
      <c r="D20" s="405"/>
      <c r="E20" s="414" t="s">
        <v>95</v>
      </c>
      <c r="F20" s="407"/>
      <c r="G20" s="407"/>
      <c r="H20" s="407"/>
      <c r="I20" s="407"/>
      <c r="J20" s="407"/>
      <c r="K20" s="40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29"/>
      <c r="AC20" s="417"/>
      <c r="AD20" s="417"/>
      <c r="AE20" s="417"/>
      <c r="AF20" s="419"/>
      <c r="AG20" s="420"/>
      <c r="AH20" s="420"/>
      <c r="AI20" s="421"/>
      <c r="AJ20" s="413"/>
    </row>
    <row r="21" spans="1:36" ht="28.5" customHeight="1">
      <c r="A21" s="270"/>
      <c r="B21" s="19"/>
      <c r="C21" s="405"/>
      <c r="D21" s="405"/>
      <c r="E21" s="414" t="s">
        <v>98</v>
      </c>
      <c r="F21" s="407"/>
      <c r="G21" s="407"/>
      <c r="H21" s="407"/>
      <c r="I21" s="407"/>
      <c r="J21" s="407"/>
      <c r="K21" s="40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23"/>
      <c r="AC21" s="417"/>
      <c r="AD21" s="417"/>
      <c r="AE21" s="417"/>
      <c r="AF21" s="419"/>
      <c r="AG21" s="420"/>
      <c r="AH21" s="420"/>
      <c r="AI21" s="421"/>
      <c r="AJ21" s="413"/>
    </row>
    <row r="22" spans="1:36" ht="28.5" customHeight="1">
      <c r="A22" s="270"/>
      <c r="B22" s="19"/>
      <c r="C22" s="405"/>
      <c r="D22" s="405"/>
      <c r="E22" s="414" t="s">
        <v>85</v>
      </c>
      <c r="F22" s="407"/>
      <c r="G22" s="407"/>
      <c r="H22" s="407"/>
      <c r="I22" s="407"/>
      <c r="J22" s="407"/>
      <c r="K22" s="40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29"/>
      <c r="AF22" s="419"/>
      <c r="AG22" s="420"/>
      <c r="AH22" s="420"/>
      <c r="AI22" s="421"/>
      <c r="AJ22" s="413"/>
    </row>
    <row r="23" spans="1:36" ht="28.5" customHeight="1">
      <c r="A23" s="270"/>
      <c r="B23" s="19"/>
      <c r="C23" s="405"/>
      <c r="D23" s="405"/>
      <c r="E23" s="414" t="s">
        <v>84</v>
      </c>
      <c r="F23" s="407"/>
      <c r="G23" s="407"/>
      <c r="H23" s="407"/>
      <c r="I23" s="407"/>
      <c r="J23" s="407"/>
      <c r="K23" s="40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23"/>
      <c r="AF23" s="419"/>
      <c r="AG23" s="420"/>
      <c r="AH23" s="420"/>
      <c r="AI23" s="421"/>
      <c r="AJ23" s="413"/>
    </row>
    <row r="24" spans="1:36" ht="28.5" customHeight="1">
      <c r="A24" s="270"/>
      <c r="B24" s="19"/>
      <c r="C24" s="405"/>
      <c r="D24" s="405"/>
      <c r="E24" s="414" t="s">
        <v>83</v>
      </c>
      <c r="F24" s="407"/>
      <c r="G24" s="407"/>
      <c r="H24" s="407"/>
      <c r="I24" s="407"/>
      <c r="J24" s="407"/>
      <c r="K24" s="40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30"/>
      <c r="AG24" s="431"/>
      <c r="AH24" s="420"/>
      <c r="AI24" s="421"/>
      <c r="AJ24" s="413"/>
    </row>
    <row r="25" spans="1:36" ht="28.5" customHeight="1" thickBot="1">
      <c r="A25" s="270"/>
      <c r="B25" s="19"/>
      <c r="C25" s="405"/>
      <c r="D25" s="405"/>
      <c r="E25" s="432" t="s">
        <v>82</v>
      </c>
      <c r="F25" s="433"/>
      <c r="G25" s="433"/>
      <c r="H25" s="433"/>
      <c r="I25" s="433"/>
      <c r="J25" s="433"/>
      <c r="K25" s="433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5"/>
      <c r="AG25" s="436"/>
      <c r="AH25" s="437"/>
      <c r="AI25" s="438"/>
      <c r="AJ25" s="439"/>
    </row>
    <row r="26" spans="1:16" ht="9.75" customHeight="1">
      <c r="A26" s="23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5" customHeight="1">
      <c r="A27" s="231"/>
      <c r="B27" s="19"/>
      <c r="C27" s="19"/>
      <c r="D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5" customHeight="1">
      <c r="A28" s="231"/>
      <c r="B28" s="19"/>
      <c r="C28" s="19"/>
      <c r="D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5" customHeight="1">
      <c r="A29" s="231"/>
      <c r="B29" s="19"/>
      <c r="C29" s="19"/>
      <c r="D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5" customHeight="1">
      <c r="A30" s="231"/>
      <c r="B30" s="19"/>
      <c r="C30" s="19"/>
      <c r="D30" s="19"/>
      <c r="E30" s="440" t="s">
        <v>112</v>
      </c>
      <c r="F30" s="441" t="s">
        <v>113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5" customHeight="1">
      <c r="A31" s="231"/>
      <c r="B31" s="19"/>
      <c r="C31" s="19"/>
      <c r="D31" s="19"/>
      <c r="E31" s="19"/>
      <c r="F31" s="19" t="s">
        <v>114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5" customHeight="1">
      <c r="A32" s="231"/>
      <c r="B32" s="19"/>
      <c r="C32" s="19"/>
      <c r="D32" s="19"/>
      <c r="E32" s="19"/>
      <c r="F32" s="19" t="s">
        <v>115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" customHeight="1">
      <c r="A33" s="231"/>
      <c r="B33" s="19"/>
      <c r="C33" s="19"/>
      <c r="D33" s="19"/>
      <c r="E33" s="19"/>
      <c r="F33" s="19" t="s">
        <v>116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5" customHeight="1">
      <c r="A34" s="231"/>
      <c r="B34" s="19"/>
      <c r="C34" s="19"/>
      <c r="D34" s="19"/>
      <c r="E34" s="19"/>
      <c r="F34" s="19" t="s">
        <v>117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5" customHeight="1">
      <c r="A35" s="23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34526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2005-10-18T18:11:53Z</cp:lastPrinted>
  <dcterms:created xsi:type="dcterms:W3CDTF">2005-10-17T18:42:25Z</dcterms:created>
  <dcterms:modified xsi:type="dcterms:W3CDTF">2005-10-19T20:53:50Z</dcterms:modified>
  <cp:category/>
  <cp:version/>
  <cp:contentType/>
  <cp:contentStatus/>
</cp:coreProperties>
</file>