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721" yWindow="990" windowWidth="19320" windowHeight="8880" tabRatio="969" firstSheet="1" activeTab="4"/>
  </bookViews>
  <sheets>
    <sheet name="CB_DATA_" sheetId="1" state="veryHidden" r:id="rId1"/>
    <sheet name="Contingency Summary" sheetId="2" r:id="rId2"/>
    <sheet name="Probability Data" sheetId="3" r:id="rId3"/>
    <sheet name="Contingency by Year Basis" sheetId="4" r:id="rId4"/>
    <sheet name="Estimate Data" sheetId="5" r:id="rId5"/>
    <sheet name="Estimate Uncertainty Model" sheetId="6" r:id="rId6"/>
    <sheet name="Schedule Ranges" sheetId="7" r:id="rId7"/>
    <sheet name="Risk Register" sheetId="8" r:id="rId8"/>
    <sheet name="Data" sheetId="9" r:id="rId9"/>
    <sheet name="Likelihood" sheetId="10" r:id="rId10"/>
    <sheet name="Standard Estimate Uncertainty " sheetId="11" r:id="rId11"/>
    <sheet name="Misc Inputs" sheetId="12" r:id="rId12"/>
    <sheet name="Escalation Risk" sheetId="13" r:id="rId13"/>
  </sheets>
  <definedNames>
    <definedName name="CB_0246eacb0d4240a0b25eb2e5208cf7e2" localSheetId="5" hidden="1">'Estimate Uncertainty Model'!$N$53</definedName>
    <definedName name="CB_0260f144b6f84a589228c68f02e407a9" localSheetId="5" hidden="1">'Estimate Uncertainty Model'!$N$98</definedName>
    <definedName name="CB_027d5cc738be4b0ca8dd74ea6fed5a21" localSheetId="5" hidden="1">'Estimate Uncertainty Model'!$N$104</definedName>
    <definedName name="CB_02ab90adb80d4245a05bfbffba07dea4" localSheetId="7" hidden="1">'Risk Register'!$P$73</definedName>
    <definedName name="CB_0509d73ee0f54f6fbc3bef1c34b507cc" localSheetId="7" hidden="1">'Risk Register'!$Q$10</definedName>
    <definedName name="CB_061fbc920a9b431dad0b2dac6fee3382" localSheetId="7" hidden="1">'Risk Register'!$Q$85</definedName>
    <definedName name="CB_06804875aa814b89a24058d1685a1983" localSheetId="5" hidden="1">'Estimate Uncertainty Model'!$N$9</definedName>
    <definedName name="CB_0ae501687de742b283b087b2b6882607" localSheetId="5" hidden="1">'Estimate Uncertainty Model'!$N$81</definedName>
    <definedName name="CB_0b1413f62ee744e1aebb6cb336b7bd35" localSheetId="5" hidden="1">'Estimate Uncertainty Model'!$N$73</definedName>
    <definedName name="CB_0bba67ffcfd743ae86dc8f334e0aed01" localSheetId="7" hidden="1">'Risk Register'!$Q$19</definedName>
    <definedName name="CB_0c75e0d5b75a49c08e84629aef496250" localSheetId="5" hidden="1">'Estimate Uncertainty Model'!$N$109</definedName>
    <definedName name="CB_0c7e9824af8e4b638cbeb8c5a347d7f1" localSheetId="7" hidden="1">'Risk Register'!$P$79</definedName>
    <definedName name="CB_0cbae23ec14c4aaa87f69ebfaec5292b" localSheetId="5" hidden="1">'Estimate Uncertainty Model'!$N$78</definedName>
    <definedName name="CB_0d5164f60cd240dda1092033b58af007" localSheetId="7" hidden="1">'Risk Register'!$Q$14</definedName>
    <definedName name="CB_0e3c1dee6729453ea01a4041a69ddb17" localSheetId="5" hidden="1">'Estimate Uncertainty Model'!$N$82</definedName>
    <definedName name="CB_0e4c689b57f549b289c75d6434c6c9b2" localSheetId="7" hidden="1">'Risk Register'!$P$96</definedName>
    <definedName name="CB_13f9a4b49f2342fdba0bcd1605537ca0" localSheetId="5" hidden="1">'Estimate Uncertainty Model'!$N$135</definedName>
    <definedName name="CB_148cd2453b48481795dc68cc4ddd8955" localSheetId="7" hidden="1">'Risk Register'!$Q$38</definedName>
    <definedName name="CB_14abb1053efd485ea1752c1345d2cd62" localSheetId="7" hidden="1">'Risk Register'!$P$46</definedName>
    <definedName name="CB_14db82ee47774fa899471d78050a977c" localSheetId="5" hidden="1">'Estimate Uncertainty Model'!$N$167</definedName>
    <definedName name="CB_1530b88bcbb646bea1c7912550236b98" localSheetId="7" hidden="1">'Risk Register'!$P$25</definedName>
    <definedName name="CB_165739cb167d4e229ded3afe0abb2fe1" localSheetId="7" hidden="1">'Risk Register'!$P$67</definedName>
    <definedName name="CB_1688f609b36046d48ee325dc70dbb5ee" localSheetId="5" hidden="1">'Estimate Uncertainty Model'!$N$125</definedName>
    <definedName name="CB_16da443b053a46c19f3e5806bacc1e9d" localSheetId="5" hidden="1">'Estimate Uncertainty Model'!$N$107</definedName>
    <definedName name="CB_17a03ab143204157974d87dc5fbe6175" localSheetId="7" hidden="1">'Risk Register'!$Q$21</definedName>
    <definedName name="CB_17f217eed9364af6a6f9e213e4219fe2" localSheetId="7" hidden="1">'Risk Register'!$Q$42</definedName>
    <definedName name="CB_1897f5d794734cd29f69ce58be530005" localSheetId="7" hidden="1">'Risk Register'!$P$98</definedName>
    <definedName name="CB_18e20a32c16a4be9919948255cb25dab" localSheetId="5" hidden="1">'Estimate Uncertainty Model'!$N$14</definedName>
    <definedName name="CB_18e77a9cc7234995945a96d3201a82ce" localSheetId="7" hidden="1">'Risk Register'!$P$62</definedName>
    <definedName name="CB_19e8bb0e9ca74ac4bd4d6d2b1d900f19" localSheetId="7" hidden="1">'Risk Register'!$P$82</definedName>
    <definedName name="CB_1b02cd2a07ea46d4a949cc1619526c05" localSheetId="5" hidden="1">'Estimate Uncertainty Model'!$N$124</definedName>
    <definedName name="CB_1b9339d7ebbd4a349caf997f863b2969" localSheetId="7" hidden="1">'Risk Register'!$P$52</definedName>
    <definedName name="CB_1bd08451a97b44d88484cd0b973da677" localSheetId="6" hidden="1">'Schedule Ranges'!$I$7</definedName>
    <definedName name="CB_1c8df6a34ec9456c934e925ed2448064" localSheetId="7" hidden="1">'Risk Register'!$Q$65</definedName>
    <definedName name="CB_1c9ea4e6882c41e68f0eb1367bf39834" localSheetId="5" hidden="1">'Estimate Uncertainty Model'!$N$54</definedName>
    <definedName name="CB_1d1cc63f9f654e1d87d6fd30eabbfb08" localSheetId="7" hidden="1">'Risk Register'!$P$30</definedName>
    <definedName name="CB_1d9a2a23a4184a2b8a874ff72ac06e78" localSheetId="5" hidden="1">'Estimate Uncertainty Model'!$N$100</definedName>
    <definedName name="CB_1dd80cd46c6942709cb6e34624bcec54" localSheetId="7" hidden="1">'Risk Register'!$P$95</definedName>
    <definedName name="CB_1e77a8c41523425ea843f8368e2a3716" localSheetId="7" hidden="1">'Risk Register'!$P$17</definedName>
    <definedName name="CB_1e978b30e1954828ba19ae6d9b1f52ba" localSheetId="5" hidden="1">'Estimate Uncertainty Model'!$N$66</definedName>
    <definedName name="CB_1f3848867ea746cd80b409cd87b16f00" localSheetId="7" hidden="1">'Risk Register'!$Q$6</definedName>
    <definedName name="CB_1f3eda7b48a94cd8b7b51990a33eec87" localSheetId="7" hidden="1">'Risk Register'!$P$76</definedName>
    <definedName name="CB_20cc2eacf70a4a18adb151b74ad3b168" localSheetId="5" hidden="1">'Estimate Uncertainty Model'!$N$90</definedName>
    <definedName name="CB_20d0983b306c4eed96ce3069a0bc3380" localSheetId="5" hidden="1">'Estimate Uncertainty Model'!$N$45</definedName>
    <definedName name="CB_215c1c6b8f4843a9806fa705f89506da" localSheetId="5" hidden="1">'Estimate Uncertainty Model'!$N$74</definedName>
    <definedName name="CB_22a986d218e24a4d82673c10423fb92b" localSheetId="7" hidden="1">'Risk Register'!$P$11</definedName>
    <definedName name="CB_23a431f8b1af4902a5cdcce16e17aa8d" localSheetId="9" hidden="1">'Likelihood'!$B$26</definedName>
    <definedName name="CB_242b5fa774f248f280f7b9fe80e4086a" localSheetId="5" hidden="1">'Estimate Uncertainty Model'!$N$19</definedName>
    <definedName name="CB_24f5905f0cf84f3095866937d064070b" localSheetId="7" hidden="1">'Risk Register'!$P$97</definedName>
    <definedName name="CB_250828ec027248b8bf6033bfc2bccd76" localSheetId="5" hidden="1">'Estimate Uncertainty Model'!$N$55</definedName>
    <definedName name="CB_2708beb6a75140d084bfd97a45a06964" localSheetId="7" hidden="1">'Risk Register'!$P$18</definedName>
    <definedName name="CB_282abd8eeb8b4c62915ab5b3fb6c24cd" localSheetId="5" hidden="1">'Estimate Uncertainty Model'!$N$11</definedName>
    <definedName name="CB_28d90e83ce384099a5d3340e61b3267d" localSheetId="5" hidden="1">'Estimate Uncertainty Model'!$N$178</definedName>
    <definedName name="CB_2ac29d68865f480a9b1b5b0f41f34689" localSheetId="7" hidden="1">'Risk Register'!$Q$11</definedName>
    <definedName name="CB_2ca0eef930d54e0f8be817e00ce2cd80" localSheetId="7" hidden="1">'Risk Register'!$P$43</definedName>
    <definedName name="CB_2df224050935400db94c6f27462dd763" localSheetId="7" hidden="1">'Risk Register'!$Q$33</definedName>
    <definedName name="CB_2e051ba665724e088a45e4b48bcb4679" localSheetId="7" hidden="1">'Risk Register'!$P$61</definedName>
    <definedName name="CB_2f56746132ad44deb1a68ce185ac0b06" localSheetId="7" hidden="1">'Risk Register'!$Q$23</definedName>
    <definedName name="CB_308cde7aae904730ae39ca8909e98262" localSheetId="7" hidden="1">'Risk Register'!$Q$67</definedName>
    <definedName name="CB_32a10eaf19024569992f935e65699535" localSheetId="7" hidden="1">'Risk Register'!$P$9</definedName>
    <definedName name="CB_32bbedd162e44b4aacb708b1dfa6ae87" localSheetId="5" hidden="1">'Estimate Uncertainty Model'!$N$166</definedName>
    <definedName name="CB_344a51c9682b411198dab7ca2d77d33b" localSheetId="7" hidden="1">'Risk Register'!$P$8</definedName>
    <definedName name="CB_346f577c9b0947518654f9c1cdddbc7b" localSheetId="5" hidden="1">'Estimate Uncertainty Model'!$N$118</definedName>
    <definedName name="CB_362492b414d743b38fee20ae9c9cf759" localSheetId="7" hidden="1">'Risk Register'!$Q$13</definedName>
    <definedName name="CB_36fc531956074f65a79c35e976ed8dba" localSheetId="5" hidden="1">'Estimate Uncertainty Model'!$N$3</definedName>
    <definedName name="CB_375a917967324fdcad2ff1edbc833edb" localSheetId="7" hidden="1">'Risk Register'!$Q$27</definedName>
    <definedName name="CB_378257d91639442e9c7ecf98dd9a6fdf" localSheetId="7" hidden="1">'Risk Register'!$P$12</definedName>
    <definedName name="CB_3783a369634c4271a5e6a3083f131ce8" localSheetId="5" hidden="1">'Estimate Uncertainty Model'!$N$101</definedName>
    <definedName name="CB_3799b5147ef343a7be2aa3e4b3824e16" localSheetId="7" hidden="1">'Risk Register'!$P$10</definedName>
    <definedName name="CB_38e84d5f38f348bf9162d1a5638b74ba" localSheetId="6" hidden="1">'Schedule Ranges'!$I$10</definedName>
    <definedName name="CB_390862ba7ab84ec4a2fa9317a85192be" localSheetId="7" hidden="1">'Risk Register'!$P$74</definedName>
    <definedName name="CB_394cf1c933e943769d47c99e9a1c341b" localSheetId="5" hidden="1">'Estimate Uncertainty Model'!$N$15</definedName>
    <definedName name="CB_396487d1c16f4b59b884d9c9119dcbf2" localSheetId="5" hidden="1">'Estimate Uncertainty Model'!$N$57</definedName>
    <definedName name="CB_396a1b5e9e9c45b1bf0962790fdfc011" localSheetId="7" hidden="1">'Risk Register'!$P$35</definedName>
    <definedName name="CB_39dd5f03e37e4be5b46f8ad067b2d5a7" localSheetId="7" hidden="1">'Risk Register'!$P$55</definedName>
    <definedName name="CB_3a56c45234684b1abe21aba13fee2b93" localSheetId="7" hidden="1">'Risk Register'!$P$72</definedName>
    <definedName name="CB_3b0ab6bebf61404c9b1b6c42aa190947" localSheetId="9" hidden="1">'Likelihood'!$B$24</definedName>
    <definedName name="CB_3b39806683ee4cf98f0cf4c1412d4760" localSheetId="7" hidden="1">'Risk Register'!$P$65</definedName>
    <definedName name="CB_3c1a01df4210461a9825002db4e2295c" localSheetId="5" hidden="1">'Estimate Uncertainty Model'!$N$71</definedName>
    <definedName name="CB_3c97ef21762a4e48904b55bbe7d9296a" localSheetId="5" hidden="1">'Estimate Uncertainty Model'!$N$27</definedName>
    <definedName name="CB_3d29736404e14d14b234d094e6257aaf" localSheetId="7" hidden="1">'Risk Register'!$P$36</definedName>
    <definedName name="CB_3d873b3d02db4ca586b0db1d3152010b" localSheetId="7" hidden="1">'Risk Register'!$P$83</definedName>
    <definedName name="CB_42639f45d1fb445cb51f1e2bb721e835" localSheetId="6" hidden="1">'Schedule Ranges'!$I$8</definedName>
    <definedName name="CB_42feb0c03a094f07910f9ee455040e16" localSheetId="7" hidden="1">'Risk Register'!$Q$16</definedName>
    <definedName name="CB_430521d92ba94270a62535bdecc972e4" localSheetId="5" hidden="1">'Estimate Uncertainty Model'!$N$87</definedName>
    <definedName name="CB_432c784d782743f184fdc3c34811452f" localSheetId="7" hidden="1">'Risk Register'!$S$101</definedName>
    <definedName name="CB_4365896ef53841aea9bd48a6a857f7da" localSheetId="7" hidden="1">'Risk Register'!$P$81</definedName>
    <definedName name="CB_4502fda0cf8844d4972f9e89912f6797" localSheetId="7" hidden="1">'Risk Register'!$Q$47</definedName>
    <definedName name="CB_4543a15062e442eea9793ca7135af4f4" localSheetId="5" hidden="1">'Estimate Uncertainty Model'!$N$110</definedName>
    <definedName name="CB_45550be136894eeaba0eb5e717427a0a" localSheetId="7" hidden="1">'Risk Register'!$P$45</definedName>
    <definedName name="CB_458a541ca1a0433dbc1d088719d6438b" localSheetId="7" hidden="1">'Risk Register'!$P$54</definedName>
    <definedName name="CB_4634edd84db7462db13b650b6463e5d0" localSheetId="7" hidden="1">'Risk Register'!$P$77</definedName>
    <definedName name="CB_4656fab3820d43d89ecd03abde236186" localSheetId="7" hidden="1">'Risk Register'!$Q$79</definedName>
    <definedName name="CB_46ce538ac0d445ddb457f479d84efb94" localSheetId="5" hidden="1">'Estimate Uncertainty Model'!$N$163</definedName>
    <definedName name="CB_46dcd2644bc143aea94fc47f2200e220" localSheetId="7" hidden="1">'Risk Register'!$Q$30</definedName>
    <definedName name="CB_47071ba097a04a5f9b6ba83ba9e0f2a1" localSheetId="7" hidden="1">'Risk Register'!$P$23</definedName>
    <definedName name="CB_486208a8126b498692527aba72553ee6" localSheetId="5" hidden="1">'Estimate Uncertainty Model'!$N$84</definedName>
    <definedName name="CB_492853d6eb9a48c68761958866ec8d85" localSheetId="6" hidden="1">'Schedule Ranges'!#REF!</definedName>
    <definedName name="CB_4a4d637227bf49029192a0b471300848" localSheetId="5" hidden="1">'Estimate Uncertainty Model'!$N$91</definedName>
    <definedName name="CB_4ac9bd8969fb456ea2fe507f6e6f3077" localSheetId="5" hidden="1">'Estimate Uncertainty Model'!$N$130</definedName>
    <definedName name="CB_4ddfaaf4f53e45c0a75c9ba92796f8d5" localSheetId="5" hidden="1">'Estimate Uncertainty Model'!$N$32</definedName>
    <definedName name="CB_4e3bb6adaac8488e85e652c0a93722ef" localSheetId="9" hidden="1">'Likelihood'!$B$27</definedName>
    <definedName name="CB_4e98e338028f4127afaeda81e5844f9d" localSheetId="7" hidden="1">'Risk Register'!$Q$18</definedName>
    <definedName name="CB_5000c9b1de484417ae3c451f57cbe610" localSheetId="5" hidden="1">'Estimate Uncertainty Model'!$N$13</definedName>
    <definedName name="CB_50fa548db76a42368e3b970f511ef244" localSheetId="7" hidden="1">'Risk Register'!$Q$34</definedName>
    <definedName name="CB_52eb1aaec19d4016aadca1bb51825fb0" localSheetId="0" hidden="1">#N/A</definedName>
    <definedName name="CB_56254a1c2e424516b6cb66329d1fee67" localSheetId="7" hidden="1">'Risk Register'!$Q$94</definedName>
    <definedName name="CB_56837b037767439fb05bb4778a3f689b" localSheetId="7" hidden="1">'Risk Register'!$P$59</definedName>
    <definedName name="CB_56d1b17f1ead46bbaf0fccad90d9242f" localSheetId="5" hidden="1">'Estimate Uncertainty Model'!$N$112</definedName>
    <definedName name="CB_576bf10e90354042bd4dca3e66784e0f" localSheetId="7" hidden="1">'Risk Register'!$P$29</definedName>
    <definedName name="CB_57e6e8ee973e449486e075c01b68273b" localSheetId="5" hidden="1">'Estimate Uncertainty Model'!$N$161</definedName>
    <definedName name="CB_5a70668650fd482f8a354de4ecebb629" localSheetId="7" hidden="1">'Risk Register'!$P$5</definedName>
    <definedName name="CB_5abf77d2cc9d49678743c18b200a24bd" localSheetId="5" hidden="1">'Estimate Uncertainty Model'!$N$83</definedName>
    <definedName name="CB_5b61d9e343a647e1a1db57e9c5986cc8" localSheetId="5" hidden="1">'Estimate Uncertainty Model'!$N$129</definedName>
    <definedName name="CB_5e742eec54df441abd805f088a6e6925" localSheetId="7" hidden="1">'Risk Register'!$Q$54</definedName>
    <definedName name="CB_5f74056596f64b58aed478bda76c17db" localSheetId="7" hidden="1">'Risk Register'!$Q$66</definedName>
    <definedName name="CB_604e2eaa966e4c75b09af14c569bfa64" localSheetId="7" hidden="1">'Risk Register'!$Q$86</definedName>
    <definedName name="CB_61acdd2991f24977ba53bee06e3e43ea" localSheetId="5" hidden="1">'Estimate Uncertainty Model'!$N$93</definedName>
    <definedName name="CB_62ad1dd9ded945c3ba9edfd031c7f2cb" localSheetId="7" hidden="1">'Risk Register'!$Q$64</definedName>
    <definedName name="CB_64227710ae7d43cd817ef5d6eb058f17" localSheetId="5" hidden="1">'Estimate Uncertainty Model'!$N$114</definedName>
    <definedName name="CB_643c0a4a27774f99a868963de82d5aa2" localSheetId="5" hidden="1">'Estimate Uncertainty Model'!$N$63</definedName>
    <definedName name="CB_6449f98647a945988a5254e1b231fcc2" localSheetId="7" hidden="1">'Risk Register'!$P$53</definedName>
    <definedName name="CB_646be934a1ac468abc86fb86f0992dd7" localSheetId="7" hidden="1">'Risk Register'!$Q$7</definedName>
    <definedName name="CB_67ca80491fe9453fb931ba0ffd7f060d" localSheetId="7" hidden="1">'Risk Register'!$P$86</definedName>
    <definedName name="CB_6930a0a1a4a5457d860be68fd0c20ea1" localSheetId="9" hidden="1">'Likelihood'!$B$28</definedName>
    <definedName name="CB_69dfb64b8ebe4235b5400f39b9196603" localSheetId="5" hidden="1">'Estimate Uncertainty Model'!$N$97</definedName>
    <definedName name="CB_6a5d08d033804edab5377a63ff75ea2d" localSheetId="7" hidden="1">'Risk Register'!$P$31</definedName>
    <definedName name="CB_6d9ac49e74014ecfb061199f7a7e30ef" localSheetId="7" hidden="1">'Risk Register'!$P$71</definedName>
    <definedName name="CB_6e7fa9a85b8f4b4cafa8ed1304b46fe8" localSheetId="7" hidden="1">'Risk Register'!$Q$71</definedName>
    <definedName name="CB_70a015b247424f50a8cedad1986731bc" localSheetId="7" hidden="1">'Risk Register'!$P$37</definedName>
    <definedName name="CB_70ae19b6cacb41afa960c92da574599b" localSheetId="7" hidden="1">'Risk Register'!$P$47</definedName>
    <definedName name="CB_70e186cdfeb14a28a76bdd57565dec2a" localSheetId="5" hidden="1">'Estimate Uncertainty Model'!$N$122</definedName>
    <definedName name="CB_718ea09ff8f84ddda55fcbc846f62c9b" localSheetId="5" hidden="1">'Estimate Uncertainty Model'!$N$172</definedName>
    <definedName name="CB_720e538c2b4d4ea99b02efcfcfceca76" localSheetId="5" hidden="1">'Estimate Uncertainty Model'!$N$92</definedName>
    <definedName name="CB_7247890fb14c4f35b3629e6392b85a22" localSheetId="9" hidden="1">'Likelihood'!$B$25</definedName>
    <definedName name="CB_728f8d998c53434686dcccbf256064ee" localSheetId="5" hidden="1">'Estimate Uncertainty Model'!$N$26</definedName>
    <definedName name="CB_736163924e2a4ad89dda3ef741c30c58" localSheetId="7" hidden="1">'Risk Register'!$Q$40</definedName>
    <definedName name="CB_73abbf6bd548457187f9c70c662e9749" localSheetId="5" hidden="1">'Estimate Uncertainty Model'!$N$121</definedName>
    <definedName name="CB_73ad9e56302649f7ad1e591a12bc4b32" localSheetId="7" hidden="1">'Risk Register'!$Q$41</definedName>
    <definedName name="CB_73c7973428434c07b56c0cff48dcdfb3" localSheetId="7" hidden="1">'Risk Register'!$P$44</definedName>
    <definedName name="CB_741ecb5955b44f52aa138b3ce2ed50c6" localSheetId="5" hidden="1">'Estimate Uncertainty Model'!$N$165</definedName>
    <definedName name="CB_750db7785950491895283974b0721856" localSheetId="5" hidden="1">'Estimate Uncertainty Model'!$N$89</definedName>
    <definedName name="CB_7554ab7ce91843728c7992579ad68b1f" localSheetId="7" hidden="1">'Risk Register'!$Q$24</definedName>
    <definedName name="CB_76ddd37ff1b44964b2d7916ca73e0da3" localSheetId="7" hidden="1">'Risk Register'!$Q$56</definedName>
    <definedName name="CB_787f2ed5414641568d0a164fd51bbee8" localSheetId="5" hidden="1">'Estimate Uncertainty Model'!$N$44</definedName>
    <definedName name="CB_79df276bc96f40f5886308e15b2577da" localSheetId="5" hidden="1">'Estimate Uncertainty Model'!$N$16</definedName>
    <definedName name="CB_7a2210ec993c40a0b8abbdad5e9fb7e5" localSheetId="5" hidden="1">'Estimate Uncertainty Model'!$N$28</definedName>
    <definedName name="CB_7a4f9950c2634be197a669911411b988" localSheetId="5" hidden="1">'Estimate Uncertainty Model'!$N$120</definedName>
    <definedName name="CB_7bde2f9dd36148a0b81fbfc4807cb634" localSheetId="7" hidden="1">'Risk Register'!$P$14</definedName>
    <definedName name="CB_7c07c6316a73453eb1fa785ec496993b" localSheetId="7" hidden="1">'Risk Register'!$P$21</definedName>
    <definedName name="CB_7d42a690b37e4b5396dd1e6f1764efad" localSheetId="7" hidden="1">'Risk Register'!$Q$61</definedName>
    <definedName name="CB_7e01c6d1a70c45e881bc9624acc13a57" localSheetId="0" hidden="1">#N/A</definedName>
    <definedName name="CB_7e04d19232ee42458d28c8612fea7ba6" localSheetId="7" hidden="1">'Risk Register'!$Q$96</definedName>
    <definedName name="CB_7f647ed61b434c65aa4916b815ab2d74" localSheetId="6" hidden="1">'Schedule Ranges'!$I$11</definedName>
    <definedName name="CB_7fff54dd97cb486ca1e1fade9b1346c9" localSheetId="7" hidden="1">'Risk Register'!$P$34</definedName>
    <definedName name="CB_801aeb8d337a458fa59c34e64e511a66" localSheetId="7" hidden="1">'Risk Register'!$Q$98</definedName>
    <definedName name="CB_80520da1215f482f8bcb3250d9abf7f5" localSheetId="7" hidden="1">'Risk Register'!$Q$80</definedName>
    <definedName name="CB_80a60433080e4bcab5ab48a24a236d6f" localSheetId="7" hidden="1">'Risk Register'!$P$66</definedName>
    <definedName name="CB_80ffd4e112ba41bfb97c6cd62ebcac4b" localSheetId="7" hidden="1">'Risk Register'!$Q$20</definedName>
    <definedName name="CB_8108019026b347669564bbef5f064d7e" localSheetId="5" hidden="1">'Estimate Uncertainty Model'!$N$59</definedName>
    <definedName name="CB_8265a6489bf742a2acf8f0269f74e143" localSheetId="5" hidden="1">'Estimate Uncertainty Model'!$N$117</definedName>
    <definedName name="CB_82a56305280b4230b27df117e16a41c8" localSheetId="7" hidden="1">'Risk Register'!$P$42</definedName>
    <definedName name="CB_840f0d1e53af4652bfd8f20716985c98" localSheetId="5" hidden="1">'Estimate Uncertainty Model'!$N$29</definedName>
    <definedName name="CB_8473d7ef3f6e45048f0d0b0525f3e169" localSheetId="7" hidden="1">'Risk Register'!$Q$58</definedName>
    <definedName name="CB_89a5388bd458499384287441c1aafccb" localSheetId="5" hidden="1">'Estimate Uncertainty Model'!$N$111</definedName>
    <definedName name="CB_8a06542c0797467585641ffc2aa60244" localSheetId="7" hidden="1">'Risk Register'!$Q$12</definedName>
    <definedName name="CB_8a4511a702c24541b4b703c3437a0dfc" localSheetId="5" hidden="1">'Estimate Uncertainty Model'!$N$170</definedName>
    <definedName name="CB_8a9ac02112504a00b2c446accb0fb524" localSheetId="5" hidden="1">'Estimate Uncertainty Model'!$N$164</definedName>
    <definedName name="CB_8bf1f48fa3734c61858b04d4d8a70e8b" localSheetId="5" hidden="1">'Estimate Uncertainty Model'!$N$116</definedName>
    <definedName name="CB_8d8dbc54ffcf41cda331539fb28ad611" localSheetId="7" hidden="1">'Risk Register'!$P$57</definedName>
    <definedName name="CB_8e0b95f3e24a45daaea3af3c5e65e8e3" localSheetId="7" hidden="1">'Risk Register'!$Q$51</definedName>
    <definedName name="CB_8f537f5d85a54b0385bb165573095b55" localSheetId="7" hidden="1">'Risk Register'!$Q$36</definedName>
    <definedName name="CB_8f8a73acf30546f7b4b1dac44c832eb3" localSheetId="7" hidden="1">'Risk Register'!$Q$97</definedName>
    <definedName name="CB_91015f30508f412dbf9c66b6424bf753" localSheetId="7" hidden="1">'Risk Register'!$Q$55</definedName>
    <definedName name="CB_91486fea80b84296a65ba9e1f6c78c13" localSheetId="5" hidden="1">'Estimate Uncertainty Model'!$N$68</definedName>
    <definedName name="CB_91dcb81f838248378ab55fa3382f2dad" localSheetId="5" hidden="1">'Estimate Uncertainty Model'!$N$56</definedName>
    <definedName name="CB_93ab3ad0082a4df9a390e592bd5b621c" localSheetId="0" hidden="1">#N/A</definedName>
    <definedName name="CB_957c221f89e14d4c99fa7c5a683cf6a1" localSheetId="7" hidden="1">'Risk Register'!$P$80</definedName>
    <definedName name="CB_983fedf93b2c4a11910b36101328ddfb" localSheetId="5" hidden="1">'Estimate Uncertainty Model'!$N$123</definedName>
    <definedName name="CB_98ee1d47a4d04ca3a9dea8689c96fc2f" localSheetId="7" hidden="1">'Risk Register'!$Q$82</definedName>
    <definedName name="CB_99a0a5f41bac46f696489af17471fe69" localSheetId="7" hidden="1">'Risk Register'!$Q$26</definedName>
    <definedName name="CB_99ef6459d80f4b78b7c5202ffa188138" localSheetId="5" hidden="1">'Estimate Uncertainty Model'!$N$113</definedName>
    <definedName name="CB_9a11e2a06f0047ea925e1a2ba2276e9f" localSheetId="7" hidden="1">'Risk Register'!$Q$28</definedName>
    <definedName name="CB_9abb73d855694f4583329f5f88699491" localSheetId="5" hidden="1">'Estimate Uncertainty Model'!$N$41</definedName>
    <definedName name="CB_9b0077a99545441db1e81bbfe29c750a" localSheetId="7" hidden="1">'Risk Register'!$P$56</definedName>
    <definedName name="CB_9c2c2d26d2b844e2a4446a2fb662b665" localSheetId="5" hidden="1">'Estimate Uncertainty Model'!$N$37</definedName>
    <definedName name="CB_9d406c9013e543049ec1dff4b93656a5" localSheetId="7" hidden="1">'Risk Register'!$Q$57</definedName>
    <definedName name="CB_9da6796174974fa7a3f08f1c480261f5" localSheetId="7" hidden="1">'Risk Register'!$Q$75</definedName>
    <definedName name="CB_9e156969c7aa4bb88c02ed64fdbbb203" localSheetId="7" hidden="1">'Risk Register'!$Q$89</definedName>
    <definedName name="CB_9f9d9ef8b1db4f978f2e8ee5d9ce36bc" localSheetId="7" hidden="1">'Risk Register'!$P$89</definedName>
    <definedName name="CB_a072ff95921542bab2bc164a66559afc" localSheetId="5" hidden="1">'Estimate Uncertainty Model'!$N$62</definedName>
    <definedName name="CB_a0e04e6905e048f182be01944e22845d" localSheetId="7" hidden="1">'Risk Register'!$P$26</definedName>
    <definedName name="CB_a3be75e7681f40a8b830d7db48a53a25" localSheetId="5" hidden="1">'Estimate Uncertainty Model'!$N$65</definedName>
    <definedName name="CB_a582163996234ae4bc75cc411feb9b29" localSheetId="7" hidden="1">'Risk Register'!$Q$37</definedName>
    <definedName name="CB_a5bd09ba25f1404a96532f70e60ca574" localSheetId="5" hidden="1">'Estimate Uncertainty Model'!$N$86</definedName>
    <definedName name="CB_a6e521336c314a1abe1d852459811a28" localSheetId="5" hidden="1">'Estimate Uncertainty Model'!$N$64</definedName>
    <definedName name="CB_a7c108e4c3b444519435dbcde856e398" localSheetId="7" hidden="1">'Risk Register'!$Q$74</definedName>
    <definedName name="CB_a863d94822b74578bde95e5c70922287" localSheetId="5" hidden="1">'Estimate Uncertainty Model'!$N$134</definedName>
    <definedName name="CB_a8a8763f417e4c089cce48e31701129b" localSheetId="7" hidden="1">'Risk Register'!$P$51</definedName>
    <definedName name="CB_aa2b26f609274fcda439e433042acf5d" localSheetId="7" hidden="1">'Risk Register'!$P$20</definedName>
    <definedName name="CB_aa54e5c758314aceb71911afc099b1ce" localSheetId="5" hidden="1">'Estimate Uncertainty Model'!$N$69</definedName>
    <definedName name="CB_abb6996c760d4999ac1347f0ba91d3fe" localSheetId="5" hidden="1">'Estimate Uncertainty Model'!$N$96</definedName>
    <definedName name="CB_acbea53ed7134e169a3fe0b4568485ca" localSheetId="7" hidden="1">'Risk Register'!$Q$8</definedName>
    <definedName name="CB_ad71f508fa2247548e52540da5e557c9" localSheetId="5" hidden="1">'Estimate Uncertainty Model'!$N$133</definedName>
    <definedName name="CB_aeebc4280131420fb833c471cf145b29" localSheetId="5" hidden="1">'Estimate Uncertainty Model'!$N$131</definedName>
    <definedName name="CB_b00d24929e1d44bea2614249877169b1" localSheetId="7" hidden="1">'Risk Register'!$P$75</definedName>
    <definedName name="CB_b1e5eba5cd324bb187974015edef4385" localSheetId="7" hidden="1">'Risk Register'!$Q$53</definedName>
    <definedName name="CB_b498f3cc50624a36ba2b0485526e6c55" localSheetId="7" hidden="1">'Risk Register'!$P$69</definedName>
    <definedName name="CB_b58c29076edc4d4492b7041019c6bc97" localSheetId="5" hidden="1">'Estimate Uncertainty Model'!$N$103</definedName>
    <definedName name="CB_b5ef4700bad8464a86feac55a3d162b1" localSheetId="7" hidden="1">'Risk Register'!$Q$99</definedName>
    <definedName name="CB_b60438c035a741baad82174c17971dc5" localSheetId="7" hidden="1">'Risk Register'!$Q$95</definedName>
    <definedName name="CB_b679027bb17943cc9b65c46f5e9cb5ba" localSheetId="7" hidden="1">'Risk Register'!$Q$63</definedName>
    <definedName name="CB_b6d3f3186e934c7d80b6468812e7083f" localSheetId="5" hidden="1">'Estimate Uncertainty Model'!$N$60</definedName>
    <definedName name="CB_b9698be24e51494fae2b9628d6eeebc3" localSheetId="5" hidden="1">'Estimate Uncertainty Model'!$N$67</definedName>
    <definedName name="CB_b9ecc3e8b8eb40259f9688535340a4eb" localSheetId="7" hidden="1">'Risk Register'!$Q$77</definedName>
    <definedName name="CB_bad8bdf36b9643409cf31ab4aa64e762" localSheetId="7" hidden="1">'Risk Register'!$Q$44</definedName>
    <definedName name="CB_baf721fc237149e0a3bf952c23b0771b" localSheetId="7" hidden="1">'Risk Register'!$Q$83</definedName>
    <definedName name="CB_bbb248c51d7a4af6b0ba066031c10862" localSheetId="5" hidden="1">'Estimate Uncertainty Model'!$N$72</definedName>
    <definedName name="CB_bc6e560d04434689af867895a2a83fb8" localSheetId="5" hidden="1">'Estimate Uncertainty Model'!$N$119</definedName>
    <definedName name="CB_bc8ccc0d08ac412cacbd927e792d02dd" localSheetId="7" hidden="1">'Risk Register'!$Q$72</definedName>
    <definedName name="CB_bdc4c0d933084c4e9c2855c5c1a62b66" localSheetId="5" hidden="1">'Estimate Uncertainty Model'!$N$102</definedName>
    <definedName name="CB_be3a9a4cbf454b9296df59619648c8bb" localSheetId="5" hidden="1">'Estimate Uncertainty Model'!$N$105</definedName>
    <definedName name="CB_be476fff3f1942e6a8c057a3dc64d6b0" localSheetId="5" hidden="1">'Estimate Uncertainty Model'!$N$70</definedName>
    <definedName name="CB_be73d7f064e04ecfa25f2e94505710b1" localSheetId="7" hidden="1">'Risk Register'!$Q$81</definedName>
    <definedName name="CB_bf2479410ea74dfeb4b7c2b420601673" localSheetId="5" hidden="1">'Estimate Uncertainty Model'!$N$42</definedName>
    <definedName name="CB_c1ac97d74adf4bdf968e1a18aa22c35c" localSheetId="5" hidden="1">'Estimate Uncertainty Model'!$N$126</definedName>
    <definedName name="CB_c2e4c46197854c8ca3192fbe18aba059" localSheetId="7" hidden="1">'Risk Register'!$Q$45</definedName>
    <definedName name="CB_c33ddee0f19c4f668df1b1f0504c2c4a" localSheetId="7" hidden="1">'Risk Register'!$P$78</definedName>
    <definedName name="CB_c433ccc1cd154e1aa26b0cf4df508525" localSheetId="7" hidden="1">'Risk Register'!$Q$31</definedName>
    <definedName name="CB_c4af399a65ad4d9b8516e5d64ef6947f" localSheetId="7" hidden="1">'Risk Register'!$P$27</definedName>
    <definedName name="CB_c5113e0cd8444e21af2bf777b0900896" localSheetId="5" hidden="1">'Estimate Uncertainty Model'!$N$88</definedName>
    <definedName name="CB_c6071e72886445c5b559b9fc5b7dbc46" localSheetId="5" hidden="1">'Estimate Uncertainty Model'!$N$171</definedName>
    <definedName name="CB_c6cc2e0733374969b87b9533c25a11fb" localSheetId="7" hidden="1">'Risk Register'!$P$48</definedName>
    <definedName name="CB_c7c203ddd43643b4a30e22d2dda0cf04" localSheetId="7" hidden="1">'Risk Register'!$P$33</definedName>
    <definedName name="CB_cab4625041154ec9b3899a5399846edb" localSheetId="5" hidden="1">'Estimate Uncertainty Model'!$N$128</definedName>
    <definedName name="CB_cbf2ea7eec1a44a1ad27d595464711d4" localSheetId="5" hidden="1">'Estimate Uncertainty Model'!$N$176</definedName>
    <definedName name="CB_cc5df10b3e97485687ec1926027fac7f" localSheetId="6" hidden="1">'Schedule Ranges'!$I$6</definedName>
    <definedName name="CB_ccd1c8a7638f4d4cb407553844502951" localSheetId="7" hidden="1">'Risk Register'!$P$6</definedName>
    <definedName name="CB_cd997f2001814c81b579d4e6bea358d1" localSheetId="5" hidden="1">'Estimate Uncertainty Model'!$N$61</definedName>
    <definedName name="CB_ce0ce4d24f3d470a8699205cac8d569e" localSheetId="7" hidden="1">'Risk Register'!$Q$43</definedName>
    <definedName name="CB_cf0f98194998454d80d26464f75b1a3b" localSheetId="0" hidden="1">#N/A</definedName>
    <definedName name="CB_d07ebccfa8d548b3a37006e70bbc526a" localSheetId="7" hidden="1">'Risk Register'!$P$99</definedName>
    <definedName name="CB_d0b53f28a4ab4b2aac2a2fa3fc41dd15" localSheetId="7" hidden="1">'Risk Register'!$P$40</definedName>
    <definedName name="CB_d0dbf9cc48064fbab05ab30b0a4cc8ca" localSheetId="6" hidden="1">'Schedule Ranges'!$J$14</definedName>
    <definedName name="CB_d0fccb5e2bb847e09b6ed74573dbcc00" localSheetId="7" hidden="1">'Risk Register'!$Q$46</definedName>
    <definedName name="CB_d35d0034557544e4b282b5c66058579f" localSheetId="7" hidden="1">'Risk Register'!$Q$88</definedName>
    <definedName name="CB_d4626235cd384934a202c99ff8ebe6a7" localSheetId="7" hidden="1">'Risk Register'!$Q$35</definedName>
    <definedName name="CB_d4a596fd8376406e8b4353fced9e5a92" localSheetId="7" hidden="1">'Risk Register'!$Q$9</definedName>
    <definedName name="CB_d764bc5228e04ead880238826b7fb8e0" localSheetId="6" hidden="1">'Schedule Ranges'!$I$12</definedName>
    <definedName name="CB_d76a494d481e430983293e877cd8b6b6" localSheetId="5" hidden="1">'Estimate Uncertainty Model'!$N$39</definedName>
    <definedName name="CB_d7a8bf2067a84630bb4aa8de70e2e41b" localSheetId="5" hidden="1">'Estimate Uncertainty Model'!$N$95</definedName>
    <definedName name="CB_d7b3b8ee688b41f79e87a19fcac44aeb" localSheetId="7" hidden="1">'Risk Register'!$Q$87</definedName>
    <definedName name="CB_d7f0bc225dc84c63bfccdf20ff20e3d0" localSheetId="7" hidden="1">'Risk Register'!$P$58</definedName>
    <definedName name="CB_d9bf7ac27e1e48058c89efab5894e671" localSheetId="7" hidden="1">'Risk Register'!$Q$73</definedName>
    <definedName name="CB_d9e9d60c2a0f45ec9e58039d214f1d08" localSheetId="5" hidden="1">'Estimate Uncertainty Model'!$N$132</definedName>
    <definedName name="CB_db18343e9a5b4bc6b9576c7e266e4923" localSheetId="7" hidden="1">'Risk Register'!$P$16</definedName>
    <definedName name="CB_db69e0db8ba948e6af512753983cdf92" localSheetId="7" hidden="1">'Risk Register'!$P$88</definedName>
    <definedName name="CB_dcb3b6d7abc64e079c2533e41b29b7c0" localSheetId="5" hidden="1">'Estimate Uncertainty Model'!$N$22</definedName>
    <definedName name="CB_dd8b83085dd94432af3759ae09009ade" localSheetId="5" hidden="1">'Estimate Uncertainty Model'!$N$43</definedName>
    <definedName name="CB_dd96b646acf8443eb1ed3b4c3266d7ce" localSheetId="5" hidden="1">'Estimate Uncertainty Model'!$N$10</definedName>
    <definedName name="CB_de6f12b238e840cca4ed9cdcc4ede788" localSheetId="5" hidden="1">'Estimate Uncertainty Model'!$N$99</definedName>
    <definedName name="CB_dfa9a7f9c35e4569adc526add95a9fc0" localSheetId="7" hidden="1">'Risk Register'!$Q$48</definedName>
    <definedName name="CB_e001f31f7a934a7f8f5e0271b9c7ce01" localSheetId="5" hidden="1">'Estimate Uncertainty Model'!$N$106</definedName>
    <definedName name="CB_e038e23a30664397b68bfff31e383de6" localSheetId="7" hidden="1">'Risk Register'!$Q$25</definedName>
    <definedName name="CB_e130739c20164ddd8bf9c4fbaa29c18e" localSheetId="7" hidden="1">'Risk Register'!$Q$76</definedName>
    <definedName name="CB_e263d5fd5c864d17aa1ab00736c995f4" localSheetId="5" hidden="1">'Estimate Uncertainty Model'!$N$40</definedName>
    <definedName name="CB_e2807d79762148bf88c953a767a37ef6" localSheetId="7" hidden="1">'Risk Register'!$P$87</definedName>
    <definedName name="CB_e2ad7f23635d46f3804894d040f59efc" localSheetId="7" hidden="1">'Risk Register'!$Q$52</definedName>
    <definedName name="CB_e3f7c3ac84754cd89d94690ed2dc5275" localSheetId="5" hidden="1">'Estimate Uncertainty Model'!$N$80</definedName>
    <definedName name="CB_e5e4654d64c0499299cbdcfd1178a962" localSheetId="7" hidden="1">'Risk Register'!$Q$69</definedName>
    <definedName name="CB_e82148b637bb475d9ad73af4bbed02f0" localSheetId="7" hidden="1">'Risk Register'!$P$38</definedName>
    <definedName name="CB_eae762c3ff254847a33febc4b81480a4" localSheetId="7" hidden="1">'Risk Register'!$P$63</definedName>
    <definedName name="CB_ebb7c21238f842abbb48cd4f198304bc" localSheetId="7" hidden="1">'Risk Register'!$P$7</definedName>
    <definedName name="CB_eda45e9d7011462a8a27b44a565143ff" localSheetId="5" hidden="1">'Estimate Uncertainty Model'!$N$94</definedName>
    <definedName name="CB_eda86b41329941dab8396a08c1dbcc54" localSheetId="5" hidden="1">'Estimate Uncertainty Model'!$N$115</definedName>
    <definedName name="CB_ee425b54dbf84ce28ac5e7c0902adb27" localSheetId="7" hidden="1">'Risk Register'!$Q$78</definedName>
    <definedName name="CB_eeaf3bbc3262436ea7b8c32ac99f70ac" localSheetId="7" hidden="1">'Risk Register'!$P$19</definedName>
    <definedName name="CB_eed8ef86d85146689e23bc4908455e0b" localSheetId="7" hidden="1">'Risk Register'!$Q$17</definedName>
    <definedName name="CB_efefb5f14015445281cfb5b37e886c54" localSheetId="7" hidden="1">'Risk Register'!$Q$62</definedName>
    <definedName name="CB_eff2636be71f4fafbb7ded11043fd279" localSheetId="7" hidden="1">'Risk Register'!$P$85</definedName>
    <definedName name="CB_f2ef564808ec49a7a3aad111745e69b6" localSheetId="7" hidden="1">'Risk Register'!$P$24</definedName>
    <definedName name="CB_f595bf9c37854b3092b486ebac338cef" localSheetId="7" hidden="1">'Risk Register'!$R$101</definedName>
    <definedName name="CB_f5975dd10f4742b4b33d2fb3c0bb855c" localSheetId="5" hidden="1">'Estimate Uncertainty Model'!$N$51</definedName>
    <definedName name="CB_f5f7c3b58e934df5acc69ddda6caae6f" localSheetId="5" hidden="1">'Estimate Uncertainty Model'!$N$38</definedName>
    <definedName name="CB_f756d5d94d624b48b85c05d89f42c7a9" localSheetId="7" hidden="1">'Risk Register'!$P$13</definedName>
    <definedName name="CB_f7eb124880a64b598a85d7f52c80c663" localSheetId="6" hidden="1">'Schedule Ranges'!$I$9</definedName>
    <definedName name="CB_f88da01ae0244b29bdf1c842fefa9750" localSheetId="7" hidden="1">'Risk Register'!$Q$59</definedName>
    <definedName name="CB_f960cd110cbe4c8d9d312582524031dd" localSheetId="6" hidden="1">'Schedule Ranges'!$K$14</definedName>
    <definedName name="CB_faf754be88c4448babefcb342ea2371c" localSheetId="7" hidden="1">'Risk Register'!$P$28</definedName>
    <definedName name="CB_fafa6cda6a4e4844bc1997e69fb8c767" localSheetId="7" hidden="1">'Risk Register'!$P$41</definedName>
    <definedName name="CB_fb0c0d41551b429ea00114fa27e85996" localSheetId="7" hidden="1">'Risk Register'!$P$94</definedName>
    <definedName name="CB_fbfe741b5f304d168c7b1d1d8c9a531d" localSheetId="7" hidden="1">'Risk Register'!$Q$29</definedName>
    <definedName name="CB_fd011ce28ace4b3f990476198edf41a4" localSheetId="5" hidden="1">'Estimate Uncertainty Model'!$N$79</definedName>
    <definedName name="CB_fdc97542e19641239aa4a96f43715c86" localSheetId="5" hidden="1">'Estimate Uncertainty Model'!$N$18</definedName>
    <definedName name="CB_fdfb5f9a926644b8acc9ac2b185ca4b5" localSheetId="5" hidden="1">'Estimate Uncertainty Model'!$N$160</definedName>
    <definedName name="CB_fe9c1892ee464238b0cd3a1c4a33c1b3" localSheetId="5" hidden="1">'Estimate Uncertainty Model'!$N$127</definedName>
    <definedName name="CB_ff74ca9abe714c1085a8ef10b97241a6" localSheetId="7" hidden="1">'Risk Register'!$Q$5</definedName>
    <definedName name="CBCR_0082c64d798a45e587d24dc7e320bb61" localSheetId="5" hidden="1">'Estimate Uncertainty Model'!$M$69</definedName>
    <definedName name="CBCR_00e98ee4573a427a94f53bd5c07f2366" localSheetId="5" hidden="1">'Estimate Uncertainty Model'!$L$100</definedName>
    <definedName name="CBCR_01d4db7162e0413394f0fb5d5bdaed15" localSheetId="7" hidden="1">'Risk Register'!$P$45</definedName>
    <definedName name="CBCR_0227a5f1989a4b5185578078f38508c8" localSheetId="5" hidden="1">'Estimate Uncertainty Model'!$L$129</definedName>
    <definedName name="CBCR_0239c96baea847908d0125fa9241c387" localSheetId="5" hidden="1">'Estimate Uncertainty Model'!$M$41</definedName>
    <definedName name="CBCR_037e5ec780574300abfae682b7761b5c" localSheetId="5" hidden="1">'Estimate Uncertainty Model'!$M$122</definedName>
    <definedName name="CBCR_0423cccf1bc9431badff86234fd03503" localSheetId="5" hidden="1">'Estimate Uncertainty Model'!$M$110</definedName>
    <definedName name="CBCR_04a98c784cee4563a53ce1b7f6efde9b" localSheetId="5" hidden="1">'Estimate Uncertainty Model'!$K$91</definedName>
    <definedName name="CBCR_04c2fbe87d0e452d820549a5717cdafc" localSheetId="5" hidden="1">'Estimate Uncertainty Model'!$M$32</definedName>
    <definedName name="CBCR_05159b2d86774f399a8914bdead8d539" localSheetId="5" hidden="1">'Estimate Uncertainty Model'!$K$86</definedName>
    <definedName name="CBCR_0559a24fc4ca462f96e9332d296279c8" localSheetId="5" hidden="1">'Estimate Uncertainty Model'!$L$51</definedName>
    <definedName name="CBCR_05606d7a80194060b70eee0daa4e3d32" localSheetId="5" hidden="1">'Estimate Uncertainty Model'!$F$18</definedName>
    <definedName name="CBCR_066349f88bde4279adbef7eba9378d5c" localSheetId="5" hidden="1">'Estimate Uncertainty Model'!$K$84</definedName>
    <definedName name="CBCR_06a5bca93e6847128c5bf064c5d93bf3" localSheetId="5" hidden="1">'Estimate Uncertainty Model'!$L$80</definedName>
    <definedName name="CBCR_06d8a31837c942bab02ce23d667366da" localSheetId="7" hidden="1">'Risk Register'!$P$94</definedName>
    <definedName name="CBCR_07c52d502e1b4940961eccb0fbde03a3" localSheetId="7" hidden="1">'Risk Register'!$A$5</definedName>
    <definedName name="CBCR_08040eab24174dd3b36456f04c7b5a89" localSheetId="5" hidden="1">'Estimate Uncertainty Model'!$L$161</definedName>
    <definedName name="CBCR_0809ff6970074db888c84a9de745cdd4" localSheetId="7" hidden="1">'Risk Register'!$P$63</definedName>
    <definedName name="CBCR_08e0e5a41dfe4d56b1400b87d2bc9e74" localSheetId="5" hidden="1">'Estimate Uncertainty Model'!$L$125</definedName>
    <definedName name="CBCR_092f59e2648f4a96ab0e116d5a98ce9b" localSheetId="5" hidden="1">'Estimate Uncertainty Model'!$M$125</definedName>
    <definedName name="CBCR_09a06202a4474abe85792c2fe96cb790" localSheetId="5" hidden="1">'Estimate Uncertainty Model'!$L$167</definedName>
    <definedName name="CBCR_0b6d11dea4534bff8259638dfad6597b" localSheetId="5" hidden="1">'Estimate Uncertainty Model'!$L$113</definedName>
    <definedName name="CBCR_0ba32ec11c004fab8358c916e1cec9f2" localSheetId="7" hidden="1">'Risk Register'!$A$96</definedName>
    <definedName name="CBCR_0cbdb755a1db4554a4d41b98579a3886" localSheetId="6" hidden="1">'Schedule Ranges'!$E$9</definedName>
    <definedName name="CBCR_0d5a9854d3a740198708d3fc6a2690ab" localSheetId="5" hidden="1">'Estimate Uncertainty Model'!$K$56</definedName>
    <definedName name="CBCR_0dba03b9b80740ce95acafa3116d9604" localSheetId="5" hidden="1">'Estimate Uncertainty Model'!$F$118</definedName>
    <definedName name="CBCR_0ecbf437967843218d3af8a8d06ed37d" localSheetId="5" hidden="1">'Estimate Uncertainty Model'!$M$61</definedName>
    <definedName name="CBCR_0efc1ac7dc41481ea85c44c083d0c99a" localSheetId="5" hidden="1">'Estimate Uncertainty Model'!$F$103</definedName>
    <definedName name="CBCR_0f3c3b7615704ba88a9ae7f7e5fd2660" localSheetId="7" hidden="1">'Risk Register'!$P$95</definedName>
    <definedName name="CBCR_0f52d3dd64e8431690e569826c1c3945" localSheetId="5" hidden="1">'Estimate Uncertainty Model'!$M$100</definedName>
    <definedName name="CBCR_0f64ab6bce714e07b383b0cadf8d4191" localSheetId="5" hidden="1">'Estimate Uncertainty Model'!$L$38</definedName>
    <definedName name="CBCR_108623cecdac42c38db032c3175ea0fd" localSheetId="5" hidden="1">'Estimate Uncertainty Model'!$M$13</definedName>
    <definedName name="CBCR_114678d55cd14c6c90167d7c329f7440" localSheetId="5" hidden="1">'Estimate Uncertainty Model'!$M$11</definedName>
    <definedName name="CBCR_122b8b3c11a2451dad9707ed7be87209" localSheetId="6" hidden="1">'Schedule Ranges'!$A$11</definedName>
    <definedName name="CBCR_125f9c5e81d94c659bb01594faf8e872" localSheetId="5" hidden="1">'Estimate Uncertainty Model'!$L$163</definedName>
    <definedName name="CBCR_136159a008e042eeb5509ea64dcfc424" localSheetId="5" hidden="1">'Estimate Uncertainty Model'!$L$78</definedName>
    <definedName name="CBCR_1394af2786064a89be9d16f79341c600" localSheetId="5" hidden="1">'Estimate Uncertainty Model'!$L$55</definedName>
    <definedName name="CBCR_139e92cde48148ba8a40f4cc5343d5cb" localSheetId="5" hidden="1">'Estimate Uncertainty Model'!$L$130</definedName>
    <definedName name="CBCR_14354d06e08f46d6af1f2f2f6bb9a293" localSheetId="7" hidden="1">'Risk Register'!$P$24</definedName>
    <definedName name="CBCR_147b249934a74b6782bea21f56469bf9" localSheetId="5" hidden="1">'Estimate Uncertainty Model'!$E$161</definedName>
    <definedName name="CBCR_14e807ae38a14b25bd83e5859a186ce2" localSheetId="5" hidden="1">'Estimate Uncertainty Model'!$M$42</definedName>
    <definedName name="CBCR_14ea8d5709474e7f9bba632b565b2e0f" localSheetId="5" hidden="1">'Estimate Uncertainty Model'!$K$161</definedName>
    <definedName name="CBCR_153310540ec44f21b70a1e6f042201b5" localSheetId="5" hidden="1">'Estimate Uncertainty Model'!$K$134</definedName>
    <definedName name="CBCR_155f5cffd9764b27840453de16efc16e" localSheetId="5" hidden="1">'Estimate Uncertainty Model'!$K$131</definedName>
    <definedName name="CBCR_1580dd19f0ad47f8badb432338b3faf8" localSheetId="6" hidden="1">'Schedule Ranges'!$H$6</definedName>
    <definedName name="CBCR_15a04327df454e51a3928044743df076" localSheetId="7" hidden="1">'Risk Register'!$P$82</definedName>
    <definedName name="CBCR_168f8b9ac04c4b71b35fda7629d3c8a6" localSheetId="7" hidden="1">'Risk Register'!$A$41</definedName>
    <definedName name="CBCR_16902455dc8f46d493965bd99af958e9" localSheetId="6" hidden="1">'Schedule Ranges'!$H$10</definedName>
    <definedName name="CBCR_175726b7e1b64a158febe9a145eb1220" localSheetId="5" hidden="1">'Estimate Uncertainty Model'!$M$73</definedName>
    <definedName name="CBCR_17bac7082c7246d0a322b82fc0cc4971" localSheetId="5" hidden="1">'Estimate Uncertainty Model'!$H$176</definedName>
    <definedName name="CBCR_17bc74372cba41268a3ea3643450ddea" localSheetId="5" hidden="1">'Estimate Uncertainty Model'!$F$114</definedName>
    <definedName name="CBCR_17d8c8ae0b1140b0b674bafd9878020a" localSheetId="6" hidden="1">'Schedule Ranges'!$G$10</definedName>
    <definedName name="CBCR_18072c6a1c654d3dbe6e2cdf09538c9f" localSheetId="6" hidden="1">'Schedule Ranges'!$G$11</definedName>
    <definedName name="CBCR_180ebc3eec904a92b9375e2c3dac030c" localSheetId="6" hidden="1">'Schedule Ranges'!$E$10</definedName>
    <definedName name="CBCR_182271ed725940f1a16f122f32eea8a5" localSheetId="7" hidden="1">'Risk Register'!$A$79</definedName>
    <definedName name="CBCR_1896a350ded9463d9ba4a18e5b7a0431" localSheetId="5" hidden="1">'Estimate Uncertainty Model'!$K$37</definedName>
    <definedName name="CBCR_18fe6c175b664ca88bfcc32afdff4416" localSheetId="5" hidden="1">'Estimate Uncertainty Model'!$E$132</definedName>
    <definedName name="CBCR_191d56a79bdc41e2b121febec11f3658" localSheetId="5" hidden="1">'Estimate Uncertainty Model'!$K$10</definedName>
    <definedName name="CBCR_1949e6f83ff74a29b92304360f40f69e" localSheetId="5" hidden="1">'Estimate Uncertainty Model'!$M$116</definedName>
    <definedName name="CBCR_198f1a48e78543848cf7cd792c5337e2" localSheetId="5" hidden="1">'Estimate Uncertainty Model'!$L$103</definedName>
    <definedName name="CBCR_19bfef11a2ce4257a3d1a32399aeeb8a" localSheetId="5" hidden="1">'Estimate Uncertainty Model'!$L$94</definedName>
    <definedName name="CBCR_19f238f9a96647e7aa9c61148d5ed57e" localSheetId="5" hidden="1">'Estimate Uncertainty Model'!$F$27</definedName>
    <definedName name="CBCR_1b296affd08243869fde6d38227b832f" localSheetId="5" hidden="1">'Estimate Uncertainty Model'!$M$70</definedName>
    <definedName name="CBCR_1b2fcbbf73bc461586d6e208f1bb03b7" localSheetId="7" hidden="1">'Risk Register'!$P$19</definedName>
    <definedName name="CBCR_1b6074e751d841dcab1908de956cbeb1" localSheetId="5" hidden="1">'Estimate Uncertainty Model'!$K$122</definedName>
    <definedName name="CBCR_1b6bbd06ec674fc2a0da39f2ba99b40e" localSheetId="5" hidden="1">'Estimate Uncertainty Model'!$M$161</definedName>
    <definedName name="CBCR_1b794b15cb7741f58652ea8b844d15f0" localSheetId="5" hidden="1">'Estimate Uncertainty Model'!$K$13</definedName>
    <definedName name="CBCR_1bde5719b3ad472185720db8b08e076d" localSheetId="5" hidden="1">'Estimate Uncertainty Model'!$K$22</definedName>
    <definedName name="CBCR_1c2d9631af4b4fbd912c0463e5f4d4db" localSheetId="7" hidden="1">'Risk Register'!$P$96</definedName>
    <definedName name="CBCR_1c37cdd9d6ba40569a5c25af06ee8215" localSheetId="7" hidden="1">'Risk Register'!$A$46</definedName>
    <definedName name="CBCR_1c976c8be5a34582b1da0a75691828da" localSheetId="5" hidden="1">'Estimate Uncertainty Model'!$E$127</definedName>
    <definedName name="CBCR_1c99590e7c604a598e7d5f96600f78bb" localSheetId="5" hidden="1">'Estimate Uncertainty Model'!$K$98</definedName>
    <definedName name="CBCR_1c9b93b8739e45d998b42063a3f4ead5" localSheetId="5" hidden="1">'Estimate Uncertainty Model'!$K$116</definedName>
    <definedName name="CBCR_1cc1d3e33bf04802995dc639b1773715" localSheetId="5" hidden="1">'Estimate Uncertainty Model'!$L$60</definedName>
    <definedName name="CBCR_1cf8a96cd34e45f893b3b20c54de5b41" localSheetId="7" hidden="1">'Risk Register'!$P$74</definedName>
    <definedName name="CBCR_1d1479dded9e42638b4cb19d71ea1dfc" localSheetId="7" hidden="1">'Risk Register'!$A$31</definedName>
    <definedName name="CBCR_1d4c2778fee540aab4f7d93efaa1f643" localSheetId="7" hidden="1">'Risk Register'!$P$48</definedName>
    <definedName name="CBCR_1d5012e1cff54fea8b79b37bf96c240e" localSheetId="5" hidden="1">'Estimate Uncertainty Model'!$K$44</definedName>
    <definedName name="CBCR_1e355096cc3a46febcbfdbed22b5ccff" localSheetId="5" hidden="1">'Estimate Uncertainty Model'!$L$170</definedName>
    <definedName name="CBCR_1ea0f38431f943df9c1f1b00fd9bf12f" localSheetId="5" hidden="1">'Estimate Uncertainty Model'!$F$68</definedName>
    <definedName name="CBCR_1ed883afa8f94f438bec267b00176830" localSheetId="6" hidden="1">'Schedule Ranges'!$E$11</definedName>
    <definedName name="CBCR_20779ea43fca465db85bbb822448f7b8" localSheetId="5" hidden="1">'Estimate Uncertainty Model'!$L$83</definedName>
    <definedName name="CBCR_215c2cfec2a24e08ad0ba1cf62f07211" localSheetId="5" hidden="1">'Estimate Uncertainty Model'!$L$27</definedName>
    <definedName name="CBCR_2165066815924eb39c4c6767df486e32" localSheetId="5" hidden="1">'Estimate Uncertainty Model'!$M$170</definedName>
    <definedName name="CBCR_218adc19ad32467194ba9f1081f155d6" localSheetId="7" hidden="1">'Risk Register'!$P$66</definedName>
    <definedName name="CBCR_21d8384c34b44aff92c556bf42b3538f" localSheetId="5" hidden="1">'Estimate Uncertainty Model'!$M$111</definedName>
    <definedName name="CBCR_223b8ccf5ad7481b8ac1bc85c77af89c" localSheetId="5" hidden="1">'Estimate Uncertainty Model'!$M$64</definedName>
    <definedName name="CBCR_2254a8a55b584187baf0351e26a1a025" localSheetId="5" hidden="1">'Estimate Uncertainty Model'!$M$28</definedName>
    <definedName name="CBCR_228835cc7af8407ba840459a97c2b9d2" localSheetId="7" hidden="1">'Risk Register'!$A$82</definedName>
    <definedName name="CBCR_22c8e035dd794c078873c167f73378e1" localSheetId="7" hidden="1">'Risk Register'!$P$12</definedName>
    <definedName name="CBCR_237c45183c2b4d2c83d232a6efba1855" localSheetId="5" hidden="1">'Estimate Uncertainty Model'!$M$45</definedName>
    <definedName name="CBCR_23f763743c0e4bc8814b263798ab8516" localSheetId="5" hidden="1">'Estimate Uncertainty Model'!$E$163</definedName>
    <definedName name="CBCR_24b1b756bff24414813ed65204652101" localSheetId="5" hidden="1">'Estimate Uncertainty Model'!$K$32</definedName>
    <definedName name="CBCR_2531b2bfc6c64d99b8a32607d2c0d081" localSheetId="5" hidden="1">'Estimate Uncertainty Model'!$M$96</definedName>
    <definedName name="CBCR_2532b516483f4f37bb877cfaae381da4" localSheetId="5" hidden="1">'Estimate Uncertainty Model'!$L$128</definedName>
    <definedName name="CBCR_255d9cfb15b6459c90b5f9c4d8766cb1" localSheetId="7" hidden="1">'Risk Register'!$A$47</definedName>
    <definedName name="CBCR_25612c4a1d9b4598bb2e74da68278d60" localSheetId="7" hidden="1">'Risk Register'!$A$69</definedName>
    <definedName name="CBCR_262934bf57b44032a1e7586aa2d0f2b5" localSheetId="5" hidden="1">'Estimate Uncertainty Model'!$M$127</definedName>
    <definedName name="CBCR_269146cf2d894b699f30dfffa02ff6bb" localSheetId="7" hidden="1">'Risk Register'!$A$53</definedName>
    <definedName name="CBCR_26a3455dd067469daa86c070c75c726b" localSheetId="5" hidden="1">'Estimate Uncertainty Model'!$K$81</definedName>
    <definedName name="CBCR_26a42f91d15048c49f5ee0b23d86359f" localSheetId="5" hidden="1">'Estimate Uncertainty Model'!$L$90</definedName>
    <definedName name="CBCR_27c4bf77b1774f258b48084cfb399ce7" localSheetId="7" hidden="1">'Risk Register'!$A$83</definedName>
    <definedName name="CBCR_28a2573492724cb0ae5115f86c86504e" localSheetId="5" hidden="1">'Estimate Uncertainty Model'!$K$83</definedName>
    <definedName name="CBCR_28d730d714034b9cb9d72196163234c9" localSheetId="5" hidden="1">'Estimate Uncertainty Model'!$E$3</definedName>
    <definedName name="CBCR_29354e0ee48f46ba89427410f4d31b59" localSheetId="5" hidden="1">'Estimate Uncertainty Model'!$E$133</definedName>
    <definedName name="CBCR_2938bc5ad318491daf1ee9a4407915f4" localSheetId="5" hidden="1">'Estimate Uncertainty Model'!$F$78</definedName>
    <definedName name="CBCR_2998f2808157442b93542f2b48afb988" localSheetId="6" hidden="1">'Schedule Ranges'!$G$8</definedName>
    <definedName name="CBCR_2ac75af4cf8e4170a149a61bab641126" localSheetId="5" hidden="1">'Estimate Uncertainty Model'!$M$44</definedName>
    <definedName name="CBCR_2ad45fe49b7d447a950237cd500838bf" localSheetId="7" hidden="1">'Risk Register'!$A$45</definedName>
    <definedName name="CBCR_2ba39076b7674003a26cf98bdb2278ee" localSheetId="5" hidden="1">'Estimate Uncertainty Model'!$F$72</definedName>
    <definedName name="CBCR_2c0bf4a263e840f585a61f4ac67e7666" localSheetId="5" hidden="1">'Estimate Uncertainty Model'!$L$61</definedName>
    <definedName name="CBCR_2c5ca027d9a04de8b1200c96adcc7543" localSheetId="7" hidden="1">'Risk Register'!$P$64</definedName>
    <definedName name="CBCR_2c6c5d5defa6436a9e17cce2a9d552b4" localSheetId="7" hidden="1">'Risk Register'!$A$56</definedName>
    <definedName name="CBCR_2cb8767360ac4860b8ba1087037a0ab6" localSheetId="5" hidden="1">'Estimate Uncertainty Model'!$K$90</definedName>
    <definedName name="CBCR_2cf9ae79c86c47539f7cdef2265daa96" localSheetId="5" hidden="1">'Estimate Uncertainty Model'!$M$59</definedName>
    <definedName name="CBCR_2d9a386860374eb1989a886b910e96b0" localSheetId="5" hidden="1">'Estimate Uncertainty Model'!$K$172</definedName>
    <definedName name="CBCR_2daeba19bcff4d129721aa233a1e1fc1" localSheetId="5" hidden="1">'Estimate Uncertainty Model'!$K$11</definedName>
    <definedName name="CBCR_2dcbdffecf0f46aebf84a694c53f8dd2" localSheetId="7" hidden="1">'Risk Register'!$A$14</definedName>
    <definedName name="CBCR_2deaeb20f114429cab04f5444b4f5cac" localSheetId="5" hidden="1">'Estimate Uncertainty Model'!$L$82</definedName>
    <definedName name="CBCR_2e771cabb39346f8aeb4e0e6ef41aed9" localSheetId="5" hidden="1">'Estimate Uncertainty Model'!$K$112</definedName>
    <definedName name="CBCR_2e8825efbda34ed2803f2474ec1ded20" localSheetId="7" hidden="1">'Risk Register'!$A$43</definedName>
    <definedName name="CBCR_2eb469733e7e4ca69ac2640f766dd83d" localSheetId="5" hidden="1">'Estimate Uncertainty Model'!$K$165</definedName>
    <definedName name="CBCR_2f162502ff6d490a902551e75b4fc318" localSheetId="7" hidden="1">'Risk Register'!$A$37</definedName>
    <definedName name="CBCR_2f451d654ba64203bcdb0fc3597a2afa" localSheetId="5" hidden="1">'Estimate Uncertainty Model'!$M$27</definedName>
    <definedName name="CBCR_2f86d8946921429c892a28ba9d0d0b08" localSheetId="5" hidden="1">'Estimate Uncertainty Model'!$L$164</definedName>
    <definedName name="CBCR_2fa9497d4245466cbd141b8a1e6152ed" localSheetId="7" hidden="1">'Risk Register'!$P$43</definedName>
    <definedName name="CBCR_2fb56b1288574fd2aa08dc31423f9bfd" localSheetId="7" hidden="1">'Risk Register'!$P$46</definedName>
    <definedName name="CBCR_3012128f1974415cba641738bd524955" localSheetId="5" hidden="1">'Estimate Uncertainty Model'!$K$79</definedName>
    <definedName name="CBCR_3036453aef46457eae56baabcb3fc5f3" localSheetId="5" hidden="1">'Estimate Uncertainty Model'!$M$121</definedName>
    <definedName name="CBCR_309050fd91fc48338204d4e5b0d5895d" localSheetId="5" hidden="1">'Estimate Uncertainty Model'!$M$72</definedName>
    <definedName name="CBCR_309f818c9df24a71b28a702bc39b78cd" localSheetId="5" hidden="1">'Estimate Uncertainty Model'!$F$42</definedName>
    <definedName name="CBCR_316f529f42134bcb8120268d9770180f" localSheetId="6" hidden="1">'Schedule Ranges'!$H$9</definedName>
    <definedName name="CBCR_319a782d4cfb4c1c9f08ccda9ef5af7b" localSheetId="5" hidden="1">'Estimate Uncertainty Model'!$F$73</definedName>
    <definedName name="CBCR_31dcbf78faec470e86cecc9a8550234d" localSheetId="5" hidden="1">'Estimate Uncertainty Model'!$L$71</definedName>
    <definedName name="CBCR_31f4b6e3ac7945ab9d78e3a1f1817805" localSheetId="5" hidden="1">'Estimate Uncertainty Model'!$K$101</definedName>
    <definedName name="CBCR_32d0f047481141b4b9be25e125e7f17d" localSheetId="7" hidden="1">'Risk Register'!$P$37</definedName>
    <definedName name="CBCR_32f0f1836792481188dbe9051bd3f112" localSheetId="5" hidden="1">'Estimate Uncertainty Model'!$M$103</definedName>
    <definedName name="CBCR_333f67dccb7643a7829028f2e49aa47b" localSheetId="5" hidden="1">'Estimate Uncertainty Model'!$L$172</definedName>
    <definedName name="CBCR_33a64220bac14a2e99b73a0f47764db0" localSheetId="5" hidden="1">'Estimate Uncertainty Model'!$E$167</definedName>
    <definedName name="CBCR_33b08122997e43629b5e66998aa1d4cb" localSheetId="6" hidden="1">'Schedule Ranges'!$G$7</definedName>
    <definedName name="CBCR_33d2993a7dcb4ba88e83dbec955a69a4" localSheetId="5" hidden="1">'Estimate Uncertainty Model'!$E$124</definedName>
    <definedName name="CBCR_357e38633ea945c2a0033697daa732d9" localSheetId="5" hidden="1">'Estimate Uncertainty Model'!$M$19</definedName>
    <definedName name="CBCR_3622b6b95efd43a18d7ff06849404ac4" localSheetId="5" hidden="1">'Estimate Uncertainty Model'!$L$116</definedName>
    <definedName name="CBCR_3650652185ef4a318c45bd9bb29d705e" localSheetId="7" hidden="1">'Risk Register'!$P$51</definedName>
    <definedName name="CBCR_3686caab83dd42568612bbb4376e6f7e" localSheetId="7" hidden="1">'Risk Register'!$A$74</definedName>
    <definedName name="CBCR_376ca0abd7c14de1976cdd1f97ca7f14" localSheetId="5" hidden="1">'Estimate Uncertainty Model'!$K$67</definedName>
    <definedName name="CBCR_37da3e223a3f4d40bd47c6f15e302503" localSheetId="5" hidden="1">'Estimate Uncertainty Model'!$M$164</definedName>
    <definedName name="CBCR_3943a40dd1eb4888a1f74e2c4ab598d7" localSheetId="5" hidden="1">'Estimate Uncertainty Model'!$L$124</definedName>
    <definedName name="CBCR_3a0825058a41481fafb80e61259228f0" localSheetId="5" hidden="1">'Estimate Uncertainty Model'!$M$97</definedName>
    <definedName name="CBCR_3bcb7d604c5541d395ec50ed372a1cdf" localSheetId="5" hidden="1">'Estimate Uncertainty Model'!$F$69</definedName>
    <definedName name="CBCR_3d067b48f3fc45359ee9d85b78717c7d" localSheetId="7" hidden="1">'Risk Register'!$P$36</definedName>
    <definedName name="CBCR_3d50a597488e4c39999d7f38cce02844" localSheetId="5" hidden="1">'Estimate Uncertainty Model'!$K$94</definedName>
    <definedName name="CBCR_3d789dd8b9344977823b72f7c08e3723" localSheetId="5" hidden="1">'Estimate Uncertainty Model'!$M$55</definedName>
    <definedName name="CBCR_3d7daa5e30404fbd968eb4430c28e85a" localSheetId="5" hidden="1">'Estimate Uncertainty Model'!$E$98</definedName>
    <definedName name="CBCR_3e6167502ecc4d0cb1c160000c6d2d73" localSheetId="5" hidden="1">'Estimate Uncertainty Model'!$M$74</definedName>
    <definedName name="CBCR_3ed924d2758b4e7db301a8bcf20e1ccc" localSheetId="7" hidden="1">'Risk Register'!$P$5</definedName>
    <definedName name="CBCR_3efef07fb2ce44c4b3d298b42a6f9066" localSheetId="5" hidden="1">'Estimate Uncertainty Model'!$M$99</definedName>
    <definedName name="CBCR_3f402da193a14f569211472abd4281d2" localSheetId="5" hidden="1">'Estimate Uncertainty Model'!$K$15</definedName>
    <definedName name="CBCR_3fe0ff863ae24cf6b1b80daa53820b5f" localSheetId="5" hidden="1">'Estimate Uncertainty Model'!$F$96</definedName>
    <definedName name="CBCR_40fb98483c11435ea9b8a540c3064ff9" localSheetId="7" hidden="1">'Risk Register'!$P$76</definedName>
    <definedName name="CBCR_4120e69784114a0db52680b2f29906a7" localSheetId="5" hidden="1">'Estimate Uncertainty Model'!$E$134</definedName>
    <definedName name="CBCR_41417fece94a474496fe01325e6acc2c" localSheetId="5" hidden="1">'Estimate Uncertainty Model'!$M$63</definedName>
    <definedName name="CBCR_415e58ce45c24d069c1e6c7a51407fe5" localSheetId="5" hidden="1">'Estimate Uncertainty Model'!$L$117</definedName>
    <definedName name="CBCR_4293bc419c9041e3b34fdfbe9bc1fa80" localSheetId="7" hidden="1">'Risk Register'!$A$33</definedName>
    <definedName name="CBCR_42a036c22df74f28917afd7b1d1d0747" localSheetId="5" hidden="1">'Estimate Uncertainty Model'!$L$56</definedName>
    <definedName name="CBCR_443a94770c7e4d8db2cdb1664a2fd2be" localSheetId="7" hidden="1">'Risk Register'!$P$77</definedName>
    <definedName name="CBCR_4448ec1909d04384bb64a48c9c578fea" localSheetId="5" hidden="1">'Estimate Uncertainty Model'!$F$86</definedName>
    <definedName name="CBCR_4475895280624f10b339e4920e6bc0e0" localSheetId="7" hidden="1">'Risk Register'!$P$86</definedName>
    <definedName name="CBCR_44ac8df887374b55bf083cae7a54b3ac" localSheetId="5" hidden="1">'Estimate Uncertainty Model'!$K$61</definedName>
    <definedName name="CBCR_44ba0a42cd5640a88d43d446091fce83" localSheetId="5" hidden="1">'Estimate Uncertainty Model'!$K$97</definedName>
    <definedName name="CBCR_4501118e7baa449a96de9adb13667a87" localSheetId="7" hidden="1">'Risk Register'!$P$57</definedName>
    <definedName name="CBCR_456c10d3ed144c99b63fb2e26e586958" localSheetId="6" hidden="1">'Schedule Ranges'!#REF!</definedName>
    <definedName name="CBCR_458ff670439a4c56b324eb3f6a034764" localSheetId="5" hidden="1">'Estimate Uncertainty Model'!$K$166</definedName>
    <definedName name="CBCR_459aae8607624763840c4eb658c1a7e2" localSheetId="5" hidden="1">'Estimate Uncertainty Model'!$K$78</definedName>
    <definedName name="CBCR_45c187329acb4c5795a9afb3b09d1581" localSheetId="5" hidden="1">'Estimate Uncertainty Model'!$K$53</definedName>
    <definedName name="CBCR_4640c752932249bc90dcd53a4187dcd7" localSheetId="5" hidden="1">'Estimate Uncertainty Model'!$K$128</definedName>
    <definedName name="CBCR_4675f5d79e7d41088640cb1d145fa58b" localSheetId="7" hidden="1">'Risk Register'!$P$38</definedName>
    <definedName name="CBCR_469b3728645047d99ab5035102918892" localSheetId="5" hidden="1">'Estimate Uncertainty Model'!$K$88</definedName>
    <definedName name="CBCR_476f39ab60e448b2a4a85e0c4a6aff7a" localSheetId="5" hidden="1">'Estimate Uncertainty Model'!$F$102</definedName>
    <definedName name="CBCR_47cb9b631655432daac50a5ec330bb88" localSheetId="5" hidden="1">'Estimate Uncertainty Model'!$K$100</definedName>
    <definedName name="CBCR_47f416bc5de8427b956ee76f2668db9b" localSheetId="5" hidden="1">'Estimate Uncertainty Model'!$L$18</definedName>
    <definedName name="CBCR_485b23de00f14d729ff01225605ac7bc" localSheetId="5" hidden="1">'Estimate Uncertainty Model'!$M$14</definedName>
    <definedName name="CBCR_489cc39554174052a65e25d65b9e3c8d" localSheetId="5" hidden="1">'Estimate Uncertainty Model'!$M$167</definedName>
    <definedName name="CBCR_491df3900617471a95e51f03541416e7" localSheetId="6" hidden="1">'Schedule Ranges'!$B$10</definedName>
    <definedName name="CBCR_4a35fe782cd2406e82cea2d9ad6f9d6e" localSheetId="5" hidden="1">'Estimate Uncertainty Model'!$K$124</definedName>
    <definedName name="CBCR_4ae6a3e5d17d4e52bffaeec968990b40" localSheetId="7" hidden="1">'Risk Register'!$A$35</definedName>
    <definedName name="CBCR_4af43c5555ba4ff687fc75bb463d38bc" localSheetId="5" hidden="1">'Estimate Uncertainty Model'!$K$132</definedName>
    <definedName name="CBCR_4b2d4a9bc12d4da2bd7d7618dd643949" localSheetId="7" hidden="1">'Risk Register'!$A$12</definedName>
    <definedName name="CBCR_4b555ef7c15d4d0ebc30f44f1d8be56b" localSheetId="5" hidden="1">'Estimate Uncertainty Model'!$M$98</definedName>
    <definedName name="CBCR_4b6393736d804b53b1fac35a59437f3d" localSheetId="5" hidden="1">'Estimate Uncertainty Model'!$F$129</definedName>
    <definedName name="CBCR_4b66396c2a794f8f85f4b7b1799e4552" localSheetId="5" hidden="1">'Estimate Uncertainty Model'!$M$82</definedName>
    <definedName name="CBCR_4c0880baad37485396b104fc68688f75" localSheetId="5" hidden="1">'Estimate Uncertainty Model'!$F$116</definedName>
    <definedName name="CBCR_4c7ebf91726c4d1dbcb6db8a1f34d2af" localSheetId="5" hidden="1">'Estimate Uncertainty Model'!$L$87</definedName>
    <definedName name="CBCR_4cc30db19c3d4c42a22c086560f28e63" localSheetId="5" hidden="1">'Estimate Uncertainty Model'!$K$28</definedName>
    <definedName name="CBCR_4cfd1356f005491d8919f29ee37a4ff0" localSheetId="7" hidden="1">'Risk Register'!$A$42</definedName>
    <definedName name="CBCR_4d16ad47201a4b6c8fa1fb36f0db69e6" localSheetId="7" hidden="1">'Risk Register'!$A$24</definedName>
    <definedName name="CBCR_4efff94c5d3346a5bbe73b7860cd62b4" localSheetId="5" hidden="1">'Estimate Uncertainty Model'!$L$126</definedName>
    <definedName name="CBCR_4f3ba3343e134c91825dd5848931416a" localSheetId="5" hidden="1">'Estimate Uncertainty Model'!$K$71</definedName>
    <definedName name="CBCR_4fa55d2c0f2c4265b8dc0919f9f48871" localSheetId="5" hidden="1">'Estimate Uncertainty Model'!$M$95</definedName>
    <definedName name="CBCR_4ff6bfb1e5a54c7c9c4253ad5856e74c" localSheetId="5" hidden="1">'Estimate Uncertainty Model'!$E$61</definedName>
    <definedName name="CBCR_5271a82aff4f42f488bb94f1e859bdbf" localSheetId="5" hidden="1">'Estimate Uncertainty Model'!$L$127</definedName>
    <definedName name="CBCR_52ca4e887fa64d05a8ac974f78c36a2e" localSheetId="5" hidden="1">'Estimate Uncertainty Model'!$L$22</definedName>
    <definedName name="CBCR_53fb6ab7251c42ada6aecbd499afc106" localSheetId="5" hidden="1">'Estimate Uncertainty Model'!$K$171</definedName>
    <definedName name="CBCR_543bb61a9c15456e9bdaed2c337eafc9" localSheetId="5" hidden="1">'Estimate Uncertainty Model'!$K$113</definedName>
    <definedName name="CBCR_545f27307b124226a684f7702efda9e7" localSheetId="5" hidden="1">'Estimate Uncertainty Model'!$K$68</definedName>
    <definedName name="CBCR_549c58dddca942928ffd79acc2ae6112" localSheetId="7" hidden="1">'Risk Register'!$A$59</definedName>
    <definedName name="CBCR_54e01738ef024d21b2e2bffd6655db1e" localSheetId="5" hidden="1">'Estimate Uncertainty Model'!$K$127</definedName>
    <definedName name="CBCR_55618c81ffe240e49af3d30301b0aeec" localSheetId="5" hidden="1">'Estimate Uncertainty Model'!$M$104</definedName>
    <definedName name="CBCR_55cf6cdc96ef4ccb9a95155ea49f1d0d" localSheetId="7" hidden="1">'Risk Register'!$P$55</definedName>
    <definedName name="CBCR_562174396568401da7c50d805c563949" localSheetId="7" hidden="1">'Risk Register'!$P$18</definedName>
    <definedName name="CBCR_56465a7e10e0490bbdeeb9904a38e813" localSheetId="7" hidden="1">'Risk Register'!$P$56</definedName>
    <definedName name="CBCR_5676596c36b449f9a1bf5ceb1f1fc957" localSheetId="6" hidden="1">'Schedule Ranges'!$H$11</definedName>
    <definedName name="CBCR_5688ee1d412e4aaeb54653208c70fde1" localSheetId="5" hidden="1">'Estimate Uncertainty Model'!$F$70</definedName>
    <definedName name="CBCR_56b164f54cc1469eadf6f8f7ea59354e" localSheetId="5" hidden="1">'Estimate Uncertainty Model'!$M$132</definedName>
    <definedName name="CBCR_57a7116306344d80876e92968fecf5c3" localSheetId="7" hidden="1">'Risk Register'!$A$99</definedName>
    <definedName name="CBCR_5cd9ffef1acc4d53bf7bd36d0e7dafd7" localSheetId="5" hidden="1">'Estimate Uncertainty Model'!$K$59</definedName>
    <definedName name="CBCR_5d44890a17a94bb6af706a38281365e8" localSheetId="5" hidden="1">'Estimate Uncertainty Model'!$K$96</definedName>
    <definedName name="CBCR_5e5b9fef50724af8ba02c1e54d707a42" localSheetId="5" hidden="1">'Estimate Uncertainty Model'!$K$70</definedName>
    <definedName name="CBCR_5ea89125f0714f6a93b0760e308f0ce7" localSheetId="5" hidden="1">'Estimate Uncertainty Model'!$E$53</definedName>
    <definedName name="CBCR_5ed92680c9c34a689d59083b2b60b5c8" localSheetId="5" hidden="1">'Estimate Uncertainty Model'!$L$26</definedName>
    <definedName name="CBCR_5efec09067fe419baf9aaf8199160293" localSheetId="5" hidden="1">'Estimate Uncertainty Model'!$M$172</definedName>
    <definedName name="CBCR_5f126fb6a89d432ba8d697624a544257" localSheetId="7" hidden="1">'Risk Register'!$P$89</definedName>
    <definedName name="CBCR_5f2fc0a1701644c1b7f86df578ef61d7" localSheetId="5" hidden="1">'Estimate Uncertainty Model'!$M$56</definedName>
    <definedName name="CBCR_5f6610d1c27546349de0561f9550cf28" localSheetId="5" hidden="1">'Estimate Uncertainty Model'!$M$120</definedName>
    <definedName name="CBCR_5f739ddcd6214aabaae5e3e63c1b7c80" localSheetId="7" hidden="1">'Risk Register'!$P$7</definedName>
    <definedName name="CBCR_604dd9190c4f46849f7c0f94e25feba6" localSheetId="5" hidden="1">'Estimate Uncertainty Model'!$M$62</definedName>
    <definedName name="CBCR_6053b1e02fd048439c02ef0152f0dffa" localSheetId="5" hidden="1">'Estimate Uncertainty Model'!$L$74</definedName>
    <definedName name="CBCR_612493984d20418c90ff5c6bf8c94c06" localSheetId="5" hidden="1">'Estimate Uncertainty Model'!$M$113</definedName>
    <definedName name="CBCR_61b2263598664546a7c5aeb06080ce02" localSheetId="5" hidden="1">'Estimate Uncertainty Model'!$L$102</definedName>
    <definedName name="CBCR_6280e6f71a824323a8652bf855d758b6" localSheetId="7" hidden="1">'Risk Register'!$P$72</definedName>
    <definedName name="CBCR_62b90208f803407da806794ea741e4c2" localSheetId="5" hidden="1">'Estimate Uncertainty Model'!$K$82</definedName>
    <definedName name="CBCR_62f173d73e794fbbbad8309f3a924f61" localSheetId="5" hidden="1">'Estimate Uncertainty Model'!$M$124</definedName>
    <definedName name="CBCR_632b3307795248998fa6bf2426f10e1a" localSheetId="5" hidden="1">'Estimate Uncertainty Model'!$L$63</definedName>
    <definedName name="CBCR_637bce17035a412a82b40c7146a860d9" localSheetId="5" hidden="1">'Estimate Uncertainty Model'!$F$88</definedName>
    <definedName name="CBCR_63a34d9893c84c0995879f252b31fb8d" localSheetId="7" hidden="1">'Risk Register'!$P$14</definedName>
    <definedName name="CBCR_63bb6bbd12e8404dac40b5bae22634ef" localSheetId="5" hidden="1">'Estimate Uncertainty Model'!$F$109</definedName>
    <definedName name="CBCR_6477f38802b64522ac40142030fe32cb" localSheetId="5" hidden="1">'Estimate Uncertainty Model'!$M$83</definedName>
    <definedName name="CBCR_64b1f3acae48465ca5450dec70b52fd9" localSheetId="5" hidden="1">'Estimate Uncertainty Model'!$M$118</definedName>
    <definedName name="CBCR_64cb310e91b84887a56160cbadf0278e" localSheetId="7" hidden="1">'Risk Register'!$P$52</definedName>
    <definedName name="CBCR_6567ca17be454223a599082d7f3f65e4" localSheetId="5" hidden="1">'Estimate Uncertainty Model'!$L$165</definedName>
    <definedName name="CBCR_65fdb44ed4524c509de0ba490e1ffd98" localSheetId="5" hidden="1">'Estimate Uncertainty Model'!$L$16</definedName>
    <definedName name="CBCR_665271a433fb480a8f3f9707d070ec4e" localSheetId="5" hidden="1">'Estimate Uncertainty Model'!$E$121</definedName>
    <definedName name="CBCR_6653fdcf5dbd488488602b0308aa6052" localSheetId="7" hidden="1">'Risk Register'!$P$61</definedName>
    <definedName name="CBCR_665b14597d0243ebb7f0ce1633dd0a4d" localSheetId="5" hidden="1">'Estimate Uncertainty Model'!$M$112</definedName>
    <definedName name="CBCR_6681434d4041411b921805110e62d7cf" localSheetId="5" hidden="1">'Estimate Uncertainty Model'!$K$64</definedName>
    <definedName name="CBCR_66845bb975e74783ac54c50dad452944" localSheetId="5" hidden="1">'Estimate Uncertainty Model'!$L$93</definedName>
    <definedName name="CBCR_669ea811fefc4526a2c85875215fa820" localSheetId="5" hidden="1">'Estimate Uncertainty Model'!$K$110</definedName>
    <definedName name="CBCR_66c32986fbe8451b83e265b65d76c3e7" localSheetId="5" hidden="1">'Estimate Uncertainty Model'!$M$106</definedName>
    <definedName name="CBCR_6703479c751a41149aef8bd2779a9e3a" localSheetId="5" hidden="1">'Estimate Uncertainty Model'!$M$90</definedName>
    <definedName name="CBCR_67174124170b4a659fdc1f1d83241350" localSheetId="5" hidden="1">'Estimate Uncertainty Model'!$K$69</definedName>
    <definedName name="CBCR_67d1075f325b423d93cf9ad754203f14" localSheetId="5" hidden="1">'Estimate Uncertainty Model'!$M$123</definedName>
    <definedName name="CBCR_685e8d6c6af441af8b740b079f02f6c9" localSheetId="5" hidden="1">'Estimate Uncertainty Model'!$L$14</definedName>
    <definedName name="CBCR_685f9438f2d4417e815e2fbbf4970637" localSheetId="7" hidden="1">'Risk Register'!$P$53</definedName>
    <definedName name="CBCR_68f2c22081ef4cb4a979d4345f99a169" localSheetId="5" hidden="1">'Estimate Uncertainty Model'!$M$171</definedName>
    <definedName name="CBCR_6a3db22ae00a493f86bf2530b4a7a5a7" localSheetId="7" hidden="1">'Risk Register'!$A$26</definedName>
    <definedName name="CBCR_6b1f87c500754c15ad5cc22d12b1f004" localSheetId="5" hidden="1">'Estimate Uncertainty Model'!$L$99</definedName>
    <definedName name="CBCR_6b32a8928ac74eb491a4c4b5189b6c87" localSheetId="5" hidden="1">'Estimate Uncertainty Model'!$L$29</definedName>
    <definedName name="CBCR_6b3aecbac1cc414ba59f1e2a6d2d849f" localSheetId="5" hidden="1">'Estimate Uncertainty Model'!$K$121</definedName>
    <definedName name="CBCR_6c0b0119e2834aadab3889327aa13601" localSheetId="5" hidden="1">'Estimate Uncertainty Model'!$F$38</definedName>
    <definedName name="CBCR_6c84885306544341955d1eadc05a59ab" localSheetId="5" hidden="1">'Estimate Uncertainty Model'!$F$170</definedName>
    <definedName name="CBCR_6d072dab418c4ffdbb0864062c59092f" localSheetId="5" hidden="1">'Estimate Uncertainty Model'!$L$122</definedName>
    <definedName name="CBCR_6d872d11c19245a29c6d4dfda25ffd49" localSheetId="5" hidden="1">'Estimate Uncertainty Model'!$K$60</definedName>
    <definedName name="CBCR_6e0e27f156ae4fe3859dacce4cd4fb3a" localSheetId="7" hidden="1">'Risk Register'!$P$16</definedName>
    <definedName name="CBCR_6e55baf1bb2c4f218693e1ad117ac337" localSheetId="5" hidden="1">'Estimate Uncertainty Model'!$L$166</definedName>
    <definedName name="CBCR_6e91c68a439c4b83a54078f0e6a10c37" localSheetId="5" hidden="1">'Estimate Uncertainty Model'!$F$83</definedName>
    <definedName name="CBCR_6e9855af04834ed88da251a9f79abf95" localSheetId="5" hidden="1">'Estimate Uncertainty Model'!$K$65</definedName>
    <definedName name="CBCR_6ea75e91332143b981a65a6991e5ec88" localSheetId="5" hidden="1">'Estimate Uncertainty Model'!$L$13</definedName>
    <definedName name="CBCR_6f3405eebdd6429db14de4845048f959" localSheetId="5" hidden="1">'Estimate Uncertainty Model'!$K$160</definedName>
    <definedName name="CBCR_6f3c2f6d31d34708ba770c2bfcbcf3d4" localSheetId="5" hidden="1">'Estimate Uncertainty Model'!$K$119</definedName>
    <definedName name="CBCR_6f3f0bf6776448aeb4a780fc2dc18fc8" localSheetId="5" hidden="1">'Estimate Uncertainty Model'!$K$41</definedName>
    <definedName name="CBCR_6f8dc155c2d746a0a961af591ad36048" localSheetId="5" hidden="1">'Estimate Uncertainty Model'!$M$126</definedName>
    <definedName name="CBCR_6f94c8a4f3af4b4caefa6cdb64012037" localSheetId="5" hidden="1">'Estimate Uncertainty Model'!$L$101</definedName>
    <definedName name="CBCR_6fa664a9bbc44694a9e73e5a543c8472" localSheetId="7" hidden="1">'Risk Register'!$P$67</definedName>
    <definedName name="CBCR_6fc1f026583643e6a03504f9026c7e08" localSheetId="7" hidden="1">'Risk Register'!$A$81</definedName>
    <definedName name="CBCR_6fc50337776f47f28a68c6a71b0a95bc" localSheetId="5" hidden="1">'Estimate Uncertainty Model'!$K$72</definedName>
    <definedName name="CBCR_6ff9c40e6bea445aa8a50c6a4b1751e2" localSheetId="5" hidden="1">'Estimate Uncertainty Model'!$F$41</definedName>
    <definedName name="CBCR_7042c73126854c7e90afd9b89600ca95" localSheetId="7" hidden="1">'Risk Register'!$P$71</definedName>
    <definedName name="CBCR_70af592205c54f3682bf0fa53848fcf1" localSheetId="5" hidden="1">'Estimate Uncertainty Model'!$E$63</definedName>
    <definedName name="CBCR_7173ab62366b4a41be792f0b03c964dc" localSheetId="7" hidden="1">'Risk Register'!$A$67</definedName>
    <definedName name="CBCR_71bd0fa3f7a94833951dfe0f0dab4fd0" localSheetId="7" hidden="1">'Risk Register'!$P$31</definedName>
    <definedName name="CBCR_71cc9dc963184746abd3bb89a7a0068d" localSheetId="5" hidden="1">'Estimate Uncertainty Model'!$M$115</definedName>
    <definedName name="CBCR_71d78d04e86c4dbe8fdb3eff766e12fe" localSheetId="5" hidden="1">'Estimate Uncertainty Model'!$M$165</definedName>
    <definedName name="CBCR_7262a0844d124738ba55db4c4da2aaf2" localSheetId="7" hidden="1">'Risk Register'!$A$75</definedName>
    <definedName name="CBCR_730b037f756b41bc97b153fa3ce69e89" localSheetId="5" hidden="1">'Estimate Uncertainty Model'!$K$115</definedName>
    <definedName name="CBCR_733e63ee8e7943e5a0a24f936d6fb501" localSheetId="7" hidden="1">'Risk Register'!$A$18</definedName>
    <definedName name="CBCR_73455e26600c46e9943f304cad251bb7" localSheetId="7" hidden="1">'Risk Register'!$A$38</definedName>
    <definedName name="CBCR_734a2f3c9d2542e5b255f817cbc32341" localSheetId="5" hidden="1">'Estimate Uncertainty Model'!$F$117</definedName>
    <definedName name="CBCR_73ad875804b24f0294718a8d42020036" localSheetId="5" hidden="1">'Estimate Uncertainty Model'!$F$64</definedName>
    <definedName name="CBCR_73b5c46b78d34aad9ff1bb1aaea12057" localSheetId="7" hidden="1">'Risk Register'!$A$34</definedName>
    <definedName name="CBCR_7458b2a76f3546f99ca202ba98747a4c" localSheetId="5" hidden="1">'Estimate Uncertainty Model'!$K$133</definedName>
    <definedName name="CBCR_747f0347dc2f47df8c200143c5f3e959" localSheetId="7" hidden="1">'Risk Register'!$A$62</definedName>
    <definedName name="CBCR_7486ae93227040e294238ebaff8e30ed" localSheetId="5" hidden="1">'Estimate Uncertainty Model'!$M$51</definedName>
    <definedName name="CBCR_74c0edca7e5f4889a6d88b7cd038463d" localSheetId="5" hidden="1">'Estimate Uncertainty Model'!$E$15</definedName>
    <definedName name="CBCR_74c3f88620e5442684ffb5f1a9d51a6d" localSheetId="5" hidden="1">'Estimate Uncertainty Model'!$K$129</definedName>
    <definedName name="CBCR_753e43826ad04a5a9c1992d86274d25a" localSheetId="5" hidden="1">'Estimate Uncertainty Model'!$M$79</definedName>
    <definedName name="CBCR_7579337444ff404c8696958fc0d5468a" localSheetId="5" hidden="1">'Estimate Uncertainty Model'!$K$117</definedName>
    <definedName name="CBCR_758825d7b7ac4b1ba63fdcbf5e7b06ad" localSheetId="5" hidden="1">'Estimate Uncertainty Model'!$K$170</definedName>
    <definedName name="CBCR_758e717509454b2fa415db8e5b2cfaf5" localSheetId="5" hidden="1">'Estimate Uncertainty Model'!$M$40</definedName>
    <definedName name="CBCR_75a56b7b05104b7ca33a9a48b005bd93" localSheetId="5" hidden="1">'Estimate Uncertainty Model'!$K$95</definedName>
    <definedName name="CBCR_7636784342904873afb8f56b968452ca" localSheetId="7" hidden="1">'Risk Register'!$P$29</definedName>
    <definedName name="CBCR_76c5d0e4f71947d1b7ac39522c77ec0c" localSheetId="5" hidden="1">'Estimate Uncertainty Model'!$M$60</definedName>
    <definedName name="CBCR_771213262c70455bb44c6fe0c2219174" localSheetId="5" hidden="1">'Estimate Uncertainty Model'!$F$119</definedName>
    <definedName name="CBCR_77b009aed84848e7962c3170a13fafec" localSheetId="7" hidden="1">'Risk Register'!$A$11</definedName>
    <definedName name="CBCR_77d6272f963246178fd8be0d1ce7c0a7" localSheetId="7" hidden="1">'Risk Register'!$P$58</definedName>
    <definedName name="CBCR_780359f896a045e898eca4cd6f17c989" localSheetId="5" hidden="1">'Estimate Uncertainty Model'!$E$29</definedName>
    <definedName name="CBCR_784b41ba116743038bd55b046d630e4d" localSheetId="6" hidden="1">'Schedule Ranges'!#REF!</definedName>
    <definedName name="CBCR_78513cf5589d488185c707518cda938a" localSheetId="5" hidden="1">'Estimate Uncertainty Model'!$F$56</definedName>
    <definedName name="CBCR_7890c88c286f492f8f1b06c82709666c" localSheetId="5" hidden="1">'Estimate Uncertainty Model'!$F$110</definedName>
    <definedName name="CBCR_78dcccbc106645169768ac8b67e112e6" localSheetId="5" hidden="1">'Estimate Uncertainty Model'!$K$74</definedName>
    <definedName name="CBCR_7970fa37c0574af68544d53170b57613" localSheetId="5" hidden="1">'Estimate Uncertainty Model'!$K$89</definedName>
    <definedName name="CBCR_7a8ab6749d1f49608364dbda19ddd3ee" localSheetId="5" hidden="1">'Estimate Uncertainty Model'!$M$39</definedName>
    <definedName name="CBCR_7a8f58dd71d94ab687d4af628b3b5284" localSheetId="5" hidden="1">'Estimate Uncertainty Model'!$L$81</definedName>
    <definedName name="CBCR_7a9ced5ab08145638db4cc1311fa944b" localSheetId="7" hidden="1">'Risk Register'!$A$19</definedName>
    <definedName name="CBCR_7ad4cfd43d7549589e43a675acdc0e0d" localSheetId="5" hidden="1">'Estimate Uncertainty Model'!$E$67</definedName>
    <definedName name="CBCR_7ad54e17e3124afabddd04cc1b97d180" localSheetId="5" hidden="1">'Estimate Uncertainty Model'!$M$68</definedName>
    <definedName name="CBCR_7afc0ea8c6714aaf8b1b1776173850e9" localSheetId="7" hidden="1">'Risk Register'!$A$61</definedName>
    <definedName name="CBCR_7b1050230d244cf5bd5c62c9044735eb" localSheetId="5" hidden="1">'Estimate Uncertainty Model'!$K$92</definedName>
    <definedName name="CBCR_7b34398d5edc4d7bb3a79dd538961c90" localSheetId="5" hidden="1">'Estimate Uncertainty Model'!$F$89</definedName>
    <definedName name="CBCR_7ba37e84ebad46c28d1f30d3988d1909" localSheetId="7" hidden="1">'Risk Register'!$A$76</definedName>
    <definedName name="CBCR_7c4198fc787745168d1f7b8d1f6b3859" localSheetId="5" hidden="1">'Estimate Uncertainty Model'!$K$51</definedName>
    <definedName name="CBCR_7ce17d1d935149b2a8c598eeea12a080" localSheetId="5" hidden="1">'Estimate Uncertainty Model'!$M$89</definedName>
    <definedName name="CBCR_7d27387dac614c01aa089d3bb44c9a60" localSheetId="5" hidden="1">'Estimate Uncertainty Model'!$K$19</definedName>
    <definedName name="CBCR_7d990346ea3d4fff879f00e0f0e31f35" localSheetId="7" hidden="1">'Risk Register'!$A$51</definedName>
    <definedName name="CBCR_7da81bad65c9497694fc43ed252b7c27" localSheetId="7" hidden="1">'Risk Register'!$P$54</definedName>
    <definedName name="CBCR_7db5c62e2f284deab53b24c2a91f1e6c" localSheetId="5" hidden="1">'Estimate Uncertainty Model'!$F$90</definedName>
    <definedName name="CBCR_7f39ea921f3248c689b2ef730e6e2877" localSheetId="5" hidden="1">'Estimate Uncertainty Model'!$M$84</definedName>
    <definedName name="CBCR_7f4c1c10cee2431c8a2b421aa1816ddc" localSheetId="5" hidden="1">'Estimate Uncertainty Model'!$E$106</definedName>
    <definedName name="CBCR_8000a3e7b5154e029698389f4deb0670" localSheetId="5" hidden="1">'Estimate Uncertainty Model'!$L$45</definedName>
    <definedName name="CBCR_8069edaa3c1c41239c3169838e3dfbac" localSheetId="5" hidden="1">'Estimate Uncertainty Model'!$K$87</definedName>
    <definedName name="CBCR_80a275db55a24a5c8704bd255c7ce550" localSheetId="5" hidden="1">'Estimate Uncertainty Model'!$M$166</definedName>
    <definedName name="CBCR_82acdccf98244543a335aa5d8054845c" localSheetId="5" hidden="1">'Estimate Uncertainty Model'!$E$62</definedName>
    <definedName name="CBCR_82ebb42b1a7c47728f5b4cdab0703bf2" localSheetId="7" hidden="1">'Risk Register'!$A$89</definedName>
    <definedName name="CBCR_834100b5283b489092701146d2b8b14b" localSheetId="6" hidden="1">'Schedule Ranges'!$E$6</definedName>
    <definedName name="CBCR_84e0b652b968432eacbb76f793c2613a" localSheetId="5" hidden="1">'Estimate Uncertainty Model'!$L$62</definedName>
    <definedName name="CBCR_855db51f044c4d75bd801839f358ea72" localSheetId="6" hidden="1">'Schedule Ranges'!$B$6</definedName>
    <definedName name="CBCR_858e9255b57f44329017e33a77ed0b07" localSheetId="5" hidden="1">'Estimate Uncertainty Model'!$M$3</definedName>
    <definedName name="CBCR_860bbf1bc9274852abe085a32a8e79d6" localSheetId="5" hidden="1">'Estimate Uncertainty Model'!$K$66</definedName>
    <definedName name="CBCR_860be4d1504042beb20a4eb541250275" localSheetId="5" hidden="1">'Estimate Uncertainty Model'!$L$53</definedName>
    <definedName name="CBCR_86793ed9c4734c048466b3b9d52702c9" localSheetId="5" hidden="1">'Estimate Uncertainty Model'!$E$14</definedName>
    <definedName name="CBCR_867cf500c9eb4103958001ea177a3fa3" localSheetId="5" hidden="1">'Estimate Uncertainty Model'!$M$160</definedName>
    <definedName name="CBCR_868ca4edce1e45a7aa7602d407424998" localSheetId="5" hidden="1">'Estimate Uncertainty Model'!$M$102</definedName>
    <definedName name="CBCR_868d2bd036124b07ab862b2aeeaeabbb" localSheetId="5" hidden="1">'Estimate Uncertainty Model'!$M$53</definedName>
    <definedName name="CBCR_87003975604944ca8a41b4b8709c9b1a" localSheetId="7" hidden="1">'Risk Register'!$P$83</definedName>
    <definedName name="CBCR_8808d40dada54bb8a0a296a07c8a08fc" localSheetId="7" hidden="1">'Risk Register'!$P$78</definedName>
    <definedName name="CBCR_88e0f27f475046c7842be1a867f7ab96" localSheetId="5" hidden="1">'Estimate Uncertainty Model'!$E$166</definedName>
    <definedName name="CBCR_890c8e2b43ef44d990778e1aa3184bb4" localSheetId="7" hidden="1">'Risk Register'!$P$33</definedName>
    <definedName name="CBCR_899cc42e21e84d88927e5f1d7568793c" localSheetId="5" hidden="1">'Estimate Uncertainty Model'!$K$109</definedName>
    <definedName name="CBCR_89ccad554bb04464a8136d0228509994" localSheetId="5" hidden="1">'Estimate Uncertainty Model'!$E$9</definedName>
    <definedName name="CBCR_89f2914b1dec4de4b12dba93c2d6bce4" localSheetId="5" hidden="1">'Estimate Uncertainty Model'!$M$176</definedName>
    <definedName name="CBCR_8a98c84474b742528b9e175059ff8b75" localSheetId="5" hidden="1">'Estimate Uncertainty Model'!$M$86</definedName>
    <definedName name="CBCR_8adfde3aa83e49e6ba37f6cd6857ca0c" localSheetId="5" hidden="1">'Estimate Uncertainty Model'!$M$117</definedName>
    <definedName name="CBCR_8b0418a647104f08a0b31562e72f7aa4" localSheetId="5" hidden="1">'Estimate Uncertainty Model'!$K$107</definedName>
    <definedName name="CBCR_8b0a84ee22d84b5e8a7628a8e49a18fc" localSheetId="5" hidden="1">'Estimate Uncertainty Model'!$F$99</definedName>
    <definedName name="CBCR_8b33dca1efa04acf881777ca769b1bc8" localSheetId="7" hidden="1">'Risk Register'!$P$44</definedName>
    <definedName name="CBCR_8b40d26e771e4dafb67c6271d185c31b" localSheetId="7" hidden="1">'Risk Register'!$P$81</definedName>
    <definedName name="CBCR_8bd8d8732ba64a8d8f19fe85216e5ba1" localSheetId="5" hidden="1">'Estimate Uncertainty Model'!$L$118</definedName>
    <definedName name="CBCR_8be7921cf8f34441a173c8b639e92a4c" localSheetId="7" hidden="1">'Risk Register'!$P$47</definedName>
    <definedName name="CBCR_8cdb3d4289384bcf86299097b6b448d1" localSheetId="5" hidden="1">'Estimate Uncertainty Model'!$F$80</definedName>
    <definedName name="CBCR_8cf26e3a9b81400cbb1f103ea5660c57" localSheetId="5" hidden="1">'Estimate Uncertainty Model'!$F$115</definedName>
    <definedName name="CBCR_8e6110fbc5bc4de88a77013840024617" localSheetId="5" hidden="1">'Estimate Uncertainty Model'!$F$43</definedName>
    <definedName name="CBCR_8e6a3e8c4b1c464bb13d8b30366fd32e" localSheetId="7" hidden="1">'Risk Register'!$P$59</definedName>
    <definedName name="CBCR_8fc51a6518dc44dfad9766db9eef8eee" localSheetId="5" hidden="1">'Estimate Uncertainty Model'!$L$171</definedName>
    <definedName name="CBCR_9003d1297211486981b4e72608fa3f38" localSheetId="5" hidden="1">'Estimate Uncertainty Model'!$L$65</definedName>
    <definedName name="CBCR_9026bd76591540b4a7034e5730ddaacc" localSheetId="5" hidden="1">'Estimate Uncertainty Model'!$E$13</definedName>
    <definedName name="CBCR_90a12b0aafef4562a5b70179acd74bc6" localSheetId="5" hidden="1">'Estimate Uncertainty Model'!$M$81</definedName>
    <definedName name="CBCR_9116f791948c43728729f6c2e4e10e65" localSheetId="7" hidden="1">'Risk Register'!$A$40</definedName>
    <definedName name="CBCR_912cb0a23fb64751a44392dfce62d399" localSheetId="7" hidden="1">'Risk Register'!$A$63</definedName>
    <definedName name="CBCR_91980bcfb1f748849c23d380c1e69da1" localSheetId="6" hidden="1">'Schedule Ranges'!$H$8</definedName>
    <definedName name="CBCR_92f7fe36337249279fb26dcad5feeb51" localSheetId="5" hidden="1">'Estimate Uncertainty Model'!$L$111</definedName>
    <definedName name="CBCR_9369c3eb689140dd93c3254a9d43b341" localSheetId="7" hidden="1">'Risk Register'!$A$77</definedName>
    <definedName name="CBCR_94299abcc5ca4cf399a9987845f0a1ab" localSheetId="5" hidden="1">'Estimate Uncertainty Model'!$M$114</definedName>
    <definedName name="CBCR_943452b08166473cbde4a1c00acecefa" localSheetId="5" hidden="1">'Estimate Uncertainty Model'!$K$105</definedName>
    <definedName name="CBCR_94471658cf7549b695886161535b1d76" localSheetId="7" hidden="1">'Risk Register'!$A$52</definedName>
    <definedName name="CBCR_94a1f4f1af804d0abffcd8b593e688d1" localSheetId="7" hidden="1">'Risk Register'!$P$80</definedName>
    <definedName name="CBCR_95f271cb2c9e4cfcb9c67aa18f694fd5" localSheetId="7" hidden="1">'Risk Register'!$A$27</definedName>
    <definedName name="CBCR_9627ac5a5f9e4a51a460bc1ce8561830" localSheetId="5" hidden="1">'Estimate Uncertainty Model'!$K$111</definedName>
    <definedName name="CBCR_962e847c1ae44c7da9244de8b07136e3" localSheetId="7" hidden="1">'Risk Register'!$A$57</definedName>
    <definedName name="CBCR_96f22b22630c401d8215102fafffa521" localSheetId="5" hidden="1">'Estimate Uncertainty Model'!$F$40</definedName>
    <definedName name="CBCR_9824075d000b4393ba231c6ae295121c" localSheetId="5" hidden="1">'Estimate Uncertainty Model'!$K$103</definedName>
    <definedName name="CBCR_9919e3bec1c645a698ff4fb9c4dd1970" localSheetId="5" hidden="1">'Estimate Uncertainty Model'!$L$121</definedName>
    <definedName name="CBCR_9a286077a6a3415086ebbf907375e79b" localSheetId="5" hidden="1">'Estimate Uncertainty Model'!$M$134</definedName>
    <definedName name="CBCR_9a6ede2ef524438fbe1e8bf72c998304" localSheetId="5" hidden="1">'Estimate Uncertainty Model'!$K$163</definedName>
    <definedName name="CBCR_9ae853ba837b41e280331f3ff3a96369" localSheetId="5" hidden="1">'Estimate Uncertainty Model'!$L$89</definedName>
    <definedName name="CBCR_9bb275d1bd3544979bac5f79bdfaac08" localSheetId="7" hidden="1">'Risk Register'!$P$13</definedName>
    <definedName name="CBCR_9caa176f5a73440e92a682c5f3fc631f" localSheetId="7" hidden="1">'Risk Register'!$A$44</definedName>
    <definedName name="CBCR_9dd634cbb0584a77afd89464c0d2b935" localSheetId="5" hidden="1">'Estimate Uncertainty Model'!$K$130</definedName>
    <definedName name="CBCR_9e1dee7c36b040f7903169930f317e03" localSheetId="6" hidden="1">'Schedule Ranges'!#REF!</definedName>
    <definedName name="CBCR_9e51bd15e5874450a1dd7332b4ac92b2" localSheetId="5" hidden="1">'Estimate Uncertainty Model'!$L$106</definedName>
    <definedName name="CBCR_9e7fcd7e797f451aa5ee338ac93be3cb" localSheetId="5" hidden="1">'Estimate Uncertainty Model'!$F$91</definedName>
    <definedName name="CBCR_9ea00dce0d5b4dd699c5bff9a9ca7087" localSheetId="5" hidden="1">'Estimate Uncertainty Model'!$L$134</definedName>
    <definedName name="CBCR_a01e1404b214460e9ae4f2c3c32c6676" localSheetId="5" hidden="1">'Estimate Uncertainty Model'!$F$95</definedName>
    <definedName name="CBCR_a05f9918ea994bad88a73e9d57ffe53d" localSheetId="5" hidden="1">'Estimate Uncertainty Model'!$E$120</definedName>
    <definedName name="CBCR_a080698151f84b2981fb6fdf76d5c8aa" localSheetId="7" hidden="1">'Risk Register'!$A$73</definedName>
    <definedName name="CBCR_a1215f04e30f441497c10914b2eb678f" localSheetId="5" hidden="1">'Estimate Uncertainty Model'!$K$73</definedName>
    <definedName name="CBCR_a124b0bdf2e7407887a6775279b26467" localSheetId="5" hidden="1">'Estimate Uncertainty Model'!$K$102</definedName>
    <definedName name="CBCR_a189eb260658416d9bd99f41ff0933fd" localSheetId="5" hidden="1">'Estimate Uncertainty Model'!$L$96</definedName>
    <definedName name="CBCR_a1c8633cce83427e9dd6eb692b7a4ce9" localSheetId="5" hidden="1">'Estimate Uncertainty Model'!$E$165</definedName>
    <definedName name="CBCR_a21851b2cf0f4eb1a578588b138d93f9" localSheetId="7" hidden="1">'Risk Register'!$P$25</definedName>
    <definedName name="CBCR_a2954ad061964407a08d49a1874f9913" localSheetId="5" hidden="1">'Estimate Uncertainty Model'!$L$41</definedName>
    <definedName name="CBCR_a51b25d83a1e4b9daf7792f84d2da20f" localSheetId="7" hidden="1">'Risk Register'!$A$55</definedName>
    <definedName name="CBCR_a590f18c536647e8a4f23f6a28d02d43" localSheetId="5" hidden="1">'Estimate Uncertainty Model'!$L$40</definedName>
    <definedName name="CBCR_a6bb8b0added4d86a2ba3e052cc47724" localSheetId="5" hidden="1">'Estimate Uncertainty Model'!$E$97</definedName>
    <definedName name="CBCR_a6c06c0affdd4731af99f8524504b26b" localSheetId="7" hidden="1">'Risk Register'!$A$94</definedName>
    <definedName name="CBCR_a6e611f8e4584a1288b9e66b8e5cb2eb" localSheetId="5" hidden="1">'Estimate Uncertainty Model'!$F$101</definedName>
    <definedName name="CBCR_a79ab929f7324b368dda97ed5fc1bfd0" localSheetId="7" hidden="1">'Risk Register'!$P$69</definedName>
    <definedName name="CBCR_a7f799eb002d45eb935ce878d00121b2" localSheetId="5" hidden="1">'Estimate Uncertainty Model'!$E$111</definedName>
    <definedName name="CBCR_a838b42750254c4ba256f963383331b0" localSheetId="5" hidden="1">'Estimate Uncertainty Model'!$M$43</definedName>
    <definedName name="CBCR_a8813992b8b746d5b650d4bce48043e3" localSheetId="7" hidden="1">'Risk Register'!$P$30</definedName>
    <definedName name="CBCR_a8a52f8f4e34470b94154408993d4e5e" localSheetId="5" hidden="1">'Estimate Uncertainty Model'!$F$26</definedName>
    <definedName name="CBCR_a8ccb3dca77a4baf810a7776d2ef54bc" localSheetId="5" hidden="1">'Estimate Uncertainty Model'!$F$84</definedName>
    <definedName name="CBCR_a8da55a3cff34c7cb2bdbb55a2206c70" localSheetId="5" hidden="1">'Estimate Uncertainty Model'!$M$129</definedName>
    <definedName name="CBCR_a9056a51cebc4e27b393ca32344832bc" localSheetId="7" hidden="1">'Risk Register'!$P$79</definedName>
    <definedName name="CBCR_a90b90b9ae614c01b6c75c089ac783ff" localSheetId="7" hidden="1">'Risk Register'!$A$97</definedName>
    <definedName name="CBCR_a91cfe7013674af9b59a2ff33d90b3de" localSheetId="5" hidden="1">'Estimate Uncertainty Model'!$M$91</definedName>
    <definedName name="CBCR_a9c1c994f2434400b7538ceb5d26d774" localSheetId="5" hidden="1">'Estimate Uncertainty Model'!$F$44</definedName>
    <definedName name="CBCR_ab0f9db418924e34ba5d8d9436ed32c5" localSheetId="7" hidden="1">'Risk Register'!$A$36</definedName>
    <definedName name="CBCR_ab8016a772524ae8a987d1cf5aeef9d1" localSheetId="5" hidden="1">'Estimate Uncertainty Model'!$L$42</definedName>
    <definedName name="CBCR_ab8e16a3049245c39f79ce6f90cf32b9" localSheetId="7" hidden="1">'Risk Register'!$P$34</definedName>
    <definedName name="CBCR_ab9ceb95c5804fa393d5794ff7d9c4b9" localSheetId="5" hidden="1">'Estimate Uncertainty Model'!$K$106</definedName>
    <definedName name="CBCR_ac20eb19f5504f1f80cfc7f04d6a9eca" localSheetId="5" hidden="1">'Estimate Uncertainty Model'!$M$128</definedName>
    <definedName name="CBCR_ac43ab4827e74abd9fd246acaeaad2b7" localSheetId="5" hidden="1">'Estimate Uncertainty Model'!$L$67</definedName>
    <definedName name="CBCR_ac4554c3ed3a4e76a0afeff840fa34b8" localSheetId="5" hidden="1">'Estimate Uncertainty Model'!$L$28</definedName>
    <definedName name="CBCR_ac98816fbba94ee9afb0ae9aea5de45f" localSheetId="7" hidden="1">'Risk Register'!$P$21</definedName>
    <definedName name="CBCR_ace24b1258624270b2eb9362d16e28ea" localSheetId="5" hidden="1">'Estimate Uncertainty Model'!$K$99</definedName>
    <definedName name="CBCR_ad5467db06f34d5aa97b44e16a0adfed" localSheetId="5" hidden="1">'Estimate Uncertainty Model'!$L$84</definedName>
    <definedName name="CBCR_ad63afd55f9f4496a42e98a32bea6a4b" localSheetId="5" hidden="1">'Estimate Uncertainty Model'!$L$120</definedName>
    <definedName name="CBCR_ada35b92db0b44e69dd4c6a3e240c289" localSheetId="5" hidden="1">'Estimate Uncertainty Model'!$F$112</definedName>
    <definedName name="CBCR_ae04b1ce14c149d8ab95d2b0abb7ab13" localSheetId="5" hidden="1">'Estimate Uncertainty Model'!$K$39</definedName>
    <definedName name="CBCR_af18e388301741a3bc2ac531c796fdf9" localSheetId="5" hidden="1">'Estimate Uncertainty Model'!$L$92</definedName>
    <definedName name="CBCR_af8961887d2f404db85ed15e069cd887" localSheetId="7" hidden="1">'Risk Register'!$P$73</definedName>
    <definedName name="CBCR_b047fe80c98d40a6b88055ab07da69b6" localSheetId="5" hidden="1">'Estimate Uncertainty Model'!$L$15</definedName>
    <definedName name="CBCR_b063e4953a8e4a6ebf86b923f5361b5d" localSheetId="7" hidden="1">'Risk Register'!$A$21</definedName>
    <definedName name="CBCR_b075a4ee95ca456ba8fca38c32e21522" localSheetId="7" hidden="1">'Risk Register'!$P$98</definedName>
    <definedName name="CBCR_b0b610fa07cf4ee9a5aaa7768082fb9b" localSheetId="7" hidden="1">'Risk Register'!$P$17</definedName>
    <definedName name="CBCR_b0c9dbeeede648389ed6075db3a0d084" localSheetId="5" hidden="1">'Estimate Uncertainty Model'!$F$94</definedName>
    <definedName name="CBCR_b0dcd46a453f4af0b298981481438423" localSheetId="5" hidden="1">'Estimate Uncertainty Model'!$K$135</definedName>
    <definedName name="CBCR_b0e14e6e8849497194f609382a6ef384" localSheetId="7" hidden="1">'Risk Register'!$P$35</definedName>
    <definedName name="CBCR_b1945dca31e443649bcc64001096dfc3" localSheetId="7" hidden="1">'Risk Register'!$P$42</definedName>
    <definedName name="CBCR_b2871344ff64466f98135dd23c5cb1ba" localSheetId="7" hidden="1">'Risk Register'!$P$20</definedName>
    <definedName name="CBCR_b2e1a84b4f3f4bb4817ac72725605671" localSheetId="5" hidden="1">'Estimate Uncertainty Model'!$M$65</definedName>
    <definedName name="CBCR_b37336393f79452c96bbe4b8bb4969f0" localSheetId="5" hidden="1">'Estimate Uncertainty Model'!$M$80</definedName>
    <definedName name="CBCR_b37b5e40bee34faaaebcda0658c5967b" localSheetId="7" hidden="1">'Risk Register'!$A$6</definedName>
    <definedName name="CBCR_b46311b22ba54758b1e53794f2cdf17e" localSheetId="5" hidden="1">'Estimate Uncertainty Model'!$L$107</definedName>
    <definedName name="CBCR_b479e4e9572b40ea9a6b47c2e2efb200" localSheetId="7" hidden="1">'Risk Register'!$A$9</definedName>
    <definedName name="CBCR_b538e7aa68184b1b8a2e50c9f0a23c39" localSheetId="5" hidden="1">'Estimate Uncertainty Model'!$L$97</definedName>
    <definedName name="CBCR_b541fea8e57947e28197e85496cf516a" localSheetId="5" hidden="1">'Estimate Uncertainty Model'!$F$19</definedName>
    <definedName name="CBCR_b59a3c4765eb44349d0fcf8d90886d43" localSheetId="5" hidden="1">'Estimate Uncertainty Model'!$M$67</definedName>
    <definedName name="CBCR_b5c86661e92540edbd6d4397fa54d0be" localSheetId="7" hidden="1">'Risk Register'!$P$97</definedName>
    <definedName name="CBCR_b670d283384a4f29af6011194c68d4d7" localSheetId="7" hidden="1">'Risk Register'!$A$29</definedName>
    <definedName name="CBCR_b699eea85ebc40f5a70dc159f8a71385" localSheetId="5" hidden="1">'Estimate Uncertainty Model'!$K$63</definedName>
    <definedName name="CBCR_b76eb8e343524810a1a2ccfed70cb837" localSheetId="5" hidden="1">'Estimate Uncertainty Model'!$L$9</definedName>
    <definedName name="CBCR_b792c3168bde4677b4be2ac7011531bb" localSheetId="5" hidden="1">'Estimate Uncertainty Model'!$E$130</definedName>
    <definedName name="CBCR_b7c391b0d23a41499f307e1355a0d4ca" localSheetId="5" hidden="1">'Estimate Uncertainty Model'!$F$81</definedName>
    <definedName name="CBCR_b812bc1e2ca24ea287aa4390574c1552" localSheetId="5" hidden="1">'Estimate Uncertainty Model'!$K$43</definedName>
    <definedName name="CBCR_b82e45b9c8194681bb4531026056ae66" localSheetId="5" hidden="1">'Estimate Uncertainty Model'!$K$80</definedName>
    <definedName name="CBCR_b99e3abec3c746d19b9ae82a8526d11a" localSheetId="6" hidden="1">'Schedule Ranges'!$G$6</definedName>
    <definedName name="CBCR_b9d5dde62cca4c63aaf7bc17e63f3b8a" localSheetId="5" hidden="1">'Estimate Uncertainty Model'!$M$78</definedName>
    <definedName name="CBCR_ba1994948af9494eb7b6a2622bcad3e2" localSheetId="7" hidden="1">'Risk Register'!$A$23</definedName>
    <definedName name="CBCR_ba5962b980d64486aa8e54f1e23901c3" localSheetId="7" hidden="1">'Risk Register'!$A$88</definedName>
    <definedName name="CBCR_ba71257516354477a46075161500aa69" localSheetId="5" hidden="1">'Estimate Uncertainty Model'!$M$29</definedName>
    <definedName name="CBCR_bad327948aa64a4f94f124bd91d6c8ae" localSheetId="7" hidden="1">'Risk Register'!$P$62</definedName>
    <definedName name="CBCR_baefc4a027d940339664dcc98a421e04" localSheetId="5" hidden="1">'Estimate Uncertainty Model'!$K$55</definedName>
    <definedName name="CBCR_bb3ef1be968345f6b103cf0b84f6c88b" localSheetId="5" hidden="1">'Estimate Uncertainty Model'!$F$171</definedName>
    <definedName name="CBCR_bc018cbe2253472097f49c0cf2302290" localSheetId="5" hidden="1">'Estimate Uncertainty Model'!$F$113</definedName>
    <definedName name="CBCR_bc055032a1954b93b41d1bd0868f5c39" localSheetId="5" hidden="1">'Estimate Uncertainty Model'!$F$39</definedName>
    <definedName name="CBCR_bc4153cf0bec40818720e6200f143249" localSheetId="5" hidden="1">'Estimate Uncertainty Model'!$M$105</definedName>
    <definedName name="CBCR_bd26d392406747f39ea096db00886775" localSheetId="6" hidden="1">'Schedule Ranges'!$G$12</definedName>
    <definedName name="CBCR_bd54cc2998b943d08a0ba29d370e50a7" localSheetId="5" hidden="1">'Estimate Uncertainty Model'!$L$3</definedName>
    <definedName name="CBCR_bdd2ee404b9f4f67a60b2de4e76f0f66" localSheetId="7" hidden="1">'Risk Register'!$P$99</definedName>
    <definedName name="CBCR_be46ece8daa54f51b6af30b5bc8bf757" localSheetId="5" hidden="1">'Estimate Uncertainty Model'!$E$60</definedName>
    <definedName name="CBCR_be52d315e8b843fb8104cbbb90015e54" localSheetId="6" hidden="1">'Schedule Ranges'!$A$12</definedName>
    <definedName name="CBCR_be689c87ae5a468facac6fd4cfbd1805" localSheetId="7" hidden="1">'Risk Register'!$A$66</definedName>
    <definedName name="CBCR_be8da56ee364435890b43ac7461182b7" localSheetId="5" hidden="1">'Estimate Uncertainty Model'!$E$126</definedName>
    <definedName name="CBCR_bf332970d32d4fb5903622d0a7b03ce4" localSheetId="7" hidden="1">'Risk Register'!$P$85</definedName>
    <definedName name="CBCR_c03f9e60fdce44c4b9376e206698ee3c" localSheetId="7" hidden="1">'Risk Register'!$A$25</definedName>
    <definedName name="CBCR_c065afa283ea4902a26f050700e642a9" localSheetId="5" hidden="1">'Estimate Uncertainty Model'!$F$100</definedName>
    <definedName name="CBCR_c0dbb60c9cff4743995f72f02cbb17b1" localSheetId="5" hidden="1">'Estimate Uncertainty Model'!$L$176</definedName>
    <definedName name="CBCR_c15e049edb23438a8b819706e9e7c5ae" localSheetId="5" hidden="1">'Estimate Uncertainty Model'!$M$109</definedName>
    <definedName name="CBCR_c19933b7c74e458baa6a7abfb17d8f6b" localSheetId="5" hidden="1">'Estimate Uncertainty Model'!$K$16</definedName>
    <definedName name="CBCR_c1b15c0e5b4e440fae41a38f44779105" localSheetId="5" hidden="1">'Estimate Uncertainty Model'!$K$42</definedName>
    <definedName name="CBCR_c30b423785b54685a654f997f766726b" localSheetId="5" hidden="1">'Estimate Uncertainty Model'!$L$105</definedName>
    <definedName name="CBCR_c338f001990842ca892c11adfb044b5c" localSheetId="5" hidden="1">'Estimate Uncertainty Model'!$M$107</definedName>
    <definedName name="CBCR_c37830a6cc8c42e1a39336bd6a158b60" localSheetId="5" hidden="1">'Estimate Uncertainty Model'!$K$3</definedName>
    <definedName name="CBCR_c39679b6cb4646f1aef1d781866e7800" localSheetId="5" hidden="1">'Estimate Uncertainty Model'!$F$71</definedName>
    <definedName name="CBCR_c3a082e7fab4419b8edfc831538d5ef3" localSheetId="7" hidden="1">'Risk Register'!$P$9</definedName>
    <definedName name="CBCR_c42bda85a04b4221bcb69878863b6132" localSheetId="5" hidden="1">'Estimate Uncertainty Model'!$K$45</definedName>
    <definedName name="CBCR_c49220211bff438c8fcb43fcda000fa3" localSheetId="7" hidden="1">'Risk Register'!$A$54</definedName>
    <definedName name="CBCR_c49d7d0045d14831acea5a6e7c7c557a" localSheetId="7" hidden="1">'Risk Register'!$A$13</definedName>
    <definedName name="CBCR_c4b814d05e754c9a96466e54e8b0bb7b" localSheetId="5" hidden="1">'Estimate Uncertainty Model'!$K$54</definedName>
    <definedName name="CBCR_c5cab43d5c294f00be1f6da35093ddcb" localSheetId="5" hidden="1">'Estimate Uncertainty Model'!$K$114</definedName>
    <definedName name="CBCR_c6746a6b80ba434dbfc00fe6da49c234" localSheetId="5" hidden="1">'Estimate Uncertainty Model'!$K$62</definedName>
    <definedName name="CBCR_c67805945f6e4c1a886f0ad71fa2574a" localSheetId="5" hidden="1">'Estimate Uncertainty Model'!$L$110</definedName>
    <definedName name="CBCR_c6a31659239640baad91829c3c2b6df9" localSheetId="5" hidden="1">'Estimate Uncertainty Model'!$L$66</definedName>
    <definedName name="CBCR_c6f6e7db036f4812aa1b2a08cd98ec6f" localSheetId="5" hidden="1">'Estimate Uncertainty Model'!$E$123</definedName>
    <definedName name="CBCR_c755dd863bb34c618307c4fb779e0924" localSheetId="5" hidden="1">'Estimate Uncertainty Model'!$K$18</definedName>
    <definedName name="CBCR_c75dc2d553c443df88eedf9d4cd7e501" localSheetId="7" hidden="1">'Risk Register'!$A$65</definedName>
    <definedName name="CBCR_c84a86fa7d0e44cab77babdb2ea86928" localSheetId="5" hidden="1">'Estimate Uncertainty Model'!$E$10</definedName>
    <definedName name="CBCR_c8d0e42edeb740649eba119a68dc1e3c" localSheetId="5" hidden="1">'Estimate Uncertainty Model'!$E$107</definedName>
    <definedName name="CBCR_c946f272002d47679bbfae2d7d362eda" localSheetId="6" hidden="1">'Schedule Ranges'!$B$9</definedName>
    <definedName name="CBCR_c96dadc9ecb2462f904f21e3498adf8b" localSheetId="5" hidden="1">'Estimate Uncertainty Model'!$M$22</definedName>
    <definedName name="CBCR_ca287d8f20104a069af01435009a4862" localSheetId="7" hidden="1">'Risk Register'!$A$72</definedName>
    <definedName name="CBCR_caaa4da8ab1a43ab9984deb5328398f2" localSheetId="5" hidden="1">'Estimate Uncertainty Model'!$K$57</definedName>
    <definedName name="CBCR_cb824de869f04409a32b626c4c5d9c6f" localSheetId="5" hidden="1">'Estimate Uncertainty Model'!$M$88</definedName>
    <definedName name="CBCR_cbb80e9cf4164e98ad9b08dd4082b52c" localSheetId="7" hidden="1">'Risk Register'!$P$26</definedName>
    <definedName name="CBCR_cc47c4969d1748f5857d33e529c9e306" localSheetId="5" hidden="1">'Estimate Uncertainty Model'!$L$64</definedName>
    <definedName name="CBCR_cc4d9809deb145f9b1b8a57ac5a39b9c" localSheetId="5" hidden="1">'Estimate Uncertainty Model'!$L$39</definedName>
    <definedName name="CBCR_cc4e9e574cb14335a3b0c2b8162e2648" localSheetId="7" hidden="1">'Risk Register'!$P$88</definedName>
    <definedName name="CBCR_cc4fd3a45aaf47dea42168fd2f46b593" localSheetId="5" hidden="1">'Estimate Uncertainty Model'!$F$82</definedName>
    <definedName name="CBCR_ccf90728f800451da0c9cfa4736f7082" localSheetId="5" hidden="1">'Estimate Uncertainty Model'!$M$54</definedName>
    <definedName name="CBCR_cee84a64f5e94a3bbf7d918ab926c09f" localSheetId="7" hidden="1">'Risk Register'!$A$95</definedName>
    <definedName name="CBCR_cf1f95769fe94cc6830cd4e7af60e229" localSheetId="5" hidden="1">'Estimate Uncertainty Model'!$M$16</definedName>
    <definedName name="CBCR_cfea4cfeaaa24083b808ffe67506fd07" localSheetId="5" hidden="1">'Estimate Uncertainty Model'!$F$87</definedName>
    <definedName name="CBCR_d0e77e15fd174d69809621057899a55f" localSheetId="5" hidden="1">'Estimate Uncertainty Model'!$K$27</definedName>
    <definedName name="CBCR_d1490dc01cd746dfb7c4b768ef739eca" localSheetId="5" hidden="1">'Estimate Uncertainty Model'!$L$32</definedName>
    <definedName name="CBCR_d1ad27d5cebd47d3ba3ce0a44c3e672d" localSheetId="5" hidden="1">'Estimate Uncertainty Model'!$K$123</definedName>
    <definedName name="CBCR_d210b89176444d4ba9abb26f86caa2bb" localSheetId="7" hidden="1">'Risk Register'!$A$16</definedName>
    <definedName name="CBCR_d27be0d6ca4748a2957bcb45430132f1" localSheetId="5" hidden="1">'Estimate Uncertainty Model'!$F$55</definedName>
    <definedName name="CBCR_d2a7f4ebdc42416896db6bca8c28812e" localSheetId="5" hidden="1">'Estimate Uncertainty Model'!$E$16</definedName>
    <definedName name="CBCR_d2afad2d50ad4a92925bcef16fda1020" localSheetId="5" hidden="1">'Estimate Uncertainty Model'!$L$86</definedName>
    <definedName name="CBCR_d2c78c4979bf4571a1a6d212e0e551fa" localSheetId="5" hidden="1">'Estimate Uncertainty Model'!$M$93</definedName>
    <definedName name="CBCR_d31b91c45a384e139d11cce63ba8f0fa" localSheetId="5" hidden="1">'Estimate Uncertainty Model'!$F$57</definedName>
    <definedName name="CBCR_d3537ff1cd3a4d268e04d7caedbd2888" localSheetId="5" hidden="1">'Estimate Uncertainty Model'!$F$37</definedName>
    <definedName name="CBCR_d3f100f8b38b4f02a2dd36cef9e823d2" localSheetId="6" hidden="1">'Schedule Ranges'!$H$12</definedName>
    <definedName name="CBCR_d413cd6aea99443f9ccef3073bc9c2db" localSheetId="7" hidden="1">'Risk Register'!$A$48</definedName>
    <definedName name="CBCR_d46937c71635464792ce679d6b1106cd" localSheetId="7" hidden="1">'Risk Register'!$A$78</definedName>
    <definedName name="CBCR_d683efd931654707a64dd69efbea28e7" localSheetId="5" hidden="1">'Estimate Uncertainty Model'!$K$26</definedName>
    <definedName name="CBCR_d6b14e5f9fb64a659c4e09c140163fb1" localSheetId="7" hidden="1">'Risk Register'!$A$8</definedName>
    <definedName name="CBCR_d6e1ce41f8f8430a904ab6b05e541a4f" localSheetId="6" hidden="1">'Schedule Ranges'!$B$7</definedName>
    <definedName name="CBCR_d76b81bc8d284426850109730de3869b" localSheetId="5" hidden="1">'Estimate Uncertainty Model'!$L$123</definedName>
    <definedName name="CBCR_d7739d85282241dabcdaf9e0293e3f8b" localSheetId="7" hidden="1">'Risk Register'!$P$40</definedName>
    <definedName name="CBCR_d7b72d30fe3e4fd9b1741b00a70e8ff0" localSheetId="7" hidden="1">'Risk Register'!$A$10</definedName>
    <definedName name="CBCR_d80697eaaf034f2c8c4035d0c47cc5b7" localSheetId="7" hidden="1">'Risk Register'!$A$86</definedName>
    <definedName name="CBCR_d8648c6a1d1a42f5aac20f0c59e79caa" localSheetId="5" hidden="1">'Estimate Uncertainty Model'!$M$92</definedName>
    <definedName name="CBCR_d8675598046c4fa985f1a6766c25d41c" localSheetId="7" hidden="1">'Risk Register'!$A$71</definedName>
    <definedName name="CBCR_d8b894c88fc540cebfb8bdbb5971fb2c" localSheetId="5" hidden="1">'Estimate Uncertainty Model'!$L$109</definedName>
    <definedName name="CBCR_d8dd68e08eae4544ad336df53da62b3e" localSheetId="5" hidden="1">'Estimate Uncertainty Model'!$K$104</definedName>
    <definedName name="CBCR_d8e495a4f85c4943acce037869af3c25" localSheetId="5" hidden="1">'Estimate Uncertainty Model'!$F$79</definedName>
    <definedName name="CBCR_d9234770d5704f6786c394afcee30c45" localSheetId="5" hidden="1">'Estimate Uncertainty Model'!$E$22</definedName>
    <definedName name="CBCR_d97f868585c349d9beddcfa2d2562b96" localSheetId="7" hidden="1">'Risk Register'!$A$85</definedName>
    <definedName name="CBCR_d9b914fb8c834ca3ada99e1f3ab28ddc" localSheetId="5" hidden="1">'Estimate Uncertainty Model'!$K$126</definedName>
    <definedName name="CBCR_d9d97b185ef34f8092f4595ffbf2a55f" localSheetId="5" hidden="1">'Estimate Uncertainty Model'!$F$92</definedName>
    <definedName name="CBCR_da07eec743c9410c8f8b69fcdf75cca0" localSheetId="5" hidden="1">'Estimate Uncertainty Model'!$M$37</definedName>
    <definedName name="CBCR_da0b0b58278541f4928b3a5a0d3566c7" localSheetId="5" hidden="1">'Estimate Uncertainty Model'!$L$115</definedName>
    <definedName name="CBCR_da2a0b402da6442a946d596a8220c725" localSheetId="5" hidden="1">'Estimate Uncertainty Model'!$L$73</definedName>
    <definedName name="CBCR_da4d484b5a144fe6a5604d12012e09d7" localSheetId="7" hidden="1">'Risk Register'!$A$7</definedName>
    <definedName name="CBCR_daa41b99d02a4eb6aa29ea8bb888df3e" localSheetId="7" hidden="1">'Risk Register'!$P$27</definedName>
    <definedName name="CBCR_dadc27761b364ab3a0f2e3c883e975af" localSheetId="5" hidden="1">'Estimate Uncertainty Model'!$L$160</definedName>
    <definedName name="CBCR_db513eada1194e81928349e8a4d3de9f" localSheetId="5" hidden="1">'Estimate Uncertainty Model'!$L$43</definedName>
    <definedName name="CBCR_db7e3c43747c4b7bac8e932032620280" localSheetId="5" hidden="1">'Estimate Uncertainty Model'!$M$131</definedName>
    <definedName name="CBCR_dbfc708eb83c48aa8e3ed3fd0a5fe774" localSheetId="5" hidden="1">'Estimate Uncertainty Model'!$L$79</definedName>
    <definedName name="CBCR_dc21b474dae946808244a2ee8e943feb" localSheetId="5" hidden="1">'Estimate Uncertainty Model'!$E$160</definedName>
    <definedName name="CBCR_dfe0d942b070444796c655a55e53484d" localSheetId="5" hidden="1">'Estimate Uncertainty Model'!$F$93</definedName>
    <definedName name="CBCR_e0f4a85533924df2bfebdd4a1a5381ad" localSheetId="5" hidden="1">'Estimate Uncertainty Model'!$E$172</definedName>
    <definedName name="CBCR_e0fb4661f392408bb0a172bc9332be47" localSheetId="5" hidden="1">'Estimate Uncertainty Model'!$L$95</definedName>
    <definedName name="CBCR_e10435387ff645a6ae84770c61b13692" localSheetId="7" hidden="1">'Risk Register'!$A$58</definedName>
    <definedName name="CBCR_e13f4ae797d342c9824eaf08b08f1071" localSheetId="5" hidden="1">'Estimate Uncertainty Model'!$M$66</definedName>
    <definedName name="CBCR_e27318afa95a4c0584d759e6bf12d7fa" localSheetId="5" hidden="1">'Estimate Uncertainty Model'!$L$91</definedName>
    <definedName name="CBCR_e29b65fc5d734f009ded4ae7116c2ea7" localSheetId="7" hidden="1">'Risk Register'!$A$98</definedName>
    <definedName name="CBCR_e29febee0a9a4db897e96e1eedaf386a" localSheetId="5" hidden="1">'Estimate Uncertainty Model'!$F$28</definedName>
    <definedName name="CBCR_e2dc8278b58a484f8ce3467b3d20c7db" localSheetId="5" hidden="1">'Estimate Uncertainty Model'!$E$54</definedName>
    <definedName name="CBCR_e3f8d8c5c32a458aa49d6f902d4f0208" localSheetId="5" hidden="1">'Estimate Uncertainty Model'!$K$93</definedName>
    <definedName name="CBCR_e4bd64c4d63b4c8a8e637bdbabc8114a" localSheetId="7" hidden="1">'Risk Register'!$A$87</definedName>
    <definedName name="CBCR_e4dc1ca0838343048c88e50a76c34de9" localSheetId="5" hidden="1">'Estimate Uncertainty Model'!$K$9</definedName>
    <definedName name="CBCR_e51a7df3711446db99ece1b3fdc4c01d" localSheetId="5" hidden="1">'Estimate Uncertainty Model'!$M$133</definedName>
    <definedName name="CBCR_e5327f3536164cc09d4258de3860b7d8" localSheetId="5" hidden="1">'Estimate Uncertainty Model'!$L$44</definedName>
    <definedName name="CBCR_e5c75eb0e1df472096763042d8393fa2" localSheetId="5" hidden="1">'Estimate Uncertainty Model'!$M$101</definedName>
    <definedName name="CBCR_e689e039f48f4061bcb0cb52ae177263" localSheetId="5" hidden="1">'Estimate Uncertainty Model'!$M$57</definedName>
    <definedName name="CBCR_e6c5c0fe6b14481f81425ba90cdfc2c0" localSheetId="5" hidden="1">'Estimate Uncertainty Model'!$M$119</definedName>
    <definedName name="CBCR_e7d252fab9bd40a0b1bf28e25587a35e" localSheetId="6" hidden="1">'Schedule Ranges'!$E$8</definedName>
    <definedName name="CBCR_e7d386ee562a4909acaf76fd899a18b0" localSheetId="5" hidden="1">'Estimate Uncertainty Model'!$M$94</definedName>
    <definedName name="CBCR_e7eb38d6f5a44df1bf648aa77ffbc239" localSheetId="5" hidden="1">'Estimate Uncertainty Model'!$L$88</definedName>
    <definedName name="CBCR_e831327b049b42409f3be3af4ecd69d4" localSheetId="5" hidden="1">'Estimate Uncertainty Model'!$L$131</definedName>
    <definedName name="CBCR_e841ff9d186e403bb353be0659c3ca40" localSheetId="7" hidden="1">'Risk Register'!$P$6</definedName>
    <definedName name="CBCR_e8673e3893834846b715000d5f536627" localSheetId="7" hidden="1">'Risk Register'!$P$87</definedName>
    <definedName name="CBCR_e8831fc5b8814f568e0c38810668dee0" localSheetId="5" hidden="1">'Estimate Uncertainty Model'!$K$164</definedName>
    <definedName name="CBCR_e8aa984404704de4852df0bc4f299e9b" localSheetId="5" hidden="1">'Estimate Uncertainty Model'!$L$119</definedName>
    <definedName name="CBCR_e95983e9cd0844bfa47e200fc8bf01a5" localSheetId="5" hidden="1">'Estimate Uncertainty Model'!$M$10</definedName>
    <definedName name="CBCR_e996e48c48d44b5680d06c1e4b58eddf" localSheetId="5" hidden="1">'Estimate Uncertainty Model'!$L$11</definedName>
    <definedName name="CBCR_e99c675780934de6ab6ae5babdd1a2f8" localSheetId="5" hidden="1">'Estimate Uncertainty Model'!$K$120</definedName>
    <definedName name="CBCR_ea2d3ffc04494951b368e60c083b6f26" localSheetId="5" hidden="1">'Estimate Uncertainty Model'!$M$135</definedName>
    <definedName name="CBCR_eac847a7313b4d358599c533c431d993" localSheetId="7" hidden="1">'Risk Register'!$P$8</definedName>
    <definedName name="CBCR_eaf4d3a4a86d4d82adf77bbb5a07a4fd" localSheetId="5" hidden="1">'Estimate Uncertainty Model'!$E$11</definedName>
    <definedName name="CBCR_eb0128e91a27497a94bc02ae48be140c" localSheetId="7" hidden="1">'Risk Register'!$P$41</definedName>
    <definedName name="CBCR_eb39f48dd432438e8998122fdf56890b" localSheetId="7" hidden="1">'Risk Register'!$A$64</definedName>
    <definedName name="CBCR_eb715bac313c4212b2557b54f71211ad" localSheetId="7" hidden="1">'Risk Register'!$P$10</definedName>
    <definedName name="CBCR_eb7e0ea7dc7e4ad79f6f4c3ee77ef178" localSheetId="5" hidden="1">'Estimate Uncertainty Model'!$K$14</definedName>
    <definedName name="CBCR_ebddbc47272d461cb696385ba710956c" localSheetId="5" hidden="1">'Estimate Uncertainty Model'!$M$71</definedName>
    <definedName name="CBCR_ec91119ecc174594b131d1a7294df8a5" localSheetId="5" hidden="1">'Estimate Uncertainty Model'!$M$130</definedName>
    <definedName name="CBCR_ec9a9bfc52d440199043a4c001c5eaee" localSheetId="5" hidden="1">'Estimate Uncertainty Model'!$L$57</definedName>
    <definedName name="CBCR_ed020d7aa4ce46afa08b1b44bca3ebd0" localSheetId="5" hidden="1">'Estimate Uncertainty Model'!$L$37</definedName>
    <definedName name="CBCR_ed673937a7664c12b4307b2b3ce6de99" localSheetId="5" hidden="1">'Estimate Uncertainty Model'!$M$38</definedName>
    <definedName name="CBCR_ed6a20f53cbe47f694778985949091f3" localSheetId="7" hidden="1">'Risk Register'!$P$28</definedName>
    <definedName name="CBCR_ed8ce1afc54d4785a4229574c9eef769" localSheetId="5" hidden="1">'Estimate Uncertainty Model'!$K$40</definedName>
    <definedName name="CBCR_edf53926dc714582853f3569cf400edd" localSheetId="5" hidden="1">'Estimate Uncertainty Model'!$K$118</definedName>
    <definedName name="CBCR_ee2dceae0b504c9fbd99ca7a96ed1eef" localSheetId="5" hidden="1">'Estimate Uncertainty Model'!$K$167</definedName>
    <definedName name="CBCR_eeae91a1dc17421c930fc8d2009127db" localSheetId="5" hidden="1">'Estimate Uncertainty Model'!$E$59</definedName>
    <definedName name="CBCR_eee8c81b942b4b8694354c40bc9200d5" localSheetId="7" hidden="1">'Risk Register'!$A$30</definedName>
    <definedName name="CBCR_ef0215e5ab5640db83eaf0910acc62b1" localSheetId="7" hidden="1">'Risk Register'!$A$28</definedName>
    <definedName name="CBCR_efad777eee754badb4ddeef214dd3950" localSheetId="5" hidden="1">'Estimate Uncertainty Model'!$L$68</definedName>
    <definedName name="CBCR_efdc3d024906406f8ce4bce19303164d" localSheetId="5" hidden="1">'Estimate Uncertainty Model'!$L$132</definedName>
    <definedName name="CBCR_f0d1173aff024b30b91b2d61087d86f3" localSheetId="5" hidden="1">'Estimate Uncertainty Model'!$F$104</definedName>
    <definedName name="CBCR_f144e49a4aff4e528fd3fa922e579265" localSheetId="6" hidden="1">'Schedule Ranges'!$E$12</definedName>
    <definedName name="CBCR_f14d1ed1470742669a2ca4e06f596953" localSheetId="5" hidden="1">'Estimate Uncertainty Model'!$L$112</definedName>
    <definedName name="CBCR_f1a24034a5654132ad24b8f57a12baa6" localSheetId="5" hidden="1">'Estimate Uncertainty Model'!$E$131</definedName>
    <definedName name="CBCR_f1dae134882c43849a474c1bdc5da37f" localSheetId="5" hidden="1">'Estimate Uncertainty Model'!$M$9</definedName>
    <definedName name="CBCR_f1efe3136ba54654bbc2645788db6356" localSheetId="5" hidden="1">'Estimate Uncertainty Model'!$E$122</definedName>
    <definedName name="CBCR_f2afb29297a644529eade80ff1b2b801" localSheetId="7" hidden="1">'Risk Register'!$P$65</definedName>
    <definedName name="CBCR_f2b9805ec6454cc9b6615b2a9408cee7" localSheetId="5" hidden="1">'Estimate Uncertainty Model'!$L$98</definedName>
    <definedName name="CBCR_f3000050439e41ccaf36fe33ea64c5b4" localSheetId="5" hidden="1">'Estimate Uncertainty Model'!$E$125</definedName>
    <definedName name="CBCR_f301571fe996423399f5dff6e2adefdb" localSheetId="5" hidden="1">'Estimate Uncertainty Model'!$K$125</definedName>
    <definedName name="CBCR_f304fb8f6e25475f9a030670a214df74" localSheetId="7" hidden="1">'Risk Register'!$A$17</definedName>
    <definedName name="CBCR_f3111fcaf1d94320aa0de5b65707d1de" localSheetId="6" hidden="1">'Schedule Ranges'!$G$9</definedName>
    <definedName name="CBCR_f41c521e9c714f2ea9f6583180117346" localSheetId="6" hidden="1">'Schedule Ranges'!#REF!</definedName>
    <definedName name="CBCR_f4254fa6ef4948b4899a1efca7ba3e62" localSheetId="5" hidden="1">'Estimate Uncertainty Model'!$L$69</definedName>
    <definedName name="CBCR_f45ae9b7858b48c58281650d9cd3c11d" localSheetId="5" hidden="1">'Estimate Uncertainty Model'!$L$104</definedName>
    <definedName name="CBCR_f465eeb7b44e4c0d90c6a75540132bd1" localSheetId="5" hidden="1">'Estimate Uncertainty Model'!$E$105</definedName>
    <definedName name="CBCR_f4abb1627b6d4257805d0a4b108056fa" localSheetId="5" hidden="1">'Estimate Uncertainty Model'!$M$87</definedName>
    <definedName name="CBCR_f50ec9c56e884bfdaa72003b410a8057" localSheetId="7" hidden="1">'Risk Register'!$P$23</definedName>
    <definedName name="CBCR_f52b76defa5b4e4d99bf5784eb177d66" localSheetId="7" hidden="1">'Risk Register'!$A$20</definedName>
    <definedName name="CBCR_f5963f94d7ef406fb14816d66a87b34c" localSheetId="5" hidden="1">'Estimate Uncertainty Model'!$L$70</definedName>
    <definedName name="CBCR_f5c57aef874a4b32b68ab10cc4966410" localSheetId="5" hidden="1">'Estimate Uncertainty Model'!$F$128</definedName>
    <definedName name="CBCR_f63d2d3c9c204fdfa376ec224ac5632b" localSheetId="5" hidden="1">'Estimate Uncertainty Model'!$K$38</definedName>
    <definedName name="CBCR_f644ae2012c64e92bfaa8e2da6cab87e" localSheetId="7" hidden="1">'Risk Register'!$P$75</definedName>
    <definedName name="CBCR_f68b4166f63f4cd488094e56e89d73cc" localSheetId="5" hidden="1">'Estimate Uncertainty Model'!$M$163</definedName>
    <definedName name="CBCR_f6b2ce95dbce48859fe4c03e475c2096" localSheetId="5" hidden="1">'Estimate Uncertainty Model'!$L$59</definedName>
    <definedName name="CBCR_f71a08e91bb843bfb0e79eaef94c571a" localSheetId="5" hidden="1">'Estimate Uncertainty Model'!$L$114</definedName>
    <definedName name="CBCR_f80eef6842f94e3e8c4039c80bf6aeef" localSheetId="5" hidden="1">'Estimate Uncertainty Model'!$L$54</definedName>
    <definedName name="CBCR_f86a11b7cef341c6ab5a9b216f48fc3e" localSheetId="7" hidden="1">'Risk Register'!$P$11</definedName>
    <definedName name="CBCR_f8ad989270ea473b9a87211d234e0a90" localSheetId="5" hidden="1">'Estimate Uncertainty Model'!$K$29</definedName>
    <definedName name="CBCR_f8b6fb2f80b94e2b92c34b19020ab1d9" localSheetId="5" hidden="1">'Estimate Uncertainty Model'!$L$10</definedName>
    <definedName name="CBCR_f947bda6b4d34ed1ac3a61bc08dcca62" localSheetId="5" hidden="1">'Estimate Uncertainty Model'!$M$15</definedName>
    <definedName name="CBCR_f95b5a3dbe004b79bed21fd9fb057405" localSheetId="5" hidden="1">'Estimate Uncertainty Model'!$M$26</definedName>
    <definedName name="CBCR_f9ad54517f924f0cae0823e2999d0f8e" localSheetId="5" hidden="1">'Estimate Uncertainty Model'!$F$65</definedName>
    <definedName name="CBCR_fa7e20e891114d7cb1a818d2def295b0" localSheetId="6" hidden="1">'Schedule Ranges'!$E$7</definedName>
    <definedName name="CBCR_fabd984311db4926a719ef8314de09b6" localSheetId="5" hidden="1">'Estimate Uncertainty Model'!$L$135</definedName>
    <definedName name="CBCR_fb435884ab5d477384eb1c604078745b" localSheetId="5" hidden="1">'Estimate Uncertainty Model'!$L$72</definedName>
    <definedName name="CBCR_fbf36f2e8ca4409c8efebecbf29775b7" localSheetId="5" hidden="1">'Estimate Uncertainty Model'!$L$19</definedName>
    <definedName name="CBCR_fc8be2db466b43a898779b95950d5e53" localSheetId="6" hidden="1">'Schedule Ranges'!$B$8</definedName>
    <definedName name="CBCR_fcaebd5030cb4161b8fd1fd2bc514dd9" localSheetId="7" hidden="1">'Risk Register'!$A$80</definedName>
    <definedName name="CBCR_fcc53783b9764053a0d857519b5d2591" localSheetId="5" hidden="1">'Estimate Uncertainty Model'!$M$18</definedName>
    <definedName name="CBCR_fd024b220cba49be883b721acfa90b23" localSheetId="5" hidden="1">'Estimate Uncertainty Model'!$L$133</definedName>
    <definedName name="CBCR_fdcf1eee60a64df19e56b8e8e5cb273b" localSheetId="5" hidden="1">'Estimate Uncertainty Model'!$F$66</definedName>
    <definedName name="CBCR_ffbaf62682dd403297d601907701f4de" localSheetId="5" hidden="1">'Estimate Uncertainty Model'!$E$164</definedName>
    <definedName name="CBCR_ffd801a14564455c9a1e12076bbc7372" localSheetId="6" hidden="1">'Schedule Ranges'!$H$7</definedName>
    <definedName name="CBWorkbookPriority" localSheetId="12" hidden="1">-53766829</definedName>
    <definedName name="CBWorkbookPriority" localSheetId="9" hidden="1">-53766829</definedName>
    <definedName name="CBWorkbookPriority" localSheetId="7" hidden="1">-53766829</definedName>
    <definedName name="CBWorkbookPriority" localSheetId="6" hidden="1">-1978197476</definedName>
    <definedName name="CBWorkbookPriority" hidden="1">-2048814648</definedName>
    <definedName name="CBx_27de6ce519d34d278b8c2b4e1555df3d" localSheetId="0" hidden="1">"'Estimate Data'!$A$1"</definedName>
    <definedName name="CBx_2f67bddf0410445ba0baa8487bf98b0a" localSheetId="0" hidden="1">"'Estimate Ranges'!$A$1"</definedName>
    <definedName name="CBx_31bcb805e7e84f90bc17e98efe0de2ae" localSheetId="0" hidden="1">"'Risk Register'!$A$1"</definedName>
    <definedName name="CBx_4ed5e0e1854c40d6bed2c26f3aaa9a06" localSheetId="0" hidden="1">"'Likelihood'!$A$1"</definedName>
    <definedName name="CBx_4f18caf5fbd94c43b48b9d7f52023209" localSheetId="0" hidden="1">"'Job Mgr Uncertainty'!$A$1"</definedName>
    <definedName name="CBx_6c908b2fa67148e0b84bd76abec378a5" localSheetId="0" hidden="1">"'Risk Register'!$A$1"</definedName>
    <definedName name="CBx_808e85716981481da2a4f935d89f9fa3" localSheetId="0" hidden="1">"'Estimate Uncertainty Model'!$A$1"</definedName>
    <definedName name="CBx_a4c567bcad5940ada2d309bbe7ba2c2d" localSheetId="0" hidden="1">"'CB_DATA_'!$A$1"</definedName>
    <definedName name="CBx_b8a174c33cf8400b89d1298e64899f83" localSheetId="0" hidden="1">"'Schedule Ranges'!$A$1"</definedName>
    <definedName name="CBx_Sheet_Guid" localSheetId="0" hidden="1">"'a4c567bc-ad59-40ad-a2d3-09bbe7ba2c2d"</definedName>
    <definedName name="CBx_Sheet_Guid" localSheetId="4" hidden="1">"'27de6ce5-19d3-4d27-8b8c-2b4e1555df3d"</definedName>
    <definedName name="CBx_Sheet_Guid" localSheetId="5" hidden="1">"'808e8571-6981-481d-a2a4-f935d89f9fa3"</definedName>
    <definedName name="CBx_Sheet_Guid" localSheetId="9" hidden="1">"'4ed5e0e1-854c-40d6-bed2-c26f3aaa9a06"</definedName>
    <definedName name="CBx_Sheet_Guid" localSheetId="7" hidden="1">"'31bcb805-e7e8-4f90-bc17-e98efe0de2ae"</definedName>
    <definedName name="CBx_Sheet_Guid" localSheetId="6" hidden="1">"'b8a174c3-3cf8-400b-89d1-298e64899f83"</definedName>
    <definedName name="CBx_StorageType" localSheetId="0" hidden="1">1</definedName>
    <definedName name="CBx_StorageType" localSheetId="4" hidden="1">1</definedName>
    <definedName name="CBx_StorageType" localSheetId="5" hidden="1">1</definedName>
    <definedName name="CBx_StorageType" localSheetId="9" hidden="1">1</definedName>
    <definedName name="CBx_StorageType" localSheetId="7" hidden="1">1</definedName>
    <definedName name="CBx_StorageType" localSheetId="6" hidden="1">1</definedName>
    <definedName name="_xlnm.Print_Area" localSheetId="3">'Contingency by Year Basis'!$A$1:$M$63</definedName>
    <definedName name="_xlnm.Print_Area" localSheetId="1">'Contingency Summary'!$A$1:$M$36</definedName>
    <definedName name="_xlnm.Print_Area" localSheetId="4">'Estimate Data'!$F$1:$K$180</definedName>
    <definedName name="_xlnm.Print_Area" localSheetId="5">'Estimate Uncertainty Model'!$E$1:$J$180</definedName>
    <definedName name="_xlnm.Print_Area" localSheetId="11">'Misc Inputs'!$B$6:$J$27</definedName>
    <definedName name="_xlnm.Print_Area" localSheetId="7">'Risk Register'!$A$3:$M$110</definedName>
    <definedName name="_xlnm.Print_Area" localSheetId="6">'Schedule Ranges'!$A$1:$H$14</definedName>
    <definedName name="_xlnm.Print_Titles" localSheetId="4">'Estimate Data'!$2:$2</definedName>
    <definedName name="_xlnm.Print_Titles" localSheetId="5">'Estimate Uncertainty Model'!$2:$2</definedName>
    <definedName name="_xlnm.Print_Titles" localSheetId="7">'Risk Register'!$1:$2</definedName>
  </definedNames>
  <calcPr fullCalcOnLoad="1"/>
</workbook>
</file>

<file path=xl/comments4.xml><?xml version="1.0" encoding="utf-8"?>
<comments xmlns="http://schemas.openxmlformats.org/spreadsheetml/2006/main">
  <authors>
    <author>Chris Gruber</author>
  </authors>
  <commentList>
    <comment ref="B4" authorId="0">
      <text>
        <r>
          <rPr>
            <b/>
            <sz val="10"/>
            <rFont val="Tahoma"/>
            <family val="2"/>
          </rPr>
          <t>Chris Gruber:</t>
        </r>
        <r>
          <rPr>
            <sz val="10"/>
            <rFont val="Tahoma"/>
            <family val="2"/>
          </rPr>
          <t xml:space="preserve">
Contribution to Variance from Uncertainty Model Sensitivty Analysis</t>
        </r>
      </text>
    </comment>
    <comment ref="I3" authorId="0">
      <text>
        <r>
          <rPr>
            <b/>
            <sz val="10"/>
            <rFont val="Tahoma"/>
            <family val="2"/>
          </rPr>
          <t>Chris Gruber:</t>
        </r>
        <r>
          <rPr>
            <sz val="10"/>
            <rFont val="Tahoma"/>
            <family val="2"/>
          </rPr>
          <t xml:space="preserve">
Contribution to Variance % times % by year</t>
        </r>
      </text>
    </comment>
    <comment ref="K33" authorId="0">
      <text>
        <r>
          <rPr>
            <b/>
            <sz val="10"/>
            <rFont val="Tahoma"/>
            <family val="2"/>
          </rPr>
          <t>Chris Gruber:</t>
        </r>
        <r>
          <rPr>
            <sz val="10"/>
            <rFont val="Tahoma"/>
            <family val="2"/>
          </rPr>
          <t xml:space="preserve">
Contribution to Variance % times % by year</t>
        </r>
      </text>
    </comment>
    <comment ref="D40" authorId="0">
      <text>
        <r>
          <rPr>
            <b/>
            <sz val="9"/>
            <rFont val="Tahoma"/>
            <family val="2"/>
          </rPr>
          <t>Chris Gruber:</t>
        </r>
        <r>
          <rPr>
            <sz val="9"/>
            <rFont val="Tahoma"/>
            <family val="2"/>
          </rPr>
          <t xml:space="preserve">
Used spread remaining after 2007 from Escalation Risk sheet for SS</t>
        </r>
      </text>
    </comment>
  </commentList>
</comments>
</file>

<file path=xl/comments5.xml><?xml version="1.0" encoding="utf-8"?>
<comments xmlns="http://schemas.openxmlformats.org/spreadsheetml/2006/main">
  <authors>
    <author>Christopher O. Gruber</author>
  </authors>
  <commentList>
    <comment ref="I2" authorId="0">
      <text>
        <r>
          <rPr>
            <b/>
            <sz val="10"/>
            <rFont val="Tahoma"/>
            <family val="2"/>
          </rPr>
          <t>Christopher O. Gruber:</t>
        </r>
        <r>
          <rPr>
            <sz val="10"/>
            <rFont val="Tahoma"/>
            <family val="2"/>
          </rPr>
          <t xml:space="preserve">
Enter L, M or H
</t>
        </r>
      </text>
    </comment>
    <comment ref="J2" authorId="0">
      <text>
        <r>
          <rPr>
            <b/>
            <sz val="10"/>
            <rFont val="Tahoma"/>
            <family val="2"/>
          </rPr>
          <t>Christopher O. Gruber:</t>
        </r>
        <r>
          <rPr>
            <sz val="10"/>
            <rFont val="Tahoma"/>
            <family val="2"/>
          </rPr>
          <t xml:space="preserve">
Enter L, M or H</t>
        </r>
      </text>
    </comment>
  </commentList>
</comments>
</file>

<file path=xl/comments6.xml><?xml version="1.0" encoding="utf-8"?>
<comments xmlns="http://schemas.openxmlformats.org/spreadsheetml/2006/main">
  <authors>
    <author>Christopher O. Gruber</author>
    <author>Chris Gruber</author>
  </authors>
  <commentList>
    <comment ref="H2" authorId="0">
      <text>
        <r>
          <rPr>
            <b/>
            <sz val="10"/>
            <rFont val="Tahoma"/>
            <family val="2"/>
          </rPr>
          <t>Christopher O. Gruber:</t>
        </r>
        <r>
          <rPr>
            <sz val="10"/>
            <rFont val="Tahoma"/>
            <family val="2"/>
          </rPr>
          <t xml:space="preserve">
Enter L, M or H
</t>
        </r>
      </text>
    </comment>
    <comment ref="I2" authorId="0">
      <text>
        <r>
          <rPr>
            <b/>
            <sz val="10"/>
            <rFont val="Tahoma"/>
            <family val="2"/>
          </rPr>
          <t>Christopher O. Gruber:</t>
        </r>
        <r>
          <rPr>
            <sz val="10"/>
            <rFont val="Tahoma"/>
            <family val="2"/>
          </rPr>
          <t xml:space="preserve">
Enter L, M or H</t>
        </r>
      </text>
    </comment>
    <comment ref="N78" authorId="1">
      <text>
        <r>
          <rPr>
            <b/>
            <sz val="9"/>
            <rFont val="Tahoma"/>
            <family val="2"/>
          </rPr>
          <t>Chris Gruber:</t>
        </r>
        <r>
          <rPr>
            <sz val="9"/>
            <rFont val="Tahoma"/>
            <family val="2"/>
          </rPr>
          <t xml:space="preserve">
Correlated with othere Station 2 estimates using .8 coeeficient since common problems assumed</t>
        </r>
      </text>
    </comment>
    <comment ref="N79" authorId="1">
      <text>
        <r>
          <rPr>
            <b/>
            <sz val="9"/>
            <rFont val="Tahoma"/>
            <family val="2"/>
          </rPr>
          <t>Chris Gruber:</t>
        </r>
        <r>
          <rPr>
            <sz val="9"/>
            <rFont val="Tahoma"/>
            <family val="2"/>
          </rPr>
          <t xml:space="preserve">
Correlated with othere Station 2 estimates using .8 coeeficient since common problems assumed</t>
        </r>
      </text>
    </comment>
    <comment ref="N80" authorId="1">
      <text>
        <r>
          <rPr>
            <b/>
            <sz val="9"/>
            <rFont val="Tahoma"/>
            <family val="2"/>
          </rPr>
          <t>Chris Gruber:</t>
        </r>
        <r>
          <rPr>
            <sz val="9"/>
            <rFont val="Tahoma"/>
            <family val="2"/>
          </rPr>
          <t xml:space="preserve">
Correlated with othere Station 2 estimates using .8 coeeficient since common problems assumed</t>
        </r>
      </text>
    </comment>
    <comment ref="N81" authorId="1">
      <text>
        <r>
          <rPr>
            <b/>
            <sz val="9"/>
            <rFont val="Tahoma"/>
            <family val="2"/>
          </rPr>
          <t>Chris Gruber:</t>
        </r>
        <r>
          <rPr>
            <sz val="9"/>
            <rFont val="Tahoma"/>
            <family val="2"/>
          </rPr>
          <t xml:space="preserve">
Correlated with othere Station 2 estimates using .8 coeeficient since common problems assumed</t>
        </r>
      </text>
    </comment>
    <comment ref="N82" authorId="1">
      <text>
        <r>
          <rPr>
            <b/>
            <sz val="9"/>
            <rFont val="Tahoma"/>
            <family val="2"/>
          </rPr>
          <t>Chris Gruber:</t>
        </r>
        <r>
          <rPr>
            <sz val="9"/>
            <rFont val="Tahoma"/>
            <family val="2"/>
          </rPr>
          <t xml:space="preserve">
Correlated with othere Station 2 estimates using .8 coeeficient since common problems assumed</t>
        </r>
      </text>
    </comment>
    <comment ref="N83" authorId="1">
      <text>
        <r>
          <rPr>
            <b/>
            <sz val="9"/>
            <rFont val="Tahoma"/>
            <family val="2"/>
          </rPr>
          <t>Chris Gruber:</t>
        </r>
        <r>
          <rPr>
            <sz val="9"/>
            <rFont val="Tahoma"/>
            <family val="2"/>
          </rPr>
          <t xml:space="preserve">
Correlated with othere Station 2 estimates using .8 coeeficient since common problems assumed</t>
        </r>
      </text>
    </comment>
    <comment ref="N84" authorId="1">
      <text>
        <r>
          <rPr>
            <b/>
            <sz val="9"/>
            <rFont val="Tahoma"/>
            <family val="2"/>
          </rPr>
          <t>Chris Gruber:</t>
        </r>
        <r>
          <rPr>
            <sz val="9"/>
            <rFont val="Tahoma"/>
            <family val="2"/>
          </rPr>
          <t xml:space="preserve">
Correlated with othere Station 2 estimates using .8 coeeficient since common problems assumed</t>
        </r>
      </text>
    </comment>
    <comment ref="N88" authorId="1">
      <text>
        <r>
          <rPr>
            <b/>
            <sz val="9"/>
            <rFont val="Tahoma"/>
            <family val="2"/>
          </rPr>
          <t>Chris Gruber:</t>
        </r>
        <r>
          <rPr>
            <sz val="9"/>
            <rFont val="Tahoma"/>
            <family val="2"/>
          </rPr>
          <t xml:space="preserve">
Correlated with othere Station 3 estimates using .8 coeeficient since common problems assumed</t>
        </r>
      </text>
    </comment>
    <comment ref="N89" authorId="1">
      <text>
        <r>
          <rPr>
            <b/>
            <sz val="9"/>
            <rFont val="Tahoma"/>
            <family val="2"/>
          </rPr>
          <t>Chris Gruber:</t>
        </r>
        <r>
          <rPr>
            <sz val="9"/>
            <rFont val="Tahoma"/>
            <family val="2"/>
          </rPr>
          <t xml:space="preserve">
Correlated with othere Station 3 estimates using .8 coeeficient since common problems assumed</t>
        </r>
      </text>
    </comment>
    <comment ref="N90" authorId="1">
      <text>
        <r>
          <rPr>
            <b/>
            <sz val="9"/>
            <rFont val="Tahoma"/>
            <family val="2"/>
          </rPr>
          <t>Chris Gruber:</t>
        </r>
        <r>
          <rPr>
            <sz val="9"/>
            <rFont val="Tahoma"/>
            <family val="2"/>
          </rPr>
          <t xml:space="preserve">
Correlated with othere Station 3 estimates using .8 coeeficient since common problems assumed</t>
        </r>
      </text>
    </comment>
    <comment ref="N92" authorId="1">
      <text>
        <r>
          <rPr>
            <b/>
            <sz val="9"/>
            <rFont val="Tahoma"/>
            <family val="2"/>
          </rPr>
          <t>Chris Gruber:</t>
        </r>
        <r>
          <rPr>
            <sz val="9"/>
            <rFont val="Tahoma"/>
            <family val="2"/>
          </rPr>
          <t xml:space="preserve">
Correlated with othere Station 5 estimates using .8 coeeficient since common problems assumed</t>
        </r>
      </text>
    </comment>
    <comment ref="N93" authorId="1">
      <text>
        <r>
          <rPr>
            <b/>
            <sz val="9"/>
            <rFont val="Tahoma"/>
            <family val="2"/>
          </rPr>
          <t>Chris Gruber:</t>
        </r>
        <r>
          <rPr>
            <sz val="9"/>
            <rFont val="Tahoma"/>
            <family val="2"/>
          </rPr>
          <t xml:space="preserve">
Correlated with othere Station 3 estimates using .8 coeeficient since common problems assumed</t>
        </r>
      </text>
    </comment>
    <comment ref="N94" authorId="1">
      <text>
        <r>
          <rPr>
            <b/>
            <sz val="9"/>
            <rFont val="Tahoma"/>
            <family val="2"/>
          </rPr>
          <t>Chris Gruber:</t>
        </r>
        <r>
          <rPr>
            <sz val="9"/>
            <rFont val="Tahoma"/>
            <family val="2"/>
          </rPr>
          <t xml:space="preserve">
Correlated with othere Station 3 estimates using .8 coeeficient since common problems assumed</t>
        </r>
      </text>
    </comment>
  </commentList>
</comments>
</file>

<file path=xl/comments7.xml><?xml version="1.0" encoding="utf-8"?>
<comments xmlns="http://schemas.openxmlformats.org/spreadsheetml/2006/main">
  <authors>
    <author>Chris Gruber</author>
  </authors>
  <commentList>
    <comment ref="I6" authorId="0">
      <text>
        <r>
          <rPr>
            <b/>
            <sz val="9"/>
            <rFont val="Tahoma"/>
            <family val="2"/>
          </rPr>
          <t>Chris Gruber:</t>
        </r>
        <r>
          <rPr>
            <sz val="9"/>
            <rFont val="Tahoma"/>
            <family val="2"/>
          </rPr>
          <t xml:space="preserve">
Correlated with corresponding estimate uncertainty at .9 coefficient</t>
        </r>
      </text>
    </comment>
    <comment ref="I7" authorId="0">
      <text>
        <r>
          <rPr>
            <b/>
            <sz val="9"/>
            <rFont val="Tahoma"/>
            <family val="2"/>
          </rPr>
          <t>Chris Gruber:</t>
        </r>
        <r>
          <rPr>
            <sz val="9"/>
            <rFont val="Tahoma"/>
            <family val="2"/>
          </rPr>
          <t xml:space="preserve">
Correlated with corresponding estimate uncertainty at .9 coefficient</t>
        </r>
      </text>
    </comment>
    <comment ref="I8" authorId="0">
      <text>
        <r>
          <rPr>
            <b/>
            <sz val="9"/>
            <rFont val="Tahoma"/>
            <family val="2"/>
          </rPr>
          <t>Chris Gruber:</t>
        </r>
        <r>
          <rPr>
            <sz val="9"/>
            <rFont val="Tahoma"/>
            <family val="2"/>
          </rPr>
          <t xml:space="preserve">
Correlated with corresponding estimate uncertainty at .9 coefficient</t>
        </r>
      </text>
    </comment>
    <comment ref="I9" authorId="0">
      <text>
        <r>
          <rPr>
            <b/>
            <sz val="9"/>
            <rFont val="Tahoma"/>
            <family val="2"/>
          </rPr>
          <t>Chris Gruber:</t>
        </r>
        <r>
          <rPr>
            <sz val="9"/>
            <rFont val="Tahoma"/>
            <family val="2"/>
          </rPr>
          <t xml:space="preserve">
Correlated with corresponding estimate uncertainty at .9 coefficient</t>
        </r>
      </text>
    </comment>
    <comment ref="I10" authorId="0">
      <text>
        <r>
          <rPr>
            <b/>
            <sz val="9"/>
            <rFont val="Tahoma"/>
            <family val="2"/>
          </rPr>
          <t>Chris Gruber:</t>
        </r>
        <r>
          <rPr>
            <sz val="9"/>
            <rFont val="Tahoma"/>
            <family val="2"/>
          </rPr>
          <t xml:space="preserve">
Correlated with corresponding estimate uncertainty at .9 coefficient</t>
        </r>
      </text>
    </comment>
    <comment ref="I11" authorId="0">
      <text>
        <r>
          <rPr>
            <b/>
            <sz val="9"/>
            <rFont val="Tahoma"/>
            <family val="2"/>
          </rPr>
          <t>Chris Gruber:</t>
        </r>
        <r>
          <rPr>
            <sz val="9"/>
            <rFont val="Tahoma"/>
            <family val="2"/>
          </rPr>
          <t xml:space="preserve">
Correlated with corresponding estimate uncertainty at .9 coefficient</t>
        </r>
      </text>
    </comment>
    <comment ref="I12" authorId="0">
      <text>
        <r>
          <rPr>
            <b/>
            <sz val="9"/>
            <rFont val="Tahoma"/>
            <family val="2"/>
          </rPr>
          <t>Chris Gruber:</t>
        </r>
        <r>
          <rPr>
            <sz val="9"/>
            <rFont val="Tahoma"/>
            <family val="2"/>
          </rPr>
          <t xml:space="preserve">
Correlated with corresponding estimate uncertainty at .9 coefficient</t>
        </r>
      </text>
    </comment>
    <comment ref="K3" authorId="0">
      <text>
        <r>
          <rPr>
            <b/>
            <sz val="9"/>
            <rFont val="Tahoma"/>
            <family val="2"/>
          </rPr>
          <t>Chris Gruber:</t>
        </r>
        <r>
          <rPr>
            <sz val="9"/>
            <rFont val="Tahoma"/>
            <family val="2"/>
          </rPr>
          <t xml:space="preserve">
If 2md shift used to reduce schedule, this is cost for added shift - see Misc Inputs sheet</t>
        </r>
      </text>
    </comment>
  </commentList>
</comments>
</file>

<file path=xl/sharedStrings.xml><?xml version="1.0" encoding="utf-8"?>
<sst xmlns="http://schemas.openxmlformats.org/spreadsheetml/2006/main" count="3156" uniqueCount="1006">
  <si>
    <t>Staff have recently been brought on board in anticipation of growing NCSX I&amp;C needs. The planned shutdown of NSTX after FY10 will increase the availability of similar resources for NCSX.</t>
  </si>
  <si>
    <t>NSTX Shutdown (following FY10)</t>
  </si>
  <si>
    <t>P. Sichta
S. Baumgartner
A. vonHalle</t>
  </si>
  <si>
    <t>Staff are presently on-board and available to handle the FY08-10 work plan. More will be available following the shutdown of NSTX.</t>
  </si>
  <si>
    <t>Estimated impact is &lt;0.5 months on the critical path.  No impact on WBS 5 cost because impacted personnel would be assigned to other activities.</t>
  </si>
  <si>
    <t>Mgmt-2</t>
  </si>
  <si>
    <t>Loss of knowledgeable staff delays operation of legacy power supplies.</t>
  </si>
  <si>
    <t>Train staff in legacy systems.
Eng. Dept.</t>
  </si>
  <si>
    <t>Power Systems ISTP</t>
  </si>
  <si>
    <t>A. von Halle</t>
  </si>
  <si>
    <t>Staff presently assigned to NSTX are available to backup the staff presently responsible for the NCSX power supply work scope</t>
  </si>
  <si>
    <t>Estimated impact is &lt;0.5 months on the critical path.  No impact on WBS 4 cost because impacted personnel would be assigned to other activities.</t>
  </si>
  <si>
    <t>Mgmt-3</t>
  </si>
  <si>
    <t>Overhead rates may change significantly which in turn could impact cost and schedule</t>
  </si>
  <si>
    <t>None</t>
  </si>
  <si>
    <t>Strykowsky</t>
  </si>
  <si>
    <t>Current estimates reflect latest OFES guidance. Will revisit in semi-annual EAC update.</t>
  </si>
  <si>
    <t>Mgmt-4</t>
  </si>
  <si>
    <t>Labor rates may be significantly lower than projected
Opportunity</t>
  </si>
  <si>
    <t>Current estimatesreflect latest labor rates. Will revisit in semi-annual EAC update.</t>
  </si>
  <si>
    <t>Retirements / resignations replaced with younger lower-salaried staff</t>
  </si>
  <si>
    <t>Mgmt-5</t>
  </si>
  <si>
    <t>The crane and the HVAC systems are the main GPP projects that would need to be completed.  The GPP projects have strong Lab and DOE oversight.  Ample float is provided in the schedule so project delays due to GPP delays are not considered credible (P&lt;1%).
Eng. &amp; Infrastructure Dept.</t>
  </si>
  <si>
    <t>End of FY-09</t>
  </si>
  <si>
    <t>Perry</t>
  </si>
  <si>
    <t>All GPP projects supporting the NCSX inhabiting the C-Site test cell are presently scheduled for completion prior to the end of FY09.</t>
  </si>
  <si>
    <t>Mgmt-6</t>
  </si>
  <si>
    <t>CR may delay funding to project.</t>
  </si>
  <si>
    <t>Expected increase in FY-09 may be delayed by CR.</t>
  </si>
  <si>
    <t>TECHNICAL RISK - Generic Assembly Risks</t>
  </si>
  <si>
    <t>Assy-1</t>
  </si>
  <si>
    <t>Station 3: cost and schedule grows when Assembly Sequence Plan fully matures</t>
  </si>
  <si>
    <t>Expedite Tooling Design and Assembly Sequence Plan
Jobs 1803 / 8203</t>
  </si>
  <si>
    <t>When Station 3 Tooling FDR is complete</t>
  </si>
  <si>
    <t>Brown</t>
  </si>
  <si>
    <t xml:space="preserve">15% increase in time required for each F.P
</t>
  </si>
  <si>
    <t>Station 3 estimate of $1,579k x 15% plus  schedule stretchout for the time station 3 is on the c.p (4.5mo x 15% (stretchout cost quantified and added separately)</t>
  </si>
  <si>
    <t>Assy-2</t>
  </si>
  <si>
    <t>Station 5: cost and schedule grows when Assembly Sequence Plan fully matures</t>
  </si>
  <si>
    <t>Expedite Component Designs and Assembly Sequence Plan
Jobs 1354, 1501, 1601, 8203</t>
  </si>
  <si>
    <t>Coil services PDRs</t>
  </si>
  <si>
    <t xml:space="preserve">25% increase in time required for each F.P
</t>
  </si>
  <si>
    <t>Station 5 estimate of $1889k x 25% plus  schedule stretchout for the time station 5 is on the c.p (4.5mo x 25% (stretchout cost quantified and added separately)</t>
  </si>
  <si>
    <t>Assy-3</t>
  </si>
  <si>
    <t>Station 6: cost and schedule grows when Assembly Sequence Plan fully matures</t>
  </si>
  <si>
    <t>Expedite Component Designs, Plant Layout, and Assembly Sequence Plan
Jobs 1701, 1702, 1803, 8215</t>
  </si>
  <si>
    <t>Cryostat PDR</t>
  </si>
  <si>
    <t xml:space="preserve">15% increase in time required.
</t>
  </si>
  <si>
    <t>Station 6 estimate of $4,317k x 15%. plus  schedule stretchout for the time station 6 is on the c.p (14.5mo x 15%  (stretchout cost quantified and added separately)</t>
  </si>
  <si>
    <t>Assy-4</t>
  </si>
  <si>
    <t>1810/ 1815
7503</t>
  </si>
  <si>
    <t>Photogrammetry replaces laser tracker for some operations and saves time and money. (Opportunity)</t>
  </si>
  <si>
    <t>Acquire equipment, develop experience, assess potential. New H/W in place &amp; personnel being trained.
1810 / 1815</t>
  </si>
  <si>
    <t>~Sept., 2008</t>
  </si>
  <si>
    <t>Dodson / Dudek</t>
  </si>
  <si>
    <t>33% reduction in metrology tasks?</t>
  </si>
  <si>
    <t>50% reduction in metrology crew labor cost =$2,729k  x 50% . Reduction of metrology dependent tasks on the c.p. =172 days x .5 = 86 dyas = 4 months. (stretchout cost quantified and added separately)</t>
  </si>
  <si>
    <t>Assy-5</t>
  </si>
  <si>
    <t>Assembly delayed due to metrology equipment breakdowns or anomalies.</t>
  </si>
  <si>
    <t>Maintain high availability via maintenance contracts, spares, and trained staff. 
F&amp;OM Div.</t>
  </si>
  <si>
    <t>Completion of FP#1, Station 5</t>
  </si>
  <si>
    <t>Priniski / Dudek</t>
  </si>
  <si>
    <t>Have acquired new hardware and trained staff.</t>
  </si>
  <si>
    <t>2 occurrences @ 0.5 month each.</t>
  </si>
  <si>
    <t xml:space="preserve"> (stretchout cost quantified and added separately)</t>
  </si>
  <si>
    <t>Assy-6</t>
  </si>
  <si>
    <t xml:space="preserve">General purpose tooling/ lifting equipment (e.g. cranes) not available to support the schedule.
</t>
  </si>
  <si>
    <t>Budget lift equipment in FPA .
Jobs 1810, 1815</t>
  </si>
  <si>
    <t>After Station 5?</t>
  </si>
  <si>
    <t>Dudek</t>
  </si>
  <si>
    <t>Lift equipment estimated in 1810 &amp; 1815 WAF.</t>
  </si>
  <si>
    <t xml:space="preserve">Up to 2 week impact on FPA and critical path.  </t>
  </si>
  <si>
    <t>TECHNICAL RISKS - Station 2 Assembly</t>
  </si>
  <si>
    <t>Stat2-2</t>
  </si>
  <si>
    <t>Perform extensive welding R&amp;D and careful monitoring during welding.  Develop suitable weld procedures and train welders to minimize likelihood of unacceptable distortion.
Job 1810</t>
  </si>
  <si>
    <t>Viola</t>
  </si>
  <si>
    <t>See response to RR #5. Current weld trials dealing with options to control distortion.</t>
  </si>
  <si>
    <t>Cut apart and re-weld two coils back together.  Nominally a 2.5-man crew in 12 weeks.
Fabrication and installation of chair nominally requires 2.5-man crew and ~3 weeks.</t>
  </si>
  <si>
    <t>Updated.</t>
  </si>
  <si>
    <t>Stat2-3</t>
  </si>
  <si>
    <t>Weld trials should mitigate probability of occurance.</t>
  </si>
  <si>
    <t>Stat2-14</t>
  </si>
  <si>
    <t>Station 2. Risk of loss of weld equipment or trained personnel.</t>
  </si>
  <si>
    <t>Procure more equipment &amp;  qualify more staff</t>
  </si>
  <si>
    <t>Stat2-5</t>
  </si>
  <si>
    <t xml:space="preserve">Station 2. Shim sets not adequate or fail - need to fabricate more shims and measure and test </t>
  </si>
  <si>
    <t>Change to G10 design and fabricate more shims than needed
Job 1810</t>
  </si>
  <si>
    <t>Switched to G10 design</t>
  </si>
  <si>
    <t>Up to 3 week impact on FPA and critical path.</t>
  </si>
  <si>
    <t xml:space="preserve"> </t>
  </si>
  <si>
    <t>Stat2-7</t>
  </si>
  <si>
    <t>Station 2 - shim bag rupture &amp; requires replacement</t>
  </si>
  <si>
    <t>Pre-qulaify shim bags. Use wing chair in compression. Could require taking coil apart in worse case. 
Job 1810</t>
  </si>
  <si>
    <t>Considered unlikely due to other mitigation plan options.</t>
  </si>
  <si>
    <t>Rough assessment of cost and schedule impact of disassembling/re-assembling coils.
5 techs. X 3 months</t>
  </si>
  <si>
    <t>Stat2-9</t>
  </si>
  <si>
    <t>Station 2. Nose opens up while tightening outboard bolts</t>
  </si>
  <si>
    <t>Change bolt tightening sequence
Job 1810</t>
  </si>
  <si>
    <t>Up to 2 week impact on FPA and critical path.</t>
  </si>
  <si>
    <t>Stat2-10</t>
  </si>
  <si>
    <t>Station 2. Nose opens up while tightening outboard bolts.  Change bolt tightening sequence is not adequate</t>
  </si>
  <si>
    <t>Reexamine alignment criteria and potential impact
Job 1810</t>
  </si>
  <si>
    <t xml:space="preserve">Up to 4 week impact on FPA and critical path.  </t>
  </si>
  <si>
    <t>Stat2-13</t>
  </si>
  <si>
    <t>Station 2. Modular coil damaged during assembly requiring significant rework to coil.
(Complete coil re-fabrication excluded)</t>
  </si>
  <si>
    <t>Equipment will be handled during FPA using carefully constructed procedures to minimize likelihood. Include provisions to guard against coil damage in FPA procedures.
Job 1810</t>
  </si>
  <si>
    <t>After Station 2</t>
  </si>
  <si>
    <t xml:space="preserve">Station 2 assembly has just started.  Repeated trial fits have served to benchmark processes.
The impacts consider the "worse case" scenario of when and what coils we damage - cost impact of this "worse case" in addition to the Mod Coil impact is ~$200K and up to 7 mos.
</t>
  </si>
  <si>
    <t>Nominally repaired with a 2-man crew within 2 weeks. Cost: 3-4 occurrence.  No schedule impact</t>
  </si>
  <si>
    <t>Change???</t>
  </si>
  <si>
    <t>Stat2-15</t>
  </si>
  <si>
    <t>Station 2. Modular coil damage requiring coil re-fabrication.</t>
  </si>
  <si>
    <t>Extreme care will be taken when transporting and handling coils.  Develop and follow appropriate procedures.
Job 1810</t>
  </si>
  <si>
    <t>TECHNCIAL RISKS - Station 3 Assembly</t>
  </si>
  <si>
    <t>Stat3-1</t>
  </si>
  <si>
    <t>Station 3: vertical weld distortion excessive. Have to take apart, modify design or procedure, re-weld.</t>
  </si>
  <si>
    <t>Perform vertical welding R&amp;D and careful monitoring during welding.  Develop suitable weld procedures and train welders to minimize likelihood of unacceptable distortion. Refine welding capabilites on Station 2.
Job 1810</t>
  </si>
  <si>
    <t>After first A-A weld</t>
  </si>
  <si>
    <t>5 techs x 1 month</t>
  </si>
  <si>
    <t>Stat3-2</t>
  </si>
  <si>
    <t>Station 3. Problems installing coils over vacuum vessel. Trajectory following scheme does not work like the concrete block.  Have to re-invent.</t>
  </si>
  <si>
    <t>R&amp;D has been performed.  Check in advance with trial dry fit.
1810</t>
  </si>
  <si>
    <t>After first MC-to-VV assembly</t>
  </si>
  <si>
    <t>5 techs x .5 month</t>
  </si>
  <si>
    <t>Stat3-3</t>
  </si>
  <si>
    <t>95% Confidence</t>
  </si>
  <si>
    <t>100% Confidence</t>
  </si>
  <si>
    <t>Station 3.  VV surface component (coolant tube, flux loop, or TC) damaged during FPA requiring significant rework.  (Note:
There is only 0.2" of clearance currently projected.)</t>
  </si>
  <si>
    <t>Equipment will be handled during FPA using carefully constructed procedures to minimize likelihood. Include provisions to guard against coil damage in FPA procedures. 
Job 1810</t>
  </si>
  <si>
    <t>After Station 3</t>
  </si>
  <si>
    <t>Stat3-4</t>
  </si>
  <si>
    <t>Station 3.  Interferences discovered during assembly; components don’t go together as planned.  Assemblies have to be taken apart, components moved or re-worked, re-assembled.</t>
  </si>
  <si>
    <t>CAD modeling with as-built dimensions to find interferences off critical path.
Do simulations carefully
Job 1901 &amp; 8203</t>
  </si>
  <si>
    <t>After first MCHP assembled over VV</t>
  </si>
  <si>
    <t>Cole</t>
  </si>
  <si>
    <t xml:space="preserve">0.5 months on C.P. </t>
  </si>
  <si>
    <t>Stat3-5</t>
  </si>
  <si>
    <t>Station 3. Sag distortion while MCHP are vertical in station 3</t>
  </si>
  <si>
    <t>Our models have predicted acceptable amounts.  Careful modeling contineus.
Job 1810</t>
  </si>
  <si>
    <t xml:space="preserve">Fabricate and install bracing.  Nominally a 2.5-man crew in 2 weeks. Up to 4 week impact on FPA and critical path. </t>
  </si>
  <si>
    <t>Stat3-6</t>
  </si>
  <si>
    <t>Station 3. Assembly tooling allows too much deflection and has to be redesigned.</t>
  </si>
  <si>
    <t>Exercise tooling off the critical path. Compensated by design, metrology, exercise tooling &amp; follow demonstrated procedures
Assy stesp allow for this. Demonstrated in Station 2
Job 1810</t>
  </si>
  <si>
    <t>By start of Station 3</t>
  </si>
  <si>
    <t>Rough assessment of cost and schedule impact of reinforcing or redesigning tooling.</t>
  </si>
  <si>
    <t>TECHNICAL RISKS - Station 5 Assembly</t>
  </si>
  <si>
    <t>Stat5-1</t>
  </si>
  <si>
    <t>Station 5: Trim coils not available when needed in field period assembly sequence. Have to implement workaround.</t>
  </si>
  <si>
    <t>Expedite design and procurement.
Risk has been reduced via design choices (e.g. eliminate Port 12's).  Retro-fit is possible.
Jobs 1354</t>
  </si>
  <si>
    <t>When 10% of coils are wound.</t>
  </si>
  <si>
    <t>Kalish</t>
  </si>
  <si>
    <t>2 weeks on CP</t>
  </si>
  <si>
    <t>Stat5-2</t>
  </si>
  <si>
    <t>Station 5. TF Coils cannot be aligned</t>
  </si>
  <si>
    <t>Reexamine alignment criteria and potential impact.
Job 1810</t>
  </si>
  <si>
    <t>By start of Station 5</t>
  </si>
  <si>
    <t>Up to 4 week impact on FPA and critical path.</t>
  </si>
  <si>
    <t>Stat5-3</t>
  </si>
  <si>
    <t>Station 5. TF coils become warped and have to be racked to restore proper geometry.</t>
  </si>
  <si>
    <t>Measure a sampling of coils to assess need for racking.
Add hard points on the coils- Jim C.
WBS 13</t>
  </si>
  <si>
    <t>After measuring 2 coils.</t>
  </si>
  <si>
    <t>????</t>
  </si>
  <si>
    <t>2 weeks on CP &amp; some retrofit of clamsp.  Have to do some re-design of clamps.  Maybe 4 wweks of Fred &amp; designer + hardware</t>
  </si>
  <si>
    <t>Stat5-4</t>
  </si>
  <si>
    <t>Station 5. PF &amp; TF coil supports may have to change after FDRs to accommodate interfacing systems.</t>
  </si>
  <si>
    <t>Push design integration of TF, PF, coil structures, coil services, &amp; cryostat to resolve interfaes ASAP.  Delay FDRs until integration adequately mature
Job 8203</t>
  </si>
  <si>
    <t>Cryostat CDR</t>
  </si>
  <si>
    <t>Stat5-8</t>
  </si>
  <si>
    <t>Station 5. Problems installing ports due to interferences. Have to move components or modify ports.</t>
  </si>
  <si>
    <t>CAD modeling with as-built dimensions to find interferences off critical path.
Job 1901</t>
  </si>
  <si>
    <t>Cost, not schedule
4 techs. X 2 weeks x 10 occurrences</t>
  </si>
  <si>
    <t>Stat5-9</t>
  </si>
  <si>
    <t>Station 5.  Interferences discovered during assembly; components don’t go together as planned.  Assemblies have to be taken apart, components moved or re-worked, re-assembled.</t>
  </si>
  <si>
    <t>Design integration during Title I &amp; II design of components.
Job  8203</t>
  </si>
  <si>
    <t>Coil Services PDRs</t>
  </si>
  <si>
    <t>Trim coil - port interferencese are biggest concer. 
Leads are a concern too??
4 techs. X 2 weeks X 1 occurrence</t>
  </si>
  <si>
    <t>Stat5-10</t>
  </si>
  <si>
    <t>Station 5: Multiple vacuum leaks during initial pumpdown</t>
  </si>
  <si>
    <t>Welds will be leak checked during FPA when leaks can be addressed without significantly impacting the critical path.
Job 1810</t>
  </si>
  <si>
    <t>After leak check of first FP.</t>
  </si>
  <si>
    <t>Stat5-11</t>
  </si>
  <si>
    <t>1815
7503</t>
  </si>
  <si>
    <t>Expedite design &amp; procurement of at-risk parts.
Dudek</t>
  </si>
  <si>
    <t>Coil structures FDR</t>
  </si>
  <si>
    <t>Dahlgren</t>
  </si>
  <si>
    <t>Assessing impact of annealing and machining on permeability</t>
  </si>
  <si>
    <t>Initial impact assessment based on VVSA experience</t>
  </si>
  <si>
    <t>Stat5-12</t>
  </si>
  <si>
    <t>Station 5. Field period damaged during loading, transport, or unloading from TFTR TC to NCSX TC</t>
  </si>
  <si>
    <t>Extreme care will be taken when transporting a field period.  Additional reviews including external reviewers will be performed. Develop appropriate procedures for transporting field periods.  Arrange for a peer review of the procedures prior to transport. Will replace rollup door in CS test cell.
Job 1815</t>
  </si>
  <si>
    <t>After first FP.</t>
  </si>
  <si>
    <t>TECHNICAL RISKS - Station 6 Assembly</t>
  </si>
  <si>
    <t>Stat6-2</t>
  </si>
  <si>
    <t>Station 6. Original base structure vendor(s) unable to deliver on schedule; not available when needed in machine assembly sequence. Have to implement workaround.</t>
  </si>
  <si>
    <t>Alternate vendors exist &amp; sufficient float exists to engage an alternate vendor. We procure components and assemble on site.
Job 1702</t>
  </si>
  <si>
    <t>Still in design phase - future risk</t>
  </si>
  <si>
    <t>Base supports must be in place prior to the 3-periord machine assembly</t>
  </si>
  <si>
    <t>Stat6-3</t>
  </si>
  <si>
    <t>Station 6. PF 5L &amp; 6L not available when needed in machine assembly sequence. Have to implement workaround.</t>
  </si>
  <si>
    <t>Expedite design and procurement.  
Could put FP#1 inplace if we had to. Could absorb 4 months delay
Jobs 1302/1352</t>
  </si>
  <si>
    <t>When 1st coil is wound.</t>
  </si>
  <si>
    <t>Chrzanowski</t>
  </si>
  <si>
    <t>Would impact CP.
PF coils have ample float</t>
  </si>
  <si>
    <t>Stat6-4</t>
  </si>
  <si>
    <t>Station 6. PF coils out of round or not flat. Supports have to be modified.</t>
  </si>
  <si>
    <t>Include adjustment provisions in coil structure designs. This is being done
Job 1501</t>
  </si>
  <si>
    <t>Addressed in base estimate</t>
  </si>
  <si>
    <t>Stat6-5</t>
  </si>
  <si>
    <t>Station 6. PF 4L, 4U, 5U, 6U not available when needed in machine assembly sequence. Have to implement workaround.</t>
  </si>
  <si>
    <t>Expedite design and procurement.
Jobs 1302/1352</t>
  </si>
  <si>
    <t>When 1st PF is wound.</t>
  </si>
  <si>
    <t>Would impact CP day for day, but PF coils have ample float</t>
  </si>
  <si>
    <t>Stat6-6</t>
  </si>
  <si>
    <t>Station 6: Trim coils not available when needed in machine assembly sequence. Have to implement workaround.</t>
  </si>
  <si>
    <t>Would impact CP day for day, but risk mitigted by design and float.</t>
  </si>
  <si>
    <t>Stat6-7</t>
  </si>
  <si>
    <t>Station 6: Leads not available when needed in machine assembly sequence. Have to implement workaround.</t>
  </si>
  <si>
    <t>Expedite design and procurement.
Jobs 1601</t>
  </si>
  <si>
    <t>Electrical leads FDR</t>
  </si>
  <si>
    <t>Goranson</t>
  </si>
  <si>
    <t>Stat6-8</t>
  </si>
  <si>
    <t>Station 6. High temperature Rogowski Loop damaged during installation resulting in loss of toroidal current measurement capability</t>
  </si>
  <si>
    <t>Triple redundancy - 3 installed but only 1 required.
Job 3101</t>
  </si>
  <si>
    <t>Rogowski loop FDR</t>
  </si>
  <si>
    <t>Stratton</t>
  </si>
  <si>
    <t>Starting installation in Feb 2008</t>
  </si>
  <si>
    <t>Stat6-9</t>
  </si>
  <si>
    <t>Station 6.  Interferences discovered during assembly; components don’t go together as planned.  Assemblies have to be taken apart, components moved or re-worked, re-assembled.</t>
  </si>
  <si>
    <t>CAD modeling with as-built dimensions to find interferences off critical path. A Pro E model/sterolithography  of the three period assemblies and mechanisum for positioning the FPA will be fabricated to evaluate the assembly of the coils. 
Job 1901 / 8203</t>
  </si>
  <si>
    <t>By start of Station 6</t>
  </si>
  <si>
    <t>1 month on C.P.
4 techs x 1 mont</t>
  </si>
  <si>
    <t>Stat6-10</t>
  </si>
  <si>
    <t>Station 6. Problems making up vacuum vessel field joint.  Have to re-machine spool piece.</t>
  </si>
  <si>
    <t>Careful metrology in FPA, back office analysis and CAD modeling.
Job 8202 (Eng. Mgr.)</t>
  </si>
  <si>
    <t>After first VV joint successfully made up.</t>
  </si>
  <si>
    <t>3 joints @ 1 month C.P. each</t>
  </si>
  <si>
    <t>Stat6-11</t>
  </si>
  <si>
    <t>Station 6. Retainer and pucks do not stay on flange during assembly and moving of half field periods. Potential safety risk if individuals are under the machine.</t>
  </si>
  <si>
    <t>Pucks will be held in place by Nomex felt and is being demonstrated to show feasiblity.  Stud assembly sequence will be developed in model studies
Job 1901</t>
  </si>
  <si>
    <t>Stat6-12</t>
  </si>
  <si>
    <t>Station 6. Problems making up C-C joint.  Interferences, bolt access problems.</t>
  </si>
  <si>
    <t>A Pro E model/sterolithography  of the three period assemblies and mechanisum for positioning the FPA will be fabricated to evaluate the assembly of the coils. Also CAD modeling
Job 1901 / 8203</t>
  </si>
  <si>
    <t>Risk is mitigated in the estimate</t>
  </si>
  <si>
    <t>Stat6-13</t>
  </si>
  <si>
    <t>Station 6. Pourable insulation installation problemss; can’t get what we need, don’t know if it fills all the voids, leaks out all over the place; have to invent methods to ensure complete fill and seal.</t>
  </si>
  <si>
    <t>Perform R&amp;D. Design special tooling for installation and verification.
Job 7503 &amp; 1901</t>
  </si>
  <si>
    <t>At least 1 year before start of Station 6</t>
  </si>
  <si>
    <t>Stat6-14</t>
  </si>
  <si>
    <t>Station 6. Modular coils are shorted across toroidal break between field periods causing problematic field errors</t>
  </si>
  <si>
    <t>Ensure that required electrical breaks are not compromised.
Check carefully during assembly.
Job 1810, 1815, 7503</t>
  </si>
  <si>
    <t>Viola (FPA)
Perry (MA)</t>
  </si>
  <si>
    <t>Future risk - N/A</t>
  </si>
  <si>
    <t>Stat6-15</t>
  </si>
  <si>
    <t>Station 6. Assembly sled for final assembly is not adequately stiff or does not provide repeatable motion</t>
  </si>
  <si>
    <t>Functionality of sled will be determined with first FP.  Ample time to make design modifications between arrival of the first and third FPs.
Job 7503</t>
  </si>
  <si>
    <t>Stat6-16</t>
  </si>
  <si>
    <t>Station 6.  Vacuum leaks occur. Takes time to locate and repair.</t>
  </si>
  <si>
    <t>Leak check each field period independently in FPA.
Job 1815</t>
  </si>
  <si>
    <t>After final VV weld</t>
  </si>
  <si>
    <t>Stat6-17
Added by
 Erik 
2/28/2008</t>
  </si>
  <si>
    <t>Add Inconel plates to extend the vessel flange if radial out- of-tolerance and add flange plates ti soiil pieces and tehn bridge to vessel flange extension if angular out-of-tolerance.</t>
  </si>
  <si>
    <t>Stat6-18</t>
  </si>
  <si>
    <t>Friction shims in sizes needed for C-C joint not avaialble when needed.</t>
  </si>
  <si>
    <t>Qualify sources for alumina shims; investigate use of G10 shims in some locations.  Make measurements after Station 3 to determine needed thicknesses.</t>
  </si>
  <si>
    <t>6 weeks on CP</t>
  </si>
  <si>
    <t>TECHNICAL RISKS - Startup</t>
  </si>
  <si>
    <t>S/U-1</t>
  </si>
  <si>
    <t xml:space="preserve">Careful cryostat design, including consultation with experts and R&amp;D.
Job 1701
</t>
  </si>
  <si>
    <t>Cryostat FDR</t>
  </si>
  <si>
    <t>Raftopoulos</t>
  </si>
  <si>
    <t>S/U-2</t>
  </si>
  <si>
    <t xml:space="preserve">Coil cooling system fails to cool coil structure down to cryogenic temperature </t>
  </si>
  <si>
    <t>Analyze coil thermal and heat transfer properties. (Jobs 14, 13)
Perform R&amp;D on cryogenic cooling system (Job 6201)</t>
  </si>
  <si>
    <t>S/U-3</t>
  </si>
  <si>
    <t>Insulation on modular coil fails during initial cooldown and testing requiring in situ repair.</t>
  </si>
  <si>
    <t xml:space="preserve">C1 tested at full current at cryogenic temperature.  All modular coils will be tested at RT at elevated (50% higher) voltage for faults to ground. 
Job 1421
In addition, routine field tests will be performed on each assembly station to ensure that the electrical integrity is OK.
Job 1810 </t>
  </si>
  <si>
    <t xml:space="preserve">Chrzanowski (MC)
Viola (FPA)
M. Viola &amp; E. Perry - implement mitigation plan during  field period and final assembly. </t>
  </si>
  <si>
    <t>S/U-4</t>
  </si>
  <si>
    <t>16 of 18 coils successfully wound. Remaining 2 coils in winding process.</t>
  </si>
  <si>
    <t>S/U-5</t>
  </si>
  <si>
    <t>7503
1352
1361
8501</t>
  </si>
  <si>
    <t>1st of each kind will be tested at cryogenic temperature at elevated (50% higher than routine field tests) voltage for faults to ground.
  All coils will be tested at RT at elevated (50% higher than routine field tests) voltage for faults to ground .
Job 1361
Job 1352</t>
  </si>
  <si>
    <t>After 1st PF Coil</t>
  </si>
  <si>
    <t xml:space="preserve">Kalish (TF)
Chrzanowski (PF)
M. Viola &amp; E. Perry - implement mitigation plan during  field period and final assembly. </t>
  </si>
  <si>
    <t>Mitgation plan being implemented during TF fab.  There was an issue with TF Coil #3, but this has now been resolved.  6 TF coils shipped and/or received.</t>
  </si>
  <si>
    <t>S/U-6</t>
  </si>
  <si>
    <t>S/U-7</t>
  </si>
  <si>
    <t>Ensure that coils are connected with correct polarity during final assembly by specifying testing in the assembly procedure.
Job 7503
Test during ISTP and fix if necessary.
Job 8501</t>
  </si>
  <si>
    <t>S/U-8</t>
  </si>
  <si>
    <t>Ground faults delay coil testing.</t>
  </si>
  <si>
    <t>Machine Techs will be trained to search out / identify and correct ground faults.
Implement ground fault detection system before other systems are installed in test cell.
WBS 4401</t>
  </si>
  <si>
    <t>Start of installation</t>
  </si>
  <si>
    <t>Ramakrishnan</t>
  </si>
  <si>
    <t>Allowances made in current S/U plans</t>
  </si>
  <si>
    <t>Experience on NSTX S/U</t>
  </si>
  <si>
    <t>S/U-9</t>
  </si>
  <si>
    <t>Loop faults delay coil testing.</t>
  </si>
  <si>
    <t>S/U-10</t>
  </si>
  <si>
    <t>Control System problems delay testing</t>
  </si>
  <si>
    <t>During the development of the ISTP specific ( first plasma ) waveforms will be tested to ensure that they will work.
WBS 5</t>
  </si>
  <si>
    <t>Sichta</t>
  </si>
  <si>
    <t>S/U-11</t>
  </si>
  <si>
    <t>Loss of a key component or system delays testing - e.g., pump failure</t>
  </si>
  <si>
    <t>1302 - Job: 1302 - PF  Design -CHRZANOWSKI</t>
  </si>
  <si>
    <t>1353 - Job: 1353 - CS Structure Procurement-PERRY</t>
  </si>
  <si>
    <t>1752 - Job: 1752 - Base Support Proc-PERRY</t>
  </si>
  <si>
    <t>1810 - Job: 1810 - Field Period AssyStation 1 2 3 VIOLA</t>
  </si>
  <si>
    <t>1270 - Job: 1270 - Heater Control System-PPPL ( tbd)</t>
  </si>
  <si>
    <t>1550 - Job: 1550 - Coil Struct. Procurement -PERRY</t>
  </si>
  <si>
    <t>621  - 621 - LN2  Supply &amp; LN2 coil cooling supply</t>
  </si>
  <si>
    <t>Comprehensive PTP's will be conducted prior to implementing the ISTP.
WBS 1-6</t>
  </si>
  <si>
    <t>Gentile</t>
  </si>
  <si>
    <t>Allowances made in current S/U plans - replace pumps =&gt; suspend S/U unitl replaced/repaired.</t>
  </si>
  <si>
    <t>S/U-12</t>
  </si>
  <si>
    <t>Islands detected in e-beam mapping require troubleshooting and repair; delay CD-4.</t>
  </si>
  <si>
    <t>Control sources of field error and maintain inventory.
WBS 8204</t>
  </si>
  <si>
    <t>Completion of e-beam mapping</t>
  </si>
  <si>
    <t>Brooks</t>
  </si>
  <si>
    <t>Allowances made in current S/U plans - if islands deemed to be unacceptable, would have to adjust coils.</t>
  </si>
  <si>
    <t>S/U-13</t>
  </si>
  <si>
    <t>Loss of a key component or system delays testing - e.g., turn to turn failure</t>
  </si>
  <si>
    <t>S/U-14</t>
  </si>
  <si>
    <t>E-beam mapping diagnostic is not installed and ready for use during start-up. Risk is possibly complex and challenging  interface of hardware borrowed from Auburn University.</t>
  </si>
  <si>
    <t>Start design of needed hardware early.</t>
  </si>
  <si>
    <t>Completion of installation</t>
  </si>
  <si>
    <t>Work has not yet started on job 3801. Start of work should be brought forward to January 2009.</t>
  </si>
  <si>
    <t>S/U-15</t>
  </si>
  <si>
    <t>Station 2. Bolt preload could relax with time.
Mostly an operations risk.</t>
  </si>
  <si>
    <t>Will instrument some (~12?) bolts.  Doing bolt tests with G10 shims. Retighten bolts/check periodically to verify that preload is okay.
Job 1901</t>
  </si>
  <si>
    <t>After Station 5</t>
  </si>
  <si>
    <t>TECHNICAL RISKS - Components &amp; Systems</t>
  </si>
  <si>
    <t>Sys-1</t>
  </si>
  <si>
    <t>Issue sources sought advertisement.
Job 1352</t>
  </si>
  <si>
    <t>After PF proposals received.</t>
  </si>
  <si>
    <t>Sys-2</t>
  </si>
  <si>
    <t>Conductor for extra coil will be procured in advance and available to wind a new coil if required.
Job 1352
 Float in schedule appears adequate to avoid critical path impact.</t>
  </si>
  <si>
    <t>Completion of Last Coil</t>
  </si>
  <si>
    <t>Sys-3</t>
  </si>
  <si>
    <t>Conductor for extra coil already procured.  Ample float in schedule to avoid critical path impact.  No additional action required
Job 1361</t>
  </si>
  <si>
    <t>Completion of Coil #18</t>
  </si>
  <si>
    <t>Quality improving - production mode established.</t>
  </si>
  <si>
    <t>Sys-4</t>
  </si>
  <si>
    <t>Use three remaining winding stations to continue MC fabrication while fourth station is being repaired.
Job 1451</t>
  </si>
  <si>
    <t>Retired?</t>
  </si>
  <si>
    <t>Future risk, has not occurred yet - N/A.
Only 2 coils left. Redundant winding tooling mages this risk negligible.</t>
  </si>
  <si>
    <t>Sys-5</t>
  </si>
  <si>
    <t>Continue to use same rigorous process used for first 14 coils during which there were no fabrication mishaps requiring re-winding a coil.
Job 1451</t>
  </si>
  <si>
    <t>After last coil complete.</t>
  </si>
  <si>
    <t>16 of 18 coils successfully wound.Remaining 2 coils in winding process.</t>
  </si>
  <si>
    <t>Sys-6</t>
  </si>
  <si>
    <t>Additional thermal analysis may be required to establish limits on temperature differences for cooldown.</t>
  </si>
  <si>
    <t>Budget an approximate amount for thermal analysis support in WBS 82. Perform detailed evaluation of analysis needs to see if more is needed.
Job 8204.</t>
  </si>
  <si>
    <t>Sys-7</t>
  </si>
  <si>
    <t>Legacy vacuum pumps unexpectedly require modifications or additional protection as a result of failure modes analysis.</t>
  </si>
  <si>
    <t>Complete failure modes analysis and/or testing.
WBS 2101</t>
  </si>
  <si>
    <t>Vacuum pumping system</t>
  </si>
  <si>
    <t>Blanchard</t>
  </si>
  <si>
    <t>Sys-8</t>
  </si>
  <si>
    <t>Legacy power supplies unexpectedly require modifications or additional protection as a result of failure modes analysis.</t>
  </si>
  <si>
    <t>Complete failure modes analysis and/or testing.
WBS 4401</t>
  </si>
  <si>
    <t>Power Systems PDR</t>
  </si>
  <si>
    <t>Sys-9</t>
  </si>
  <si>
    <t>Coil protection system costs grow when requirements fully mature.</t>
  </si>
  <si>
    <t>Establish requirements
Job 4401.</t>
  </si>
  <si>
    <t>Sys-10
New PG</t>
  </si>
  <si>
    <t>Schedule was made more aggressive with early start to assure ageement with design.</t>
  </si>
  <si>
    <t>Sys-11
New PG</t>
  </si>
  <si>
    <t>1601-161</t>
  </si>
  <si>
    <t>Change in scope, i.e. addition of cooling to trim coils.</t>
  </si>
  <si>
    <t>Add one more designer for short term.</t>
  </si>
  <si>
    <t>Increase proportional to increase in number of circuits.</t>
  </si>
  <si>
    <t>Sys-12
New PG</t>
  </si>
  <si>
    <t>1601-162</t>
  </si>
  <si>
    <t>Design of cables not firmly established, satisfying field error requirements could require more costly solutions and longer lead time.</t>
  </si>
  <si>
    <t>Moving preliminary design into FY08 to give more lead time.</t>
  </si>
  <si>
    <t>Sys-13
Transferred from Mgmt Section</t>
  </si>
  <si>
    <t>15xx</t>
  </si>
  <si>
    <t>Escalation of Stainless Sheet and Inconel higher than base escalation rates.</t>
  </si>
  <si>
    <t>After structure materials procured.</t>
  </si>
  <si>
    <t>Current estimates have "best" info on SS and Inconel prices. Will revisit in semi-annual EAC update.</t>
  </si>
  <si>
    <t xml:space="preserve">See separate sheet - assume 3% to 20% higher per year escalation rate
</t>
  </si>
  <si>
    <t>total cost of statinless components  assuming 50% of which is material cost x 20% per year escalation rate. (see conr=tingency model tab esclation)</t>
  </si>
  <si>
    <t>Sys-14
Transferred from Mgmt Section</t>
  </si>
  <si>
    <t>13xx, 4, et al.</t>
  </si>
  <si>
    <t>After all conductor procured.</t>
  </si>
  <si>
    <t>Current estimates have "best" info on Cu prices. Will revisit in semi-annual EAC update.</t>
  </si>
  <si>
    <t xml:space="preserve">See separate sheet - assume 5% to 20% higher per year escalation rate
</t>
  </si>
  <si>
    <t>total cost of copper components  assuming 50% of which is material cost x 20% per year escalation rate. (see conr=tingency model tab esclation)</t>
  </si>
  <si>
    <t>Sys-15
Transferred from Assy Section</t>
  </si>
  <si>
    <t>Trim coil performance requirements might have to increase to compensate for grater-than-expected assembly errors.</t>
  </si>
  <si>
    <t>Design trim coil structures with adequate margin in case currents have to be increased by factor 2.</t>
  </si>
  <si>
    <t>After first MCHP, implement mitigation plan if indicated by MCHP results.
Job 1810</t>
  </si>
  <si>
    <t>Phil, estimate impact.</t>
  </si>
  <si>
    <t>Prob of Occurrence</t>
  </si>
  <si>
    <t>Cost Risk</t>
  </si>
  <si>
    <t>Schedule Risk</t>
  </si>
  <si>
    <t>90% Confidence</t>
  </si>
  <si>
    <t>80% Confidence</t>
  </si>
  <si>
    <t xml:space="preserve">Schedule Uncertainty Contingency </t>
  </si>
  <si>
    <t xml:space="preserve">Risk Schedule Contingency </t>
  </si>
  <si>
    <t>Contingency  (Std Uncertainty)</t>
  </si>
  <si>
    <t xml:space="preserve">Total Uncertainty Contingency </t>
  </si>
  <si>
    <t xml:space="preserve">Risk Cost Contingency (from Risk Model) </t>
  </si>
  <si>
    <t xml:space="preserve">Risk Schedule Contingency (cost of stretch) </t>
  </si>
  <si>
    <t xml:space="preserve">Total Risk Contingency </t>
  </si>
  <si>
    <t xml:space="preserve">Total Cost Contingency </t>
  </si>
  <si>
    <t xml:space="preserve">ETC with Contingency </t>
  </si>
  <si>
    <t>Impact of earlier-than planned NSTX shutdown. Assumed not to ioccur (bounding assumption)</t>
  </si>
  <si>
    <t>Station 2. Unacceptable distortion in a field period when welding modular coil shims requiring complete disassembly and redesign and reassembly
Risk is mitigated in the estimate.</t>
  </si>
  <si>
    <t>Station 5. Rework/replacement of high permeability components 
Risk is mitigated in the estimate.</t>
  </si>
  <si>
    <t>Experience on NSTX S/U
Excluded as Bounding Assumption.</t>
  </si>
  <si>
    <t>Experience on NSTX S/U
Mitigated by bringing the work forward.</t>
  </si>
  <si>
    <t>NB Transition duct design is vintage and revisit could result in criteria changes, i.e. diagnostic requirements, number of ports, NB alignment, further design review, etc.</t>
  </si>
  <si>
    <t>Engineering hours to redo models and hold design review.
Not on CP</t>
  </si>
  <si>
    <t>Increased time for Engineering study of alternate configurations.
Not on CP</t>
  </si>
  <si>
    <t>Assumptions</t>
  </si>
  <si>
    <t xml:space="preserve">Sensitivity: Total ETC With Uncertainty Contingency </t>
  </si>
  <si>
    <t>ContributionToVariance</t>
  </si>
  <si>
    <t>RankCorrelation</t>
  </si>
  <si>
    <t>* Job 7503 Total</t>
  </si>
  <si>
    <t>* S2H1 - Station 2 MC subassy A1B1C1</t>
  </si>
  <si>
    <t>* S2H3 - Station 2 MC subassy A3B3C3</t>
  </si>
  <si>
    <t>* S2H5 - Station 2 MC subassy A5B5C5</t>
  </si>
  <si>
    <t>* S2H2 - Station 2 MC subassy A2B2C2</t>
  </si>
  <si>
    <t>* S2H4 - Station 2 MC subassy A4B4C4</t>
  </si>
  <si>
    <t>* S2H6 - Station 2 MC subassy A6B6C6</t>
  </si>
  <si>
    <t>* S4P3 - Station 5- Final FP Assy -FP#3 (in NCSX TC)</t>
  </si>
  <si>
    <t>* S4P2 - Station 5- Final FP Assy -FP#2 (in NCSX TC)</t>
  </si>
  <si>
    <t>* S3P3 - Station 3-Assemble Mod Coils and VVSA-FP#3</t>
  </si>
  <si>
    <t>* S3P1 - Station 3-Assemble Mod Coils and VVSA-FP#1</t>
  </si>
  <si>
    <t>* S3P2 - Station 3-Assemble Mod Coils and VVSA-FP#2</t>
  </si>
  <si>
    <t>Other</t>
  </si>
  <si>
    <t xml:space="preserve">Sensitivity: Cost Risk </t>
  </si>
  <si>
    <t>Sys-13</t>
  </si>
  <si>
    <t>Other (Assume Spread  over years)</t>
  </si>
  <si>
    <t>Job(s)</t>
  </si>
  <si>
    <t>1810, 1815, 7503</t>
  </si>
  <si>
    <t>Cost Risk Contingency</t>
  </si>
  <si>
    <t>Schedule Contingency all in 2012</t>
  </si>
  <si>
    <t>Total Risk Spread</t>
  </si>
  <si>
    <t>Station 2: Unacceptable distortion in a field period when welding modular coil shims requiring rework and or chair installation.
Risk has been reduced by mitigation (design and process changes)</t>
  </si>
  <si>
    <t>Welding of the Vacuum Vessel pieces to the spool pieces may require the addition of thin Inconel plates to bridge gaps caused by radial and/or angular  out-of-tolerance consditions of either the VV or spool pieces.
Risk is mitiagated in the estimate</t>
  </si>
  <si>
    <t>Experience on NSTX S/U
Excluded as Bounting Assumption</t>
  </si>
  <si>
    <t>Damage or loss of modular coil during VPI or testing requiring the conductor to be stripped off and re-wound
Risk nearly retired.  VPI'd 16 of 18. Exclude as bounding assumption.</t>
  </si>
  <si>
    <t>Schedule Contingency Adjustment (work Saturdays to mitigate)</t>
  </si>
  <si>
    <t>80% Uncertainty</t>
  </si>
  <si>
    <t>80% Risk</t>
  </si>
  <si>
    <t>90% Uncertainty</t>
  </si>
  <si>
    <t>90% Risk</t>
  </si>
  <si>
    <t>Unmitigated</t>
  </si>
  <si>
    <t>Mitigated</t>
  </si>
  <si>
    <t>Mitigation Cost</t>
  </si>
  <si>
    <t>1815, 7503</t>
  </si>
  <si>
    <t>Cost of Schedule Mitigation (incl. 2nd Shift &amp; Saturdays)</t>
  </si>
  <si>
    <t>Note: Schedule contingency reduced - mitigated by  assuming work on Saturdays (cost added below)</t>
  </si>
  <si>
    <t>FY2012</t>
  </si>
  <si>
    <t>Cost thru 1/31/08=</t>
  </si>
  <si>
    <t>192  - 192 - Stellarator Core Integr &amp; Global Analysis</t>
  </si>
  <si>
    <t>MD2  - Modular Coil C-wound Loops</t>
  </si>
  <si>
    <t>6201 - Job: 6201 - Cryogenic Syst-RAFTOPOLOUS</t>
  </si>
  <si>
    <t>6S1  - 1.0 - Component Preparation</t>
  </si>
  <si>
    <t>6S2  - 2.0 - Test Cell Metrology set-up/deflection test</t>
  </si>
  <si>
    <t>6S3  - 3.0 - Pre-installation set-up and test</t>
  </si>
  <si>
    <t>6S4  - 4.0 - FPA-1 Installation and Assembly Test</t>
  </si>
  <si>
    <t>6S5  - 5.0 - Spool piece installation test</t>
  </si>
  <si>
    <t>6S6  - 6.0 - Spool piece flange machining</t>
  </si>
  <si>
    <t>6S7  - 7.0 - FPA-2 Installation</t>
  </si>
  <si>
    <t>6S8  - 8.0 - FPA-3 Installation</t>
  </si>
  <si>
    <t>6S9  - 9.0 - Measure Type-C MC Flanges</t>
  </si>
  <si>
    <t>6S10 - 10.0 - Type-C Shim Sizing/Prep</t>
  </si>
  <si>
    <t>6S11 - 11.0 - Type-C Inboard Shim Installation Check</t>
  </si>
  <si>
    <t>6S12 - 12.0 - Install Remaining TF Coils</t>
  </si>
  <si>
    <t>6S13 - 13.0 - Install PF-4 Lwr &amp; Solenoid suprt column</t>
  </si>
  <si>
    <t>6S14 - 14.0 - Move all Periods to installed position</t>
  </si>
  <si>
    <t>6S15 - 15.0 - Move VV Period to final position and Weld</t>
  </si>
  <si>
    <t>6S16 - 16.0 - Move TF Coils to final position</t>
  </si>
  <si>
    <t>6S17 - 17.0 - Install Lower PF Colis</t>
  </si>
  <si>
    <t>6S18 - 18.0 - Transfer Weight to Final Machine Supports</t>
  </si>
  <si>
    <t>6S19 - 19.0 - Vacuum Pump System</t>
  </si>
  <si>
    <t>6S20 - 20.0 - MC/VVSA Annulus insulation fill</t>
  </si>
  <si>
    <t>6S21 - 21.0 - Instl Remaining Trim Coils &amp; Mag struct</t>
  </si>
  <si>
    <t>6S22 - 22.0 - Install solenoid &amp; Remaining PF Coils</t>
  </si>
  <si>
    <t>6S23 - 23.0 - Instl/Route Mag Leads to Transition Box</t>
  </si>
  <si>
    <t>6S24 - 24.0 - Install LN2 and I&amp;C Services</t>
  </si>
  <si>
    <t>6S25 - 25.0 thru 35.0 - Cryostat NB duct &amp; I&amp;C Routing</t>
  </si>
  <si>
    <t>8101 - Job: 8101 - Project Management &amp;Control-ANDERSON</t>
  </si>
  <si>
    <t>8202 - Job: 8202 - Engr Mgmt &amp; Sys Eng Sprt-HEITZENROED</t>
  </si>
  <si>
    <t>SU   - Start-up</t>
  </si>
  <si>
    <t xml:space="preserve">Marginal </t>
  </si>
  <si>
    <t>Cut apart and re-weld two coils back together.  Nominally a 2.5-man crew in 12 weeks.</t>
  </si>
  <si>
    <t>NC</t>
  </si>
  <si>
    <t>Crisis</t>
  </si>
  <si>
    <t>High impact-low probability event not covered by contingency</t>
  </si>
  <si>
    <t>1815</t>
  </si>
  <si>
    <t>Impact of having only a few leaks is covered in estimate uncertainty with present mitigation plan</t>
  </si>
  <si>
    <t>Insulation on TF/PF coil fails during initial cooldown and testing requiring in situ repair</t>
  </si>
  <si>
    <t>Insulation fault in lead area is considered the most likely failure scenario.  Repair in situ is assumed recovery scenario taking 2-3 months. 1 month to warmup and cooldown the stellarator core.  3 techs/1 engr for duration of active repair )1-2 months).</t>
  </si>
  <si>
    <t>Insulation on TF/PF coil fails during initial cooldown and testing requiring dismantling stellarator core</t>
  </si>
  <si>
    <t>Insulation on modular coil fails during initial cooldown and testing requiring stellarator core disassembly</t>
  </si>
  <si>
    <t>Unanticipated problems with cryostat penetrations (icing, excessive condensation).  May require warming up the stellarator core to effect repair with consequent impacts to critical path activities.</t>
  </si>
  <si>
    <t>Nominally repaired with a 4-man crew in 1 week with 3 weeks for warmup/cooldown (if required)</t>
  </si>
  <si>
    <t xml:space="preserve">Loss or prolonged unavailability of certain key personnel from the project could substantially impact the schedule. </t>
  </si>
  <si>
    <t>See mitigation plans for individuals listed below.</t>
  </si>
  <si>
    <t>1901</t>
  </si>
  <si>
    <t>Estimated impact is &lt;0.5 months on the critical path.  No impact on FPA cost because impacted personnel would be assigned to other activities.</t>
  </si>
  <si>
    <t>Nominal cost impact is 1 man-month of engineering design and up to half the fabrication cost of the sled</t>
  </si>
  <si>
    <t>GPP projects not completed in time to support project needs</t>
  </si>
  <si>
    <t>Coils are hooked up with incorrect polarity</t>
  </si>
  <si>
    <t>Covered in estimate uncertainty with present mitigation plan</t>
  </si>
  <si>
    <t>VL</t>
  </si>
  <si>
    <t>Escalation of Copper higher than base escalation rates</t>
  </si>
  <si>
    <t>1810
1815
7503</t>
  </si>
  <si>
    <t>No suitable PF coil vendor submits bid.  PF coils need to be built in-house.</t>
  </si>
  <si>
    <t>Cost impact estimated to be up to $300k (1/3 of fabrication costs) for potentially higher labor rates at PPPL.  No impact on critical path expected.</t>
  </si>
  <si>
    <t>Probability of Occurrence</t>
  </si>
  <si>
    <t>Criteria</t>
  </si>
  <si>
    <t>Qualitative</t>
  </si>
  <si>
    <t>Quantitative</t>
  </si>
  <si>
    <t>Non-credible</t>
  </si>
  <si>
    <t>&lt;0.01</t>
  </si>
  <si>
    <t>Extremely unlikely occur anytime in the project life cycle, or the probability of the occurrence judged to be less than 1%.</t>
  </si>
  <si>
    <t>Very Unlikely</t>
  </si>
  <si>
    <t>&gt;0.01 but &lt;0.1</t>
  </si>
  <si>
    <t>Very unlikely to occur anytime in the project life cycle, or the probability of the occurrence is judged to be less than 10%.</t>
  </si>
  <si>
    <t>Unlikely</t>
  </si>
  <si>
    <t>&gt;0.1 but &lt;0.4</t>
  </si>
  <si>
    <t>Unlikely to occur in the project life cycle ,  or the probability of the occurrence is judged to be greater than 10% but less than 40%.</t>
  </si>
  <si>
    <t>Likely</t>
  </si>
  <si>
    <t>&gt;0.4 but &lt;0.8</t>
  </si>
  <si>
    <t>Will likely occur sometime during the project life cycle of the project or its facilities, or the probability of the occurrence is judged to be greater than 40% but less than 80%.</t>
  </si>
  <si>
    <t>Very Likely</t>
  </si>
  <si>
    <t>&gt;0.8</t>
  </si>
  <si>
    <t>Very likely to occur sometime during the project life cycle or the probability of occurrence is judged to be 80% or greater.</t>
  </si>
  <si>
    <t>* P = Probability of Occurrence</t>
  </si>
  <si>
    <t>Concept Explanation</t>
  </si>
  <si>
    <t>For each identified risk, a Probability of Occurrence is defined using the above criteria.</t>
  </si>
  <si>
    <t>Also for each risk, the consequential impacts are estimated -- as either an absolute value or a range with most likely, low and high values defined</t>
  </si>
  <si>
    <t>Both cost impacts and schedule impacts should be estimated.</t>
  </si>
  <si>
    <t>For schedule impact, the value (or range) should reflect impact to the project completion -- that is the impact to the project critical path</t>
  </si>
  <si>
    <t>Separate models will then be constructed to determine overall cost and schedule probability profiles (using Monte Carlo simulation)</t>
  </si>
  <si>
    <t xml:space="preserve">Each risk will represent a variable in the model.  The Pr of Occurrence will use the values shown on the right above and </t>
  </si>
  <si>
    <t xml:space="preserve">  the ranges for cost and schedule impacts.</t>
  </si>
  <si>
    <t>Risk Cost Contingency</t>
  </si>
  <si>
    <t>Risk Schedule Contingency</t>
  </si>
  <si>
    <t>Special Materials</t>
  </si>
  <si>
    <t>Delivery cost estimate (includes raw material cost, and vendor fabrication)</t>
  </si>
  <si>
    <t>as spent $K</t>
  </si>
  <si>
    <t xml:space="preserve">  FY  2007</t>
  </si>
  <si>
    <t xml:space="preserve">  FY  2008</t>
  </si>
  <si>
    <t xml:space="preserve">  FY  2009</t>
  </si>
  <si>
    <t xml:space="preserve">  FY  2010</t>
  </si>
  <si>
    <t xml:space="preserve">  FY  2011</t>
  </si>
  <si>
    <t>C - copper</t>
  </si>
  <si>
    <t>141-038.1</t>
  </si>
  <si>
    <t>PF Conductor  Delivery</t>
  </si>
  <si>
    <t>132-038</t>
  </si>
  <si>
    <t xml:space="preserve">Deliver  Lead hardware and cables               </t>
  </si>
  <si>
    <t>411-2-4</t>
  </si>
  <si>
    <t>Grounding-Procure</t>
  </si>
  <si>
    <t>431-265</t>
  </si>
  <si>
    <t>Fabricate bus components</t>
  </si>
  <si>
    <t>431-275</t>
  </si>
  <si>
    <t>Power cabling &amp; Installation</t>
  </si>
  <si>
    <t>S - Stainless Steel/Inconnel</t>
  </si>
  <si>
    <t>1421-3060</t>
  </si>
  <si>
    <t>Deliver Stud Kit (PE007330) (for 1st 3 pack only</t>
  </si>
  <si>
    <t>1429-3060</t>
  </si>
  <si>
    <t>161-036.9</t>
  </si>
  <si>
    <t xml:space="preserve">Deliver base support materials                  </t>
  </si>
  <si>
    <t>162-037</t>
  </si>
  <si>
    <t>162-053</t>
  </si>
  <si>
    <t>Deliver Inconnel hardware</t>
  </si>
  <si>
    <t>162-057</t>
  </si>
  <si>
    <t>Deliver Belleville Washers</t>
  </si>
  <si>
    <t>Estimate Raw material cost (delivery cost estimate  x 50%)</t>
  </si>
  <si>
    <t>C - copper - base estimate (assumes 2.5%/year escalation)</t>
  </si>
  <si>
    <t>Additional Copper Escalation - Low End of Range</t>
  </si>
  <si>
    <t xml:space="preserve">additional per year </t>
  </si>
  <si>
    <t>Additional Copper Escalation - High End of Range</t>
  </si>
  <si>
    <t>S - Stainless Steel/Inconnel (assumes 2.5%/year escalation)</t>
  </si>
  <si>
    <t>Additional SS/Inconel Escalation - Low End of Range</t>
  </si>
  <si>
    <t>Additional SS/Inconel Escalation - High End of Range</t>
  </si>
  <si>
    <t>$M</t>
  </si>
  <si>
    <t>Conservative Projection</t>
  </si>
  <si>
    <t>Design Maturity</t>
  </si>
  <si>
    <t>Design Complexity</t>
  </si>
  <si>
    <t>Low</t>
  </si>
  <si>
    <t>Medium</t>
  </si>
  <si>
    <t>High</t>
  </si>
  <si>
    <t>Estimate Uncertainty Matrix</t>
  </si>
  <si>
    <t>Job</t>
  </si>
  <si>
    <t>Maturity</t>
  </si>
  <si>
    <t>Complexity</t>
  </si>
  <si>
    <t>LH</t>
  </si>
  <si>
    <t>LL</t>
  </si>
  <si>
    <t>LM</t>
  </si>
  <si>
    <t>ML</t>
  </si>
  <si>
    <t>MM</t>
  </si>
  <si>
    <t>MH</t>
  </si>
  <si>
    <t>HL</t>
  </si>
  <si>
    <t>HM</t>
  </si>
  <si>
    <t>HH</t>
  </si>
  <si>
    <t>H</t>
  </si>
  <si>
    <t>M</t>
  </si>
  <si>
    <t>Definitions</t>
  </si>
  <si>
    <t xml:space="preserve">Final design available.  All design features/requirements well known. </t>
  </si>
  <si>
    <t>No further design development or evolution expected that will impact estimate</t>
  </si>
  <si>
    <t xml:space="preserve"> Further developments can be somewhat expected/anticipated and reflected in estimate</t>
  </si>
  <si>
    <t>No better than conceptual design basis currently available.  Design details, procedures,</t>
  </si>
  <si>
    <t xml:space="preserve">  etc. still need much development and evolution of requirements beyond estimate basis is likely and expected</t>
  </si>
  <si>
    <t>Work is fairly well understood -- either standard construction or repetition of activities performed in past</t>
  </si>
  <si>
    <t>More complex work requirements that have potential to impact cost and schedule estimates</t>
  </si>
  <si>
    <t xml:space="preserve">   Limited experience performing similar tasks, so ability to estimate accurately is somewhat suspect</t>
  </si>
  <si>
    <t>Extremely challenging tasks and/or requirements.  Unique or first-of-a-kind assembly or work tasks</t>
  </si>
  <si>
    <t xml:space="preserve">  No good basis for estimating work exists so there is a high degree of estimate uncertainty</t>
  </si>
  <si>
    <t>Preliminary design available.  Some additional design evolution likely</t>
  </si>
  <si>
    <t>L</t>
  </si>
  <si>
    <t xml:space="preserve">  Little likelihood of estimate not being well understood and requirements not being well defined</t>
  </si>
  <si>
    <t>Basis for Estimate Uncertainties</t>
  </si>
  <si>
    <t>Per AACEI Recommended Practice 18R-97, Cost Estimate Classification System</t>
  </si>
  <si>
    <t>As Applied in Engineering, Procurement and Construction for the Process Industry</t>
  </si>
  <si>
    <t>Estimate Class</t>
  </si>
  <si>
    <t>Level of Definition</t>
  </si>
  <si>
    <t>Accuracy Range</t>
  </si>
  <si>
    <t>NCSX Definition</t>
  </si>
  <si>
    <t>Range Used</t>
  </si>
  <si>
    <t>0 - 2%</t>
  </si>
  <si>
    <t>10 - 40%</t>
  </si>
  <si>
    <t>1 - 15%</t>
  </si>
  <si>
    <t>30 - 70%</t>
  </si>
  <si>
    <t>50 - 100%</t>
  </si>
  <si>
    <t>-20 to -50%  -  +30 to +100%</t>
  </si>
  <si>
    <t>-15 to -30%  -  +20 to +50%</t>
  </si>
  <si>
    <t>-10 to -20%  -  +10 to +30%</t>
  </si>
  <si>
    <t>-5 to -15%  -  +5 to +20%</t>
  </si>
  <si>
    <t>-3 to -10%  -  +3 to +15%</t>
  </si>
  <si>
    <t>L maturity; H complexity</t>
  </si>
  <si>
    <t>MH and LM</t>
  </si>
  <si>
    <t>MM and LL</t>
  </si>
  <si>
    <t>ML and HM</t>
  </si>
  <si>
    <t>H maturity; L complexity</t>
  </si>
  <si>
    <t>-20/+40%</t>
  </si>
  <si>
    <t>-15/+25%</t>
  </si>
  <si>
    <t>-10/+15%</t>
  </si>
  <si>
    <t>-5/+10%</t>
  </si>
  <si>
    <t>-30/+60%</t>
  </si>
  <si>
    <t>WBS4</t>
  </si>
  <si>
    <t xml:space="preserve">     -</t>
  </si>
  <si>
    <t>124U - T/C and Heater Tape Leads</t>
  </si>
  <si>
    <t>MD3  - Rogowski Coils</t>
  </si>
  <si>
    <t>MD4  - TF and PF Co-wound Loops</t>
  </si>
  <si>
    <t>411  - 411 - Auxiliary AC Power Systems</t>
  </si>
  <si>
    <t>412  - 412 - Experimental AC Power Systems</t>
  </si>
  <si>
    <t>431  - 431 - C-Site DC Systems</t>
  </si>
  <si>
    <t>441  - 441 - Electrical Interlocks</t>
  </si>
  <si>
    <t>442  - 442 - Kirk Key Interlocks</t>
  </si>
  <si>
    <t>443  - 443 - Real Time Control Systems</t>
  </si>
  <si>
    <t>444  - 444 - Instrument Systems</t>
  </si>
  <si>
    <t>445  - 445 - Coil Protection Systems</t>
  </si>
  <si>
    <t>451  - 451 - System Design &amp; Interfaces</t>
  </si>
  <si>
    <t>452  - 452 - Electrical Systems Support</t>
  </si>
  <si>
    <t>453  - 453 - System Testing (PTP's)</t>
  </si>
  <si>
    <t>613  - 613 - Vacuum Pumping System</t>
  </si>
  <si>
    <t>623  - 623 - GN2 Cryostat Cooling System</t>
  </si>
  <si>
    <t>RBLX - FY07 Rebaseline Exercise</t>
  </si>
  <si>
    <t>PROC - Startup Documentation</t>
  </si>
  <si>
    <t>122  - Thermal Insulation</t>
  </si>
  <si>
    <t>124T - Heater Tape for Port Stub</t>
  </si>
  <si>
    <t>125  - VV Local I&amp;C</t>
  </si>
  <si>
    <t>13P  - PF Coil Fabrication</t>
  </si>
  <si>
    <t>132A - CS Support Structure</t>
  </si>
  <si>
    <t>134  - TF/PF Loacl I&amp;C</t>
  </si>
  <si>
    <t>130  - TF Title III and Fabrication Oversight</t>
  </si>
  <si>
    <t>13Y  - TF Fabrication Contract</t>
  </si>
  <si>
    <t>MCDB - Clamp hardware modifications</t>
  </si>
  <si>
    <t>MCDC - Blanket thermal insulation</t>
  </si>
  <si>
    <t>MCDE - Top level assy models/drawings</t>
  </si>
  <si>
    <t>MCDF - Analysis and closeout documentation</t>
  </si>
  <si>
    <t>TCCO - Type C Design Closeout</t>
  </si>
  <si>
    <t>BLAD - Bladders</t>
  </si>
  <si>
    <t>BUSH - Bushings</t>
  </si>
  <si>
    <t>STUD - Studs Washers Nuts</t>
  </si>
  <si>
    <t>1    - Station 1 Post VPI</t>
  </si>
  <si>
    <t>1A   - Station 1a/4 Casting Prep</t>
  </si>
  <si>
    <t>2    - Station 2-Winding  Instl Chill Plates Tubing Bag</t>
  </si>
  <si>
    <t>5    - Station 5-VPI</t>
  </si>
  <si>
    <t>LABR - LOE Oversight &amp; Supervision</t>
  </si>
  <si>
    <t>PLCT - Punchlist- Coil Technicians</t>
  </si>
  <si>
    <t>PLTS - Punchlist Tech shop/RESA</t>
  </si>
  <si>
    <t>161  - 161 - LN2 Distribution</t>
  </si>
  <si>
    <t>162  - 162 - Electrical Leads</t>
  </si>
  <si>
    <t>163  - 163 - Coil Protection System</t>
  </si>
  <si>
    <t>172  - 172 - Base Support Structure</t>
  </si>
  <si>
    <t>A    - Oversight and Supervision</t>
  </si>
  <si>
    <t>2.00 - Station 2-Modular Coil  Sub- Assembly</t>
  </si>
  <si>
    <t>3.00 - Station 3-Modular Coil to VVSA Assembly</t>
  </si>
  <si>
    <t>5.00 - Station 5-Final Field Period Assembly</t>
  </si>
  <si>
    <t>6.00 - 6.00-Final Machine Assembly</t>
  </si>
  <si>
    <t>1.00 - 1.00-VV Prep Station</t>
  </si>
  <si>
    <t>S4P1 - Station 5- Final FP Assy -FP#1 (in NCSX TC)</t>
  </si>
  <si>
    <t>S4P2 - Station 5- Final FP Assy -FP#2 (in NCSX TC)</t>
  </si>
  <si>
    <t>S4P3 - Station 5- Final FP Assy -FP#3 (in NCSX TC)</t>
  </si>
  <si>
    <t>S1P1 - Station 1-VV Prep (hard surface components) FP#1</t>
  </si>
  <si>
    <t>S1P2 - Station 1- VV Prep (hrd surf cmpntsFP#2</t>
  </si>
  <si>
    <t>S1P3 - Station 1- VV Prep (hrd surf cmpntsFP#3</t>
  </si>
  <si>
    <t>S1SP - Station 1-Spool pieces (3)  (spacers)</t>
  </si>
  <si>
    <t>S2PR - Station 2 Trials &amp; Development</t>
  </si>
  <si>
    <t>S3P1 - Station 3-Assemble Mod Coils and VVSA-FP#1</t>
  </si>
  <si>
    <t>S3P2 - Station 3-Assemble Mod Coils and VVSA-FP#2</t>
  </si>
  <si>
    <t>S3P3 - Station 3-Assemble Mod Coils and VVSA-FP#3</t>
  </si>
  <si>
    <t>WBS2</t>
  </si>
  <si>
    <t>TOTAL</t>
  </si>
  <si>
    <t>FY2007</t>
  </si>
  <si>
    <t>FY2008</t>
  </si>
  <si>
    <t>FY2009</t>
  </si>
  <si>
    <t>FY2010</t>
  </si>
  <si>
    <t>FY2011</t>
  </si>
  <si>
    <t>1204 - Job: 1204 - VV Sys Procurements (nonVVSA)-DUDEK</t>
  </si>
  <si>
    <t>1250 - Job: 1250 - Vacuum Vessel Fabrication**CLOSED**</t>
  </si>
  <si>
    <t>1353 - Job: 1353 - CS Structure Procurement-DAHLGREN</t>
  </si>
  <si>
    <t>1354 - Job: 1354 - Trim Coil Design &amp;Procurement-KALISH</t>
  </si>
  <si>
    <t>1361 - Job: 1361 - TF Fabrication-KALISH</t>
  </si>
  <si>
    <t>1404 - Job: 1404 - MCWF R&amp;D 1st Prod Casting**CLOSED**</t>
  </si>
  <si>
    <t>1408 - Job: 1408 - MC Winding Supplies-CHRZANOWSKI</t>
  </si>
  <si>
    <t>1411 - Job: 1411 - MCWF Fabr. S005242-HEITZENROEDER</t>
  </si>
  <si>
    <t>1416 - Job: 1416 - Mod Coil Type AB Fnl Dsn-WILLIAMSON</t>
  </si>
  <si>
    <t>1421 - Job: 1421 - Mod Coil Interface Design-WILLIAMSON</t>
  </si>
  <si>
    <t>142B - Outboard Interface-Bolted Joint Tests-Tension</t>
  </si>
  <si>
    <t>142C - Outboard Interface-Bolted Joint Tests-Shear</t>
  </si>
  <si>
    <t>142D - Outboard Interface-Friction</t>
  </si>
  <si>
    <t>142F - Inboard Interface-AB/BC/AA</t>
  </si>
  <si>
    <t>142G - Inboard Interface-CC</t>
  </si>
  <si>
    <t>1431 - Job: 1431 - Mod. Coil Interface Hardware-DUDEK</t>
  </si>
  <si>
    <t>1451 - Job: 1451 - Mod Coil Winding-CHRZANOWSKI</t>
  </si>
  <si>
    <t>1459 - Job: 1459 - Mod Coil Fabr.Punch List-CHRZANOWSKI</t>
  </si>
  <si>
    <t>1501 - Job: 1501 - Coil Structures  Design-DAHLGREN</t>
  </si>
  <si>
    <t>1550 - Job: 1550 - Coil Struct. Procurement -DAHLGREN</t>
  </si>
  <si>
    <t>1601 - Job: 1601 - Coil Services  Design-GORANSON</t>
  </si>
  <si>
    <t>1702 - Job: 1702 - Base Support Struct Design-DAHLGREN</t>
  </si>
  <si>
    <t>1752 - Job: 1752 - Base Support Proc-DAHLGREN</t>
  </si>
  <si>
    <t>1802 - Job: 1802 - FP Assy Oversight&amp;Support-VIOLA</t>
  </si>
  <si>
    <t>1803 - Job: 1803/1805- FPA Tooling/Constr-BROWN/DUDEK</t>
  </si>
  <si>
    <t>1806 - Job: 1806 - FP Assembly specs and drawings-COLE</t>
  </si>
  <si>
    <t>S2PX - Setup</t>
  </si>
  <si>
    <t>S2PM - Pre-Measuring and fitup checks</t>
  </si>
  <si>
    <t>S3P0 - Station 3 Setup/Preparations/General</t>
  </si>
  <si>
    <t>1815 - Job: 1815 - Field Period Assy -Station  5-VIOLA</t>
  </si>
  <si>
    <t>S4P0 - Setup/Preparations/General</t>
  </si>
  <si>
    <t>1901 - Job: 1901 - Stellarator Core Mngtt&amp;Integr-COLE</t>
  </si>
  <si>
    <t>191  - 191 - Stellarator Core Management &amp; Oversight</t>
  </si>
  <si>
    <t>2101 - Job: 2101 - Fueling Systems-BLANCHARD</t>
  </si>
  <si>
    <t>2201 - Job: 2201 - Vacuum Pumping Systems-BLANCHARD</t>
  </si>
  <si>
    <t>3101 - Job: 3101 - Magnetic Diagnostics-STRATTON</t>
  </si>
  <si>
    <t>VLPB - Voltage Loops &amp; Protective Boxes</t>
  </si>
  <si>
    <t>3601 - Job: 3601 - Edge Divertor Diagnostics-STRATTON</t>
  </si>
  <si>
    <t>3801 - Job: 3801 - Electron Beam Mapping-STRATTON</t>
  </si>
  <si>
    <t>3901 - Job: 3901 - Diagnostics sys Integration-STRATTON</t>
  </si>
  <si>
    <t>4101 - Job: 4101 - AC Power-RAMAKRISHNAN</t>
  </si>
  <si>
    <t>4301 - Job: 4301 - DC Systems-RAMAKRISHNAN</t>
  </si>
  <si>
    <t>4401 - Job: 4401 - Control &amp; Protection-RAMAKRISHNAN</t>
  </si>
  <si>
    <t>4501 - Job: 4501 - Power Sys Dsn &amp; Integr-RAMAKRISHNAN</t>
  </si>
  <si>
    <t>5101 - Job: 5101 - Network and Fiber Infrastruct-SICHTA</t>
  </si>
  <si>
    <t>5201 - Job: 5201 - I&amp;C Systems-SICHTA</t>
  </si>
  <si>
    <t>5301 - Job: 5301 - Data Acquisition-SICHTA</t>
  </si>
  <si>
    <t>5401 - Job: 5401 - Facility Timing &amp; Synchron.-SICHTA</t>
  </si>
  <si>
    <t>5501 - Job: 5501 - Real Time Control System-SICHTA</t>
  </si>
  <si>
    <t>5601 - Job: 5601 - Central Safety &amp;Interlock Sys-SICHTA</t>
  </si>
  <si>
    <t>5801 - Job: 5801 - Central I&amp;C Integr&amp; Oversight-SICHTA</t>
  </si>
  <si>
    <t>6101 - Job: 6101 - Water Systems-DUDEK</t>
  </si>
  <si>
    <t>6301 - Job: 6301 - Utility Systems-DUDEK</t>
  </si>
  <si>
    <t>7301 - Job: 7301 - Platform Design &amp; Fab-PERRY</t>
  </si>
  <si>
    <t>7401 - Job: 7401 - TC Prep &amp; Mach Assy Planning-PERRY</t>
  </si>
  <si>
    <t>7501 - Job: 7501 - Construction Support Crew-PERRY</t>
  </si>
  <si>
    <t>7503 - Job: 7503 - Machine Assembly (station 6)-PERRY</t>
  </si>
  <si>
    <t>7601 - Job: 7601 - Tooling Design &amp; Fabrication-PERRY</t>
  </si>
  <si>
    <t>8102 - Job: 8102 - NCSX MIE Management ORNL-LYON</t>
  </si>
  <si>
    <t>8203 - Job: 8203 - Design Integration-BROWN</t>
  </si>
  <si>
    <t>8204 - Job: 8204 - Systems Analysis-BROOKS</t>
  </si>
  <si>
    <t>8210 - Job: 8210 - FY07 Rebaseling tasks</t>
  </si>
  <si>
    <t>8215 - Job: 8215 Plant Design</t>
  </si>
  <si>
    <t>8501 - Job: 8501 - Integrated Systems Testing-GENTILE</t>
  </si>
  <si>
    <t>8998 - Job: 8998 - Allocations-STRYKOWSKY</t>
  </si>
  <si>
    <t>ETC=</t>
  </si>
  <si>
    <t>EAC=</t>
  </si>
  <si>
    <t>FROZEN</t>
  </si>
  <si>
    <t xml:space="preserve">Lookup </t>
  </si>
  <si>
    <t>Estimate Uncertainty Range</t>
  </si>
  <si>
    <t>Percent ETC by Year</t>
  </si>
  <si>
    <t>Model</t>
  </si>
  <si>
    <t>NCSX Schedule Uncertainty Model</t>
  </si>
  <si>
    <t>Duration Range</t>
  </si>
  <si>
    <t>Schedule Activity</t>
  </si>
  <si>
    <t>Job 8501 - Integrated System Testing</t>
  </si>
  <si>
    <t>Estimated Cost per month for Schedule Stretch</t>
  </si>
  <si>
    <t>thousand</t>
  </si>
  <si>
    <r>
      <t xml:space="preserve">Estimate </t>
    </r>
    <r>
      <rPr>
        <b/>
        <u val="single"/>
        <sz val="10"/>
        <rFont val="Arial"/>
        <family val="2"/>
      </rPr>
      <t>Uncertainty</t>
    </r>
  </si>
  <si>
    <r>
      <t xml:space="preserve">Schedule </t>
    </r>
    <r>
      <rPr>
        <b/>
        <u val="single"/>
        <sz val="10"/>
        <rFont val="Arial"/>
        <family val="2"/>
      </rPr>
      <t>Duration</t>
    </r>
  </si>
  <si>
    <t>Standing army calculation</t>
  </si>
  <si>
    <t>WBS</t>
  </si>
  <si>
    <t>JOB</t>
  </si>
  <si>
    <t>Description</t>
  </si>
  <si>
    <t>Cost/yr</t>
  </si>
  <si>
    <t>Cost/mo.</t>
  </si>
  <si>
    <t>Stellarator core management</t>
  </si>
  <si>
    <t>PPPL Management</t>
  </si>
  <si>
    <t>ORNL Management</t>
  </si>
  <si>
    <t>Engineering mgt</t>
  </si>
  <si>
    <t>Design Integration</t>
  </si>
  <si>
    <t>Systems Analysis</t>
  </si>
  <si>
    <t>Dimensional control</t>
  </si>
  <si>
    <t>Plant Design</t>
  </si>
  <si>
    <t>Allocations</t>
  </si>
  <si>
    <t>Second Shift oversight,support, cost dif</t>
  </si>
  <si>
    <t>Crane support, fixture setup, misc support</t>
  </si>
  <si>
    <t>1.2 fte</t>
  </si>
  <si>
    <t>Field Supervision</t>
  </si>
  <si>
    <t>1.0 fte</t>
  </si>
  <si>
    <t>Metrology crews (task dependent)</t>
  </si>
  <si>
    <t>n/a</t>
  </si>
  <si>
    <t>Metrology engineer</t>
  </si>
  <si>
    <t>.5 fte</t>
  </si>
  <si>
    <t>Shift differntial (@ 5fte crew size)</t>
  </si>
  <si>
    <t>Schedule Mitigation Cost Adder</t>
  </si>
  <si>
    <t>Total Schedule Duration</t>
  </si>
  <si>
    <t>Percentiles</t>
  </si>
  <si>
    <t>0%</t>
  </si>
  <si>
    <t>5%</t>
  </si>
  <si>
    <t>10%</t>
  </si>
  <si>
    <t>15%</t>
  </si>
  <si>
    <t>20%</t>
  </si>
  <si>
    <t>25%</t>
  </si>
  <si>
    <t>30%</t>
  </si>
  <si>
    <t>35%</t>
  </si>
  <si>
    <t>40%</t>
  </si>
  <si>
    <t>45%</t>
  </si>
  <si>
    <t>50%</t>
  </si>
  <si>
    <t>55%</t>
  </si>
  <si>
    <t>60%</t>
  </si>
  <si>
    <t>65%</t>
  </si>
  <si>
    <t>70%</t>
  </si>
  <si>
    <t>75%</t>
  </si>
  <si>
    <t>80%</t>
  </si>
  <si>
    <t>85%</t>
  </si>
  <si>
    <t>90%</t>
  </si>
  <si>
    <t>95%</t>
  </si>
  <si>
    <t>100%</t>
  </si>
  <si>
    <t>Base ETC</t>
  </si>
  <si>
    <t>Base Schedule</t>
  </si>
  <si>
    <t>months</t>
  </si>
  <si>
    <t>Major Contributors to Uncertainty Contingency</t>
  </si>
  <si>
    <t>%</t>
  </si>
  <si>
    <t>Spread of Dollars by Year</t>
  </si>
  <si>
    <t>Weighted Contingency Spread by Year</t>
  </si>
  <si>
    <t>Total Uncertainty Contingency Spead</t>
  </si>
  <si>
    <t>Uncertainty Contingency</t>
  </si>
  <si>
    <t>Total Contingency by Year</t>
  </si>
  <si>
    <t>Contingency Spread by Year</t>
  </si>
  <si>
    <t>Summary of Risk/Contingency Analysis Results</t>
  </si>
  <si>
    <t>Cost Impact ($k)</t>
  </si>
  <si>
    <t>Schedule Impact (mos)</t>
  </si>
  <si>
    <t>No.</t>
  </si>
  <si>
    <t>Risk Description</t>
  </si>
  <si>
    <t>Consequences</t>
  </si>
  <si>
    <t>Basis of Estimate</t>
  </si>
  <si>
    <t>U</t>
  </si>
  <si>
    <t>Marginal</t>
  </si>
  <si>
    <t>1361</t>
  </si>
  <si>
    <t>TF vendor produces a non-compliant coil requiring fabrication of an additional coil</t>
  </si>
  <si>
    <t>VU</t>
  </si>
  <si>
    <t>Negligible</t>
  </si>
  <si>
    <t>Increase PPPL Title III by ~1 man-month</t>
  </si>
  <si>
    <t>1352</t>
  </si>
  <si>
    <t>PF vendor produces a non-compliant coil requiring fabrication of an additional coil</t>
  </si>
  <si>
    <t>Critical</t>
  </si>
  <si>
    <t>Moderate</t>
  </si>
  <si>
    <t>Significant</t>
  </si>
  <si>
    <t>1451</t>
  </si>
  <si>
    <t>~$35K in materials; ~$380K in labor.  7.5 months to do work with the potential for a 2 month impact on the critical path.</t>
  </si>
  <si>
    <t>Failure of major piece of winding equipment (e.g., motor, gear box, etc.) resulting in extended downtime in a winding station</t>
  </si>
  <si>
    <t>~$10K for equipment plus repair costs</t>
  </si>
  <si>
    <t>1810
7503</t>
  </si>
  <si>
    <t>Estimated impact is &lt;2 months on the critical path.  Cost impact covers up to 2 months of FPA/final assembly.</t>
  </si>
  <si>
    <t>1810</t>
  </si>
  <si>
    <t>Nominally repaired with a 2-man crew within 2 weeks</t>
  </si>
  <si>
    <t>SHMS - Shims-Outboard</t>
  </si>
  <si>
    <t>SHMT - Shims-Inboard</t>
  </si>
  <si>
    <t>SHMU - Shims- C-C Joint</t>
  </si>
  <si>
    <t>S0P0 - General Assy Support</t>
  </si>
  <si>
    <t>Job -1810 Field Period Assembly Stations 1,2,3</t>
  </si>
  <si>
    <t>Job - 1815 Field Period Assembly Station 5</t>
  </si>
  <si>
    <t>Station 5 Final Assembly FP#3</t>
  </si>
  <si>
    <t>Job 7503 Final Machine Assembly (Station 6)</t>
  </si>
  <si>
    <r>
      <t>Base Duration (mos) on Critical</t>
    </r>
    <r>
      <rPr>
        <b/>
        <u val="single"/>
        <sz val="10"/>
        <rFont val="Arial"/>
        <family val="2"/>
      </rPr>
      <t xml:space="preserve"> Path</t>
    </r>
  </si>
  <si>
    <r>
      <t xml:space="preserve">Mitigation </t>
    </r>
    <r>
      <rPr>
        <b/>
        <u val="single"/>
        <sz val="10"/>
        <rFont val="Arial"/>
        <family val="2"/>
      </rPr>
      <t>Cost Adder</t>
    </r>
  </si>
  <si>
    <r>
      <t xml:space="preserve">Schedule </t>
    </r>
    <r>
      <rPr>
        <b/>
        <u val="single"/>
        <sz val="10"/>
        <rFont val="Arial"/>
        <family val="2"/>
      </rPr>
      <t>Calc</t>
    </r>
  </si>
  <si>
    <t>Total ETC With Uncertainty Contingency</t>
  </si>
  <si>
    <t>Total Schedule Contingency (90%)</t>
  </si>
  <si>
    <t>* S4P1 - Station 5- Final FP Assy -FP#1 (in NCSX TC)</t>
  </si>
  <si>
    <t>Cost of Schedule Uncertainty Contingency</t>
  </si>
  <si>
    <t>updated</t>
  </si>
  <si>
    <t>142H - Weld Access test</t>
  </si>
  <si>
    <t>TECH - Misc Tech Shop Support</t>
  </si>
  <si>
    <t>6401 - Job: 6401 - PFC/VV Htng/Cooling(bakeout)- KALISH</t>
  </si>
  <si>
    <t>8205 - Job: 8205 - Dimensional Control Coordin-ELLIS</t>
  </si>
  <si>
    <t>Closed</t>
  </si>
  <si>
    <t>124V - Spacer Flux Loops &amp; Boxes</t>
  </si>
  <si>
    <t>1352 - Job: 1352 - PF Coil Procurement-CHRZANOWSKI</t>
  </si>
  <si>
    <t>TRIM - Trim Coil **Updated estimate**</t>
  </si>
  <si>
    <t>1355 - Job: 1355 - WBS 13 I&amp;C Proc and Coil Assy-COLE</t>
  </si>
  <si>
    <t>3    - Station 3-Winding  Instl Chill Plates Tubing Bag</t>
  </si>
  <si>
    <t>142Z - Outboard Interface</t>
  </si>
  <si>
    <t>1429 - Job: 1429 - MC Interface R&amp;D-DUDEK</t>
  </si>
  <si>
    <t>PUCK - Pucks</t>
  </si>
  <si>
    <t>1701 - Job: 1701 - Cryostat Design-RAFTOPOLOUS</t>
  </si>
  <si>
    <t>1751 - Job: 1751 - Cryostat Procurement-RAFTOPOLOUS</t>
  </si>
  <si>
    <t>S2H1 - Station 2 MC subassy A1B1C1</t>
  </si>
  <si>
    <t>S2H2 - Station 2 MC subassy A2B2C2</t>
  </si>
  <si>
    <t>S2H3 - Station 2 MC subassy A3B3C3</t>
  </si>
  <si>
    <t>S2H4 - Station 2 MC subassy A4B4C4</t>
  </si>
  <si>
    <t>S2H5 - Station 2 MC subassy A5B5C5</t>
  </si>
  <si>
    <t>S2H6 - Station 2 MC subassy A6B6C6</t>
  </si>
  <si>
    <t>1260 - Job: 1260 NB Transition Ducts- GORANSON</t>
  </si>
  <si>
    <t>CP (within 1/2 month of CP)</t>
  </si>
  <si>
    <t>start</t>
  </si>
  <si>
    <t>finish</t>
  </si>
  <si>
    <t>Station 2 MC Sub-assy A1/B1/C1</t>
  </si>
  <si>
    <t>Station 2 MC Sub-assy A3/B3/C3</t>
  </si>
  <si>
    <t>Station 2 MC Sub-assy A6/B6/C6</t>
  </si>
  <si>
    <t>Station 3 Assemble Mod Coils and VVSA FP#3</t>
  </si>
  <si>
    <t>Add'l second shift available (months)</t>
  </si>
  <si>
    <t>18/7</t>
  </si>
  <si>
    <t>Field Period Assy &amp; Machine assy</t>
  </si>
  <si>
    <t>1802/1810/7401/7501</t>
  </si>
  <si>
    <t>average of the 2 assy ops</t>
  </si>
  <si>
    <t>TRIM-120</t>
  </si>
  <si>
    <t>Procure Trim Coil Conductor</t>
  </si>
  <si>
    <t>162-013.1</t>
  </si>
  <si>
    <t>Procure MC lead stubs</t>
  </si>
  <si>
    <t>163-037</t>
  </si>
  <si>
    <t xml:space="preserve">CS Support Structure Procurement/Fab            </t>
  </si>
  <si>
    <t>1421-3062</t>
  </si>
  <si>
    <t>balance of studs  for a-b-b-c</t>
  </si>
  <si>
    <t>1421-3072</t>
  </si>
  <si>
    <t xml:space="preserve">Deliver studs &amp; washers for c-c joint           </t>
  </si>
  <si>
    <t>1421-3073</t>
  </si>
  <si>
    <t xml:space="preserve">Deliver supernuts for c-c joint                 </t>
  </si>
  <si>
    <t>Deliver Outboard Shim Stock</t>
  </si>
  <si>
    <t>1429-3060I</t>
  </si>
  <si>
    <t>Deliver Inboard Shim Stock</t>
  </si>
  <si>
    <t>1429-3062X</t>
  </si>
  <si>
    <t>Inboard Shims</t>
  </si>
  <si>
    <t>1429-3066</t>
  </si>
  <si>
    <t>Outboard Shims</t>
  </si>
  <si>
    <t>1429-3105</t>
  </si>
  <si>
    <t>Deliver bar stock</t>
  </si>
  <si>
    <t>1429-3110</t>
  </si>
  <si>
    <t xml:space="preserve">PPPL cut and grind to thickness                 </t>
  </si>
  <si>
    <t>1260-130</t>
  </si>
  <si>
    <t>Fabr &amp;deliver 3 port duct extensions incl suprts</t>
  </si>
  <si>
    <t xml:space="preserve">Fabricate structure components                  </t>
  </si>
  <si>
    <t xml:space="preserve">  FY  2012</t>
  </si>
  <si>
    <t>last Lehman review</t>
  </si>
  <si>
    <t>Estimating Process Uncertainty</t>
  </si>
  <si>
    <t>Included above</t>
  </si>
  <si>
    <t xml:space="preserve"> B</t>
  </si>
  <si>
    <t>Mitigation (2nd shift) Mos Needed</t>
  </si>
  <si>
    <t>Likelihood:
VL: P&gt;80%
L: 80%&gt;P&gt;40%
U: 40%&gt;P&gt;10%
VU: P&lt;10%
NC: P&lt;1%</t>
  </si>
  <si>
    <r>
      <t>Consequences:</t>
    </r>
    <r>
      <rPr>
        <sz val="11"/>
        <rFont val="Arial"/>
        <family val="2"/>
      </rPr>
      <t xml:space="preserve">
Negligible: ≤$100k, ≤0.5 month
Marginal: $100k-$500k, 0.5-1 month
Significant: $500k-$1M, 1-3 months
Critical: $1M-$5M, 3-6 months
Crisis: &gt;$5M, &gt; 6 months</t>
    </r>
  </si>
  <si>
    <r>
      <t>Affected Jobs</t>
    </r>
    <r>
      <rPr>
        <sz val="12"/>
        <rFont val="Arial"/>
        <family val="2"/>
      </rPr>
      <t xml:space="preserve"> </t>
    </r>
    <r>
      <rPr>
        <b/>
        <sz val="10"/>
        <rFont val="Arial"/>
        <family val="0"/>
      </rPr>
      <t>(absorb the impacts)</t>
    </r>
  </si>
  <si>
    <t>Mitigation Plan
(&amp; job where budgeted)</t>
  </si>
  <si>
    <t>Deadline to Retire Risk or Absorb Impact</t>
  </si>
  <si>
    <t>Owner</t>
  </si>
  <si>
    <t>Current Status 
(As of February 20, 2008)</t>
  </si>
  <si>
    <t>Likelihood of Occurrence</t>
  </si>
  <si>
    <t>Risk Ranking</t>
  </si>
  <si>
    <t>Cost and schedule impact calculation basis</t>
  </si>
  <si>
    <t>MANAGEMENT &amp; ORGANIZATION RISKS</t>
  </si>
  <si>
    <t>Mgmt-1</t>
  </si>
  <si>
    <t>a</t>
  </si>
  <si>
    <t xml:space="preserve">Mike Cole (ORNL)
Loss of "corporate memory" of stellarator core design intent, delayed turnaround on Title III issues andproblem resolution might impact FPA  schedule. </t>
  </si>
  <si>
    <t>Brad Nelson is been budgeted (15%) on the project.  Should Cole become unavailable, Nelson would step in and handle Cole's responsibilities until a suitable longer term solution was implemented. 
ORNL Mgt.,  Job 1901</t>
  </si>
  <si>
    <t>Harris</t>
  </si>
  <si>
    <t>Oak Ridge is investigating securing additional engineering support for Mike Cole. Currently reviewing resumes and re-evluationg work load to determine whether additional staff will indeed be needed.</t>
  </si>
  <si>
    <t>Estimated impact is &lt;0.5 months on the critical path.</t>
  </si>
  <si>
    <t>b</t>
  </si>
  <si>
    <t>Tom Brown, Art Brooks, Bob Ellis
"Back office" support for FPA and final assembly becomes a chronic bottleneck, stretching out the time required to complete assembly operations</t>
  </si>
  <si>
    <t>Additional support budgeted for Brown, Brooks, and Ellis providing "2 deep" back office support.  Should be available to mitigate peak demands once training in key skills is completed.
Jobs 8203, 8204, 8205.
Identify backup personnel for "two deep" back office support &amp; provide duplication of critical skills needed.
Eng. Mgt. (Heitzenroeder)</t>
  </si>
  <si>
    <t>After first MCHP</t>
  </si>
  <si>
    <t>Heitzenroeder</t>
  </si>
  <si>
    <t xml:space="preserve">"Two deep" back office support is now in place.  Mark Smith has worked in all areas of back office support and will provide back-up for either Tom Brown, Art Brooks, or Bob Ellis as needed to handle over-loads, cover during vacations, etc.  A new analyst, Han Zhang,  has recently been hired and  is providing support to Art Brooks.  A new  design engineer, Shri Avisarala, has been hired and is expected to start soon and will be working with Tom Brown  to provide additional back-up in design integration.    
Design support  has also been significantly increased: Gerald Paluzzi is  supporting Bob Ellis his on non-NCSX tasks to help balance his workload ;  Tod Cruickshank is working with Fred Dahlgren and Tom Brown  on NCSX structures, and Richard Upcavage is working with Tom Brown on facilities and cryostat integration.  .   </t>
  </si>
  <si>
    <t>c</t>
  </si>
  <si>
    <t>Phil Heitzenroeder (PPPL)</t>
  </si>
  <si>
    <t>Larry Dudek can step in to assume Phil's responsibilities as Engineering Manager for Design and Procurement. Erik Perry can step into Larry's role as Construction Manager. As time goes on (and the field period assembly is completed), Mike Viola can continue (with Erik's help) with final machine assembly.</t>
  </si>
  <si>
    <t>After final machine design and major procurement activities are completed.</t>
  </si>
  <si>
    <t>Williams</t>
  </si>
  <si>
    <t>Larry Dudek, Erik Perry and Mike Viola are already intimately involved in NCSX design and construction activities and are able to assume varying responsibilities on short notice.</t>
  </si>
  <si>
    <t>d</t>
  </si>
  <si>
    <t>Ron Strykowsky</t>
  </si>
  <si>
    <t>Develop a succession plan
Business Ops. Dept.</t>
  </si>
  <si>
    <t>E. Winkler</t>
  </si>
  <si>
    <t>???</t>
  </si>
  <si>
    <t>Cost impact = 50% cost increment cost for 1 year spool-up time for another senior project controls person</t>
  </si>
  <si>
    <t>Loaded estimated annual cost = $230k x 50% = $115k</t>
  </si>
  <si>
    <t xml:space="preserve">e
</t>
  </si>
  <si>
    <t>5301
5401
5501
5601</t>
  </si>
  <si>
    <t xml:space="preserve">Loss of  staff with experience in specialized software delays operation of Central I&amp;C system.
</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</si>
</sst>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quot;$&quot;#,##0.00"/>
    <numFmt numFmtId="170" formatCode="&quot;$&quot;#,##0.0"/>
    <numFmt numFmtId="171" formatCode="[$-409]dddd\,\ mmmm\ dd\,\ yyyy"/>
    <numFmt numFmtId="172" formatCode="mm/dd/yy;@"/>
    <numFmt numFmtId="173" formatCode="0.0000000"/>
    <numFmt numFmtId="174" formatCode="0.000000"/>
    <numFmt numFmtId="175" formatCode="0.00000"/>
    <numFmt numFmtId="176" formatCode="0.0000"/>
    <numFmt numFmtId="177" formatCode="0.000"/>
    <numFmt numFmtId="178" formatCode="0.0"/>
    <numFmt numFmtId="179" formatCode="0.00_);[Red]\(0.00\)"/>
    <numFmt numFmtId="180" formatCode="&quot;$&quot;#,##0.0_);[Red]\(&quot;$&quot;#,##0.0\)"/>
    <numFmt numFmtId="181" formatCode="[Blue]\+\ \$#,##0_);[Red]\(&quot;$&quot;#,##0\)"/>
    <numFmt numFmtId="182" formatCode="[Blue]\+\ 0.00_);[Red]\(0.00\)"/>
    <numFmt numFmtId="183" formatCode="#,##0.000"/>
    <numFmt numFmtId="184" formatCode="&quot;$&quot;#,##0.000"/>
    <numFmt numFmtId="185" formatCode="&quot;$&quot;#,##0\ ;\(&quot;$&quot;#,##0\)"/>
    <numFmt numFmtId="186" formatCode="#,##0.0000"/>
    <numFmt numFmtId="187" formatCode="#,##0.00000"/>
    <numFmt numFmtId="188" formatCode="#,##0.000000"/>
    <numFmt numFmtId="189" formatCode="#,##0.0000000"/>
    <numFmt numFmtId="190" formatCode="m/d/yy\ h:mm"/>
    <numFmt numFmtId="191" formatCode="0.0###############"/>
    <numFmt numFmtId="192" formatCode="\-\+\ 0.00\ ;\(0.00\)"/>
    <numFmt numFmtId="193" formatCode="_(* #,##0_);_(* \(#,##0\);_(* &quot;-&quot;??_);_(@_)"/>
    <numFmt numFmtId="194" formatCode="_(* #,##0.0_);_(* \(#,##0.0\);_(* &quot;-&quot;??_);_(@_)"/>
    <numFmt numFmtId="195" formatCode="\+0.0_);\(0.0\)"/>
    <numFmt numFmtId="196" formatCode="#,##0.0"/>
    <numFmt numFmtId="197" formatCode="0.0%"/>
    <numFmt numFmtId="198" formatCode="_(&quot;$&quot;* #,##0.0_);_(&quot;$&quot;* \(#,##0.0\);_(&quot;$&quot;* &quot;-&quot;??_);_(@_)"/>
    <numFmt numFmtId="199" formatCode="_(&quot;$&quot;* #,##0_);_(&quot;$&quot;* \(#,##0\);_(&quot;$&quot;* &quot;-&quot;??_);_(@_)"/>
    <numFmt numFmtId="200" formatCode="0.00000000"/>
  </numFmts>
  <fonts count="47">
    <font>
      <sz val="10"/>
      <name val="Arial"/>
      <family val="0"/>
    </font>
    <font>
      <sz val="12"/>
      <name val="Arial"/>
      <family val="2"/>
    </font>
    <font>
      <b/>
      <sz val="12"/>
      <name val="Arial"/>
      <family val="2"/>
    </font>
    <font>
      <sz val="8"/>
      <name val="Arial"/>
      <family val="2"/>
    </font>
    <font>
      <b/>
      <u val="single"/>
      <sz val="12"/>
      <name val="Arial"/>
      <family val="2"/>
    </font>
    <font>
      <sz val="10"/>
      <name val="Tahoma"/>
      <family val="2"/>
    </font>
    <font>
      <b/>
      <sz val="10"/>
      <name val="Tahoma"/>
      <family val="2"/>
    </font>
    <font>
      <u val="single"/>
      <sz val="12"/>
      <name val="Arial"/>
      <family val="2"/>
    </font>
    <font>
      <i/>
      <sz val="12"/>
      <name val="Arial"/>
      <family val="2"/>
    </font>
    <font>
      <i/>
      <sz val="10"/>
      <name val="Arial"/>
      <family val="2"/>
    </font>
    <font>
      <u val="single"/>
      <sz val="10"/>
      <color indexed="36"/>
      <name val="Arial"/>
      <family val="2"/>
    </font>
    <font>
      <u val="single"/>
      <sz val="10"/>
      <color indexed="12"/>
      <name val="Arial"/>
      <family val="2"/>
    </font>
    <font>
      <b/>
      <sz val="14"/>
      <name val="Arial"/>
      <family val="2"/>
    </font>
    <font>
      <b/>
      <sz val="10"/>
      <name val="Arial"/>
      <family val="2"/>
    </font>
    <font>
      <b/>
      <u val="single"/>
      <sz val="10"/>
      <name val="Arial"/>
      <family val="2"/>
    </font>
    <font>
      <u val="single"/>
      <sz val="10"/>
      <name val="Arial"/>
      <family val="2"/>
    </font>
    <font>
      <b/>
      <i/>
      <sz val="10"/>
      <name val="Arial"/>
      <family val="2"/>
    </font>
    <font>
      <sz val="12"/>
      <color indexed="8"/>
      <name val="Arial"/>
      <family val="2"/>
    </font>
    <font>
      <sz val="10"/>
      <color indexed="8"/>
      <name val="Arial"/>
      <family val="2"/>
    </font>
    <font>
      <b/>
      <i/>
      <sz val="12"/>
      <name val="Arial"/>
      <family val="2"/>
    </font>
    <font>
      <i/>
      <u val="single"/>
      <sz val="10"/>
      <name val="Arial"/>
      <family val="2"/>
    </font>
    <font>
      <b/>
      <sz val="11"/>
      <name val="Arial"/>
      <family val="2"/>
    </font>
    <font>
      <sz val="11"/>
      <name val="Arial"/>
      <family val="2"/>
    </font>
    <font>
      <sz val="12"/>
      <color indexed="10"/>
      <name val="Arial"/>
      <family val="0"/>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4"/>
      <name val="Arial"/>
      <family val="2"/>
    </font>
    <font>
      <sz val="14"/>
      <name val="Arial"/>
      <family val="2"/>
    </font>
    <font>
      <b/>
      <sz val="12"/>
      <color indexed="8"/>
      <name val="Arial"/>
      <family val="2"/>
    </font>
    <font>
      <b/>
      <sz val="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4"/>
        <bgColor indexed="64"/>
      </patternFill>
    </fill>
    <fill>
      <patternFill patternType="solid">
        <fgColor indexed="15"/>
        <bgColor indexed="64"/>
      </patternFill>
    </fill>
    <fill>
      <patternFill patternType="solid">
        <fgColor indexed="50"/>
        <bgColor indexed="64"/>
      </patternFill>
    </fill>
    <fill>
      <patternFill patternType="solid">
        <fgColor indexed="13"/>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style="thin"/>
      <right style="thin"/>
      <top>
        <color indexed="63"/>
      </top>
      <bottom style="dashed"/>
    </border>
    <border>
      <left style="thin"/>
      <right style="thin"/>
      <top style="dashed"/>
      <bottom style="dashed"/>
    </border>
    <border>
      <left style="thin"/>
      <right style="thin"/>
      <top style="dashed"/>
      <bottom style="thin"/>
    </border>
    <border>
      <left>
        <color indexed="63"/>
      </left>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
      <left style="thin"/>
      <right style="thin"/>
      <top>
        <color indexed="63"/>
      </top>
      <bottom>
        <color indexed="63"/>
      </bottom>
    </border>
    <border>
      <left style="thin"/>
      <right>
        <color indexed="63"/>
      </right>
      <top style="thin"/>
      <bottom style="thin"/>
    </border>
    <border>
      <left style="thin"/>
      <right style="thin"/>
      <top style="thin"/>
      <bottom style="medium"/>
    </border>
    <border>
      <left style="thin"/>
      <right style="thin"/>
      <top style="medium"/>
      <bottom style="thin"/>
    </border>
    <border>
      <left style="thin"/>
      <right>
        <color indexed="63"/>
      </right>
      <top style="medium"/>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1"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11">
    <xf numFmtId="0" fontId="0" fillId="0" borderId="0" xfId="0" applyAlignment="1">
      <alignment/>
    </xf>
    <xf numFmtId="0" fontId="1" fillId="0" borderId="0" xfId="0" applyFont="1" applyFill="1" applyAlignment="1">
      <alignment horizontal="center"/>
    </xf>
    <xf numFmtId="0" fontId="4" fillId="0" borderId="0" xfId="0" applyFont="1" applyFill="1" applyAlignment="1">
      <alignment horizontal="center"/>
    </xf>
    <xf numFmtId="0" fontId="0" fillId="0" borderId="0" xfId="0" applyFill="1" applyAlignment="1">
      <alignment/>
    </xf>
    <xf numFmtId="0" fontId="9" fillId="0" borderId="0" xfId="0" applyFont="1" applyFill="1" applyAlignment="1">
      <alignment horizontal="right"/>
    </xf>
    <xf numFmtId="9" fontId="0" fillId="0" borderId="0" xfId="0" applyNumberFormat="1" applyAlignment="1">
      <alignment/>
    </xf>
    <xf numFmtId="3" fontId="1" fillId="0" borderId="0" xfId="0" applyNumberFormat="1" applyFont="1" applyFill="1" applyAlignment="1">
      <alignment horizontal="right"/>
    </xf>
    <xf numFmtId="0" fontId="0" fillId="0" borderId="0" xfId="0" applyAlignment="1">
      <alignment horizontal="center"/>
    </xf>
    <xf numFmtId="0" fontId="13" fillId="0" borderId="0" xfId="0" applyFont="1" applyAlignment="1">
      <alignment/>
    </xf>
    <xf numFmtId="0" fontId="13" fillId="0" borderId="0" xfId="0" applyFont="1" applyAlignment="1">
      <alignment horizontal="center"/>
    </xf>
    <xf numFmtId="0" fontId="14" fillId="0" borderId="0" xfId="0" applyFont="1" applyAlignment="1">
      <alignment/>
    </xf>
    <xf numFmtId="2" fontId="0" fillId="0" borderId="0" xfId="0" applyNumberFormat="1" applyAlignment="1">
      <alignment/>
    </xf>
    <xf numFmtId="0" fontId="0" fillId="0" borderId="0" xfId="0" applyAlignment="1">
      <alignment horizontal="left"/>
    </xf>
    <xf numFmtId="3" fontId="0" fillId="0" borderId="0" xfId="0" applyNumberFormat="1" applyAlignment="1">
      <alignment horizontal="right"/>
    </xf>
    <xf numFmtId="4" fontId="0" fillId="0" borderId="0" xfId="0" applyNumberFormat="1" applyAlignment="1">
      <alignment horizontal="right"/>
    </xf>
    <xf numFmtId="0" fontId="13" fillId="0" borderId="10" xfId="0" applyFont="1" applyBorder="1" applyAlignment="1">
      <alignment horizontal="center"/>
    </xf>
    <xf numFmtId="3" fontId="0" fillId="0" borderId="0" xfId="0" applyNumberFormat="1" applyAlignment="1">
      <alignment/>
    </xf>
    <xf numFmtId="4" fontId="0" fillId="0" borderId="0" xfId="0" applyNumberFormat="1" applyAlignment="1">
      <alignment/>
    </xf>
    <xf numFmtId="0" fontId="13" fillId="0" borderId="0" xfId="0" applyFont="1" applyAlignment="1">
      <alignment horizontal="left"/>
    </xf>
    <xf numFmtId="3" fontId="13" fillId="0" borderId="0" xfId="0" applyNumberFormat="1" applyFont="1" applyAlignment="1">
      <alignment/>
    </xf>
    <xf numFmtId="0" fontId="16" fillId="0" borderId="0" xfId="0" applyFont="1" applyAlignment="1">
      <alignment/>
    </xf>
    <xf numFmtId="9" fontId="0" fillId="0" borderId="0" xfId="59" applyFont="1" applyAlignment="1">
      <alignment horizontal="center"/>
    </xf>
    <xf numFmtId="9" fontId="13" fillId="0" borderId="0" xfId="59" applyFont="1" applyAlignment="1">
      <alignment horizontal="center"/>
    </xf>
    <xf numFmtId="0" fontId="17" fillId="0" borderId="0" xfId="0" applyFont="1" applyFill="1" applyAlignment="1">
      <alignment horizontal="center"/>
    </xf>
    <xf numFmtId="0" fontId="18" fillId="0" borderId="0" xfId="0" applyFont="1" applyFill="1" applyAlignment="1">
      <alignment horizontal="center"/>
    </xf>
    <xf numFmtId="3" fontId="16" fillId="0" borderId="0" xfId="0" applyNumberFormat="1" applyFont="1" applyAlignment="1">
      <alignment/>
    </xf>
    <xf numFmtId="0" fontId="1" fillId="0" borderId="0" xfId="0" applyFont="1" applyFill="1" applyAlignment="1">
      <alignment/>
    </xf>
    <xf numFmtId="0" fontId="1" fillId="0" borderId="11" xfId="0" applyFont="1" applyFill="1" applyBorder="1" applyAlignment="1">
      <alignment/>
    </xf>
    <xf numFmtId="0" fontId="2" fillId="0" borderId="12" xfId="0" applyFont="1" applyFill="1" applyBorder="1" applyAlignment="1">
      <alignment/>
    </xf>
    <xf numFmtId="0" fontId="2" fillId="0" borderId="13" xfId="0" applyFont="1" applyFill="1" applyBorder="1" applyAlignment="1">
      <alignment horizontal="right"/>
    </xf>
    <xf numFmtId="9" fontId="1" fillId="0" borderId="13" xfId="0" applyNumberFormat="1" applyFont="1" applyFill="1" applyBorder="1" applyAlignment="1">
      <alignment/>
    </xf>
    <xf numFmtId="9" fontId="1" fillId="0" borderId="14" xfId="0" applyNumberFormat="1" applyFont="1" applyFill="1" applyBorder="1" applyAlignment="1">
      <alignment/>
    </xf>
    <xf numFmtId="0" fontId="2" fillId="0" borderId="12" xfId="0" applyFont="1" applyFill="1" applyBorder="1" applyAlignment="1">
      <alignment horizontal="right"/>
    </xf>
    <xf numFmtId="9" fontId="1" fillId="0" borderId="12" xfId="0" applyNumberFormat="1" applyFont="1" applyFill="1" applyBorder="1" applyAlignment="1">
      <alignment/>
    </xf>
    <xf numFmtId="9" fontId="1" fillId="0" borderId="15" xfId="0" applyNumberFormat="1" applyFont="1" applyFill="1" applyBorder="1" applyAlignment="1">
      <alignment/>
    </xf>
    <xf numFmtId="0" fontId="4" fillId="0" borderId="0" xfId="0" applyFont="1" applyFill="1" applyAlignment="1">
      <alignment horizontal="center"/>
    </xf>
    <xf numFmtId="9" fontId="1" fillId="0" borderId="0" xfId="0" applyNumberFormat="1" applyFont="1" applyFill="1" applyAlignment="1">
      <alignment horizontal="center"/>
    </xf>
    <xf numFmtId="0" fontId="4" fillId="0" borderId="0" xfId="0" applyFont="1" applyFill="1" applyAlignment="1">
      <alignment/>
    </xf>
    <xf numFmtId="0" fontId="7" fillId="0" borderId="0" xfId="0" applyFont="1" applyFill="1" applyAlignment="1">
      <alignment/>
    </xf>
    <xf numFmtId="0" fontId="1" fillId="0" borderId="10" xfId="0" applyFont="1" applyFill="1" applyBorder="1" applyAlignment="1">
      <alignment/>
    </xf>
    <xf numFmtId="0" fontId="1" fillId="0" borderId="16" xfId="0" applyFont="1" applyFill="1" applyBorder="1" applyAlignment="1">
      <alignment/>
    </xf>
    <xf numFmtId="0" fontId="8" fillId="0" borderId="0" xfId="0" applyFont="1" applyFill="1" applyAlignment="1">
      <alignment/>
    </xf>
    <xf numFmtId="0" fontId="1" fillId="0" borderId="0" xfId="0" applyFont="1" applyFill="1" applyAlignment="1" quotePrefix="1">
      <alignment/>
    </xf>
    <xf numFmtId="3" fontId="19" fillId="0" borderId="0" xfId="0" applyNumberFormat="1" applyFont="1" applyFill="1" applyAlignment="1">
      <alignment horizontal="right"/>
    </xf>
    <xf numFmtId="168" fontId="2" fillId="0" borderId="0" xfId="0" applyNumberFormat="1" applyFont="1" applyFill="1" applyAlignment="1">
      <alignment horizontal="left"/>
    </xf>
    <xf numFmtId="168" fontId="2" fillId="0" borderId="0" xfId="0" applyNumberFormat="1" applyFont="1" applyFill="1" applyAlignment="1">
      <alignment horizontal="center"/>
    </xf>
    <xf numFmtId="168" fontId="0" fillId="0" borderId="0" xfId="0" applyNumberFormat="1" applyFill="1" applyAlignment="1">
      <alignment horizontal="right"/>
    </xf>
    <xf numFmtId="0" fontId="0" fillId="0" borderId="0" xfId="0" applyFill="1" applyAlignment="1">
      <alignment/>
    </xf>
    <xf numFmtId="193" fontId="0" fillId="0" borderId="0" xfId="0" applyNumberFormat="1" applyFill="1" applyAlignment="1">
      <alignment/>
    </xf>
    <xf numFmtId="193" fontId="9" fillId="0" borderId="0" xfId="42" applyNumberFormat="1" applyFont="1" applyFill="1" applyAlignment="1">
      <alignment horizontal="right"/>
    </xf>
    <xf numFmtId="9" fontId="1" fillId="0" borderId="0" xfId="59" applyFont="1" applyFill="1" applyAlignment="1">
      <alignment horizontal="right"/>
    </xf>
    <xf numFmtId="193" fontId="9" fillId="0" borderId="0" xfId="0" applyNumberFormat="1" applyFont="1" applyFill="1" applyAlignment="1">
      <alignment horizontal="right"/>
    </xf>
    <xf numFmtId="9" fontId="0" fillId="0" borderId="0" xfId="59" applyFill="1" applyAlignment="1">
      <alignment horizontal="right"/>
    </xf>
    <xf numFmtId="0" fontId="0" fillId="0" borderId="0" xfId="0" applyFill="1" applyAlignment="1">
      <alignment horizontal="right"/>
    </xf>
    <xf numFmtId="172" fontId="0" fillId="0" borderId="0" xfId="0" applyNumberFormat="1" applyFill="1" applyAlignment="1">
      <alignment horizontal="right"/>
    </xf>
    <xf numFmtId="0" fontId="0" fillId="15" borderId="0" xfId="0" applyFill="1" applyAlignment="1">
      <alignment/>
    </xf>
    <xf numFmtId="0" fontId="0" fillId="20" borderId="0" xfId="0" applyFill="1" applyAlignment="1">
      <alignment/>
    </xf>
    <xf numFmtId="193" fontId="0" fillId="0" borderId="0" xfId="0" applyNumberFormat="1" applyFill="1" applyAlignment="1">
      <alignment/>
    </xf>
    <xf numFmtId="193" fontId="0" fillId="24" borderId="0" xfId="42" applyNumberFormat="1" applyFill="1" applyAlignment="1">
      <alignment/>
    </xf>
    <xf numFmtId="193" fontId="0" fillId="24" borderId="0" xfId="0" applyNumberFormat="1" applyFill="1" applyAlignment="1">
      <alignment/>
    </xf>
    <xf numFmtId="9" fontId="0" fillId="0" borderId="0" xfId="59" applyFont="1" applyFill="1" applyAlignment="1">
      <alignment/>
    </xf>
    <xf numFmtId="0" fontId="0" fillId="25" borderId="0" xfId="0" applyFill="1" applyAlignment="1">
      <alignment/>
    </xf>
    <xf numFmtId="1" fontId="9" fillId="0" borderId="0" xfId="0" applyNumberFormat="1" applyFont="1" applyFill="1" applyAlignment="1">
      <alignment/>
    </xf>
    <xf numFmtId="0" fontId="12" fillId="0" borderId="0" xfId="0" applyFont="1" applyFill="1" applyAlignment="1">
      <alignment/>
    </xf>
    <xf numFmtId="0" fontId="0" fillId="0" borderId="0" xfId="0" applyFill="1" applyAlignment="1">
      <alignment horizontal="center"/>
    </xf>
    <xf numFmtId="0" fontId="13" fillId="0" borderId="0" xfId="0" applyFont="1" applyFill="1" applyAlignment="1">
      <alignment/>
    </xf>
    <xf numFmtId="0" fontId="13" fillId="0" borderId="0" xfId="0" applyFont="1" applyFill="1" applyAlignment="1">
      <alignment horizontal="center"/>
    </xf>
    <xf numFmtId="0" fontId="14" fillId="0" borderId="0" xfId="0" applyFont="1" applyFill="1" applyAlignment="1">
      <alignment/>
    </xf>
    <xf numFmtId="0" fontId="13" fillId="0" borderId="0" xfId="0" applyFont="1" applyFill="1" applyAlignment="1">
      <alignment horizontal="center" wrapText="1"/>
    </xf>
    <xf numFmtId="0" fontId="14" fillId="0" borderId="0" xfId="0" applyFont="1" applyFill="1" applyAlignment="1">
      <alignment horizontal="center"/>
    </xf>
    <xf numFmtId="0" fontId="16" fillId="0" borderId="0" xfId="0" applyFont="1" applyFill="1" applyAlignment="1">
      <alignment/>
    </xf>
    <xf numFmtId="168" fontId="0" fillId="0" borderId="0" xfId="0" applyNumberFormat="1" applyFill="1" applyAlignment="1">
      <alignment/>
    </xf>
    <xf numFmtId="168" fontId="15" fillId="0" borderId="0" xfId="0" applyNumberFormat="1" applyFont="1" applyFill="1" applyAlignment="1">
      <alignment/>
    </xf>
    <xf numFmtId="168" fontId="20" fillId="0" borderId="0" xfId="0" applyNumberFormat="1" applyFont="1" applyFill="1" applyAlignment="1">
      <alignment/>
    </xf>
    <xf numFmtId="0" fontId="9" fillId="0" borderId="0" xfId="0" applyFont="1" applyFill="1" applyAlignment="1">
      <alignment/>
    </xf>
    <xf numFmtId="168" fontId="9" fillId="0" borderId="0" xfId="0" applyNumberFormat="1" applyFont="1" applyFill="1" applyAlignment="1">
      <alignment/>
    </xf>
    <xf numFmtId="3" fontId="1" fillId="10" borderId="0" xfId="0" applyNumberFormat="1" applyFont="1" applyFill="1" applyAlignment="1">
      <alignment horizontal="right"/>
    </xf>
    <xf numFmtId="3" fontId="1" fillId="26" borderId="0" xfId="0" applyNumberFormat="1" applyFont="1" applyFill="1" applyAlignment="1">
      <alignment horizontal="right"/>
    </xf>
    <xf numFmtId="0" fontId="17" fillId="0" borderId="0" xfId="0" applyFont="1" applyFill="1" applyAlignment="1">
      <alignment horizontal="center"/>
    </xf>
    <xf numFmtId="9" fontId="1" fillId="0" borderId="0" xfId="0" applyNumberFormat="1" applyFont="1" applyFill="1" applyAlignment="1">
      <alignment horizontal="right"/>
    </xf>
    <xf numFmtId="9" fontId="1" fillId="10" borderId="0" xfId="0" applyNumberFormat="1" applyFont="1" applyFill="1" applyAlignment="1">
      <alignment horizontal="right"/>
    </xf>
    <xf numFmtId="193" fontId="38" fillId="22" borderId="0" xfId="56" applyNumberFormat="1" applyAlignment="1">
      <alignment/>
    </xf>
    <xf numFmtId="3" fontId="38" fillId="22" borderId="0" xfId="56" applyNumberFormat="1" applyAlignment="1">
      <alignment horizontal="right"/>
    </xf>
    <xf numFmtId="193" fontId="32" fillId="4" borderId="0" xfId="48" applyNumberFormat="1" applyAlignment="1">
      <alignment/>
    </xf>
    <xf numFmtId="3" fontId="32" fillId="4" borderId="0" xfId="48" applyNumberFormat="1" applyAlignment="1">
      <alignment horizontal="right"/>
    </xf>
    <xf numFmtId="0" fontId="36" fillId="7" borderId="1" xfId="54" applyAlignment="1">
      <alignment/>
    </xf>
    <xf numFmtId="0" fontId="36" fillId="7" borderId="1" xfId="54" applyAlignment="1">
      <alignment horizontal="center" wrapText="1"/>
    </xf>
    <xf numFmtId="178" fontId="0" fillId="0" borderId="0" xfId="0" applyNumberFormat="1" applyAlignment="1">
      <alignment/>
    </xf>
    <xf numFmtId="1" fontId="0" fillId="0" borderId="0" xfId="0" applyNumberFormat="1" applyFont="1" applyAlignment="1">
      <alignment/>
    </xf>
    <xf numFmtId="0" fontId="29" fillId="20" borderId="1" xfId="40" applyAlignment="1">
      <alignment horizontal="center" wrapText="1"/>
    </xf>
    <xf numFmtId="0" fontId="29" fillId="20" borderId="1" xfId="40" applyAlignment="1">
      <alignment/>
    </xf>
    <xf numFmtId="178" fontId="0" fillId="10" borderId="0" xfId="0" applyNumberFormat="1" applyFill="1" applyAlignment="1">
      <alignment/>
    </xf>
    <xf numFmtId="178" fontId="0" fillId="26" borderId="0" xfId="0" applyNumberFormat="1" applyFill="1" applyAlignment="1">
      <alignment/>
    </xf>
    <xf numFmtId="178" fontId="0" fillId="0" borderId="0" xfId="0" applyNumberFormat="1" applyAlignment="1">
      <alignment horizontal="right"/>
    </xf>
    <xf numFmtId="178" fontId="13" fillId="0" borderId="0" xfId="0" applyNumberFormat="1" applyFont="1" applyAlignment="1">
      <alignment/>
    </xf>
    <xf numFmtId="0" fontId="14" fillId="0" borderId="0" xfId="0" applyFont="1" applyAlignment="1">
      <alignment horizontal="center"/>
    </xf>
    <xf numFmtId="14" fontId="36" fillId="7" borderId="1" xfId="54" applyNumberFormat="1" applyAlignment="1">
      <alignment/>
    </xf>
    <xf numFmtId="178" fontId="29" fillId="20" borderId="1" xfId="40" applyNumberFormat="1" applyAlignment="1">
      <alignment/>
    </xf>
    <xf numFmtId="178" fontId="16" fillId="0" borderId="0" xfId="0" applyNumberFormat="1" applyFont="1" applyAlignment="1">
      <alignment/>
    </xf>
    <xf numFmtId="0" fontId="15" fillId="0" borderId="0" xfId="0" applyFont="1" applyAlignment="1">
      <alignment/>
    </xf>
    <xf numFmtId="0" fontId="2" fillId="0" borderId="16" xfId="0" applyFont="1" applyFill="1" applyBorder="1" applyAlignment="1">
      <alignment horizontal="center"/>
    </xf>
    <xf numFmtId="0" fontId="2" fillId="0" borderId="17" xfId="0" applyFont="1" applyFill="1" applyBorder="1" applyAlignment="1">
      <alignment wrapText="1"/>
    </xf>
    <xf numFmtId="0" fontId="2" fillId="0" borderId="16" xfId="0" applyFont="1" applyFill="1" applyBorder="1" applyAlignment="1">
      <alignment wrapText="1"/>
    </xf>
    <xf numFmtId="0" fontId="2" fillId="0" borderId="18" xfId="0" applyFont="1" applyFill="1" applyBorder="1" applyAlignment="1">
      <alignment wrapText="1"/>
    </xf>
    <xf numFmtId="0" fontId="21" fillId="0" borderId="11" xfId="0" applyFont="1" applyFill="1" applyBorder="1" applyAlignment="1">
      <alignment horizontal="left" wrapText="1"/>
    </xf>
    <xf numFmtId="5" fontId="2" fillId="0" borderId="18" xfId="0" applyNumberFormat="1" applyFont="1" applyFill="1" applyBorder="1" applyAlignment="1">
      <alignment horizontal="center" wrapText="1"/>
    </xf>
    <xf numFmtId="195" fontId="2" fillId="0" borderId="19" xfId="0" applyNumberFormat="1" applyFont="1" applyFill="1" applyBorder="1" applyAlignment="1">
      <alignment horizontal="center" wrapText="1"/>
    </xf>
    <xf numFmtId="0" fontId="2" fillId="0" borderId="0" xfId="0" applyFont="1" applyFill="1" applyBorder="1" applyAlignment="1">
      <alignment wrapText="1"/>
    </xf>
    <xf numFmtId="0" fontId="2" fillId="0" borderId="17" xfId="0" applyFont="1" applyFill="1" applyBorder="1" applyAlignment="1">
      <alignment/>
    </xf>
    <xf numFmtId="0" fontId="2" fillId="0" borderId="16" xfId="0" applyFont="1" applyFill="1" applyBorder="1" applyAlignment="1">
      <alignment horizontal="center" wrapText="1"/>
    </xf>
    <xf numFmtId="0" fontId="2" fillId="0" borderId="20" xfId="0" applyFont="1" applyFill="1" applyBorder="1" applyAlignment="1">
      <alignment horizontal="center" wrapText="1"/>
    </xf>
    <xf numFmtId="0" fontId="2" fillId="0" borderId="20" xfId="0" applyFont="1" applyFill="1" applyBorder="1" applyAlignment="1">
      <alignment wrapText="1"/>
    </xf>
    <xf numFmtId="5" fontId="2" fillId="0" borderId="16" xfId="0" applyNumberFormat="1" applyFont="1" applyFill="1" applyBorder="1" applyAlignment="1">
      <alignment horizontal="center" wrapText="1"/>
    </xf>
    <xf numFmtId="195" fontId="2" fillId="0" borderId="20" xfId="0" applyNumberFormat="1"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xf>
    <xf numFmtId="0" fontId="12" fillId="24" borderId="21" xfId="0" applyFont="1" applyFill="1" applyBorder="1" applyAlignment="1">
      <alignment horizontal="left"/>
    </xf>
    <xf numFmtId="0" fontId="12" fillId="24" borderId="22" xfId="0" applyFont="1" applyFill="1" applyBorder="1" applyAlignment="1">
      <alignment horizontal="center" wrapText="1"/>
    </xf>
    <xf numFmtId="0" fontId="12" fillId="24" borderId="22" xfId="0" applyFont="1" applyFill="1" applyBorder="1" applyAlignment="1">
      <alignment/>
    </xf>
    <xf numFmtId="0" fontId="12" fillId="24" borderId="22" xfId="0" applyFont="1" applyFill="1" applyBorder="1" applyAlignment="1">
      <alignment wrapText="1"/>
    </xf>
    <xf numFmtId="5" fontId="12" fillId="24" borderId="22" xfId="0" applyNumberFormat="1" applyFont="1" applyFill="1" applyBorder="1" applyAlignment="1">
      <alignment horizontal="center" wrapText="1"/>
    </xf>
    <xf numFmtId="195" fontId="12" fillId="24" borderId="23" xfId="0" applyNumberFormat="1" applyFont="1" applyFill="1" applyBorder="1" applyAlignment="1">
      <alignment horizontal="center" wrapText="1"/>
    </xf>
    <xf numFmtId="0" fontId="12" fillId="0" borderId="0" xfId="0" applyFont="1" applyFill="1" applyBorder="1" applyAlignment="1">
      <alignment wrapText="1"/>
    </xf>
    <xf numFmtId="0" fontId="12" fillId="0" borderId="0" xfId="0" applyFont="1" applyFill="1" applyBorder="1" applyAlignment="1">
      <alignment/>
    </xf>
    <xf numFmtId="0" fontId="2" fillId="24" borderId="11" xfId="0" applyFont="1" applyFill="1" applyBorder="1" applyAlignment="1">
      <alignment horizontal="center" vertical="top"/>
    </xf>
    <xf numFmtId="0" fontId="1" fillId="0" borderId="24" xfId="0" applyFont="1" applyFill="1" applyBorder="1" applyAlignment="1" quotePrefix="1">
      <alignment horizontal="center" vertical="top"/>
    </xf>
    <xf numFmtId="0" fontId="1" fillId="0" borderId="24" xfId="0" applyFont="1" applyFill="1" applyBorder="1" applyAlignment="1">
      <alignment vertical="top" wrapText="1"/>
    </xf>
    <xf numFmtId="0" fontId="8" fillId="0" borderId="24" xfId="0" applyFont="1" applyFill="1" applyBorder="1" applyAlignment="1">
      <alignment vertical="top" wrapText="1"/>
    </xf>
    <xf numFmtId="0" fontId="1" fillId="0" borderId="24" xfId="0" applyFont="1" applyFill="1" applyBorder="1" applyAlignment="1">
      <alignment horizontal="center" vertical="top" wrapText="1"/>
    </xf>
    <xf numFmtId="5" fontId="1" fillId="0" borderId="24" xfId="0" applyNumberFormat="1" applyFont="1" applyFill="1" applyBorder="1" applyAlignment="1">
      <alignment vertical="top"/>
    </xf>
    <xf numFmtId="195" fontId="1" fillId="0" borderId="24" xfId="0" applyNumberFormat="1"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Border="1" applyAlignment="1">
      <alignment vertical="top"/>
    </xf>
    <xf numFmtId="0" fontId="1" fillId="0" borderId="11" xfId="0" applyFont="1" applyFill="1" applyBorder="1" applyAlignment="1" quotePrefix="1">
      <alignment horizontal="center" vertical="top"/>
    </xf>
    <xf numFmtId="0" fontId="1" fillId="0" borderId="11" xfId="0" applyFont="1" applyFill="1" applyBorder="1" applyAlignment="1">
      <alignment horizontal="left" vertical="top" wrapText="1"/>
    </xf>
    <xf numFmtId="0" fontId="1" fillId="0" borderId="11" xfId="0" applyFont="1" applyFill="1" applyBorder="1" applyAlignment="1">
      <alignment vertical="top" wrapText="1"/>
    </xf>
    <xf numFmtId="0" fontId="1" fillId="0" borderId="11" xfId="0" applyFont="1" applyFill="1" applyBorder="1" applyAlignment="1">
      <alignment horizontal="center" vertical="top" wrapText="1"/>
    </xf>
    <xf numFmtId="5" fontId="1" fillId="0" borderId="11" xfId="0" applyNumberFormat="1" applyFont="1" applyFill="1" applyBorder="1" applyAlignment="1">
      <alignment vertical="top"/>
    </xf>
    <xf numFmtId="195" fontId="1" fillId="0" borderId="11" xfId="0" applyNumberFormat="1" applyFont="1" applyFill="1" applyBorder="1" applyAlignment="1">
      <alignment vertical="top"/>
    </xf>
    <xf numFmtId="0" fontId="8" fillId="0" borderId="0" xfId="0" applyFont="1" applyFill="1" applyBorder="1" applyAlignment="1">
      <alignment vertical="top" wrapText="1"/>
    </xf>
    <xf numFmtId="0" fontId="8" fillId="0" borderId="0" xfId="0" applyFont="1" applyFill="1" applyBorder="1" applyAlignment="1">
      <alignment vertical="top"/>
    </xf>
    <xf numFmtId="0" fontId="1" fillId="0" borderId="25" xfId="0" applyFont="1" applyFill="1" applyBorder="1" applyAlignment="1" quotePrefix="1">
      <alignment horizontal="center" vertical="top" wrapText="1"/>
    </xf>
    <xf numFmtId="0" fontId="1" fillId="0" borderId="25" xfId="0" applyFont="1" applyFill="1" applyBorder="1" applyAlignment="1">
      <alignment vertical="top" wrapText="1"/>
    </xf>
    <xf numFmtId="0" fontId="1" fillId="0" borderId="25" xfId="0" applyFont="1" applyFill="1" applyBorder="1" applyAlignment="1">
      <alignment horizontal="center" vertical="top" wrapText="1"/>
    </xf>
    <xf numFmtId="5" fontId="1" fillId="0" borderId="25" xfId="0" applyNumberFormat="1" applyFont="1" applyFill="1" applyBorder="1" applyAlignment="1">
      <alignment vertical="top"/>
    </xf>
    <xf numFmtId="195" fontId="1" fillId="0" borderId="25" xfId="0" applyNumberFormat="1" applyFont="1" applyFill="1" applyBorder="1" applyAlignment="1">
      <alignment vertical="top"/>
    </xf>
    <xf numFmtId="0" fontId="0" fillId="0" borderId="0" xfId="0" applyFont="1" applyFill="1" applyBorder="1" applyAlignment="1">
      <alignment horizontal="left" vertical="top" wrapText="1"/>
    </xf>
    <xf numFmtId="0" fontId="1" fillId="0" borderId="0" xfId="0" applyFont="1" applyFill="1" applyAlignment="1">
      <alignment vertical="top"/>
    </xf>
    <xf numFmtId="0" fontId="1" fillId="0" borderId="26" xfId="0" applyFont="1" applyFill="1" applyBorder="1" applyAlignment="1">
      <alignment horizontal="center" vertical="top" wrapText="1"/>
    </xf>
    <xf numFmtId="0" fontId="1" fillId="0" borderId="26" xfId="0" applyFont="1" applyFill="1" applyBorder="1" applyAlignment="1">
      <alignment horizontal="left" vertical="top" wrapText="1"/>
    </xf>
    <xf numFmtId="5" fontId="1" fillId="0" borderId="26" xfId="0" applyNumberFormat="1" applyFont="1" applyFill="1" applyBorder="1" applyAlignment="1">
      <alignment vertical="top"/>
    </xf>
    <xf numFmtId="195" fontId="1" fillId="0" borderId="26" xfId="0" applyNumberFormat="1" applyFont="1" applyFill="1" applyBorder="1" applyAlignment="1">
      <alignment vertical="top"/>
    </xf>
    <xf numFmtId="0" fontId="8" fillId="0" borderId="0" xfId="0" applyFont="1" applyFill="1" applyAlignment="1">
      <alignment vertical="top" wrapText="1"/>
    </xf>
    <xf numFmtId="0" fontId="8" fillId="0" borderId="0" xfId="0" applyFont="1" applyFill="1" applyAlignment="1">
      <alignment vertical="top"/>
    </xf>
    <xf numFmtId="0" fontId="1" fillId="0" borderId="27" xfId="0" applyFont="1" applyFill="1" applyBorder="1" applyAlignment="1">
      <alignment horizontal="center" vertical="top" wrapText="1"/>
    </xf>
    <xf numFmtId="0" fontId="1" fillId="0" borderId="27" xfId="0" applyFont="1" applyFill="1" applyBorder="1" applyAlignment="1">
      <alignment horizontal="left" vertical="top" wrapText="1"/>
    </xf>
    <xf numFmtId="5" fontId="1" fillId="0" borderId="27" xfId="0" applyNumberFormat="1" applyFont="1" applyFill="1" applyBorder="1" applyAlignment="1">
      <alignment vertical="top"/>
    </xf>
    <xf numFmtId="195" fontId="1" fillId="0" borderId="27" xfId="0" applyNumberFormat="1" applyFont="1" applyFill="1" applyBorder="1" applyAlignment="1">
      <alignment vertical="top"/>
    </xf>
    <xf numFmtId="0" fontId="1" fillId="0" borderId="24" xfId="0" applyFont="1" applyFill="1" applyBorder="1" applyAlignment="1">
      <alignment horizontal="left" vertical="top" wrapText="1"/>
    </xf>
    <xf numFmtId="0" fontId="1" fillId="0" borderId="0" xfId="0" applyFont="1" applyFill="1" applyAlignment="1">
      <alignment vertical="top" wrapText="1"/>
    </xf>
    <xf numFmtId="0" fontId="1" fillId="0" borderId="11" xfId="0" applyFont="1" applyFill="1" applyBorder="1" applyAlignment="1">
      <alignment horizontal="center" vertical="top"/>
    </xf>
    <xf numFmtId="0" fontId="12" fillId="27" borderId="28" xfId="0" applyFont="1" applyFill="1" applyBorder="1" applyAlignment="1">
      <alignment horizontal="left"/>
    </xf>
    <xf numFmtId="0" fontId="12" fillId="27" borderId="28" xfId="0" applyFont="1" applyFill="1" applyBorder="1" applyAlignment="1">
      <alignment horizontal="center" wrapText="1"/>
    </xf>
    <xf numFmtId="0" fontId="12" fillId="27" borderId="28" xfId="0" applyFont="1" applyFill="1" applyBorder="1" applyAlignment="1">
      <alignment/>
    </xf>
    <xf numFmtId="0" fontId="12" fillId="27" borderId="29" xfId="0" applyFont="1" applyFill="1" applyBorder="1" applyAlignment="1">
      <alignment horizontal="center" wrapText="1"/>
    </xf>
    <xf numFmtId="0" fontId="12" fillId="27" borderId="30" xfId="0" applyFont="1" applyFill="1" applyBorder="1" applyAlignment="1">
      <alignment wrapText="1"/>
    </xf>
    <xf numFmtId="5" fontId="12" fillId="27" borderId="28" xfId="0" applyNumberFormat="1" applyFont="1" applyFill="1" applyBorder="1" applyAlignment="1">
      <alignment horizontal="center" wrapText="1"/>
    </xf>
    <xf numFmtId="195" fontId="12" fillId="27" borderId="30" xfId="0" applyNumberFormat="1" applyFont="1" applyFill="1" applyBorder="1" applyAlignment="1">
      <alignment horizontal="center" wrapText="1"/>
    </xf>
    <xf numFmtId="0" fontId="2" fillId="27" borderId="11" xfId="0" applyFont="1" applyFill="1" applyBorder="1" applyAlignment="1">
      <alignment horizontal="center" vertical="top" wrapText="1"/>
    </xf>
    <xf numFmtId="0" fontId="2" fillId="27" borderId="24" xfId="0" applyFont="1" applyFill="1" applyBorder="1" applyAlignment="1">
      <alignment horizontal="center" vertical="top" wrapText="1"/>
    </xf>
    <xf numFmtId="0" fontId="2" fillId="27" borderId="20"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20" xfId="0" applyFont="1" applyFill="1" applyBorder="1" applyAlignment="1">
      <alignment vertical="top" wrapText="1"/>
    </xf>
    <xf numFmtId="0" fontId="1" fillId="0" borderId="20" xfId="0" applyFont="1" applyFill="1" applyBorder="1" applyAlignment="1">
      <alignment horizontal="left" vertical="top" wrapText="1"/>
    </xf>
    <xf numFmtId="0" fontId="1" fillId="0" borderId="31" xfId="0" applyFont="1" applyFill="1" applyBorder="1" applyAlignment="1">
      <alignment horizontal="center" vertical="top" wrapText="1"/>
    </xf>
    <xf numFmtId="0" fontId="12" fillId="3" borderId="32" xfId="0" applyFont="1" applyFill="1" applyBorder="1" applyAlignment="1">
      <alignment horizontal="left"/>
    </xf>
    <xf numFmtId="0" fontId="12" fillId="3" borderId="18" xfId="0" applyFont="1" applyFill="1" applyBorder="1" applyAlignment="1">
      <alignment horizontal="center" wrapText="1"/>
    </xf>
    <xf numFmtId="0" fontId="12" fillId="3" borderId="18" xfId="0" applyFont="1" applyFill="1" applyBorder="1" applyAlignment="1">
      <alignment horizontal="left" wrapText="1"/>
    </xf>
    <xf numFmtId="0" fontId="12" fillId="3" borderId="18" xfId="0" applyFont="1" applyFill="1" applyBorder="1" applyAlignment="1">
      <alignment wrapText="1"/>
    </xf>
    <xf numFmtId="5" fontId="12" fillId="3" borderId="18" xfId="0" applyNumberFormat="1" applyFont="1" applyFill="1" applyBorder="1" applyAlignment="1">
      <alignment horizontal="center" wrapText="1"/>
    </xf>
    <xf numFmtId="195" fontId="12" fillId="3" borderId="19" xfId="0" applyNumberFormat="1" applyFont="1" applyFill="1" applyBorder="1" applyAlignment="1">
      <alignment horizontal="center" wrapText="1"/>
    </xf>
    <xf numFmtId="0" fontId="2" fillId="3" borderId="0" xfId="0" applyFont="1" applyFill="1" applyBorder="1" applyAlignment="1">
      <alignment horizontal="center" vertical="top"/>
    </xf>
    <xf numFmtId="0" fontId="19" fillId="0" borderId="0" xfId="0" applyFont="1" applyFill="1" applyBorder="1" applyAlignment="1">
      <alignment vertical="top" wrapText="1"/>
    </xf>
    <xf numFmtId="0" fontId="2" fillId="3" borderId="32" xfId="0" applyFont="1" applyFill="1" applyBorder="1" applyAlignment="1">
      <alignment horizontal="center" vertical="top"/>
    </xf>
    <xf numFmtId="0" fontId="2" fillId="0" borderId="11" xfId="0" applyFont="1" applyFill="1" applyBorder="1" applyAlignment="1">
      <alignment horizontal="left" vertical="top" wrapText="1"/>
    </xf>
    <xf numFmtId="0" fontId="2" fillId="3" borderId="11" xfId="0" applyFont="1" applyFill="1" applyBorder="1" applyAlignment="1">
      <alignment horizontal="center" vertical="top"/>
    </xf>
    <xf numFmtId="49" fontId="1" fillId="0" borderId="11" xfId="0" applyNumberFormat="1" applyFont="1" applyFill="1" applyBorder="1" applyAlignment="1">
      <alignment horizontal="center" vertical="top" wrapText="1"/>
    </xf>
    <xf numFmtId="0" fontId="1" fillId="0" borderId="11" xfId="0" applyNumberFormat="1" applyFont="1" applyFill="1" applyBorder="1" applyAlignment="1">
      <alignment horizontal="center" vertical="top" wrapText="1"/>
    </xf>
    <xf numFmtId="181" fontId="1" fillId="0" borderId="11" xfId="0" applyNumberFormat="1" applyFont="1" applyFill="1" applyBorder="1" applyAlignment="1">
      <alignment vertical="top"/>
    </xf>
    <xf numFmtId="182" fontId="1" fillId="0" borderId="32" xfId="0" applyNumberFormat="1" applyFont="1" applyFill="1" applyBorder="1" applyAlignment="1">
      <alignment vertical="top"/>
    </xf>
    <xf numFmtId="0" fontId="2" fillId="3" borderId="33" xfId="0" applyFont="1" applyFill="1" applyBorder="1" applyAlignment="1">
      <alignment horizontal="center" vertical="top"/>
    </xf>
    <xf numFmtId="0" fontId="1" fillId="0" borderId="33" xfId="0" applyFont="1" applyFill="1" applyBorder="1" applyAlignment="1" quotePrefix="1">
      <alignment horizontal="center" vertical="top"/>
    </xf>
    <xf numFmtId="0" fontId="1" fillId="0" borderId="33" xfId="0" applyFont="1" applyFill="1" applyBorder="1" applyAlignment="1">
      <alignment vertical="top" wrapText="1"/>
    </xf>
    <xf numFmtId="0" fontId="1" fillId="0" borderId="33" xfId="0" applyFont="1" applyFill="1" applyBorder="1" applyAlignment="1">
      <alignment horizontal="center" vertical="top" wrapText="1"/>
    </xf>
    <xf numFmtId="5" fontId="1" fillId="0" borderId="33" xfId="0" applyNumberFormat="1" applyFont="1" applyFill="1" applyBorder="1" applyAlignment="1">
      <alignment vertical="top"/>
    </xf>
    <xf numFmtId="195" fontId="1" fillId="0" borderId="33" xfId="0" applyNumberFormat="1" applyFont="1" applyFill="1" applyBorder="1" applyAlignment="1">
      <alignment vertical="top"/>
    </xf>
    <xf numFmtId="0" fontId="1" fillId="0" borderId="31" xfId="0" applyFont="1" applyFill="1" applyBorder="1" applyAlignment="1" quotePrefix="1">
      <alignment horizontal="center" vertical="top"/>
    </xf>
    <xf numFmtId="0" fontId="1" fillId="0" borderId="31" xfId="0" applyFont="1" applyFill="1" applyBorder="1" applyAlignment="1">
      <alignment vertical="top" wrapText="1"/>
    </xf>
    <xf numFmtId="0" fontId="8" fillId="0" borderId="31" xfId="0" applyFont="1" applyFill="1" applyBorder="1" applyAlignment="1">
      <alignment vertical="top" wrapText="1"/>
    </xf>
    <xf numFmtId="5" fontId="1" fillId="0" borderId="31" xfId="0" applyNumberFormat="1" applyFont="1" applyFill="1" applyBorder="1" applyAlignment="1">
      <alignment vertical="top"/>
    </xf>
    <xf numFmtId="195" fontId="1" fillId="0" borderId="31" xfId="0" applyNumberFormat="1" applyFont="1" applyFill="1" applyBorder="1" applyAlignment="1">
      <alignment vertical="top"/>
    </xf>
    <xf numFmtId="0" fontId="12" fillId="19" borderId="0" xfId="0" applyFont="1" applyFill="1" applyBorder="1" applyAlignment="1">
      <alignment horizontal="left"/>
    </xf>
    <xf numFmtId="0" fontId="12" fillId="19" borderId="0" xfId="0" applyFont="1" applyFill="1" applyBorder="1" applyAlignment="1">
      <alignment horizontal="center" wrapText="1"/>
    </xf>
    <xf numFmtId="0" fontId="12" fillId="19" borderId="0" xfId="0" applyFont="1" applyFill="1" applyBorder="1" applyAlignment="1">
      <alignment horizontal="left" wrapText="1"/>
    </xf>
    <xf numFmtId="0" fontId="12" fillId="19" borderId="31" xfId="0" applyFont="1" applyFill="1" applyBorder="1" applyAlignment="1">
      <alignment horizontal="center" wrapText="1"/>
    </xf>
    <xf numFmtId="0" fontId="12" fillId="19" borderId="14" xfId="0" applyFont="1" applyFill="1" applyBorder="1" applyAlignment="1">
      <alignment wrapText="1"/>
    </xf>
    <xf numFmtId="5" fontId="12" fillId="19" borderId="13" xfId="0" applyNumberFormat="1" applyFont="1" applyFill="1" applyBorder="1" applyAlignment="1">
      <alignment horizontal="center" wrapText="1"/>
    </xf>
    <xf numFmtId="195" fontId="12" fillId="19" borderId="14" xfId="0" applyNumberFormat="1" applyFont="1" applyFill="1" applyBorder="1" applyAlignment="1">
      <alignment horizontal="center" wrapText="1"/>
    </xf>
    <xf numFmtId="0" fontId="2" fillId="19" borderId="11" xfId="0" applyFont="1" applyFill="1" applyBorder="1" applyAlignment="1">
      <alignment horizontal="center" vertical="top" wrapText="1"/>
    </xf>
    <xf numFmtId="0" fontId="2" fillId="19" borderId="24" xfId="0" applyFont="1" applyFill="1" applyBorder="1" applyAlignment="1">
      <alignment horizontal="center" vertical="top" wrapText="1"/>
    </xf>
    <xf numFmtId="0" fontId="1" fillId="0" borderId="24" xfId="0" applyFont="1" applyFill="1" applyBorder="1" applyAlignment="1">
      <alignment horizontal="center" vertical="top"/>
    </xf>
    <xf numFmtId="0" fontId="2" fillId="19" borderId="20" xfId="0" applyFont="1" applyFill="1" applyBorder="1" applyAlignment="1">
      <alignment horizontal="center" vertical="top" wrapText="1"/>
    </xf>
    <xf numFmtId="0" fontId="1" fillId="0" borderId="31" xfId="0" applyFont="1" applyFill="1" applyBorder="1" applyAlignment="1">
      <alignment horizontal="left" vertical="top" wrapText="1"/>
    </xf>
    <xf numFmtId="0" fontId="12" fillId="5" borderId="28" xfId="0" applyFont="1" applyFill="1" applyBorder="1" applyAlignment="1">
      <alignment horizontal="left"/>
    </xf>
    <xf numFmtId="0" fontId="12" fillId="5" borderId="28" xfId="0" applyFont="1" applyFill="1" applyBorder="1" applyAlignment="1">
      <alignment horizontal="center" wrapText="1"/>
    </xf>
    <xf numFmtId="0" fontId="12" fillId="5" borderId="28" xfId="0" applyFont="1" applyFill="1" applyBorder="1" applyAlignment="1">
      <alignment/>
    </xf>
    <xf numFmtId="0" fontId="12" fillId="5" borderId="29" xfId="0" applyFont="1" applyFill="1" applyBorder="1" applyAlignment="1">
      <alignment horizontal="center" wrapText="1"/>
    </xf>
    <xf numFmtId="0" fontId="12" fillId="5" borderId="30" xfId="0" applyFont="1" applyFill="1" applyBorder="1" applyAlignment="1">
      <alignment wrapText="1"/>
    </xf>
    <xf numFmtId="5" fontId="12" fillId="5" borderId="28" xfId="0" applyNumberFormat="1" applyFont="1" applyFill="1" applyBorder="1" applyAlignment="1">
      <alignment horizontal="center" wrapText="1"/>
    </xf>
    <xf numFmtId="195" fontId="12" fillId="5" borderId="30" xfId="0" applyNumberFormat="1" applyFont="1" applyFill="1" applyBorder="1" applyAlignment="1">
      <alignment horizontal="center" wrapText="1"/>
    </xf>
    <xf numFmtId="0" fontId="2" fillId="5" borderId="34" xfId="0" applyFont="1" applyFill="1" applyBorder="1" applyAlignment="1">
      <alignment horizontal="center" vertical="top" wrapText="1"/>
    </xf>
    <xf numFmtId="0" fontId="1" fillId="0" borderId="34" xfId="0" applyFont="1" applyFill="1" applyBorder="1" applyAlignment="1">
      <alignment horizontal="center" vertical="top" wrapText="1"/>
    </xf>
    <xf numFmtId="0" fontId="1" fillId="0" borderId="34" xfId="0" applyFont="1" applyFill="1" applyBorder="1" applyAlignment="1">
      <alignment vertical="top" wrapText="1"/>
    </xf>
    <xf numFmtId="0" fontId="1" fillId="0" borderId="34" xfId="0" applyFont="1" applyFill="1" applyBorder="1" applyAlignment="1">
      <alignment horizontal="left" vertical="top" wrapText="1"/>
    </xf>
    <xf numFmtId="0" fontId="2" fillId="5" borderId="11" xfId="0" applyFont="1" applyFill="1" applyBorder="1" applyAlignment="1">
      <alignment horizontal="center" vertical="top" wrapText="1"/>
    </xf>
    <xf numFmtId="0" fontId="2" fillId="5" borderId="20" xfId="0" applyFont="1" applyFill="1" applyBorder="1" applyAlignment="1">
      <alignment horizontal="center" vertical="top" wrapText="1"/>
    </xf>
    <xf numFmtId="5" fontId="1" fillId="0" borderId="20" xfId="0" applyNumberFormat="1" applyFont="1" applyFill="1" applyBorder="1" applyAlignment="1">
      <alignment vertical="top"/>
    </xf>
    <xf numFmtId="195" fontId="1" fillId="0" borderId="20" xfId="0" applyNumberFormat="1" applyFont="1" applyFill="1" applyBorder="1" applyAlignment="1">
      <alignment vertical="top"/>
    </xf>
    <xf numFmtId="0" fontId="2" fillId="5" borderId="31" xfId="0" applyFont="1" applyFill="1" applyBorder="1" applyAlignment="1">
      <alignment horizontal="center" vertical="top" wrapText="1"/>
    </xf>
    <xf numFmtId="0" fontId="12" fillId="22" borderId="28" xfId="0" applyFont="1" applyFill="1" applyBorder="1" applyAlignment="1">
      <alignment horizontal="left"/>
    </xf>
    <xf numFmtId="0" fontId="12" fillId="22" borderId="28" xfId="0" applyFont="1" applyFill="1" applyBorder="1" applyAlignment="1">
      <alignment horizontal="center" wrapText="1"/>
    </xf>
    <xf numFmtId="0" fontId="12" fillId="22" borderId="28" xfId="0" applyFont="1" applyFill="1" applyBorder="1" applyAlignment="1">
      <alignment/>
    </xf>
    <xf numFmtId="0" fontId="12" fillId="22" borderId="29" xfId="0" applyFont="1" applyFill="1" applyBorder="1" applyAlignment="1">
      <alignment horizontal="center" wrapText="1"/>
    </xf>
    <xf numFmtId="0" fontId="12" fillId="22" borderId="30" xfId="0" applyFont="1" applyFill="1" applyBorder="1" applyAlignment="1">
      <alignment wrapText="1"/>
    </xf>
    <xf numFmtId="5" fontId="12" fillId="22" borderId="28" xfId="0" applyNumberFormat="1" applyFont="1" applyFill="1" applyBorder="1" applyAlignment="1">
      <alignment horizontal="center" wrapText="1"/>
    </xf>
    <xf numFmtId="195" fontId="12" fillId="22" borderId="30" xfId="0" applyNumberFormat="1" applyFont="1" applyFill="1" applyBorder="1" applyAlignment="1">
      <alignment horizontal="center" wrapText="1"/>
    </xf>
    <xf numFmtId="0" fontId="2" fillId="22" borderId="11" xfId="0" applyFont="1" applyFill="1" applyBorder="1" applyAlignment="1">
      <alignment horizontal="center" vertical="top"/>
    </xf>
    <xf numFmtId="5" fontId="1" fillId="0" borderId="11" xfId="0" applyNumberFormat="1" applyFont="1" applyFill="1" applyBorder="1" applyAlignment="1" quotePrefix="1">
      <alignment horizontal="right" vertical="top" wrapText="1"/>
    </xf>
    <xf numFmtId="195" fontId="1" fillId="0" borderId="11" xfId="0" applyNumberFormat="1" applyFont="1" applyFill="1" applyBorder="1" applyAlignment="1" quotePrefix="1">
      <alignment horizontal="right" vertical="top" wrapText="1"/>
    </xf>
    <xf numFmtId="0" fontId="2" fillId="22" borderId="20" xfId="0" applyFont="1" applyFill="1" applyBorder="1" applyAlignment="1">
      <alignment horizontal="center" vertical="top"/>
    </xf>
    <xf numFmtId="5" fontId="1" fillId="0" borderId="20" xfId="0" applyNumberFormat="1" applyFont="1" applyFill="1" applyBorder="1" applyAlignment="1">
      <alignment horizontal="left" vertical="top" wrapText="1"/>
    </xf>
    <xf numFmtId="195" fontId="1" fillId="0" borderId="20" xfId="0" applyNumberFormat="1" applyFont="1" applyFill="1" applyBorder="1" applyAlignment="1">
      <alignment horizontal="left" vertical="top" wrapText="1"/>
    </xf>
    <xf numFmtId="0" fontId="2" fillId="22" borderId="24" xfId="0" applyFont="1" applyFill="1" applyBorder="1" applyAlignment="1">
      <alignment horizontal="center" vertical="top"/>
    </xf>
    <xf numFmtId="0" fontId="8" fillId="0" borderId="11" xfId="0" applyFont="1" applyFill="1" applyBorder="1" applyAlignment="1">
      <alignment vertical="top" wrapText="1"/>
    </xf>
    <xf numFmtId="0" fontId="2" fillId="22" borderId="11" xfId="0" applyFont="1" applyFill="1" applyBorder="1" applyAlignment="1">
      <alignment horizontal="center" vertical="top" wrapText="1"/>
    </xf>
    <xf numFmtId="0" fontId="12" fillId="14" borderId="28" xfId="0" applyFont="1" applyFill="1" applyBorder="1" applyAlignment="1">
      <alignment horizontal="left"/>
    </xf>
    <xf numFmtId="0" fontId="12" fillId="14" borderId="28" xfId="0" applyFont="1" applyFill="1" applyBorder="1" applyAlignment="1">
      <alignment horizontal="center" wrapText="1"/>
    </xf>
    <xf numFmtId="0" fontId="12" fillId="14" borderId="28" xfId="0" applyFont="1" applyFill="1" applyBorder="1" applyAlignment="1">
      <alignment horizontal="left" wrapText="1"/>
    </xf>
    <xf numFmtId="0" fontId="12" fillId="14" borderId="29" xfId="0" applyFont="1" applyFill="1" applyBorder="1" applyAlignment="1">
      <alignment horizontal="center" wrapText="1"/>
    </xf>
    <xf numFmtId="0" fontId="12" fillId="14" borderId="30" xfId="0" applyFont="1" applyFill="1" applyBorder="1" applyAlignment="1">
      <alignment wrapText="1"/>
    </xf>
    <xf numFmtId="5" fontId="12" fillId="14" borderId="35" xfId="0" applyNumberFormat="1" applyFont="1" applyFill="1" applyBorder="1" applyAlignment="1">
      <alignment horizontal="center" wrapText="1"/>
    </xf>
    <xf numFmtId="195" fontId="12" fillId="14" borderId="30" xfId="0" applyNumberFormat="1" applyFont="1" applyFill="1" applyBorder="1" applyAlignment="1">
      <alignment horizontal="center" wrapText="1"/>
    </xf>
    <xf numFmtId="0" fontId="2" fillId="14" borderId="11" xfId="0" applyFont="1" applyFill="1" applyBorder="1" applyAlignment="1">
      <alignment horizontal="center" vertical="top"/>
    </xf>
    <xf numFmtId="0" fontId="2" fillId="14" borderId="20" xfId="0" applyFont="1" applyFill="1" applyBorder="1" applyAlignment="1">
      <alignment horizontal="center" vertical="top"/>
    </xf>
    <xf numFmtId="0" fontId="1" fillId="0" borderId="20" xfId="0" applyFont="1" applyFill="1" applyBorder="1" applyAlignment="1">
      <alignment horizontal="center" vertical="top"/>
    </xf>
    <xf numFmtId="0" fontId="8" fillId="0" borderId="20" xfId="0" applyFont="1" applyFill="1" applyBorder="1" applyAlignment="1">
      <alignment vertical="top" wrapText="1"/>
    </xf>
    <xf numFmtId="0" fontId="2" fillId="14" borderId="24" xfId="0" applyFont="1" applyFill="1" applyBorder="1" applyAlignment="1">
      <alignment horizontal="center" vertical="top"/>
    </xf>
    <xf numFmtId="0" fontId="0" fillId="0" borderId="11" xfId="0" applyFont="1" applyFill="1" applyBorder="1" applyAlignment="1">
      <alignment/>
    </xf>
    <xf numFmtId="0" fontId="12" fillId="25" borderId="0" xfId="0" applyFont="1" applyFill="1" applyBorder="1" applyAlignment="1">
      <alignment horizontal="left"/>
    </xf>
    <xf numFmtId="0" fontId="12" fillId="25" borderId="0" xfId="0" applyFont="1" applyFill="1" applyBorder="1" applyAlignment="1">
      <alignment horizontal="center" wrapText="1"/>
    </xf>
    <xf numFmtId="0" fontId="12" fillId="25" borderId="0" xfId="0" applyFont="1" applyFill="1" applyBorder="1" applyAlignment="1">
      <alignment horizontal="left" wrapText="1"/>
    </xf>
    <xf numFmtId="0" fontId="12" fillId="25" borderId="31" xfId="0" applyFont="1" applyFill="1" applyBorder="1" applyAlignment="1">
      <alignment horizontal="center" wrapText="1"/>
    </xf>
    <xf numFmtId="0" fontId="12" fillId="25" borderId="14" xfId="0" applyFont="1" applyFill="1" applyBorder="1" applyAlignment="1">
      <alignment wrapText="1"/>
    </xf>
    <xf numFmtId="5" fontId="12" fillId="25" borderId="0" xfId="0" applyNumberFormat="1" applyFont="1" applyFill="1" applyBorder="1" applyAlignment="1">
      <alignment horizontal="center" wrapText="1"/>
    </xf>
    <xf numFmtId="195" fontId="12" fillId="25" borderId="14" xfId="0" applyNumberFormat="1" applyFont="1" applyFill="1" applyBorder="1" applyAlignment="1">
      <alignment horizontal="center" wrapText="1"/>
    </xf>
    <xf numFmtId="0" fontId="2" fillId="25" borderId="34" xfId="0" applyFont="1" applyFill="1" applyBorder="1" applyAlignment="1">
      <alignment horizontal="center" vertical="top"/>
    </xf>
    <xf numFmtId="0" fontId="1" fillId="0" borderId="34" xfId="0" applyFont="1" applyFill="1" applyBorder="1" applyAlignment="1">
      <alignment horizontal="center" vertical="top"/>
    </xf>
    <xf numFmtId="5" fontId="1" fillId="0" borderId="34" xfId="0" applyNumberFormat="1" applyFont="1" applyFill="1" applyBorder="1" applyAlignment="1">
      <alignment vertical="top"/>
    </xf>
    <xf numFmtId="195" fontId="1" fillId="0" borderId="34" xfId="0" applyNumberFormat="1" applyFont="1" applyFill="1" applyBorder="1" applyAlignment="1">
      <alignment vertical="top"/>
    </xf>
    <xf numFmtId="0" fontId="2" fillId="25" borderId="24" xfId="0" applyFont="1" applyFill="1" applyBorder="1" applyAlignment="1">
      <alignment horizontal="center" vertical="top"/>
    </xf>
    <xf numFmtId="49" fontId="1" fillId="0" borderId="24" xfId="0" applyNumberFormat="1" applyFont="1" applyFill="1" applyBorder="1" applyAlignment="1">
      <alignment horizontal="center" vertical="top" wrapText="1"/>
    </xf>
    <xf numFmtId="0" fontId="1" fillId="0" borderId="24" xfId="0" applyNumberFormat="1" applyFont="1" applyFill="1" applyBorder="1" applyAlignment="1">
      <alignment horizontal="center" vertical="top" wrapText="1"/>
    </xf>
    <xf numFmtId="0" fontId="2" fillId="25" borderId="11" xfId="0" applyFont="1" applyFill="1" applyBorder="1" applyAlignment="1">
      <alignment horizontal="center" vertical="top"/>
    </xf>
    <xf numFmtId="0" fontId="1" fillId="0" borderId="32" xfId="0" applyFont="1" applyFill="1" applyBorder="1" applyAlignment="1">
      <alignment vertical="top" wrapText="1"/>
    </xf>
    <xf numFmtId="0" fontId="23" fillId="0" borderId="11" xfId="0" applyFont="1" applyFill="1" applyBorder="1" applyAlignment="1">
      <alignment horizontal="left" vertical="top" wrapText="1"/>
    </xf>
    <xf numFmtId="0" fontId="2" fillId="25" borderId="11" xfId="0" applyFont="1" applyFill="1" applyBorder="1" applyAlignment="1">
      <alignment horizontal="center" vertical="top" wrapText="1"/>
    </xf>
    <xf numFmtId="5" fontId="1" fillId="0" borderId="11" xfId="0" applyNumberFormat="1" applyFont="1" applyFill="1" applyBorder="1" applyAlignment="1">
      <alignment vertical="top" wrapText="1"/>
    </xf>
    <xf numFmtId="0" fontId="2" fillId="25" borderId="20" xfId="0" applyFont="1" applyFill="1" applyBorder="1" applyAlignment="1">
      <alignment horizontal="center" vertical="top" wrapText="1"/>
    </xf>
    <xf numFmtId="0" fontId="23" fillId="0" borderId="20" xfId="0" applyFont="1" applyFill="1" applyBorder="1" applyAlignment="1">
      <alignment horizontal="left" vertical="top" wrapText="1"/>
    </xf>
    <xf numFmtId="5" fontId="1" fillId="0" borderId="20" xfId="0" applyNumberFormat="1" applyFont="1" applyFill="1" applyBorder="1" applyAlignment="1">
      <alignment vertical="top" wrapText="1"/>
    </xf>
    <xf numFmtId="5" fontId="1" fillId="0" borderId="31" xfId="0" applyNumberFormat="1" applyFont="1" applyFill="1" applyBorder="1" applyAlignment="1">
      <alignment vertical="top" wrapText="1"/>
    </xf>
    <xf numFmtId="195" fontId="1" fillId="0" borderId="31" xfId="0" applyNumberFormat="1" applyFont="1" applyFill="1" applyBorder="1" applyAlignment="1">
      <alignment vertical="top" wrapText="1"/>
    </xf>
    <xf numFmtId="0" fontId="2" fillId="0" borderId="0" xfId="0" applyFont="1" applyFill="1" applyBorder="1" applyAlignment="1">
      <alignment horizontal="center" vertical="top"/>
    </xf>
    <xf numFmtId="0" fontId="2" fillId="0" borderId="0" xfId="0" applyFont="1" applyFill="1" applyBorder="1" applyAlignment="1">
      <alignment vertical="top" wrapText="1"/>
    </xf>
    <xf numFmtId="0" fontId="2" fillId="0" borderId="0" xfId="0" applyFont="1" applyFill="1" applyBorder="1" applyAlignment="1">
      <alignment horizontal="center" vertical="top" wrapText="1"/>
    </xf>
    <xf numFmtId="5" fontId="2" fillId="0" borderId="0" xfId="0" applyNumberFormat="1" applyFont="1" applyFill="1" applyBorder="1" applyAlignment="1">
      <alignment horizontal="center" vertical="top"/>
    </xf>
    <xf numFmtId="195" fontId="2" fillId="0" borderId="0" xfId="0" applyNumberFormat="1" applyFont="1" applyFill="1" applyBorder="1" applyAlignment="1">
      <alignment horizontal="center" vertical="top"/>
    </xf>
    <xf numFmtId="0" fontId="2" fillId="0" borderId="0" xfId="0" applyFont="1" applyFill="1" applyBorder="1" applyAlignment="1">
      <alignment vertical="top"/>
    </xf>
    <xf numFmtId="5" fontId="2" fillId="0" borderId="0" xfId="0" applyNumberFormat="1" applyFont="1" applyFill="1" applyBorder="1" applyAlignment="1">
      <alignment vertical="top"/>
    </xf>
    <xf numFmtId="195" fontId="2" fillId="0" borderId="0" xfId="0" applyNumberFormat="1" applyFont="1" applyFill="1" applyBorder="1" applyAlignment="1">
      <alignment vertical="top"/>
    </xf>
    <xf numFmtId="0" fontId="2" fillId="0" borderId="0" xfId="0" applyFont="1" applyFill="1" applyBorder="1" applyAlignment="1">
      <alignment horizontal="center"/>
    </xf>
    <xf numFmtId="5" fontId="2" fillId="0" borderId="0" xfId="0" applyNumberFormat="1" applyFont="1" applyFill="1" applyBorder="1" applyAlignment="1">
      <alignment/>
    </xf>
    <xf numFmtId="195" fontId="2" fillId="0" borderId="0" xfId="0" applyNumberFormat="1"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wrapText="1"/>
    </xf>
    <xf numFmtId="0" fontId="1" fillId="0" borderId="0" xfId="0" applyFont="1" applyFill="1" applyBorder="1" applyAlignment="1">
      <alignment/>
    </xf>
    <xf numFmtId="5" fontId="1" fillId="0" borderId="0" xfId="0" applyNumberFormat="1" applyFont="1" applyFill="1" applyBorder="1" applyAlignment="1">
      <alignment/>
    </xf>
    <xf numFmtId="195" fontId="1" fillId="0" borderId="0" xfId="0" applyNumberFormat="1" applyFont="1" applyFill="1" applyBorder="1" applyAlignment="1">
      <alignment/>
    </xf>
    <xf numFmtId="0" fontId="1" fillId="0" borderId="0" xfId="0" applyFont="1" applyFill="1" applyAlignment="1">
      <alignment wrapText="1"/>
    </xf>
    <xf numFmtId="0" fontId="2" fillId="0" borderId="0" xfId="0" applyFont="1" applyFill="1" applyAlignment="1">
      <alignment horizontal="center"/>
    </xf>
    <xf numFmtId="5" fontId="1" fillId="0" borderId="0" xfId="0" applyNumberFormat="1" applyFont="1" applyFill="1" applyAlignment="1">
      <alignment/>
    </xf>
    <xf numFmtId="195" fontId="1" fillId="0" borderId="0" xfId="0" applyNumberFormat="1" applyFont="1" applyFill="1" applyAlignment="1">
      <alignment/>
    </xf>
    <xf numFmtId="5"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5" fontId="2" fillId="26" borderId="0" xfId="0" applyNumberFormat="1" applyFont="1" applyFill="1" applyBorder="1" applyAlignment="1">
      <alignment horizontal="center" vertical="center"/>
    </xf>
    <xf numFmtId="0" fontId="2" fillId="26" borderId="0" xfId="0" applyFont="1" applyFill="1" applyBorder="1" applyAlignment="1">
      <alignment horizontal="center" vertical="top"/>
    </xf>
    <xf numFmtId="185" fontId="0" fillId="0" borderId="0" xfId="0" applyNumberFormat="1" applyAlignment="1">
      <alignment horizontal="right"/>
    </xf>
    <xf numFmtId="196" fontId="0" fillId="0" borderId="0" xfId="0" applyNumberFormat="1" applyAlignment="1">
      <alignment/>
    </xf>
    <xf numFmtId="0" fontId="0" fillId="0" borderId="0" xfId="0" applyFont="1" applyAlignment="1">
      <alignment/>
    </xf>
    <xf numFmtId="0" fontId="0" fillId="0" borderId="0" xfId="0" applyFont="1" applyAlignment="1">
      <alignment horizontal="left"/>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xf>
    <xf numFmtId="0" fontId="1" fillId="0" borderId="0" xfId="0" applyFont="1" applyAlignment="1">
      <alignment horizontal="center" vertical="center"/>
    </xf>
    <xf numFmtId="0" fontId="1" fillId="10" borderId="0" xfId="0" applyFont="1" applyFill="1" applyAlignment="1">
      <alignment horizontal="center" vertical="center"/>
    </xf>
    <xf numFmtId="0" fontId="1" fillId="0" borderId="0" xfId="0" applyFont="1" applyAlignment="1">
      <alignment/>
    </xf>
    <xf numFmtId="0" fontId="0" fillId="0" borderId="0" xfId="0" applyAlignment="1">
      <alignment horizontal="left" wrapText="1"/>
    </xf>
    <xf numFmtId="0" fontId="13" fillId="0" borderId="0" xfId="0" applyFont="1" applyBorder="1" applyAlignment="1">
      <alignment horizontal="center"/>
    </xf>
    <xf numFmtId="0" fontId="13" fillId="0" borderId="0" xfId="0" applyFont="1" applyBorder="1" applyAlignment="1">
      <alignment/>
    </xf>
    <xf numFmtId="0" fontId="14" fillId="0" borderId="0" xfId="0" applyFont="1" applyAlignment="1">
      <alignment horizontal="left"/>
    </xf>
    <xf numFmtId="0" fontId="14" fillId="0" borderId="0" xfId="0" applyFont="1" applyAlignment="1">
      <alignment horizontal="right"/>
    </xf>
    <xf numFmtId="9" fontId="0" fillId="0" borderId="0" xfId="59" applyFont="1" applyAlignment="1">
      <alignment/>
    </xf>
    <xf numFmtId="197" fontId="0" fillId="0" borderId="0" xfId="59" applyNumberFormat="1" applyFont="1" applyAlignment="1">
      <alignment/>
    </xf>
    <xf numFmtId="193" fontId="0" fillId="0" borderId="0" xfId="0" applyNumberFormat="1" applyAlignment="1">
      <alignment/>
    </xf>
    <xf numFmtId="9" fontId="0" fillId="0" borderId="0" xfId="0" applyNumberFormat="1" applyFont="1" applyAlignment="1">
      <alignment/>
    </xf>
    <xf numFmtId="197" fontId="0" fillId="0" borderId="0" xfId="0" applyNumberFormat="1" applyAlignment="1">
      <alignment/>
    </xf>
    <xf numFmtId="3" fontId="0" fillId="0" borderId="0" xfId="0" applyNumberFormat="1" applyFill="1" applyAlignment="1">
      <alignment/>
    </xf>
    <xf numFmtId="199" fontId="16" fillId="0" borderId="0" xfId="44" applyNumberFormat="1" applyFont="1" applyAlignment="1">
      <alignment/>
    </xf>
    <xf numFmtId="0" fontId="0" fillId="0" borderId="13" xfId="0" applyFont="1" applyFill="1" applyBorder="1" applyAlignment="1">
      <alignment horizontal="left" wrapText="1"/>
    </xf>
    <xf numFmtId="0" fontId="0" fillId="0" borderId="0" xfId="0" applyFont="1" applyFill="1" applyBorder="1" applyAlignment="1">
      <alignment horizontal="left" wrapText="1"/>
    </xf>
    <xf numFmtId="9" fontId="0" fillId="0" borderId="0" xfId="0" applyNumberFormat="1" applyFont="1" applyFill="1" applyBorder="1" applyAlignment="1">
      <alignment horizontal="right" wrapText="1"/>
    </xf>
    <xf numFmtId="9" fontId="0" fillId="0" borderId="0" xfId="59" applyFont="1" applyFill="1" applyBorder="1" applyAlignment="1">
      <alignment horizontal="right" wrapText="1"/>
    </xf>
    <xf numFmtId="199" fontId="0" fillId="0" borderId="0" xfId="0" applyNumberFormat="1" applyAlignment="1">
      <alignment/>
    </xf>
    <xf numFmtId="9" fontId="16" fillId="0" borderId="0" xfId="59" applyFont="1" applyAlignment="1">
      <alignment/>
    </xf>
    <xf numFmtId="0" fontId="0" fillId="10" borderId="0" xfId="0" applyFill="1" applyAlignment="1">
      <alignment/>
    </xf>
    <xf numFmtId="0" fontId="0" fillId="0" borderId="0" xfId="0" applyFont="1" applyAlignment="1">
      <alignment horizontal="left"/>
    </xf>
    <xf numFmtId="0" fontId="15" fillId="0" borderId="0" xfId="0" applyFont="1" applyAlignment="1">
      <alignment horizontal="right"/>
    </xf>
    <xf numFmtId="2" fontId="0" fillId="0" borderId="0" xfId="0" applyNumberFormat="1" applyFont="1" applyAlignment="1">
      <alignment/>
    </xf>
    <xf numFmtId="178" fontId="0" fillId="28" borderId="0" xfId="0" applyNumberFormat="1" applyFill="1" applyAlignment="1">
      <alignment horizontal="right"/>
    </xf>
    <xf numFmtId="0" fontId="0" fillId="28" borderId="0" xfId="0" applyFill="1" applyAlignment="1">
      <alignment/>
    </xf>
    <xf numFmtId="0" fontId="0" fillId="0" borderId="0" xfId="0" applyAlignment="1" quotePrefix="1">
      <alignment/>
    </xf>
    <xf numFmtId="0" fontId="0" fillId="28" borderId="0" xfId="0" applyFill="1" applyAlignment="1">
      <alignment horizontal="left"/>
    </xf>
    <xf numFmtId="3" fontId="0" fillId="28" borderId="0" xfId="0" applyNumberFormat="1" applyFill="1" applyAlignment="1">
      <alignment horizontal="right"/>
    </xf>
    <xf numFmtId="185" fontId="0" fillId="28" borderId="0" xfId="0" applyNumberFormat="1" applyFill="1" applyAlignment="1">
      <alignment horizontal="right"/>
    </xf>
    <xf numFmtId="4" fontId="0" fillId="28" borderId="0" xfId="0" applyNumberFormat="1" applyFill="1" applyAlignment="1">
      <alignment horizontal="right"/>
    </xf>
    <xf numFmtId="178" fontId="13" fillId="4" borderId="0" xfId="0" applyNumberFormat="1" applyFont="1" applyFill="1" applyAlignment="1">
      <alignment/>
    </xf>
    <xf numFmtId="0" fontId="0" fillId="4" borderId="0" xfId="0" applyFill="1" applyAlignment="1">
      <alignment/>
    </xf>
    <xf numFmtId="0" fontId="0" fillId="0" borderId="0" xfId="0" applyAlignment="1">
      <alignment/>
    </xf>
    <xf numFmtId="0" fontId="1" fillId="0" borderId="0" xfId="0" applyFont="1" applyFill="1" applyAlignment="1">
      <alignment horizontal="center"/>
    </xf>
    <xf numFmtId="178" fontId="0" fillId="4" borderId="0" xfId="0" applyNumberFormat="1" applyFill="1" applyAlignment="1">
      <alignment/>
    </xf>
    <xf numFmtId="4" fontId="0" fillId="4" borderId="0" xfId="0" applyNumberFormat="1" applyFill="1" applyAlignment="1">
      <alignment/>
    </xf>
    <xf numFmtId="3" fontId="13" fillId="4" borderId="0" xfId="0" applyNumberFormat="1" applyFont="1" applyFill="1" applyAlignment="1">
      <alignment/>
    </xf>
    <xf numFmtId="3" fontId="0" fillId="4" borderId="0" xfId="0" applyNumberFormat="1" applyFill="1" applyAlignment="1">
      <alignment/>
    </xf>
    <xf numFmtId="0" fontId="16" fillId="4" borderId="0" xfId="0" applyFont="1" applyFill="1" applyAlignment="1">
      <alignment/>
    </xf>
    <xf numFmtId="0" fontId="14" fillId="4" borderId="0" xfId="0" applyFont="1" applyFill="1" applyAlignment="1">
      <alignment/>
    </xf>
    <xf numFmtId="9" fontId="0" fillId="4" borderId="0" xfId="0" applyNumberFormat="1" applyFill="1" applyAlignment="1">
      <alignment/>
    </xf>
    <xf numFmtId="2" fontId="0" fillId="4" borderId="0" xfId="0" applyNumberFormat="1" applyFill="1" applyAlignment="1">
      <alignment/>
    </xf>
    <xf numFmtId="178" fontId="13" fillId="7" borderId="0" xfId="0" applyNumberFormat="1" applyFont="1" applyFill="1" applyAlignment="1">
      <alignment/>
    </xf>
    <xf numFmtId="0" fontId="0" fillId="7" borderId="0" xfId="0" applyFill="1" applyAlignment="1">
      <alignment/>
    </xf>
    <xf numFmtId="178" fontId="0" fillId="7" borderId="0" xfId="0" applyNumberFormat="1" applyFill="1" applyAlignment="1">
      <alignment/>
    </xf>
    <xf numFmtId="4" fontId="0" fillId="7" borderId="0" xfId="0" applyNumberFormat="1" applyFill="1" applyAlignment="1">
      <alignment/>
    </xf>
    <xf numFmtId="3" fontId="13" fillId="7" borderId="0" xfId="0" applyNumberFormat="1" applyFont="1" applyFill="1" applyAlignment="1">
      <alignment/>
    </xf>
    <xf numFmtId="3" fontId="0" fillId="7" borderId="0" xfId="0" applyNumberFormat="1" applyFill="1" applyAlignment="1">
      <alignment/>
    </xf>
    <xf numFmtId="0" fontId="16" fillId="7" borderId="0" xfId="0" applyFont="1" applyFill="1" applyAlignment="1">
      <alignment/>
    </xf>
    <xf numFmtId="0" fontId="14" fillId="7" borderId="0" xfId="0" applyFont="1" applyFill="1" applyAlignment="1">
      <alignment/>
    </xf>
    <xf numFmtId="9" fontId="0" fillId="7" borderId="0" xfId="0" applyNumberFormat="1" applyFill="1" applyAlignment="1">
      <alignment/>
    </xf>
    <xf numFmtId="2" fontId="0" fillId="7" borderId="0" xfId="0" applyNumberFormat="1" applyFill="1" applyAlignment="1">
      <alignment/>
    </xf>
    <xf numFmtId="3" fontId="12" fillId="4" borderId="21" xfId="0" applyNumberFormat="1" applyFont="1" applyFill="1" applyBorder="1" applyAlignment="1">
      <alignment/>
    </xf>
    <xf numFmtId="9" fontId="12" fillId="4" borderId="23" xfId="59" applyFont="1" applyFill="1" applyBorder="1" applyAlignment="1">
      <alignment horizontal="center"/>
    </xf>
    <xf numFmtId="3" fontId="12" fillId="7" borderId="21" xfId="0" applyNumberFormat="1" applyFont="1" applyFill="1" applyBorder="1" applyAlignment="1">
      <alignment/>
    </xf>
    <xf numFmtId="9" fontId="12" fillId="7" borderId="23" xfId="59" applyFont="1" applyFill="1" applyBorder="1" applyAlignment="1">
      <alignment horizontal="center"/>
    </xf>
    <xf numFmtId="3" fontId="12" fillId="0" borderId="21" xfId="0" applyNumberFormat="1" applyFont="1" applyBorder="1" applyAlignment="1">
      <alignment/>
    </xf>
    <xf numFmtId="9" fontId="12" fillId="0" borderId="23" xfId="59" applyFont="1" applyBorder="1" applyAlignment="1">
      <alignment horizontal="center"/>
    </xf>
    <xf numFmtId="178" fontId="12" fillId="4" borderId="21" xfId="0" applyNumberFormat="1" applyFont="1" applyFill="1" applyBorder="1" applyAlignment="1">
      <alignment/>
    </xf>
    <xf numFmtId="0" fontId="12" fillId="4" borderId="23" xfId="0" applyFont="1" applyFill="1" applyBorder="1" applyAlignment="1">
      <alignment/>
    </xf>
    <xf numFmtId="178" fontId="12" fillId="7" borderId="21" xfId="0" applyNumberFormat="1" applyFont="1" applyFill="1" applyBorder="1" applyAlignment="1">
      <alignment/>
    </xf>
    <xf numFmtId="0" fontId="12" fillId="7" borderId="23" xfId="0" applyFont="1" applyFill="1" applyBorder="1" applyAlignment="1">
      <alignment/>
    </xf>
    <xf numFmtId="0" fontId="22" fillId="0" borderId="19" xfId="0" applyFont="1" applyFill="1" applyBorder="1" applyAlignment="1">
      <alignment horizontal="left" wrapText="1"/>
    </xf>
    <xf numFmtId="178" fontId="12" fillId="0" borderId="21" xfId="0" applyNumberFormat="1" applyFont="1" applyBorder="1" applyAlignment="1">
      <alignment/>
    </xf>
    <xf numFmtId="0" fontId="12" fillId="0" borderId="23" xfId="0" applyFont="1" applyBorder="1" applyAlignment="1">
      <alignment/>
    </xf>
    <xf numFmtId="0" fontId="44" fillId="0" borderId="0" xfId="0" applyFont="1" applyAlignment="1">
      <alignment/>
    </xf>
    <xf numFmtId="0" fontId="45" fillId="3" borderId="0" xfId="0" applyFont="1" applyFill="1" applyAlignment="1">
      <alignment horizontal="center"/>
    </xf>
    <xf numFmtId="0" fontId="0" fillId="0" borderId="0" xfId="0" applyFont="1" applyAlignment="1">
      <alignment wrapText="1"/>
    </xf>
    <xf numFmtId="0" fontId="13" fillId="0" borderId="0" xfId="0" applyFont="1" applyAlignment="1">
      <alignment horizontal="center"/>
    </xf>
    <xf numFmtId="0" fontId="43" fillId="0" borderId="0" xfId="0" applyFont="1" applyAlignment="1">
      <alignment horizontal="center"/>
    </xf>
    <xf numFmtId="0" fontId="14" fillId="0" borderId="0" xfId="0" applyFont="1" applyAlignment="1">
      <alignment horizontal="center"/>
    </xf>
    <xf numFmtId="0" fontId="43" fillId="7" borderId="0" xfId="0" applyFont="1" applyFill="1" applyAlignment="1">
      <alignment horizontal="center"/>
    </xf>
    <xf numFmtId="0" fontId="43" fillId="4" borderId="0" xfId="0" applyFont="1" applyFill="1" applyAlignment="1">
      <alignment horizontal="center"/>
    </xf>
    <xf numFmtId="0" fontId="0" fillId="0" borderId="13" xfId="0" applyFont="1" applyFill="1" applyBorder="1" applyAlignment="1">
      <alignment horizontal="left" wrapText="1"/>
    </xf>
    <xf numFmtId="0" fontId="0" fillId="0" borderId="0" xfId="0" applyFont="1" applyFill="1" applyBorder="1" applyAlignment="1">
      <alignment horizontal="left" wrapText="1"/>
    </xf>
    <xf numFmtId="0" fontId="17" fillId="0" borderId="0" xfId="0" applyFont="1" applyFill="1" applyAlignment="1">
      <alignment horizontal="center"/>
    </xf>
    <xf numFmtId="0" fontId="2" fillId="0" borderId="0" xfId="0" applyFont="1" applyFill="1" applyAlignment="1">
      <alignment horizontal="center"/>
    </xf>
    <xf numFmtId="168" fontId="2" fillId="0" borderId="0" xfId="0" applyNumberFormat="1" applyFont="1" applyFill="1" applyAlignment="1">
      <alignment horizontal="center" vertical="center" wrapText="1"/>
    </xf>
    <xf numFmtId="0" fontId="38" fillId="22" borderId="0" xfId="56" applyAlignment="1">
      <alignment horizontal="center"/>
    </xf>
    <xf numFmtId="193" fontId="38" fillId="22" borderId="0" xfId="56" applyNumberFormat="1" applyAlignment="1">
      <alignment horizontal="center"/>
    </xf>
    <xf numFmtId="0" fontId="32" fillId="4" borderId="0" xfId="48" applyAlignment="1">
      <alignment horizontal="center"/>
    </xf>
    <xf numFmtId="0" fontId="13" fillId="0" borderId="0" xfId="0" applyFont="1" applyFill="1" applyAlignment="1">
      <alignment horizontal="center"/>
    </xf>
    <xf numFmtId="0" fontId="21" fillId="0" borderId="18" xfId="0" applyFont="1" applyFill="1" applyBorder="1" applyAlignment="1">
      <alignment horizontal="left" wrapText="1"/>
    </xf>
    <xf numFmtId="0" fontId="7" fillId="0" borderId="0" xfId="0" applyFont="1" applyFill="1" applyAlignment="1">
      <alignment horizontal="center"/>
    </xf>
    <xf numFmtId="0" fontId="1" fillId="0" borderId="0" xfId="0" applyFont="1" applyFill="1" applyAlignment="1" quotePrefix="1">
      <alignment horizontal="center"/>
    </xf>
    <xf numFmtId="0" fontId="2" fillId="0" borderId="16" xfId="0" applyFont="1" applyFill="1" applyBorder="1" applyAlignment="1">
      <alignment horizontal="center"/>
    </xf>
    <xf numFmtId="0" fontId="2" fillId="0" borderId="36" xfId="0" applyFont="1" applyFill="1" applyBorder="1" applyAlignment="1">
      <alignment horizontal="center"/>
    </xf>
    <xf numFmtId="0" fontId="2" fillId="0" borderId="32" xfId="0" applyFont="1" applyFill="1" applyBorder="1" applyAlignment="1">
      <alignment horizontal="center"/>
    </xf>
    <xf numFmtId="0" fontId="2" fillId="0" borderId="19" xfId="0" applyFont="1" applyFill="1" applyBorder="1" applyAlignment="1">
      <alignment horizontal="center"/>
    </xf>
    <xf numFmtId="0" fontId="17" fillId="3" borderId="0" xfId="0" applyFont="1" applyFill="1" applyAlignment="1">
      <alignment horizontal="center"/>
    </xf>
    <xf numFmtId="0" fontId="0" fillId="3" borderId="0" xfId="0" applyFill="1" applyAlignment="1">
      <alignment/>
    </xf>
    <xf numFmtId="193" fontId="0" fillId="3" borderId="0" xfId="42" applyNumberFormat="1" applyFill="1" applyAlignment="1">
      <alignment/>
    </xf>
    <xf numFmtId="193" fontId="0" fillId="3" borderId="0" xfId="0" applyNumberFormat="1" applyFill="1" applyAlignment="1">
      <alignment/>
    </xf>
    <xf numFmtId="193" fontId="0" fillId="3" borderId="0" xfId="0" applyNumberForma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7.0.0.0:6"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6" name="CB_Block_7.0.0.0:5"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7" name="CB_Block_7.0.0.0:4"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8" name="CB_Block_7.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9" name="CB_Block_7.0.0.0:2"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10"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38100</xdr:rowOff>
    </xdr:to>
    <xdr:pic>
      <xdr:nvPicPr>
        <xdr:cNvPr id="1" name="CB_00000000000000000000000000000001" hidden="1"/>
        <xdr:cNvPicPr preferRelativeResize="1">
          <a:picLocks noChangeAspect="1"/>
        </xdr:cNvPicPr>
      </xdr:nvPicPr>
      <xdr:blipFill>
        <a:blip r:embed="rId1"/>
        <a:stretch>
          <a:fillRect/>
        </a:stretch>
      </xdr:blipFill>
      <xdr:spPr>
        <a:xfrm>
          <a:off x="0" y="0"/>
          <a:ext cx="9525" cy="38100"/>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38100</xdr:rowOff>
    </xdr:to>
    <xdr:pic>
      <xdr:nvPicPr>
        <xdr:cNvPr id="2" name="CB_00000000000000000000000000000003" hidden="1"/>
        <xdr:cNvPicPr preferRelativeResize="1">
          <a:picLocks noChangeAspect="1"/>
        </xdr:cNvPicPr>
      </xdr:nvPicPr>
      <xdr:blipFill>
        <a:blip r:embed="rId1"/>
        <a:stretch>
          <a:fillRect/>
        </a:stretch>
      </xdr:blipFill>
      <xdr:spPr>
        <a:xfrm>
          <a:off x="0" y="0"/>
          <a:ext cx="9525" cy="38100"/>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38100</xdr:rowOff>
    </xdr:to>
    <xdr:pic>
      <xdr:nvPicPr>
        <xdr:cNvPr id="3" name="CB_00000000000000000000000000000000" hidden="1"/>
        <xdr:cNvPicPr preferRelativeResize="1">
          <a:picLocks noChangeAspect="1"/>
        </xdr:cNvPicPr>
      </xdr:nvPicPr>
      <xdr:blipFill>
        <a:blip r:embed="rId1"/>
        <a:stretch>
          <a:fillRect/>
        </a:stretch>
      </xdr:blipFill>
      <xdr:spPr>
        <a:xfrm>
          <a:off x="0" y="0"/>
          <a:ext cx="9525" cy="38100"/>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7.0.0.0:7"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6" name="CB_Block_7.0.0.0:6"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7" name="CB_Block_7.0.0.0:5"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8" name="CB_Block_7.0.0.0:4"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9" name="CB_Block_7.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10" name="CB_Block_7.0.0.0:2"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11"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3:D28"/>
  <sheetViews>
    <sheetView zoomScalePageLayoutView="0" workbookViewId="0" topLeftCell="A1">
      <selection activeCell="B24" sqref="B24"/>
    </sheetView>
  </sheetViews>
  <sheetFormatPr defaultColWidth="9.140625" defaultRowHeight="12.75"/>
  <cols>
    <col min="2" max="2" width="17.28125" style="0" customWidth="1"/>
    <col min="3" max="3" width="14.421875" style="0" customWidth="1"/>
    <col min="4" max="4" width="45.7109375" style="0" customWidth="1"/>
    <col min="5" max="5" width="25.8515625" style="0" customWidth="1"/>
  </cols>
  <sheetData>
    <row r="3" spans="2:4" ht="12.75">
      <c r="B3" s="349" t="s">
        <v>514</v>
      </c>
      <c r="C3" s="349"/>
      <c r="D3" s="349" t="s">
        <v>515</v>
      </c>
    </row>
    <row r="4" spans="2:4" ht="12.75">
      <c r="B4" t="s">
        <v>516</v>
      </c>
      <c r="C4" t="s">
        <v>517</v>
      </c>
      <c r="D4" s="349"/>
    </row>
    <row r="5" spans="2:4" ht="12.75">
      <c r="B5" t="s">
        <v>518</v>
      </c>
      <c r="C5" t="s">
        <v>519</v>
      </c>
      <c r="D5" t="s">
        <v>520</v>
      </c>
    </row>
    <row r="6" spans="1:4" ht="12.75">
      <c r="A6" t="s">
        <v>868</v>
      </c>
      <c r="B6" t="s">
        <v>521</v>
      </c>
      <c r="C6" t="s">
        <v>522</v>
      </c>
      <c r="D6" t="s">
        <v>523</v>
      </c>
    </row>
    <row r="7" spans="1:4" ht="12.75">
      <c r="A7" t="s">
        <v>864</v>
      </c>
      <c r="B7" t="s">
        <v>524</v>
      </c>
      <c r="C7" t="s">
        <v>525</v>
      </c>
      <c r="D7" t="s">
        <v>526</v>
      </c>
    </row>
    <row r="8" spans="1:4" ht="12.75">
      <c r="A8" t="s">
        <v>616</v>
      </c>
      <c r="B8" t="s">
        <v>527</v>
      </c>
      <c r="C8" t="s">
        <v>528</v>
      </c>
      <c r="D8" t="s">
        <v>529</v>
      </c>
    </row>
    <row r="9" spans="1:4" ht="12.75">
      <c r="A9" t="s">
        <v>509</v>
      </c>
      <c r="B9" t="s">
        <v>530</v>
      </c>
      <c r="C9" t="s">
        <v>531</v>
      </c>
      <c r="D9" t="s">
        <v>532</v>
      </c>
    </row>
    <row r="10" ht="12.75">
      <c r="B10" t="s">
        <v>533</v>
      </c>
    </row>
    <row r="14" ht="12.75">
      <c r="A14" t="s">
        <v>534</v>
      </c>
    </row>
    <row r="15" ht="12.75">
      <c r="A15" t="s">
        <v>535</v>
      </c>
    </row>
    <row r="16" ht="12.75">
      <c r="A16" t="s">
        <v>536</v>
      </c>
    </row>
    <row r="17" ht="12.75">
      <c r="A17" t="s">
        <v>537</v>
      </c>
    </row>
    <row r="18" ht="12.75">
      <c r="A18" t="s">
        <v>538</v>
      </c>
    </row>
    <row r="20" ht="12.75">
      <c r="A20" t="s">
        <v>539</v>
      </c>
    </row>
    <row r="21" ht="12.75">
      <c r="A21" t="s">
        <v>540</v>
      </c>
    </row>
    <row r="22" ht="12.75">
      <c r="A22" t="s">
        <v>541</v>
      </c>
    </row>
    <row r="24" spans="1:3" ht="12.75">
      <c r="A24" t="s">
        <v>490</v>
      </c>
      <c r="B24" s="336">
        <v>0.005</v>
      </c>
      <c r="C24" s="3"/>
    </row>
    <row r="25" spans="1:3" ht="12.75">
      <c r="A25" t="s">
        <v>868</v>
      </c>
      <c r="B25" s="336">
        <v>0.055</v>
      </c>
      <c r="C25" s="3"/>
    </row>
    <row r="26" spans="1:3" ht="12.75">
      <c r="A26" t="s">
        <v>864</v>
      </c>
      <c r="B26" s="336">
        <v>0.25</v>
      </c>
      <c r="C26" s="3"/>
    </row>
    <row r="27" spans="1:3" ht="12.75">
      <c r="A27" t="s">
        <v>616</v>
      </c>
      <c r="B27" s="336">
        <v>0.6000000000000001</v>
      </c>
      <c r="C27" s="3"/>
    </row>
    <row r="28" spans="1:3" ht="12.75">
      <c r="A28" t="s">
        <v>509</v>
      </c>
      <c r="B28" s="336">
        <v>0.9</v>
      </c>
      <c r="C28" s="3"/>
    </row>
  </sheetData>
  <sheetProtection/>
  <mergeCells count="2">
    <mergeCell ref="B3:C3"/>
    <mergeCell ref="D3:D4"/>
  </mergeCells>
  <printOptions/>
  <pageMargins left="0.75"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3">
      <selection activeCell="H14" sqref="H14"/>
    </sheetView>
  </sheetViews>
  <sheetFormatPr defaultColWidth="9.140625" defaultRowHeight="12.75"/>
  <cols>
    <col min="1" max="1" width="7.00390625" style="26" customWidth="1"/>
    <col min="2" max="2" width="17.57421875" style="26" customWidth="1"/>
    <col min="3" max="16384" width="9.140625" style="26" customWidth="1"/>
  </cols>
  <sheetData>
    <row r="1" spans="2:8" ht="15.75">
      <c r="B1" s="393" t="s">
        <v>589</v>
      </c>
      <c r="C1" s="393"/>
      <c r="D1" s="393"/>
      <c r="E1" s="393"/>
      <c r="F1" s="393"/>
      <c r="G1" s="393"/>
      <c r="H1" s="393"/>
    </row>
    <row r="3" spans="2:8" ht="15.75">
      <c r="B3" s="27"/>
      <c r="C3" s="402" t="s">
        <v>585</v>
      </c>
      <c r="D3" s="402"/>
      <c r="E3" s="402"/>
      <c r="F3" s="402"/>
      <c r="G3" s="402"/>
      <c r="H3" s="403"/>
    </row>
    <row r="4" spans="2:8" ht="15.75">
      <c r="B4" s="28" t="s">
        <v>584</v>
      </c>
      <c r="C4" s="404" t="s">
        <v>586</v>
      </c>
      <c r="D4" s="405"/>
      <c r="E4" s="404" t="s">
        <v>587</v>
      </c>
      <c r="F4" s="405"/>
      <c r="G4" s="404" t="s">
        <v>588</v>
      </c>
      <c r="H4" s="405"/>
    </row>
    <row r="5" spans="2:8" ht="15.75">
      <c r="B5" s="29" t="s">
        <v>586</v>
      </c>
      <c r="C5" s="30">
        <v>-0.15</v>
      </c>
      <c r="D5" s="31">
        <v>0.25</v>
      </c>
      <c r="E5" s="30">
        <v>-0.2</v>
      </c>
      <c r="F5" s="31">
        <v>0.4</v>
      </c>
      <c r="G5" s="30">
        <v>-0.3</v>
      </c>
      <c r="H5" s="31">
        <v>0.6</v>
      </c>
    </row>
    <row r="6" spans="2:8" ht="15.75">
      <c r="B6" s="29" t="s">
        <v>587</v>
      </c>
      <c r="C6" s="30">
        <v>-0.1</v>
      </c>
      <c r="D6" s="31">
        <v>0.15</v>
      </c>
      <c r="E6" s="30">
        <v>-0.15</v>
      </c>
      <c r="F6" s="31">
        <v>0.25</v>
      </c>
      <c r="G6" s="30">
        <v>-0.2</v>
      </c>
      <c r="H6" s="31">
        <v>0.4</v>
      </c>
    </row>
    <row r="7" spans="2:8" ht="15.75">
      <c r="B7" s="32" t="s">
        <v>588</v>
      </c>
      <c r="C7" s="33">
        <v>-0.05</v>
      </c>
      <c r="D7" s="34">
        <v>0.1</v>
      </c>
      <c r="E7" s="33">
        <v>-0.1</v>
      </c>
      <c r="F7" s="34">
        <v>0.15</v>
      </c>
      <c r="G7" s="33">
        <v>-0.15</v>
      </c>
      <c r="H7" s="34">
        <v>0.25</v>
      </c>
    </row>
    <row r="9" spans="3:4" ht="15.75">
      <c r="C9" s="35" t="s">
        <v>586</v>
      </c>
      <c r="D9" s="35" t="s">
        <v>588</v>
      </c>
    </row>
    <row r="10" spans="2:4" ht="15">
      <c r="B10" s="26" t="s">
        <v>601</v>
      </c>
      <c r="C10" s="36">
        <f>$G$7</f>
        <v>-0.15</v>
      </c>
      <c r="D10" s="36">
        <f>$H$7</f>
        <v>0.25</v>
      </c>
    </row>
    <row r="11" spans="2:4" ht="15">
      <c r="B11" s="26" t="s">
        <v>599</v>
      </c>
      <c r="C11" s="36">
        <f>$C$7</f>
        <v>-0.05</v>
      </c>
      <c r="D11" s="36">
        <f>$D$7</f>
        <v>0.1</v>
      </c>
    </row>
    <row r="12" spans="2:4" ht="15">
      <c r="B12" s="26" t="s">
        <v>600</v>
      </c>
      <c r="C12" s="36">
        <f>$E$7</f>
        <v>-0.1</v>
      </c>
      <c r="D12" s="36">
        <f>$F$7</f>
        <v>0.15</v>
      </c>
    </row>
    <row r="13" spans="2:4" ht="15">
      <c r="B13" s="26" t="s">
        <v>593</v>
      </c>
      <c r="C13" s="36">
        <f>$G$5</f>
        <v>-0.3</v>
      </c>
      <c r="D13" s="36">
        <f>$H$5</f>
        <v>0.6</v>
      </c>
    </row>
    <row r="14" spans="2:4" ht="15">
      <c r="B14" s="26" t="s">
        <v>594</v>
      </c>
      <c r="C14" s="36">
        <f>$C$5</f>
        <v>-0.15</v>
      </c>
      <c r="D14" s="36">
        <f>$D$5</f>
        <v>0.25</v>
      </c>
    </row>
    <row r="15" spans="2:4" ht="15">
      <c r="B15" s="26" t="s">
        <v>595</v>
      </c>
      <c r="C15" s="36">
        <f>$E$5</f>
        <v>-0.2</v>
      </c>
      <c r="D15" s="36">
        <f>$F$5</f>
        <v>0.4</v>
      </c>
    </row>
    <row r="16" spans="2:4" ht="15">
      <c r="B16" s="26" t="s">
        <v>598</v>
      </c>
      <c r="C16" s="36">
        <f>$G$6</f>
        <v>-0.2</v>
      </c>
      <c r="D16" s="36">
        <f>$H$6</f>
        <v>0.4</v>
      </c>
    </row>
    <row r="17" spans="2:4" ht="15">
      <c r="B17" s="26" t="s">
        <v>596</v>
      </c>
      <c r="C17" s="36">
        <f>$C$6</f>
        <v>-0.1</v>
      </c>
      <c r="D17" s="36">
        <f>$D$6</f>
        <v>0.15</v>
      </c>
    </row>
    <row r="18" spans="2:4" ht="15">
      <c r="B18" s="26" t="s">
        <v>597</v>
      </c>
      <c r="C18" s="36">
        <f>$E$6</f>
        <v>-0.15</v>
      </c>
      <c r="D18" s="36">
        <f>$F$6</f>
        <v>0.25</v>
      </c>
    </row>
    <row r="19" spans="3:4" ht="15">
      <c r="C19" s="36"/>
      <c r="D19" s="36"/>
    </row>
    <row r="20" spans="3:4" ht="15">
      <c r="C20" s="36"/>
      <c r="D20" s="36"/>
    </row>
    <row r="21" ht="15.75">
      <c r="A21" s="37" t="s">
        <v>604</v>
      </c>
    </row>
    <row r="23" ht="15">
      <c r="A23" s="38" t="s">
        <v>584</v>
      </c>
    </row>
    <row r="24" spans="2:3" ht="15">
      <c r="B24" s="26" t="s">
        <v>588</v>
      </c>
      <c r="C24" s="26" t="s">
        <v>605</v>
      </c>
    </row>
    <row r="25" spans="2:11" ht="15">
      <c r="B25" s="39"/>
      <c r="C25" s="39" t="s">
        <v>606</v>
      </c>
      <c r="D25" s="39"/>
      <c r="E25" s="39"/>
      <c r="F25" s="39"/>
      <c r="G25" s="39"/>
      <c r="H25" s="39"/>
      <c r="I25" s="39"/>
      <c r="J25" s="39"/>
      <c r="K25" s="39"/>
    </row>
    <row r="26" spans="2:11" ht="15">
      <c r="B26" s="40" t="s">
        <v>587</v>
      </c>
      <c r="C26" s="40" t="s">
        <v>615</v>
      </c>
      <c r="D26" s="40"/>
      <c r="E26" s="40"/>
      <c r="F26" s="40"/>
      <c r="G26" s="40"/>
      <c r="H26" s="40"/>
      <c r="I26" s="40"/>
      <c r="J26" s="40"/>
      <c r="K26" s="40"/>
    </row>
    <row r="27" spans="2:11" ht="15">
      <c r="B27" s="39"/>
      <c r="C27" s="39" t="s">
        <v>607</v>
      </c>
      <c r="D27" s="39"/>
      <c r="E27" s="39"/>
      <c r="F27" s="39"/>
      <c r="G27" s="39"/>
      <c r="H27" s="39"/>
      <c r="I27" s="39"/>
      <c r="J27" s="39"/>
      <c r="K27" s="39"/>
    </row>
    <row r="28" spans="2:3" ht="15">
      <c r="B28" s="26" t="s">
        <v>586</v>
      </c>
      <c r="C28" s="26" t="s">
        <v>608</v>
      </c>
    </row>
    <row r="29" spans="2:11" ht="15">
      <c r="B29" s="39"/>
      <c r="C29" s="39" t="s">
        <v>609</v>
      </c>
      <c r="D29" s="39"/>
      <c r="E29" s="39"/>
      <c r="F29" s="39"/>
      <c r="G29" s="39"/>
      <c r="H29" s="39"/>
      <c r="I29" s="39"/>
      <c r="J29" s="39"/>
      <c r="K29" s="39"/>
    </row>
    <row r="30" ht="15">
      <c r="A30" s="38" t="s">
        <v>585</v>
      </c>
    </row>
    <row r="31" spans="2:3" ht="15">
      <c r="B31" s="26" t="s">
        <v>586</v>
      </c>
      <c r="C31" s="26" t="s">
        <v>610</v>
      </c>
    </row>
    <row r="32" spans="2:11" ht="15">
      <c r="B32" s="39"/>
      <c r="C32" s="39" t="s">
        <v>617</v>
      </c>
      <c r="D32" s="39"/>
      <c r="E32" s="39"/>
      <c r="F32" s="39"/>
      <c r="G32" s="39"/>
      <c r="H32" s="39"/>
      <c r="I32" s="39"/>
      <c r="J32" s="39"/>
      <c r="K32" s="39"/>
    </row>
    <row r="33" spans="2:3" ht="15">
      <c r="B33" s="26" t="s">
        <v>587</v>
      </c>
      <c r="C33" s="26" t="s">
        <v>611</v>
      </c>
    </row>
    <row r="34" spans="2:11" ht="15">
      <c r="B34" s="39"/>
      <c r="C34" s="39" t="s">
        <v>612</v>
      </c>
      <c r="D34" s="39"/>
      <c r="E34" s="39"/>
      <c r="F34" s="39"/>
      <c r="G34" s="39"/>
      <c r="H34" s="39"/>
      <c r="I34" s="39"/>
      <c r="J34" s="39"/>
      <c r="K34" s="39"/>
    </row>
    <row r="35" spans="2:3" ht="15">
      <c r="B35" s="26" t="s">
        <v>588</v>
      </c>
      <c r="C35" s="26" t="s">
        <v>613</v>
      </c>
    </row>
    <row r="36" spans="2:11" ht="15">
      <c r="B36" s="39"/>
      <c r="C36" s="39" t="s">
        <v>614</v>
      </c>
      <c r="D36" s="39"/>
      <c r="E36" s="39"/>
      <c r="F36" s="39"/>
      <c r="G36" s="39"/>
      <c r="H36" s="39"/>
      <c r="I36" s="39"/>
      <c r="J36" s="39"/>
      <c r="K36" s="39"/>
    </row>
    <row r="39" ht="15.75">
      <c r="A39" s="37" t="s">
        <v>618</v>
      </c>
    </row>
    <row r="41" spans="1:2" ht="15">
      <c r="A41" s="41" t="s">
        <v>619</v>
      </c>
      <c r="B41" s="41"/>
    </row>
    <row r="42" ht="15">
      <c r="B42" s="41" t="s">
        <v>620</v>
      </c>
    </row>
    <row r="44" spans="2:13" ht="15">
      <c r="B44" s="38" t="s">
        <v>621</v>
      </c>
      <c r="C44" s="38" t="s">
        <v>622</v>
      </c>
      <c r="D44" s="38"/>
      <c r="E44" s="38" t="s">
        <v>623</v>
      </c>
      <c r="F44" s="38"/>
      <c r="G44" s="38"/>
      <c r="I44" s="38" t="s">
        <v>624</v>
      </c>
      <c r="J44" s="38"/>
      <c r="L44" s="400" t="s">
        <v>625</v>
      </c>
      <c r="M44" s="400"/>
    </row>
    <row r="45" spans="2:13" ht="15">
      <c r="B45" s="1">
        <v>5</v>
      </c>
      <c r="C45" s="350" t="s">
        <v>626</v>
      </c>
      <c r="D45" s="350"/>
      <c r="E45" s="42" t="s">
        <v>631</v>
      </c>
      <c r="I45" s="26" t="s">
        <v>636</v>
      </c>
      <c r="L45" s="401" t="s">
        <v>645</v>
      </c>
      <c r="M45" s="401"/>
    </row>
    <row r="46" spans="2:13" ht="15">
      <c r="B46" s="1">
        <v>4</v>
      </c>
      <c r="C46" s="350" t="s">
        <v>628</v>
      </c>
      <c r="D46" s="350"/>
      <c r="E46" s="42" t="s">
        <v>632</v>
      </c>
      <c r="I46" s="26" t="s">
        <v>637</v>
      </c>
      <c r="L46" s="401" t="s">
        <v>641</v>
      </c>
      <c r="M46" s="401"/>
    </row>
    <row r="47" spans="2:13" ht="15">
      <c r="B47" s="1">
        <v>3</v>
      </c>
      <c r="C47" s="350" t="s">
        <v>627</v>
      </c>
      <c r="D47" s="350"/>
      <c r="E47" s="42" t="s">
        <v>633</v>
      </c>
      <c r="I47" s="26" t="s">
        <v>638</v>
      </c>
      <c r="L47" s="401" t="s">
        <v>642</v>
      </c>
      <c r="M47" s="401"/>
    </row>
    <row r="48" spans="2:13" ht="15">
      <c r="B48" s="1">
        <v>2</v>
      </c>
      <c r="C48" s="350" t="s">
        <v>629</v>
      </c>
      <c r="D48" s="350"/>
      <c r="E48" s="42" t="s">
        <v>634</v>
      </c>
      <c r="I48" s="26" t="s">
        <v>639</v>
      </c>
      <c r="L48" s="401" t="s">
        <v>643</v>
      </c>
      <c r="M48" s="401"/>
    </row>
    <row r="49" spans="2:13" ht="15">
      <c r="B49" s="1">
        <v>1</v>
      </c>
      <c r="C49" s="350" t="s">
        <v>630</v>
      </c>
      <c r="D49" s="350"/>
      <c r="E49" s="42" t="s">
        <v>635</v>
      </c>
      <c r="I49" s="26" t="s">
        <v>640</v>
      </c>
      <c r="L49" s="401" t="s">
        <v>644</v>
      </c>
      <c r="M49" s="401"/>
    </row>
  </sheetData>
  <sheetProtection/>
  <mergeCells count="16">
    <mergeCell ref="C48:D48"/>
    <mergeCell ref="B1:H1"/>
    <mergeCell ref="C3:H3"/>
    <mergeCell ref="C4:D4"/>
    <mergeCell ref="E4:F4"/>
    <mergeCell ref="G4:H4"/>
    <mergeCell ref="C49:D49"/>
    <mergeCell ref="L44:M44"/>
    <mergeCell ref="L45:M45"/>
    <mergeCell ref="L46:M46"/>
    <mergeCell ref="L47:M47"/>
    <mergeCell ref="L48:M48"/>
    <mergeCell ref="L49:M49"/>
    <mergeCell ref="C45:D45"/>
    <mergeCell ref="C46:D46"/>
    <mergeCell ref="C47:D47"/>
  </mergeCells>
  <printOptions/>
  <pageMargins left="0.75" right="0.75" top="1" bottom="1" header="0.5" footer="0.5"/>
  <pageSetup fitToHeight="1" fitToWidth="1" horizontalDpi="600" verticalDpi="600" orientation="landscape" scale="64" r:id="rId1"/>
</worksheet>
</file>

<file path=xl/worksheets/sheet12.xml><?xml version="1.0" encoding="utf-8"?>
<worksheet xmlns="http://schemas.openxmlformats.org/spreadsheetml/2006/main" xmlns:r="http://schemas.openxmlformats.org/officeDocument/2006/relationships">
  <sheetPr>
    <pageSetUpPr fitToPage="1"/>
  </sheetPr>
  <dimension ref="B2:N32"/>
  <sheetViews>
    <sheetView zoomScalePageLayoutView="0" workbookViewId="0" topLeftCell="A1">
      <selection activeCell="B6" sqref="B6:J27"/>
    </sheetView>
  </sheetViews>
  <sheetFormatPr defaultColWidth="9.140625" defaultRowHeight="12.75"/>
  <cols>
    <col min="1" max="2" width="9.140625" style="3" customWidth="1"/>
    <col min="3" max="3" width="22.8515625" style="3" customWidth="1"/>
    <col min="4" max="4" width="35.8515625" style="3" customWidth="1"/>
    <col min="5" max="16384" width="9.140625" style="3" customWidth="1"/>
  </cols>
  <sheetData>
    <row r="2" spans="5:6" ht="12.75">
      <c r="E2" s="71"/>
      <c r="F2" s="71"/>
    </row>
    <row r="3" spans="2:6" ht="12.75">
      <c r="B3" s="67" t="s">
        <v>797</v>
      </c>
      <c r="E3" s="71"/>
      <c r="F3" s="71"/>
    </row>
    <row r="4" spans="5:6" ht="12.75">
      <c r="E4" s="71"/>
      <c r="F4" s="71"/>
    </row>
    <row r="5" spans="5:6" ht="12.75">
      <c r="E5" s="71"/>
      <c r="F5" s="71"/>
    </row>
    <row r="6" spans="2:9" ht="12.75">
      <c r="B6" s="10" t="s">
        <v>798</v>
      </c>
      <c r="C6" s="10" t="s">
        <v>799</v>
      </c>
      <c r="D6" s="10" t="s">
        <v>800</v>
      </c>
      <c r="E6" s="95" t="s">
        <v>801</v>
      </c>
      <c r="F6" s="95" t="s">
        <v>802</v>
      </c>
      <c r="G6"/>
      <c r="I6" s="74" t="s">
        <v>961</v>
      </c>
    </row>
    <row r="7" spans="2:14" ht="12.75">
      <c r="B7" t="s">
        <v>930</v>
      </c>
      <c r="C7" t="s">
        <v>932</v>
      </c>
      <c r="D7" t="s">
        <v>931</v>
      </c>
      <c r="E7">
        <f>+F7*12</f>
        <v>2376</v>
      </c>
      <c r="F7">
        <f>130+68</f>
        <v>198</v>
      </c>
      <c r="G7" t="s">
        <v>933</v>
      </c>
      <c r="I7" s="74">
        <v>0</v>
      </c>
      <c r="K7"/>
      <c r="L7"/>
      <c r="M7"/>
      <c r="N7"/>
    </row>
    <row r="8" spans="2:14" ht="12.75">
      <c r="B8">
        <v>19</v>
      </c>
      <c r="C8">
        <v>1901</v>
      </c>
      <c r="D8" t="s">
        <v>803</v>
      </c>
      <c r="E8">
        <f>+F8*12</f>
        <v>504</v>
      </c>
      <c r="F8">
        <v>42</v>
      </c>
      <c r="G8"/>
      <c r="I8" s="75">
        <v>15.416666666666666</v>
      </c>
      <c r="K8"/>
      <c r="L8"/>
      <c r="M8"/>
      <c r="N8"/>
    </row>
    <row r="9" spans="2:14" ht="12.75">
      <c r="B9">
        <v>81</v>
      </c>
      <c r="C9">
        <v>8101</v>
      </c>
      <c r="D9" t="s">
        <v>804</v>
      </c>
      <c r="E9">
        <f aca="true" t="shared" si="0" ref="E9:E16">+F9*12</f>
        <v>912</v>
      </c>
      <c r="F9">
        <v>76</v>
      </c>
      <c r="G9"/>
      <c r="I9" s="75">
        <v>83.33333333333333</v>
      </c>
      <c r="K9"/>
      <c r="L9"/>
      <c r="M9"/>
      <c r="N9"/>
    </row>
    <row r="10" spans="2:14" ht="12.75">
      <c r="B10">
        <v>81</v>
      </c>
      <c r="C10">
        <v>8102</v>
      </c>
      <c r="D10" t="s">
        <v>805</v>
      </c>
      <c r="E10">
        <f t="shared" si="0"/>
        <v>312</v>
      </c>
      <c r="F10">
        <v>26</v>
      </c>
      <c r="G10"/>
      <c r="I10" s="75">
        <v>13.166666666666666</v>
      </c>
      <c r="K10"/>
      <c r="L10"/>
      <c r="M10"/>
      <c r="N10"/>
    </row>
    <row r="11" spans="2:14" ht="12.75">
      <c r="B11">
        <v>82</v>
      </c>
      <c r="C11">
        <v>8202</v>
      </c>
      <c r="D11" t="s">
        <v>806</v>
      </c>
      <c r="E11">
        <f t="shared" si="0"/>
        <v>792</v>
      </c>
      <c r="F11">
        <v>66</v>
      </c>
      <c r="G11"/>
      <c r="I11" s="75">
        <v>45.833333333333336</v>
      </c>
      <c r="K11"/>
      <c r="L11"/>
      <c r="M11"/>
      <c r="N11"/>
    </row>
    <row r="12" spans="2:14" ht="12.75">
      <c r="B12">
        <v>82</v>
      </c>
      <c r="C12">
        <v>8203</v>
      </c>
      <c r="D12" t="s">
        <v>807</v>
      </c>
      <c r="E12">
        <f t="shared" si="0"/>
        <v>660</v>
      </c>
      <c r="F12">
        <v>55</v>
      </c>
      <c r="G12"/>
      <c r="I12" s="75">
        <v>8.166666666666666</v>
      </c>
      <c r="K12"/>
      <c r="L12"/>
      <c r="M12"/>
      <c r="N12"/>
    </row>
    <row r="13" spans="2:14" ht="12.75">
      <c r="B13">
        <v>82</v>
      </c>
      <c r="C13">
        <v>8204</v>
      </c>
      <c r="D13" t="s">
        <v>808</v>
      </c>
      <c r="E13">
        <f t="shared" si="0"/>
        <v>132</v>
      </c>
      <c r="F13">
        <v>11</v>
      </c>
      <c r="G13"/>
      <c r="I13" s="75">
        <v>0</v>
      </c>
      <c r="K13"/>
      <c r="L13"/>
      <c r="M13"/>
      <c r="N13"/>
    </row>
    <row r="14" spans="2:14" ht="12.75">
      <c r="B14">
        <v>82</v>
      </c>
      <c r="C14">
        <v>8205</v>
      </c>
      <c r="D14" t="s">
        <v>809</v>
      </c>
      <c r="E14">
        <f t="shared" si="0"/>
        <v>60</v>
      </c>
      <c r="F14">
        <v>5</v>
      </c>
      <c r="G14"/>
      <c r="I14" s="75">
        <v>0</v>
      </c>
      <c r="K14"/>
      <c r="L14"/>
      <c r="M14"/>
      <c r="N14"/>
    </row>
    <row r="15" spans="2:14" ht="12.75">
      <c r="B15">
        <v>82</v>
      </c>
      <c r="C15">
        <v>8215</v>
      </c>
      <c r="D15" t="s">
        <v>810</v>
      </c>
      <c r="E15">
        <f t="shared" si="0"/>
        <v>60</v>
      </c>
      <c r="F15">
        <v>5</v>
      </c>
      <c r="G15"/>
      <c r="I15" s="75">
        <v>0</v>
      </c>
      <c r="K15"/>
      <c r="L15"/>
      <c r="M15"/>
      <c r="N15"/>
    </row>
    <row r="16" spans="2:9" ht="12.75">
      <c r="B16">
        <v>89</v>
      </c>
      <c r="C16">
        <v>8998</v>
      </c>
      <c r="D16" t="s">
        <v>811</v>
      </c>
      <c r="E16">
        <f t="shared" si="0"/>
        <v>492</v>
      </c>
      <c r="F16" s="99">
        <v>41</v>
      </c>
      <c r="G16"/>
      <c r="I16" s="73">
        <v>35.833333333333336</v>
      </c>
    </row>
    <row r="17" spans="2:9" ht="12.75">
      <c r="B17"/>
      <c r="C17"/>
      <c r="D17"/>
      <c r="E17"/>
      <c r="F17">
        <f>SUM(F7:F16)</f>
        <v>525</v>
      </c>
      <c r="G17"/>
      <c r="I17" s="62">
        <f>SUM(I7:I16)</f>
        <v>201.75</v>
      </c>
    </row>
    <row r="18" spans="5:6" ht="12.75">
      <c r="E18" s="71"/>
      <c r="F18" s="71"/>
    </row>
    <row r="19" spans="2:6" ht="12.75">
      <c r="B19" s="67" t="s">
        <v>812</v>
      </c>
      <c r="E19" s="71"/>
      <c r="F19" s="71"/>
    </row>
    <row r="20" spans="5:6" ht="12.75">
      <c r="E20" s="71"/>
      <c r="F20" s="71"/>
    </row>
    <row r="21" spans="2:6" ht="12.75">
      <c r="B21" s="3" t="s">
        <v>813</v>
      </c>
      <c r="E21" s="71" t="s">
        <v>814</v>
      </c>
      <c r="F21" s="71">
        <v>16.6</v>
      </c>
    </row>
    <row r="22" spans="2:6" ht="12.75">
      <c r="B22" s="3" t="s">
        <v>815</v>
      </c>
      <c r="E22" s="71" t="s">
        <v>816</v>
      </c>
      <c r="F22" s="71">
        <v>24.69</v>
      </c>
    </row>
    <row r="23" spans="2:6" ht="12.75">
      <c r="B23" s="3" t="s">
        <v>817</v>
      </c>
      <c r="E23" s="71" t="s">
        <v>818</v>
      </c>
      <c r="F23" s="71">
        <v>0</v>
      </c>
    </row>
    <row r="24" spans="2:6" ht="12.75">
      <c r="B24" s="3" t="s">
        <v>819</v>
      </c>
      <c r="E24" s="71" t="s">
        <v>820</v>
      </c>
      <c r="F24" s="71">
        <v>16</v>
      </c>
    </row>
    <row r="25" spans="2:6" ht="12.75">
      <c r="B25" s="3" t="s">
        <v>821</v>
      </c>
      <c r="E25" s="71"/>
      <c r="F25" s="72">
        <f>5*8*21*82.5*0.1/1000</f>
        <v>6.93</v>
      </c>
    </row>
    <row r="26" spans="5:6" ht="12.75">
      <c r="E26" s="71"/>
      <c r="F26" s="71">
        <f>SUM(F21:F25)</f>
        <v>64.22</v>
      </c>
    </row>
    <row r="27" spans="5:6" ht="12.75">
      <c r="E27" s="71"/>
      <c r="F27" s="71"/>
    </row>
    <row r="28" spans="5:6" ht="12.75">
      <c r="E28" s="71"/>
      <c r="F28" s="71"/>
    </row>
    <row r="29" spans="5:6" ht="12.75">
      <c r="E29" s="71"/>
      <c r="F29" s="71"/>
    </row>
    <row r="30" spans="5:6" ht="12.75">
      <c r="E30" s="71"/>
      <c r="F30" s="71"/>
    </row>
    <row r="31" spans="5:6" ht="12.75">
      <c r="E31" s="71"/>
      <c r="F31" s="71"/>
    </row>
    <row r="32" spans="5:6" ht="12.75">
      <c r="E32" s="71"/>
      <c r="F32" s="71"/>
    </row>
  </sheetData>
  <sheetProtection/>
  <printOptions gridLines="1"/>
  <pageMargins left="0.75" right="0.75" top="1" bottom="1" header="0.5" footer="0.5"/>
  <pageSetup fitToHeight="1" fitToWidth="1" horizontalDpi="600" verticalDpi="600" orientation="landscape" r:id="rId1"/>
</worksheet>
</file>

<file path=xl/worksheets/sheet13.xml><?xml version="1.0" encoding="utf-8"?>
<worksheet xmlns="http://schemas.openxmlformats.org/spreadsheetml/2006/main" xmlns:r="http://schemas.openxmlformats.org/officeDocument/2006/relationships">
  <dimension ref="A1:L45"/>
  <sheetViews>
    <sheetView zoomScalePageLayoutView="0" workbookViewId="0" topLeftCell="A13">
      <selection activeCell="A13" sqref="A13"/>
    </sheetView>
  </sheetViews>
  <sheetFormatPr defaultColWidth="9.140625" defaultRowHeight="12.75"/>
  <cols>
    <col min="1" max="1" width="3.28125" style="0" customWidth="1"/>
    <col min="2" max="2" width="53.28125" style="0" bestFit="1" customWidth="1"/>
    <col min="3" max="3" width="9.7109375" style="0" bestFit="1" customWidth="1"/>
    <col min="4" max="4" width="36.7109375" style="0" customWidth="1"/>
    <col min="5" max="9" width="9.8515625" style="0" bestFit="1" customWidth="1"/>
  </cols>
  <sheetData>
    <row r="1" ht="12.75">
      <c r="A1" t="s">
        <v>544</v>
      </c>
    </row>
    <row r="2" spans="1:5" ht="12.75">
      <c r="A2" t="s">
        <v>545</v>
      </c>
      <c r="E2" t="s">
        <v>546</v>
      </c>
    </row>
    <row r="3" spans="5:11" ht="12.75">
      <c r="E3" t="s">
        <v>547</v>
      </c>
      <c r="F3" t="s">
        <v>548</v>
      </c>
      <c r="G3" t="s">
        <v>549</v>
      </c>
      <c r="H3" t="s">
        <v>550</v>
      </c>
      <c r="I3" t="s">
        <v>551</v>
      </c>
      <c r="J3" t="s">
        <v>960</v>
      </c>
      <c r="K3" t="s">
        <v>711</v>
      </c>
    </row>
    <row r="4" ht="12.75">
      <c r="A4" t="s">
        <v>552</v>
      </c>
    </row>
    <row r="5" spans="2:11" ht="12.75">
      <c r="B5" t="s">
        <v>906</v>
      </c>
      <c r="C5" t="s">
        <v>553</v>
      </c>
      <c r="D5" t="s">
        <v>554</v>
      </c>
      <c r="F5">
        <v>206</v>
      </c>
      <c r="K5">
        <v>206</v>
      </c>
    </row>
    <row r="6" spans="2:11" ht="12.75">
      <c r="B6" t="s">
        <v>720</v>
      </c>
      <c r="C6" t="s">
        <v>934</v>
      </c>
      <c r="D6" t="s">
        <v>935</v>
      </c>
      <c r="F6">
        <v>6</v>
      </c>
      <c r="K6">
        <v>6</v>
      </c>
    </row>
    <row r="7" spans="2:11" ht="12.75">
      <c r="B7" t="s">
        <v>737</v>
      </c>
      <c r="C7" t="s">
        <v>555</v>
      </c>
      <c r="D7" t="s">
        <v>556</v>
      </c>
      <c r="G7">
        <v>467</v>
      </c>
      <c r="K7">
        <v>467</v>
      </c>
    </row>
    <row r="8" spans="2:11" ht="12.75">
      <c r="B8" t="s">
        <v>737</v>
      </c>
      <c r="C8" t="s">
        <v>936</v>
      </c>
      <c r="D8" t="s">
        <v>937</v>
      </c>
      <c r="G8">
        <v>19</v>
      </c>
      <c r="K8">
        <v>19</v>
      </c>
    </row>
    <row r="9" spans="2:11" ht="12.75">
      <c r="B9" t="s">
        <v>757</v>
      </c>
      <c r="C9" t="s">
        <v>557</v>
      </c>
      <c r="D9" t="s">
        <v>558</v>
      </c>
      <c r="H9">
        <v>13</v>
      </c>
      <c r="K9">
        <v>13</v>
      </c>
    </row>
    <row r="10" spans="2:11" ht="12.75">
      <c r="B10" t="s">
        <v>758</v>
      </c>
      <c r="C10" t="s">
        <v>559</v>
      </c>
      <c r="D10" t="s">
        <v>560</v>
      </c>
      <c r="H10">
        <v>60</v>
      </c>
      <c r="K10">
        <v>60</v>
      </c>
    </row>
    <row r="11" spans="2:11" ht="12.75">
      <c r="B11" t="s">
        <v>758</v>
      </c>
      <c r="C11" t="s">
        <v>561</v>
      </c>
      <c r="D11" t="s">
        <v>562</v>
      </c>
      <c r="H11">
        <v>187</v>
      </c>
      <c r="K11">
        <v>187</v>
      </c>
    </row>
    <row r="12" spans="5:11" ht="12.75">
      <c r="E12">
        <f aca="true" t="shared" si="0" ref="E12:K12">SUM(E4:E11)</f>
        <v>0</v>
      </c>
      <c r="F12">
        <f t="shared" si="0"/>
        <v>212</v>
      </c>
      <c r="G12">
        <f t="shared" si="0"/>
        <v>486</v>
      </c>
      <c r="H12">
        <f t="shared" si="0"/>
        <v>260</v>
      </c>
      <c r="I12">
        <f t="shared" si="0"/>
        <v>0</v>
      </c>
      <c r="J12">
        <f t="shared" si="0"/>
        <v>0</v>
      </c>
      <c r="K12">
        <f t="shared" si="0"/>
        <v>958</v>
      </c>
    </row>
    <row r="13" ht="12.75">
      <c r="A13" t="s">
        <v>563</v>
      </c>
    </row>
    <row r="14" spans="2:11" ht="12.75">
      <c r="B14" t="s">
        <v>719</v>
      </c>
      <c r="C14" t="s">
        <v>938</v>
      </c>
      <c r="D14" t="s">
        <v>939</v>
      </c>
      <c r="H14">
        <v>256</v>
      </c>
      <c r="K14">
        <v>256</v>
      </c>
    </row>
    <row r="15" spans="2:11" ht="12.75">
      <c r="B15" t="s">
        <v>732</v>
      </c>
      <c r="C15" t="s">
        <v>564</v>
      </c>
      <c r="D15" t="s">
        <v>565</v>
      </c>
      <c r="E15">
        <v>99</v>
      </c>
      <c r="K15">
        <v>99</v>
      </c>
    </row>
    <row r="16" spans="2:11" ht="12.75">
      <c r="B16" t="s">
        <v>732</v>
      </c>
      <c r="C16" t="s">
        <v>940</v>
      </c>
      <c r="D16" t="s">
        <v>941</v>
      </c>
      <c r="F16">
        <v>84</v>
      </c>
      <c r="K16">
        <v>84</v>
      </c>
    </row>
    <row r="17" spans="2:11" ht="12.75">
      <c r="B17" t="s">
        <v>732</v>
      </c>
      <c r="C17" t="s">
        <v>942</v>
      </c>
      <c r="D17" t="s">
        <v>943</v>
      </c>
      <c r="F17">
        <v>37</v>
      </c>
      <c r="K17">
        <v>37</v>
      </c>
    </row>
    <row r="18" spans="2:11" ht="12.75">
      <c r="B18" t="s">
        <v>732</v>
      </c>
      <c r="C18" t="s">
        <v>944</v>
      </c>
      <c r="D18" t="s">
        <v>945</v>
      </c>
      <c r="F18">
        <v>11</v>
      </c>
      <c r="K18">
        <v>11</v>
      </c>
    </row>
    <row r="19" spans="2:11" ht="12.75">
      <c r="B19" t="s">
        <v>732</v>
      </c>
      <c r="C19" t="s">
        <v>566</v>
      </c>
      <c r="D19" t="s">
        <v>946</v>
      </c>
      <c r="E19">
        <v>39</v>
      </c>
      <c r="K19">
        <v>39</v>
      </c>
    </row>
    <row r="20" spans="2:11" ht="12.75">
      <c r="B20" t="s">
        <v>732</v>
      </c>
      <c r="C20" t="s">
        <v>947</v>
      </c>
      <c r="D20" t="s">
        <v>948</v>
      </c>
      <c r="E20">
        <v>39</v>
      </c>
      <c r="K20">
        <v>39</v>
      </c>
    </row>
    <row r="21" spans="2:11" ht="12.75">
      <c r="B21" t="s">
        <v>732</v>
      </c>
      <c r="C21" t="s">
        <v>949</v>
      </c>
      <c r="D21" t="s">
        <v>950</v>
      </c>
      <c r="F21">
        <v>47</v>
      </c>
      <c r="G21">
        <v>0</v>
      </c>
      <c r="K21">
        <v>47</v>
      </c>
    </row>
    <row r="22" spans="2:11" ht="12.75">
      <c r="B22" t="s">
        <v>732</v>
      </c>
      <c r="C22" t="s">
        <v>951</v>
      </c>
      <c r="D22" t="s">
        <v>952</v>
      </c>
      <c r="F22">
        <v>603</v>
      </c>
      <c r="K22">
        <v>603</v>
      </c>
    </row>
    <row r="23" spans="2:11" ht="12.75">
      <c r="B23" t="s">
        <v>732</v>
      </c>
      <c r="C23" t="s">
        <v>953</v>
      </c>
      <c r="D23" t="s">
        <v>954</v>
      </c>
      <c r="F23">
        <v>25</v>
      </c>
      <c r="K23">
        <v>25</v>
      </c>
    </row>
    <row r="24" spans="2:4" ht="12.75">
      <c r="B24" t="s">
        <v>732</v>
      </c>
      <c r="C24" t="s">
        <v>955</v>
      </c>
      <c r="D24" t="s">
        <v>956</v>
      </c>
    </row>
    <row r="25" spans="2:11" ht="12.75">
      <c r="B25" t="s">
        <v>739</v>
      </c>
      <c r="C25" t="s">
        <v>567</v>
      </c>
      <c r="D25" t="s">
        <v>568</v>
      </c>
      <c r="F25">
        <v>69</v>
      </c>
      <c r="G25">
        <v>86</v>
      </c>
      <c r="K25">
        <v>155</v>
      </c>
    </row>
    <row r="26" spans="2:11" ht="12.75">
      <c r="B26" t="s">
        <v>921</v>
      </c>
      <c r="C26" t="s">
        <v>957</v>
      </c>
      <c r="D26" t="s">
        <v>958</v>
      </c>
      <c r="G26">
        <v>159</v>
      </c>
      <c r="H26">
        <v>259</v>
      </c>
      <c r="K26">
        <v>419</v>
      </c>
    </row>
    <row r="27" spans="2:11" ht="12.75">
      <c r="B27" t="s">
        <v>736</v>
      </c>
      <c r="C27" t="s">
        <v>569</v>
      </c>
      <c r="D27" t="s">
        <v>959</v>
      </c>
      <c r="F27">
        <v>895</v>
      </c>
      <c r="G27">
        <v>253</v>
      </c>
      <c r="K27">
        <v>1148</v>
      </c>
    </row>
    <row r="28" spans="2:11" ht="12.75">
      <c r="B28" t="s">
        <v>736</v>
      </c>
      <c r="C28" t="s">
        <v>570</v>
      </c>
      <c r="D28" t="s">
        <v>571</v>
      </c>
      <c r="F28">
        <v>59</v>
      </c>
      <c r="G28">
        <v>48</v>
      </c>
      <c r="K28">
        <v>107</v>
      </c>
    </row>
    <row r="29" spans="2:11" ht="12.75">
      <c r="B29" t="s">
        <v>736</v>
      </c>
      <c r="C29" t="s">
        <v>572</v>
      </c>
      <c r="D29" t="s">
        <v>573</v>
      </c>
      <c r="F29">
        <v>9</v>
      </c>
      <c r="G29">
        <v>15</v>
      </c>
      <c r="K29">
        <v>24</v>
      </c>
    </row>
    <row r="30" spans="5:12" ht="12.75">
      <c r="E30">
        <f aca="true" t="shared" si="1" ref="E30:K30">SUM(E14:E29)</f>
        <v>177</v>
      </c>
      <c r="F30">
        <f t="shared" si="1"/>
        <v>1839</v>
      </c>
      <c r="G30">
        <f t="shared" si="1"/>
        <v>561</v>
      </c>
      <c r="H30">
        <f t="shared" si="1"/>
        <v>515</v>
      </c>
      <c r="I30">
        <f t="shared" si="1"/>
        <v>0</v>
      </c>
      <c r="J30">
        <f t="shared" si="1"/>
        <v>0</v>
      </c>
      <c r="K30">
        <f t="shared" si="1"/>
        <v>3093</v>
      </c>
      <c r="L30">
        <f>SUM(F30:J30)</f>
        <v>2915</v>
      </c>
    </row>
    <row r="31" spans="6:10" ht="12.75">
      <c r="F31">
        <f>F30/$L$30</f>
        <v>0.6308747855917667</v>
      </c>
      <c r="G31">
        <f>G30/$L$30</f>
        <v>0.19245283018867926</v>
      </c>
      <c r="H31">
        <f>H30/$L$30</f>
        <v>0.17667238421955403</v>
      </c>
      <c r="I31">
        <f>I30/$L$30</f>
        <v>0</v>
      </c>
      <c r="J31">
        <f>J30/$L$30</f>
        <v>0</v>
      </c>
    </row>
    <row r="33" ht="12.75">
      <c r="A33" t="s">
        <v>574</v>
      </c>
    </row>
    <row r="35" spans="2:10" ht="12.75">
      <c r="B35" t="s">
        <v>575</v>
      </c>
      <c r="E35">
        <f aca="true" t="shared" si="2" ref="E35:J35">+E12/2</f>
        <v>0</v>
      </c>
      <c r="F35">
        <f t="shared" si="2"/>
        <v>106</v>
      </c>
      <c r="G35">
        <f t="shared" si="2"/>
        <v>243</v>
      </c>
      <c r="H35">
        <f t="shared" si="2"/>
        <v>130</v>
      </c>
      <c r="I35">
        <f t="shared" si="2"/>
        <v>0</v>
      </c>
      <c r="J35">
        <f t="shared" si="2"/>
        <v>0</v>
      </c>
    </row>
    <row r="36" spans="2:9" ht="12.75">
      <c r="B36" t="s">
        <v>576</v>
      </c>
      <c r="C36">
        <v>0.03</v>
      </c>
      <c r="D36" t="s">
        <v>577</v>
      </c>
      <c r="E36">
        <v>0</v>
      </c>
      <c r="F36">
        <f>(1+$C$36)-1</f>
        <v>0.030000000000000027</v>
      </c>
      <c r="G36">
        <f>((1+C36)*(1+C36))-1</f>
        <v>0.060899999999999954</v>
      </c>
      <c r="H36">
        <f>((1+C36)*(1+C36)*(1+C36))-1</f>
        <v>0.092727</v>
      </c>
      <c r="I36">
        <f>((1+C36)*(1+C36)*(1+C36)*(1+C36))-1</f>
        <v>0.12550881000000014</v>
      </c>
    </row>
    <row r="37" spans="5:10" ht="12.75">
      <c r="E37">
        <f>E36*E$35</f>
        <v>0</v>
      </c>
      <c r="F37">
        <f>F36*F$35</f>
        <v>3.180000000000003</v>
      </c>
      <c r="G37">
        <f>G36*G$35</f>
        <v>14.79869999999999</v>
      </c>
      <c r="H37">
        <f>H36*H$35</f>
        <v>12.05451</v>
      </c>
      <c r="I37">
        <f>I36*I$35</f>
        <v>0</v>
      </c>
      <c r="J37">
        <f>SUM(E37:I37)</f>
        <v>30.033209999999993</v>
      </c>
    </row>
    <row r="38" spans="2:9" ht="12.75">
      <c r="B38" t="s">
        <v>578</v>
      </c>
      <c r="C38">
        <v>0.2</v>
      </c>
      <c r="D38" t="s">
        <v>577</v>
      </c>
      <c r="E38">
        <v>0</v>
      </c>
      <c r="F38">
        <f>(1+$C$38)-1</f>
        <v>0.19999999999999996</v>
      </c>
      <c r="G38">
        <f>((1+C38)*(1+C38))-1</f>
        <v>0.43999999999999995</v>
      </c>
      <c r="H38">
        <f>((1+C38)*(1+C38)*(1+C38))-1</f>
        <v>0.728</v>
      </c>
      <c r="I38">
        <f>((1+C38)*(1+C38)*(1+C38)*(1+C38))-1</f>
        <v>1.0735999999999999</v>
      </c>
    </row>
    <row r="39" spans="5:10" ht="12.75">
      <c r="E39">
        <f>E38*E$35</f>
        <v>0</v>
      </c>
      <c r="F39">
        <f>F38*F$35</f>
        <v>21.199999999999996</v>
      </c>
      <c r="G39">
        <f>G38*G$35</f>
        <v>106.91999999999999</v>
      </c>
      <c r="H39">
        <f>H38*H$35</f>
        <v>94.64</v>
      </c>
      <c r="I39">
        <f>I38*I$35</f>
        <v>0</v>
      </c>
      <c r="J39">
        <f>SUM(E39:I39)</f>
        <v>222.76</v>
      </c>
    </row>
    <row r="41" spans="2:10" ht="12.75">
      <c r="B41" t="s">
        <v>579</v>
      </c>
      <c r="E41">
        <f aca="true" t="shared" si="3" ref="E41:J41">+E30/2</f>
        <v>88.5</v>
      </c>
      <c r="F41">
        <f t="shared" si="3"/>
        <v>919.5</v>
      </c>
      <c r="G41">
        <f t="shared" si="3"/>
        <v>280.5</v>
      </c>
      <c r="H41">
        <f t="shared" si="3"/>
        <v>257.5</v>
      </c>
      <c r="I41">
        <f t="shared" si="3"/>
        <v>0</v>
      </c>
      <c r="J41">
        <f t="shared" si="3"/>
        <v>0</v>
      </c>
    </row>
    <row r="42" spans="2:9" ht="12.75">
      <c r="B42" t="s">
        <v>580</v>
      </c>
      <c r="C42">
        <v>0.03</v>
      </c>
      <c r="D42" t="s">
        <v>577</v>
      </c>
      <c r="E42">
        <v>0</v>
      </c>
      <c r="F42">
        <f>(1+$C$42)-1</f>
        <v>0.030000000000000027</v>
      </c>
      <c r="G42">
        <f>((1+C42)*(1+C42))-1</f>
        <v>0.060899999999999954</v>
      </c>
      <c r="H42">
        <f>((1+C42)*(1+C42)*(1+C42))-1</f>
        <v>0.092727</v>
      </c>
      <c r="I42">
        <f>((1+C42)*(1+C42)*(1+C42)*(1+C42))-1</f>
        <v>0.12550881000000014</v>
      </c>
    </row>
    <row r="43" spans="5:10" ht="12.75">
      <c r="E43">
        <f>E42*E$41</f>
        <v>0</v>
      </c>
      <c r="F43">
        <f>F42*F$41</f>
        <v>27.585000000000026</v>
      </c>
      <c r="G43">
        <f>G42*G$41</f>
        <v>17.082449999999987</v>
      </c>
      <c r="H43">
        <f>H42*H$41</f>
        <v>23.877202500000003</v>
      </c>
      <c r="I43">
        <f>I42*I$41</f>
        <v>0</v>
      </c>
      <c r="J43">
        <f>SUM(E43:I43)</f>
        <v>68.54465250000001</v>
      </c>
    </row>
    <row r="44" spans="2:9" ht="12.75">
      <c r="B44" t="s">
        <v>581</v>
      </c>
      <c r="C44">
        <v>0.2</v>
      </c>
      <c r="D44" t="s">
        <v>577</v>
      </c>
      <c r="E44">
        <v>0</v>
      </c>
      <c r="F44">
        <f>(1+$C$44)-1</f>
        <v>0.19999999999999996</v>
      </c>
      <c r="G44">
        <f>((1+C44)*(1+C44))-1</f>
        <v>0.43999999999999995</v>
      </c>
      <c r="H44">
        <f>((1+C44)*(1+C44)*(1+C44))-1</f>
        <v>0.728</v>
      </c>
      <c r="I44">
        <f>((1+C44)*(1+C44)*(1+C44)*(1+C44))-1</f>
        <v>1.0735999999999999</v>
      </c>
    </row>
    <row r="45" spans="5:10" ht="12.75">
      <c r="E45">
        <f>E44*E$41</f>
        <v>0</v>
      </c>
      <c r="F45">
        <f>F44*F$41</f>
        <v>183.89999999999995</v>
      </c>
      <c r="G45">
        <f>G44*G$41</f>
        <v>123.41999999999999</v>
      </c>
      <c r="H45">
        <f>H44*H$41</f>
        <v>187.46</v>
      </c>
      <c r="I45">
        <f>I44*I$41</f>
        <v>0</v>
      </c>
      <c r="J45">
        <f>SUM(E45:I45)</f>
        <v>494.78</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V42"/>
  <sheetViews>
    <sheetView zoomScale="75" zoomScaleNormal="75" zoomScalePageLayoutView="0" workbookViewId="0" topLeftCell="A1">
      <selection activeCell="I6" sqref="I6"/>
    </sheetView>
  </sheetViews>
  <sheetFormatPr defaultColWidth="9.140625" defaultRowHeight="12.75"/>
  <cols>
    <col min="1" max="1" width="7.8515625" style="0" customWidth="1"/>
    <col min="2" max="2" width="38.140625" style="0" customWidth="1"/>
    <col min="3" max="3" width="14.7109375" style="0" customWidth="1"/>
    <col min="4" max="4" width="11.421875" style="0" customWidth="1"/>
    <col min="5" max="5" width="3.7109375" style="0" customWidth="1"/>
    <col min="6" max="6" width="12.140625" style="0" customWidth="1"/>
    <col min="7" max="7" width="11.57421875" style="0" customWidth="1"/>
    <col min="8" max="8" width="3.421875" style="0" customWidth="1"/>
    <col min="9" max="9" width="10.8515625" style="0" customWidth="1"/>
    <col min="10" max="10" width="12.57421875" style="0" customWidth="1"/>
    <col min="11" max="11" width="3.28125" style="0" customWidth="1"/>
    <col min="12" max="12" width="11.7109375" style="0" customWidth="1"/>
    <col min="13" max="13" width="11.140625" style="0" customWidth="1"/>
  </cols>
  <sheetData>
    <row r="1" spans="1:10" ht="12.75">
      <c r="A1" s="385" t="s">
        <v>857</v>
      </c>
      <c r="B1" s="385"/>
      <c r="C1" s="385"/>
      <c r="D1" s="385"/>
      <c r="E1" s="385"/>
      <c r="F1" s="385"/>
      <c r="G1" s="385"/>
      <c r="H1" s="385"/>
      <c r="I1" s="385"/>
      <c r="J1" s="385"/>
    </row>
    <row r="2" spans="1:10" ht="12.75">
      <c r="A2" s="9"/>
      <c r="B2" s="9"/>
      <c r="C2" s="9"/>
      <c r="D2" s="9"/>
      <c r="E2" s="9"/>
      <c r="F2" s="9"/>
      <c r="G2" s="9"/>
      <c r="H2" s="9"/>
      <c r="I2" s="9"/>
      <c r="J2" s="9"/>
    </row>
    <row r="3" spans="3:16" ht="18">
      <c r="C3" s="389" t="s">
        <v>126</v>
      </c>
      <c r="D3" s="389"/>
      <c r="E3" s="382"/>
      <c r="F3" s="388" t="s">
        <v>125</v>
      </c>
      <c r="G3" s="388"/>
      <c r="H3" s="382"/>
      <c r="I3" s="386" t="s">
        <v>396</v>
      </c>
      <c r="J3" s="386"/>
      <c r="K3" s="382"/>
      <c r="L3" s="386" t="s">
        <v>397</v>
      </c>
      <c r="M3" s="386"/>
      <c r="O3" s="387"/>
      <c r="P3" s="387"/>
    </row>
    <row r="4" spans="1:15" ht="12.75">
      <c r="A4" s="8" t="s">
        <v>847</v>
      </c>
      <c r="B4" s="8"/>
      <c r="C4" s="347">
        <f>'Schedule Ranges'!$E$14</f>
        <v>46.39005786428196</v>
      </c>
      <c r="D4" s="348" t="s">
        <v>848</v>
      </c>
      <c r="E4" s="8"/>
      <c r="F4" s="359">
        <f>'Schedule Ranges'!$E$14</f>
        <v>46.39005786428196</v>
      </c>
      <c r="G4" s="360" t="s">
        <v>848</v>
      </c>
      <c r="H4" s="8"/>
      <c r="I4" s="94">
        <f>'Schedule Ranges'!E14</f>
        <v>46.39005786428196</v>
      </c>
      <c r="J4" t="s">
        <v>848</v>
      </c>
      <c r="L4" s="94">
        <f>'Schedule Ranges'!E14</f>
        <v>46.39005786428196</v>
      </c>
      <c r="M4" t="s">
        <v>848</v>
      </c>
      <c r="O4" s="94"/>
    </row>
    <row r="5" spans="3:9" ht="12.75">
      <c r="C5" s="351"/>
      <c r="D5" s="348"/>
      <c r="F5" s="361"/>
      <c r="G5" s="360"/>
      <c r="I5" s="87"/>
    </row>
    <row r="6" spans="1:22" ht="12.75">
      <c r="A6" s="308" t="s">
        <v>398</v>
      </c>
      <c r="C6" s="351">
        <f>'Probability Data'!$D$36</f>
        <v>15.698440637686298</v>
      </c>
      <c r="D6" s="348"/>
      <c r="F6" s="361">
        <f>'Probability Data'!$D$33</f>
        <v>9.475332450068864</v>
      </c>
      <c r="G6" s="360"/>
      <c r="I6" s="87">
        <f>'Probability Data'!$D$30</f>
        <v>8.122470002616069</v>
      </c>
      <c r="L6" s="87">
        <f>'Probability Data'!D27</f>
        <v>6.5027871749976045</v>
      </c>
      <c r="S6" s="384" t="s">
        <v>454</v>
      </c>
      <c r="T6" s="384"/>
      <c r="U6" s="384"/>
      <c r="V6" s="384"/>
    </row>
    <row r="7" spans="1:22" ht="12.75">
      <c r="A7" s="308" t="s">
        <v>399</v>
      </c>
      <c r="C7" s="351">
        <f>'Probability Data'!$D$37</f>
        <v>18.66666666666667</v>
      </c>
      <c r="D7" s="348"/>
      <c r="F7" s="361">
        <f>'Probability Data'!$D$34</f>
        <v>12.395833333333336</v>
      </c>
      <c r="G7" s="360"/>
      <c r="I7" s="87">
        <f>'Probability Data'!$D$31</f>
        <v>11.312500000000002</v>
      </c>
      <c r="L7" s="307">
        <f>'Probability Data'!D28</f>
        <v>9.979166666666666</v>
      </c>
      <c r="S7" s="384"/>
      <c r="T7" s="384"/>
      <c r="U7" s="384"/>
      <c r="V7" s="384"/>
    </row>
    <row r="8" spans="3:22" ht="13.5" thickBot="1">
      <c r="C8" s="351"/>
      <c r="D8" s="348"/>
      <c r="F8" s="361"/>
      <c r="G8" s="360"/>
      <c r="I8" s="87"/>
      <c r="S8" s="384"/>
      <c r="T8" s="384"/>
      <c r="U8" s="384"/>
      <c r="V8" s="384"/>
    </row>
    <row r="9" spans="1:22" ht="18.75" thickBot="1">
      <c r="A9" s="8" t="s">
        <v>896</v>
      </c>
      <c r="C9" s="375">
        <f>SUM(C6:C7)</f>
        <v>34.36510730435297</v>
      </c>
      <c r="D9" s="376" t="s">
        <v>848</v>
      </c>
      <c r="F9" s="377">
        <f>SUM(F6:F7)</f>
        <v>21.871165783402198</v>
      </c>
      <c r="G9" s="378" t="s">
        <v>848</v>
      </c>
      <c r="I9" s="380">
        <f>SUM(I6:I7)</f>
        <v>19.43497000261607</v>
      </c>
      <c r="J9" s="381" t="s">
        <v>848</v>
      </c>
      <c r="L9" s="380">
        <f>SUM(L6:L7)</f>
        <v>16.48195384166427</v>
      </c>
      <c r="M9" s="381" t="s">
        <v>848</v>
      </c>
      <c r="S9" s="384"/>
      <c r="T9" s="384"/>
      <c r="U9" s="384"/>
      <c r="V9" s="384"/>
    </row>
    <row r="10" spans="3:9" ht="12.75">
      <c r="C10" s="352"/>
      <c r="D10" s="348"/>
      <c r="F10" s="362"/>
      <c r="G10" s="360"/>
      <c r="I10" s="17"/>
    </row>
    <row r="11" spans="3:7" ht="12.75">
      <c r="C11" s="348"/>
      <c r="D11" s="348"/>
      <c r="F11" s="360"/>
      <c r="G11" s="360"/>
    </row>
    <row r="12" spans="1:15" ht="12.75">
      <c r="A12" s="18" t="s">
        <v>846</v>
      </c>
      <c r="B12" s="8"/>
      <c r="C12" s="353">
        <f>+F12</f>
        <v>61794</v>
      </c>
      <c r="D12" s="348"/>
      <c r="E12" s="8"/>
      <c r="F12" s="363">
        <f>+I12</f>
        <v>61794</v>
      </c>
      <c r="G12" s="360"/>
      <c r="H12" s="8"/>
      <c r="I12" s="19">
        <f>'Estimate Data'!L178</f>
        <v>61794</v>
      </c>
      <c r="L12" s="19">
        <f>I12</f>
        <v>61794</v>
      </c>
      <c r="O12" s="19"/>
    </row>
    <row r="13" spans="3:7" ht="12.75">
      <c r="C13" s="348"/>
      <c r="D13" s="348"/>
      <c r="F13" s="360"/>
      <c r="G13" s="360"/>
    </row>
    <row r="14" spans="1:16" ht="12.75">
      <c r="A14" s="309" t="s">
        <v>400</v>
      </c>
      <c r="C14" s="354">
        <f>ROUND('Probability Data'!$B$22-'Contingency Summary'!$F$12,-1)</f>
        <v>14310</v>
      </c>
      <c r="D14" s="348"/>
      <c r="F14" s="364">
        <f>ROUND('Probability Data'!$B$21-'Contingency Summary'!$F$12,-1)</f>
        <v>9630</v>
      </c>
      <c r="G14" s="360"/>
      <c r="I14" s="16">
        <f>ROUND('Probability Data'!$B$20-'Contingency Summary'!$I$12,-1)</f>
        <v>8990</v>
      </c>
      <c r="J14" s="21">
        <f>I14/$I$12</f>
        <v>0.145483380263456</v>
      </c>
      <c r="K14" s="16"/>
      <c r="L14" s="16">
        <f>ROUND('Probability Data'!B18-'Contingency Summary'!I12,-1)</f>
        <v>8210</v>
      </c>
      <c r="M14" s="21">
        <f>L14/$I$12</f>
        <v>0.1328607955464932</v>
      </c>
      <c r="O14" s="16"/>
      <c r="P14" s="21"/>
    </row>
    <row r="15" spans="1:16" ht="12.75">
      <c r="A15" s="12" t="s">
        <v>898</v>
      </c>
      <c r="C15" s="354">
        <f>ROUND($F$6*'Misc Inputs'!$F$17,-1)</f>
        <v>4970</v>
      </c>
      <c r="D15" s="348"/>
      <c r="F15" s="364">
        <f>ROUND($F$6*'Misc Inputs'!$F$17,-1)</f>
        <v>4970</v>
      </c>
      <c r="G15" s="360"/>
      <c r="I15" s="16">
        <f>ROUND($I$6*'Misc Inputs'!$F$17,-1)</f>
        <v>4260</v>
      </c>
      <c r="J15" s="21">
        <f>I15/$I$12</f>
        <v>0.06893873191571998</v>
      </c>
      <c r="L15" s="16">
        <f>ROUND(L6*'Misc Inputs'!F17,-1)</f>
        <v>3410</v>
      </c>
      <c r="M15" s="21">
        <f>L15/$I$12</f>
        <v>0.055183351134414346</v>
      </c>
      <c r="O15" s="16"/>
      <c r="P15" s="21"/>
    </row>
    <row r="16" spans="1:16" ht="12.75">
      <c r="A16" s="309" t="s">
        <v>453</v>
      </c>
      <c r="C16" s="354">
        <f>ROUND('Probability Data'!$E$22+'Probability Data'!$E$36+'Probability Data'!$E$37,-1)</f>
        <v>360</v>
      </c>
      <c r="D16" s="348"/>
      <c r="F16" s="364">
        <f>ROUND('Probability Data'!$E$21+'Probability Data'!$E$33+'Probability Data'!$E$34,-1)</f>
        <v>290</v>
      </c>
      <c r="G16" s="360"/>
      <c r="I16" s="16">
        <f>ROUND('Probability Data'!E20+'Probability Data'!E30+'Probability Data'!E31,-1)</f>
        <v>260</v>
      </c>
      <c r="J16" s="21">
        <f>I16/$I$12</f>
        <v>0.004207528238987604</v>
      </c>
      <c r="L16">
        <f>ROUND('Probability Data'!E18+'Probability Data'!E27+'Probability Data'!E28,-1)</f>
        <v>230</v>
      </c>
      <c r="M16" s="21">
        <f>L16/$I$12</f>
        <v>0.003722044211412111</v>
      </c>
      <c r="P16" s="21"/>
    </row>
    <row r="17" spans="3:10" ht="12.75">
      <c r="C17" s="348"/>
      <c r="D17" s="348"/>
      <c r="F17" s="360"/>
      <c r="G17" s="360"/>
      <c r="J17" s="7"/>
    </row>
    <row r="18" spans="1:16" ht="12.75">
      <c r="A18" s="308" t="s">
        <v>401</v>
      </c>
      <c r="C18" s="354">
        <f>SUM(C14:C17)</f>
        <v>19640</v>
      </c>
      <c r="D18" s="348"/>
      <c r="F18" s="364">
        <f>SUM(F14:F17)</f>
        <v>14890</v>
      </c>
      <c r="G18" s="360"/>
      <c r="I18" s="16">
        <f>SUM(I14:I17)</f>
        <v>13510</v>
      </c>
      <c r="J18" s="21">
        <f>I18/$I$12</f>
        <v>0.21862964041816357</v>
      </c>
      <c r="L18" s="16">
        <f>SUM(L14:L17)</f>
        <v>11850</v>
      </c>
      <c r="M18" s="21">
        <f>L18/$I$12</f>
        <v>0.19176619089231964</v>
      </c>
      <c r="O18" s="16"/>
      <c r="P18" s="21"/>
    </row>
    <row r="19" spans="3:10" ht="12.75">
      <c r="C19" s="348"/>
      <c r="D19" s="348"/>
      <c r="F19" s="360"/>
      <c r="G19" s="360"/>
      <c r="J19" s="21"/>
    </row>
    <row r="20" spans="1:16" ht="12.75">
      <c r="A20" s="308" t="s">
        <v>402</v>
      </c>
      <c r="C20" s="354">
        <f>ROUND('Probability Data'!$C$22,-1)</f>
        <v>4270</v>
      </c>
      <c r="D20" s="348"/>
      <c r="F20" s="364">
        <f>ROUND('Probability Data'!$C$21,-1)</f>
        <v>3200</v>
      </c>
      <c r="G20" s="360"/>
      <c r="I20" s="16">
        <f>ROUND('Probability Data'!C20,-1)</f>
        <v>2880</v>
      </c>
      <c r="J20" s="21">
        <f>I20/$I$12</f>
        <v>0.046606466647247304</v>
      </c>
      <c r="L20" s="16">
        <f>ROUND('Probability Data'!C18,-1)</f>
        <v>2630</v>
      </c>
      <c r="M20" s="21">
        <f>L20/$I$12</f>
        <v>0.04256076641745153</v>
      </c>
      <c r="O20" s="16"/>
      <c r="P20" s="21"/>
    </row>
    <row r="21" spans="1:16" ht="12.75">
      <c r="A21" s="308" t="s">
        <v>403</v>
      </c>
      <c r="C21" s="354">
        <f>ROUND('Probability Data'!$D$22*'Misc Inputs'!$F$17,-1)</f>
        <v>11760</v>
      </c>
      <c r="D21" s="348"/>
      <c r="F21" s="364">
        <f>ROUND('Probability Data'!$D$21*'Misc Inputs'!$F$17,-1)</f>
        <v>7810</v>
      </c>
      <c r="G21" s="360"/>
      <c r="I21" s="16">
        <f>ROUND('Probability Data'!$D$20*'Misc Inputs'!$F$17,-1)</f>
        <v>7130</v>
      </c>
      <c r="J21" s="21">
        <f>I21/$I$12</f>
        <v>0.11538337055377544</v>
      </c>
      <c r="L21" s="16">
        <f>ROUND(L7*'Misc Inputs'!F17,-1)</f>
        <v>5240</v>
      </c>
      <c r="M21" s="21">
        <f>L21/$I$12</f>
        <v>0.0847978768165194</v>
      </c>
      <c r="O21" s="16"/>
      <c r="P21" s="21"/>
    </row>
    <row r="22" spans="3:10" ht="12.75">
      <c r="C22" s="348"/>
      <c r="D22" s="348"/>
      <c r="F22" s="360"/>
      <c r="G22" s="360"/>
      <c r="I22" s="16"/>
      <c r="J22" s="7"/>
    </row>
    <row r="23" spans="1:16" ht="12.75">
      <c r="A23" s="308" t="s">
        <v>404</v>
      </c>
      <c r="C23" s="354">
        <f>SUM(C20:C22)</f>
        <v>16030</v>
      </c>
      <c r="D23" s="348"/>
      <c r="F23" s="364">
        <f>SUM(F20:F22)</f>
        <v>11010</v>
      </c>
      <c r="G23" s="360"/>
      <c r="I23" s="16">
        <f>SUM(I20:I22)</f>
        <v>10010</v>
      </c>
      <c r="J23" s="21">
        <f>I23/$I$12</f>
        <v>0.16198983720102275</v>
      </c>
      <c r="L23" s="16">
        <f>SUM(L20:L22)</f>
        <v>7870</v>
      </c>
      <c r="M23" s="21">
        <f>L23/$I$12</f>
        <v>0.12735864323397095</v>
      </c>
      <c r="O23" s="16"/>
      <c r="P23" s="21"/>
    </row>
    <row r="24" spans="3:10" ht="13.5" thickBot="1">
      <c r="C24" s="348"/>
      <c r="D24" s="348"/>
      <c r="F24" s="360"/>
      <c r="G24" s="360"/>
      <c r="I24" s="16"/>
      <c r="J24" s="7"/>
    </row>
    <row r="25" spans="1:16" ht="18.75" thickBot="1">
      <c r="A25" s="8" t="s">
        <v>405</v>
      </c>
      <c r="B25" s="8"/>
      <c r="C25" s="369">
        <f>C18+C23</f>
        <v>35670</v>
      </c>
      <c r="D25" s="370">
        <f>C25/$I$12</f>
        <v>0.5772405087872609</v>
      </c>
      <c r="E25" s="8"/>
      <c r="F25" s="371">
        <f>F18+F23</f>
        <v>25900</v>
      </c>
      <c r="G25" s="372">
        <f>F25/$I$12</f>
        <v>0.41913454380684206</v>
      </c>
      <c r="H25" s="8"/>
      <c r="I25" s="373">
        <f>I18+I23</f>
        <v>23520</v>
      </c>
      <c r="J25" s="374">
        <f>I25/$I$12</f>
        <v>0.38061947761918635</v>
      </c>
      <c r="L25" s="373">
        <f>L18+L23</f>
        <v>19720</v>
      </c>
      <c r="M25" s="374">
        <f>L25/$I$12</f>
        <v>0.31912483412629056</v>
      </c>
      <c r="O25" s="19"/>
      <c r="P25" s="22"/>
    </row>
    <row r="26" spans="3:9" ht="12.75">
      <c r="C26" s="348"/>
      <c r="D26" s="348"/>
      <c r="F26" s="360"/>
      <c r="G26" s="360"/>
      <c r="I26" s="16"/>
    </row>
    <row r="27" spans="1:15" ht="12.75">
      <c r="A27" s="20" t="s">
        <v>406</v>
      </c>
      <c r="B27" s="20"/>
      <c r="C27" s="355"/>
      <c r="D27" s="355"/>
      <c r="E27" s="20"/>
      <c r="F27" s="365"/>
      <c r="G27" s="365"/>
      <c r="H27" s="20"/>
      <c r="I27" s="25">
        <f>I12+I25</f>
        <v>85314</v>
      </c>
      <c r="L27" s="25">
        <f>L12+L25</f>
        <v>81514</v>
      </c>
      <c r="O27" s="25"/>
    </row>
    <row r="28" spans="3:9" ht="12.75">
      <c r="C28" s="348"/>
      <c r="D28" s="348"/>
      <c r="F28" s="360"/>
      <c r="G28" s="360"/>
      <c r="I28" s="16"/>
    </row>
    <row r="29" spans="2:13" ht="12.75">
      <c r="B29" s="10" t="s">
        <v>856</v>
      </c>
      <c r="C29" s="356"/>
      <c r="D29" s="356"/>
      <c r="E29" s="10"/>
      <c r="F29" s="366"/>
      <c r="G29" s="366"/>
      <c r="H29" s="10"/>
      <c r="I29" s="16"/>
      <c r="J29" s="9" t="s">
        <v>582</v>
      </c>
      <c r="L29" s="16"/>
      <c r="M29" s="9" t="s">
        <v>582</v>
      </c>
    </row>
    <row r="30" spans="2:13" ht="12.75">
      <c r="B30">
        <v>2008</v>
      </c>
      <c r="C30" s="357">
        <f>'Contingency by Year Basis'!$K$64</f>
        <v>0.1</v>
      </c>
      <c r="D30" s="358">
        <f>$C$25*C30/1000</f>
        <v>3.567</v>
      </c>
      <c r="F30" s="367">
        <f>'Contingency by Year Basis'!$K$64</f>
        <v>0.1</v>
      </c>
      <c r="G30" s="368">
        <f>$F$25*F30/1000</f>
        <v>2.59</v>
      </c>
      <c r="I30" s="5">
        <f>'Contingency by Year Basis'!$K$64</f>
        <v>0.1</v>
      </c>
      <c r="J30" s="11">
        <f>$I$25*I30/1000</f>
        <v>2.352</v>
      </c>
      <c r="L30" s="5">
        <f>'Contingency by Year Basis'!$K$64</f>
        <v>0.1</v>
      </c>
      <c r="M30" s="11">
        <f>$L$25*L30/1000</f>
        <v>1.972</v>
      </c>
    </row>
    <row r="31" spans="2:13" ht="12.75">
      <c r="B31">
        <v>2009</v>
      </c>
      <c r="C31" s="357">
        <f>'Contingency by Year Basis'!$L$64</f>
        <v>0.15</v>
      </c>
      <c r="D31" s="358">
        <f>$C$25*C31/1000</f>
        <v>5.3505</v>
      </c>
      <c r="F31" s="367">
        <f>'Contingency by Year Basis'!$L$64</f>
        <v>0.15</v>
      </c>
      <c r="G31" s="368">
        <f>$F$25*F31/1000</f>
        <v>3.885</v>
      </c>
      <c r="I31" s="5">
        <f>'Contingency by Year Basis'!$L$64</f>
        <v>0.15</v>
      </c>
      <c r="J31" s="11">
        <f>$I$25*I31/1000</f>
        <v>3.528</v>
      </c>
      <c r="L31" s="5">
        <f>'Contingency by Year Basis'!$L$64</f>
        <v>0.15</v>
      </c>
      <c r="M31" s="11">
        <f>$L$25*L31/1000</f>
        <v>2.958</v>
      </c>
    </row>
    <row r="32" spans="2:13" ht="12.75">
      <c r="B32">
        <v>2010</v>
      </c>
      <c r="C32" s="357">
        <f>'Contingency by Year Basis'!$M$64</f>
        <v>0.15</v>
      </c>
      <c r="D32" s="358">
        <f>$C$25*C32/1000</f>
        <v>5.3505</v>
      </c>
      <c r="F32" s="367">
        <f>'Contingency by Year Basis'!$M$64</f>
        <v>0.15</v>
      </c>
      <c r="G32" s="368">
        <f>$F$25*F32/1000</f>
        <v>3.885</v>
      </c>
      <c r="I32" s="5">
        <f>'Contingency by Year Basis'!$M$64</f>
        <v>0.15</v>
      </c>
      <c r="J32" s="11">
        <f>$I$25*I32/1000</f>
        <v>3.528</v>
      </c>
      <c r="L32" s="5">
        <f>'Contingency by Year Basis'!$M$64</f>
        <v>0.15</v>
      </c>
      <c r="M32" s="11">
        <f>$L$25*L32/1000</f>
        <v>2.958</v>
      </c>
    </row>
    <row r="33" spans="2:13" ht="12.75">
      <c r="B33">
        <v>2011</v>
      </c>
      <c r="C33" s="357">
        <f>'Contingency by Year Basis'!$N$64</f>
        <v>0.15</v>
      </c>
      <c r="D33" s="358">
        <f>$C$25*C33/1000</f>
        <v>5.3505</v>
      </c>
      <c r="F33" s="367">
        <f>'Contingency by Year Basis'!$N$64</f>
        <v>0.15</v>
      </c>
      <c r="G33" s="368">
        <f>$F$25*F33/1000</f>
        <v>3.885</v>
      </c>
      <c r="I33" s="5">
        <f>'Contingency by Year Basis'!$N$64</f>
        <v>0.15</v>
      </c>
      <c r="J33" s="11">
        <f>$I$25*I33/1000</f>
        <v>3.528</v>
      </c>
      <c r="L33" s="5">
        <f>'Contingency by Year Basis'!$N$64</f>
        <v>0.15</v>
      </c>
      <c r="M33" s="11">
        <f>$L$25*L33/1000</f>
        <v>2.958</v>
      </c>
    </row>
    <row r="34" spans="2:13" ht="12.75">
      <c r="B34">
        <v>2012</v>
      </c>
      <c r="C34" s="357">
        <f>'Contingency by Year Basis'!$O$64</f>
        <v>0.45</v>
      </c>
      <c r="D34" s="358">
        <f>$C$25*C34/1000</f>
        <v>16.0515</v>
      </c>
      <c r="F34" s="367">
        <f>'Contingency by Year Basis'!$O$64</f>
        <v>0.45</v>
      </c>
      <c r="G34" s="368">
        <f>$F$25*F34/1000</f>
        <v>11.655</v>
      </c>
      <c r="I34" s="5">
        <f>'Contingency by Year Basis'!$O$64</f>
        <v>0.45</v>
      </c>
      <c r="J34" s="11">
        <f>$I$25*I34/1000</f>
        <v>10.584</v>
      </c>
      <c r="L34" s="5">
        <f>'Contingency by Year Basis'!$O$64</f>
        <v>0.45</v>
      </c>
      <c r="M34" s="11">
        <f>$L$25*L34/1000</f>
        <v>8.874</v>
      </c>
    </row>
    <row r="35" spans="3:10" ht="12.75">
      <c r="C35" s="348"/>
      <c r="D35" s="348"/>
      <c r="F35" s="360"/>
      <c r="G35" s="360"/>
      <c r="J35" s="11"/>
    </row>
    <row r="36" spans="3:13" ht="12.75">
      <c r="C36" s="348"/>
      <c r="D36" s="358">
        <f>SUM(D30:D35)</f>
        <v>35.67</v>
      </c>
      <c r="F36" s="360"/>
      <c r="G36" s="368">
        <f>SUM(G30:G35)</f>
        <v>25.9</v>
      </c>
      <c r="J36" s="11">
        <f>SUM(J30:J35)</f>
        <v>23.52</v>
      </c>
      <c r="M36" s="11">
        <f>SUM(M30:M35)</f>
        <v>19.72</v>
      </c>
    </row>
    <row r="39" spans="4:7" ht="12.75">
      <c r="D39" s="342"/>
      <c r="E39" s="342"/>
      <c r="F39" s="342"/>
      <c r="G39" s="342"/>
    </row>
    <row r="40" spans="4:7" ht="12.75">
      <c r="D40" s="16"/>
      <c r="E40" s="16"/>
      <c r="F40" s="16"/>
      <c r="G40" s="16"/>
    </row>
    <row r="41" spans="4:7" ht="12.75">
      <c r="D41" s="5"/>
      <c r="E41" s="5"/>
      <c r="F41" s="5"/>
      <c r="G41" s="5"/>
    </row>
    <row r="42" spans="4:7" ht="12.75">
      <c r="D42" s="87"/>
      <c r="E42" s="87"/>
      <c r="F42" s="87"/>
      <c r="G42" s="87"/>
    </row>
  </sheetData>
  <sheetProtection/>
  <mergeCells count="7">
    <mergeCell ref="S6:V9"/>
    <mergeCell ref="A1:J1"/>
    <mergeCell ref="I3:J3"/>
    <mergeCell ref="L3:M3"/>
    <mergeCell ref="O3:P3"/>
    <mergeCell ref="F3:G3"/>
    <mergeCell ref="C3:D3"/>
  </mergeCells>
  <printOptions gridLines="1"/>
  <pageMargins left="0.5" right="0.26" top="1" bottom="1" header="0.5" footer="0.5"/>
  <pageSetup fitToHeight="1" fitToWidth="1" horizontalDpi="600" verticalDpi="600" orientation="landscape" scale="85" r:id="rId1"/>
</worksheet>
</file>

<file path=xl/worksheets/sheet3.xml><?xml version="1.0" encoding="utf-8"?>
<worksheet xmlns="http://schemas.openxmlformats.org/spreadsheetml/2006/main" xmlns:r="http://schemas.openxmlformats.org/officeDocument/2006/relationships">
  <dimension ref="A1:F37"/>
  <sheetViews>
    <sheetView zoomScale="83" zoomScaleNormal="83" zoomScalePageLayoutView="0" workbookViewId="0" topLeftCell="A1">
      <selection activeCell="F18" sqref="F18"/>
    </sheetView>
  </sheetViews>
  <sheetFormatPr defaultColWidth="9.140625" defaultRowHeight="12.75"/>
  <cols>
    <col min="1" max="1" width="11.140625" style="0" bestFit="1" customWidth="1"/>
    <col min="2" max="2" width="38.140625" style="0" bestFit="1" customWidth="1"/>
    <col min="3" max="3" width="21.421875" style="0" bestFit="1" customWidth="1"/>
    <col min="4" max="4" width="26.28125" style="0" bestFit="1" customWidth="1"/>
    <col min="5" max="5" width="30.28125" style="0" bestFit="1" customWidth="1"/>
    <col min="6" max="6" width="23.421875" style="0" bestFit="1" customWidth="1"/>
  </cols>
  <sheetData>
    <row r="1" spans="1:6" ht="12.75">
      <c r="A1" s="15" t="s">
        <v>824</v>
      </c>
      <c r="B1" s="15" t="s">
        <v>895</v>
      </c>
      <c r="C1" s="15" t="s">
        <v>542</v>
      </c>
      <c r="D1" s="15" t="s">
        <v>543</v>
      </c>
      <c r="E1" s="15" t="s">
        <v>822</v>
      </c>
      <c r="F1" s="15" t="s">
        <v>823</v>
      </c>
    </row>
    <row r="2" spans="1:6" ht="12.75">
      <c r="A2" s="12" t="s">
        <v>825</v>
      </c>
      <c r="B2" s="13">
        <v>63315.70412628126</v>
      </c>
      <c r="C2" s="306">
        <v>-1230</v>
      </c>
      <c r="D2" s="14">
        <v>0.275</v>
      </c>
      <c r="E2" s="93">
        <v>0</v>
      </c>
      <c r="F2" s="93">
        <v>42.4468085958879</v>
      </c>
    </row>
    <row r="3" spans="1:6" ht="12.75">
      <c r="A3" s="12" t="s">
        <v>826</v>
      </c>
      <c r="B3" s="13">
        <v>66093.85389138795</v>
      </c>
      <c r="C3" s="306">
        <v>585</v>
      </c>
      <c r="D3" s="14">
        <v>4.374999999999999</v>
      </c>
      <c r="E3" s="93">
        <v>26.29839536617412</v>
      </c>
      <c r="F3" s="93">
        <v>45.34454098128003</v>
      </c>
    </row>
    <row r="4" spans="1:6" ht="12.75">
      <c r="A4" s="12" t="s">
        <v>827</v>
      </c>
      <c r="B4" s="13">
        <v>66613.99838368657</v>
      </c>
      <c r="C4" s="306">
        <v>840</v>
      </c>
      <c r="D4" s="14">
        <v>5.374999999999999</v>
      </c>
      <c r="E4" s="93">
        <v>53.96469588301164</v>
      </c>
      <c r="F4" s="93">
        <v>46.23893029511007</v>
      </c>
    </row>
    <row r="5" spans="1:6" ht="12.75">
      <c r="A5" s="12" t="s">
        <v>828</v>
      </c>
      <c r="B5" s="13">
        <v>66983.53684116072</v>
      </c>
      <c r="C5" s="306">
        <v>1050</v>
      </c>
      <c r="D5" s="14">
        <v>5.899999999999999</v>
      </c>
      <c r="E5" s="93">
        <v>77.33861500464597</v>
      </c>
      <c r="F5" s="93">
        <v>46.9067912875379</v>
      </c>
    </row>
    <row r="6" spans="1:6" ht="12.75">
      <c r="A6" s="12" t="s">
        <v>829</v>
      </c>
      <c r="B6" s="13">
        <v>67285.14287841518</v>
      </c>
      <c r="C6" s="306">
        <v>1235</v>
      </c>
      <c r="D6" s="14">
        <v>6.574999999999999</v>
      </c>
      <c r="E6" s="93">
        <v>96.33</v>
      </c>
      <c r="F6" s="93">
        <v>47.51128483578391</v>
      </c>
    </row>
    <row r="7" spans="1:6" ht="12.75">
      <c r="A7" s="12" t="s">
        <v>830</v>
      </c>
      <c r="B7" s="13">
        <v>67550.28611939684</v>
      </c>
      <c r="C7" s="306">
        <v>1405</v>
      </c>
      <c r="D7" s="14">
        <v>7.074999999999999</v>
      </c>
      <c r="E7" s="93">
        <v>98.73103023233543</v>
      </c>
      <c r="F7" s="93">
        <v>48.059127183957514</v>
      </c>
    </row>
    <row r="8" spans="1:6" ht="12.75">
      <c r="A8" s="12" t="s">
        <v>831</v>
      </c>
      <c r="B8" s="13">
        <v>67786.21245499598</v>
      </c>
      <c r="C8" s="306">
        <v>1520</v>
      </c>
      <c r="D8" s="14">
        <v>7.449999999999999</v>
      </c>
      <c r="E8" s="93">
        <v>109.03417852430371</v>
      </c>
      <c r="F8" s="93">
        <v>48.57885055534182</v>
      </c>
    </row>
    <row r="9" spans="1:6" ht="12.75">
      <c r="A9" s="12" t="s">
        <v>832</v>
      </c>
      <c r="B9" s="13">
        <v>67992.8506701832</v>
      </c>
      <c r="C9" s="306">
        <v>1620</v>
      </c>
      <c r="D9" s="14">
        <v>7.874999999999999</v>
      </c>
      <c r="E9" s="93">
        <v>118.89656804431492</v>
      </c>
      <c r="F9" s="93">
        <v>49.05661310823693</v>
      </c>
    </row>
    <row r="10" spans="1:6" ht="12.75">
      <c r="A10" s="12" t="s">
        <v>833</v>
      </c>
      <c r="B10" s="13">
        <v>68185.93453995009</v>
      </c>
      <c r="C10" s="306">
        <v>1705</v>
      </c>
      <c r="D10" s="14">
        <v>8.275</v>
      </c>
      <c r="E10" s="93">
        <v>128.44</v>
      </c>
      <c r="F10" s="93">
        <v>49.59355724399255</v>
      </c>
    </row>
    <row r="11" spans="1:6" ht="12.75">
      <c r="A11" s="12" t="s">
        <v>834</v>
      </c>
      <c r="B11" s="13">
        <v>68387.40678290467</v>
      </c>
      <c r="C11" s="306">
        <v>1785</v>
      </c>
      <c r="D11" s="14">
        <v>8.725</v>
      </c>
      <c r="E11" s="93">
        <v>137.9303370799101</v>
      </c>
      <c r="F11" s="93">
        <v>50.11182793187264</v>
      </c>
    </row>
    <row r="12" spans="1:6" ht="12.75">
      <c r="A12" s="12" t="s">
        <v>835</v>
      </c>
      <c r="B12" s="13">
        <v>68584.07331503312</v>
      </c>
      <c r="C12" s="306">
        <v>1875</v>
      </c>
      <c r="D12" s="14">
        <v>9.075000000000003</v>
      </c>
      <c r="E12" s="93">
        <v>147.34615188002414</v>
      </c>
      <c r="F12" s="93">
        <v>50.62794350500435</v>
      </c>
    </row>
    <row r="13" spans="1:6" ht="12.75">
      <c r="A13" s="12" t="s">
        <v>836</v>
      </c>
      <c r="B13" s="13">
        <v>68781.86890267645</v>
      </c>
      <c r="C13" s="306">
        <v>1960</v>
      </c>
      <c r="D13" s="14">
        <v>9.575000000000003</v>
      </c>
      <c r="E13" s="93">
        <v>157.4958993068836</v>
      </c>
      <c r="F13" s="93">
        <v>51.16370377826448</v>
      </c>
    </row>
    <row r="14" spans="1:6" ht="12.75">
      <c r="A14" s="12" t="s">
        <v>837</v>
      </c>
      <c r="B14" s="13">
        <v>68989.67915684146</v>
      </c>
      <c r="C14" s="306">
        <v>2080</v>
      </c>
      <c r="D14" s="14">
        <v>9.900000000000002</v>
      </c>
      <c r="E14" s="93">
        <v>167.66785308387983</v>
      </c>
      <c r="F14" s="93">
        <v>51.69312112097466</v>
      </c>
    </row>
    <row r="15" spans="1:6" ht="12.75">
      <c r="A15" s="12" t="s">
        <v>838</v>
      </c>
      <c r="B15" s="13">
        <v>69221.4277934155</v>
      </c>
      <c r="C15" s="306">
        <v>2230</v>
      </c>
      <c r="D15" s="14">
        <v>10.375000000000002</v>
      </c>
      <c r="E15" s="93">
        <v>178.99070252380318</v>
      </c>
      <c r="F15" s="93">
        <v>52.260725895004946</v>
      </c>
    </row>
    <row r="16" spans="1:6" ht="12.75">
      <c r="A16" s="12" t="s">
        <v>839</v>
      </c>
      <c r="B16" s="13">
        <v>69466.10526674158</v>
      </c>
      <c r="C16" s="306">
        <v>2390</v>
      </c>
      <c r="D16" s="14">
        <v>10.875000000000002</v>
      </c>
      <c r="E16" s="93">
        <v>190.45539530329063</v>
      </c>
      <c r="F16" s="93">
        <v>52.84608892739268</v>
      </c>
    </row>
    <row r="17" spans="1:6" ht="12.75">
      <c r="A17" s="12" t="s">
        <v>840</v>
      </c>
      <c r="B17" s="13">
        <v>69731.29907928826</v>
      </c>
      <c r="C17" s="306">
        <v>2520</v>
      </c>
      <c r="D17" s="14">
        <v>11.375000000000002</v>
      </c>
      <c r="E17" s="93">
        <v>198.0204179352378</v>
      </c>
      <c r="F17" s="93">
        <v>53.46551375089708</v>
      </c>
    </row>
    <row r="18" spans="1:6" s="341" customFormat="1" ht="12.75">
      <c r="A18" s="343" t="s">
        <v>841</v>
      </c>
      <c r="B18" s="344">
        <v>70007.3017198302</v>
      </c>
      <c r="C18" s="345">
        <v>2630</v>
      </c>
      <c r="D18" s="346">
        <v>11.975</v>
      </c>
      <c r="E18" s="340">
        <v>210.524868253591</v>
      </c>
      <c r="F18" s="340">
        <v>54.19340247427908</v>
      </c>
    </row>
    <row r="19" spans="1:6" ht="12.75">
      <c r="A19" s="12" t="s">
        <v>842</v>
      </c>
      <c r="B19" s="13">
        <v>70354.0635084842</v>
      </c>
      <c r="C19" s="306">
        <v>2740</v>
      </c>
      <c r="D19" s="14">
        <v>12.575000000000003</v>
      </c>
      <c r="E19" s="93">
        <v>224.76999999999998</v>
      </c>
      <c r="F19" s="93">
        <v>55.01468414535422</v>
      </c>
    </row>
    <row r="20" spans="1:6" s="341" customFormat="1" ht="12.75">
      <c r="A20" s="343" t="s">
        <v>843</v>
      </c>
      <c r="B20" s="344">
        <v>70788.59159998281</v>
      </c>
      <c r="C20" s="345">
        <v>2875</v>
      </c>
      <c r="D20" s="346">
        <v>13.575000000000003</v>
      </c>
      <c r="E20" s="340">
        <v>239.9569431525959</v>
      </c>
      <c r="F20" s="340">
        <v>56.13702186742124</v>
      </c>
    </row>
    <row r="21" spans="1:6" ht="12.75">
      <c r="A21" s="12" t="s">
        <v>844</v>
      </c>
      <c r="B21" s="13">
        <v>71424.53168700833</v>
      </c>
      <c r="C21" s="306">
        <v>3200</v>
      </c>
      <c r="D21" s="14">
        <v>14.875000000000002</v>
      </c>
      <c r="E21" s="93">
        <v>268.0634224489489</v>
      </c>
      <c r="F21" s="93">
        <v>57.760456804364594</v>
      </c>
    </row>
    <row r="22" spans="1:6" ht="12.75">
      <c r="A22" s="12" t="s">
        <v>845</v>
      </c>
      <c r="B22" s="13">
        <v>76106.92124219936</v>
      </c>
      <c r="C22" s="306">
        <v>4265</v>
      </c>
      <c r="D22" s="14">
        <v>22.400000000000006</v>
      </c>
      <c r="E22" s="93">
        <v>321.0999999999999</v>
      </c>
      <c r="F22" s="93">
        <v>65.22818662950552</v>
      </c>
    </row>
    <row r="25" ht="12.75">
      <c r="A25" s="337" t="s">
        <v>444</v>
      </c>
    </row>
    <row r="26" spans="3:5" ht="12.75">
      <c r="C26" s="338" t="s">
        <v>449</v>
      </c>
      <c r="D26" s="338" t="s">
        <v>450</v>
      </c>
      <c r="E26" s="338" t="s">
        <v>451</v>
      </c>
    </row>
    <row r="27" spans="1:5" ht="12.75">
      <c r="A27" s="308" t="s">
        <v>445</v>
      </c>
      <c r="C27" s="87">
        <f>F18-'Contingency Summary'!L4</f>
        <v>7.803344609997126</v>
      </c>
      <c r="D27" s="87">
        <f>C27*5/6</f>
        <v>6.5027871749976045</v>
      </c>
      <c r="E27" s="87">
        <f>(C27-D27)*4.4*1.391</f>
        <v>7.959931725171071</v>
      </c>
    </row>
    <row r="28" spans="1:5" ht="12.75">
      <c r="A28" s="308" t="s">
        <v>446</v>
      </c>
      <c r="C28" s="307">
        <f>D18</f>
        <v>11.975</v>
      </c>
      <c r="D28" s="87">
        <f>C28*5/6</f>
        <v>9.979166666666666</v>
      </c>
      <c r="E28" s="87">
        <f>(C28-D28)*4.4*1.391</f>
        <v>12.215298333333335</v>
      </c>
    </row>
    <row r="30" spans="1:5" ht="12.75">
      <c r="A30" s="308" t="s">
        <v>447</v>
      </c>
      <c r="C30" s="87">
        <f>F20-'Contingency Summary'!I4</f>
        <v>9.746964003139283</v>
      </c>
      <c r="D30" s="87">
        <f>C30*5/6</f>
        <v>8.122470002616069</v>
      </c>
      <c r="E30" s="87">
        <f>(C30-D30)*4.4*1.391</f>
        <v>9.942553080802279</v>
      </c>
    </row>
    <row r="31" spans="1:5" ht="12.75">
      <c r="A31" s="308" t="s">
        <v>448</v>
      </c>
      <c r="C31" s="307">
        <f>D20</f>
        <v>13.575000000000003</v>
      </c>
      <c r="D31" s="87">
        <f>C31*5/6</f>
        <v>11.312500000000002</v>
      </c>
      <c r="E31" s="87">
        <f>(C31-D31)*4.4*1.391</f>
        <v>13.847405000000007</v>
      </c>
    </row>
    <row r="33" spans="1:5" ht="12.75">
      <c r="A33" s="342" t="s">
        <v>844</v>
      </c>
      <c r="C33" s="87">
        <f>F21-'Contingency Summary'!I4</f>
        <v>11.370398940082637</v>
      </c>
      <c r="D33" s="87">
        <f>C33*5/6</f>
        <v>9.475332450068864</v>
      </c>
      <c r="E33" s="87">
        <f>(C33-D33)*4.4*1.391</f>
        <v>11.598564945480302</v>
      </c>
    </row>
    <row r="34" spans="1:5" ht="12.75">
      <c r="A34" s="342" t="s">
        <v>844</v>
      </c>
      <c r="C34" s="307">
        <f>D21</f>
        <v>14.875000000000002</v>
      </c>
      <c r="D34" s="87">
        <f>C34*5/6</f>
        <v>12.395833333333336</v>
      </c>
      <c r="E34" s="87">
        <f>(C34-D34)*4.4*1.391</f>
        <v>15.173491666666663</v>
      </c>
    </row>
    <row r="36" spans="1:5" ht="12.75">
      <c r="A36" s="342" t="s">
        <v>845</v>
      </c>
      <c r="C36" s="87">
        <f>F22-'Contingency Summary'!I4</f>
        <v>18.83812876522356</v>
      </c>
      <c r="D36" s="87">
        <f>C36*5/6</f>
        <v>15.698440637686298</v>
      </c>
      <c r="E36" s="87">
        <f>(C36-D36)*4.4*1.391</f>
        <v>19.21614721577905</v>
      </c>
    </row>
    <row r="37" spans="1:5" ht="12.75">
      <c r="A37" s="342" t="s">
        <v>845</v>
      </c>
      <c r="C37" s="307">
        <f>D22</f>
        <v>22.400000000000006</v>
      </c>
      <c r="D37" s="87">
        <f>C37*5/6</f>
        <v>18.66666666666667</v>
      </c>
      <c r="E37" s="87">
        <f>(C37-D37)*4.4*1.391</f>
        <v>22.849493333333342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2:S64"/>
  <sheetViews>
    <sheetView zoomScale="70" zoomScaleNormal="70" zoomScalePageLayoutView="0" workbookViewId="0" topLeftCell="A25">
      <selection activeCell="D53" sqref="D53"/>
    </sheetView>
  </sheetViews>
  <sheetFormatPr defaultColWidth="9.140625" defaultRowHeight="12.75"/>
  <cols>
    <col min="1" max="1" width="37.421875" style="0" customWidth="1"/>
    <col min="2" max="2" width="10.28125" style="0" bestFit="1" customWidth="1"/>
    <col min="3" max="7" width="9.28125" style="0" bestFit="1" customWidth="1"/>
    <col min="8" max="9" width="12.8515625" style="0" customWidth="1"/>
    <col min="10" max="10" width="11.00390625" style="0" bestFit="1" customWidth="1"/>
    <col min="11" max="11" width="13.140625" style="0" customWidth="1"/>
    <col min="12" max="12" width="12.57421875" style="0" bestFit="1" customWidth="1"/>
    <col min="13" max="13" width="11.421875" style="0" customWidth="1"/>
    <col min="14" max="14" width="13.57421875" style="0" customWidth="1"/>
    <col min="15" max="15" width="14.00390625" style="0" customWidth="1"/>
  </cols>
  <sheetData>
    <row r="2" ht="12.75">
      <c r="A2" s="10" t="s">
        <v>849</v>
      </c>
    </row>
    <row r="3" spans="3:13" ht="12.75">
      <c r="C3" s="385" t="s">
        <v>851</v>
      </c>
      <c r="D3" s="385"/>
      <c r="E3" s="385"/>
      <c r="F3" s="385"/>
      <c r="G3" s="385"/>
      <c r="I3" s="385" t="s">
        <v>852</v>
      </c>
      <c r="J3" s="385"/>
      <c r="K3" s="385"/>
      <c r="L3" s="385"/>
      <c r="M3" s="385"/>
    </row>
    <row r="4" spans="1:13" ht="12.75">
      <c r="A4" t="s">
        <v>590</v>
      </c>
      <c r="B4" t="s">
        <v>850</v>
      </c>
      <c r="C4">
        <v>2008</v>
      </c>
      <c r="D4">
        <v>2009</v>
      </c>
      <c r="E4">
        <v>2010</v>
      </c>
      <c r="F4">
        <v>2011</v>
      </c>
      <c r="G4">
        <v>2012</v>
      </c>
      <c r="I4">
        <v>2008</v>
      </c>
      <c r="J4">
        <v>2009</v>
      </c>
      <c r="K4">
        <v>2010</v>
      </c>
      <c r="L4">
        <v>2011</v>
      </c>
      <c r="M4">
        <v>2012</v>
      </c>
    </row>
    <row r="5" spans="1:15" ht="12.75">
      <c r="A5" t="s">
        <v>419</v>
      </c>
      <c r="B5" s="324">
        <v>0.242723763837817</v>
      </c>
      <c r="C5" s="5">
        <v>0</v>
      </c>
      <c r="D5" s="5">
        <v>0</v>
      </c>
      <c r="E5" s="5">
        <v>0.3227537922987165</v>
      </c>
      <c r="F5" s="5">
        <v>0.5355892648774796</v>
      </c>
      <c r="G5" s="5">
        <v>0.14165694282380398</v>
      </c>
      <c r="H5" s="327">
        <f>SUM(C5:G5)</f>
        <v>1</v>
      </c>
      <c r="I5">
        <f>C5*$B5</f>
        <v>0</v>
      </c>
      <c r="J5">
        <f>D5*$B5</f>
        <v>0</v>
      </c>
      <c r="K5">
        <f>E5*$B5</f>
        <v>0.07834001525967349</v>
      </c>
      <c r="L5">
        <f>F5*$B5</f>
        <v>0.13000024224219137</v>
      </c>
      <c r="M5">
        <f>G5*$B5</f>
        <v>0.03438350633595214</v>
      </c>
      <c r="O5" s="327">
        <f aca="true" t="shared" si="0" ref="O5:O24">SUM(I5:N5)</f>
        <v>0.242723763837817</v>
      </c>
    </row>
    <row r="6" spans="1:15" ht="12.75">
      <c r="A6" t="s">
        <v>771</v>
      </c>
      <c r="B6" s="324">
        <v>0.108951533886689</v>
      </c>
      <c r="C6" s="5">
        <v>0.03716690042075736</v>
      </c>
      <c r="D6" s="5">
        <v>0.05539971949509116</v>
      </c>
      <c r="E6" s="5">
        <v>0.2952314165497896</v>
      </c>
      <c r="F6" s="5">
        <v>0.5452314165497896</v>
      </c>
      <c r="G6" s="5">
        <v>0.06697054698457224</v>
      </c>
      <c r="H6" s="327">
        <f aca="true" t="shared" si="1" ref="H6:H24">SUM(C6:G6)</f>
        <v>1</v>
      </c>
      <c r="I6">
        <f aca="true" t="shared" si="2" ref="I6:I16">C6*$B6</f>
        <v>0.004049390810655341</v>
      </c>
      <c r="J6">
        <f aca="true" t="shared" si="3" ref="J6:J16">D6*$B6</f>
        <v>0.00603588441588249</v>
      </c>
      <c r="K6">
        <f aca="true" t="shared" si="4" ref="K6:K16">E6*$B6</f>
        <v>0.0321659156846396</v>
      </c>
      <c r="L6">
        <f aca="true" t="shared" si="5" ref="L6:L16">F6*$B6</f>
        <v>0.059403799156311846</v>
      </c>
      <c r="M6">
        <f aca="true" t="shared" si="6" ref="M6:M16">G6*$B6</f>
        <v>0.00729654381919972</v>
      </c>
      <c r="O6" s="327">
        <f t="shared" si="0"/>
        <v>0.108951533886689</v>
      </c>
    </row>
    <row r="7" spans="1:15" ht="12.75">
      <c r="A7" t="s">
        <v>962</v>
      </c>
      <c r="B7" s="324">
        <v>0.102925930371734</v>
      </c>
      <c r="C7" s="5">
        <v>0.22620727691534057</v>
      </c>
      <c r="D7" s="5">
        <v>0.27177316008889324</v>
      </c>
      <c r="E7" s="5">
        <v>0.2665174298830438</v>
      </c>
      <c r="F7" s="5">
        <v>0.20143721511184648</v>
      </c>
      <c r="G7" s="5">
        <v>0.03406491800087595</v>
      </c>
      <c r="H7" s="327">
        <f t="shared" si="1"/>
        <v>0.9999999999999999</v>
      </c>
      <c r="I7">
        <f t="shared" si="2"/>
        <v>0.023282594433367897</v>
      </c>
      <c r="J7">
        <f t="shared" si="3"/>
        <v>0.027972505352215543</v>
      </c>
      <c r="K7">
        <f t="shared" si="4"/>
        <v>0.027431554430995663</v>
      </c>
      <c r="L7">
        <f t="shared" si="5"/>
        <v>0.020733112776877914</v>
      </c>
      <c r="M7">
        <f t="shared" si="6"/>
        <v>0.0035061633782769866</v>
      </c>
      <c r="O7" s="327">
        <f t="shared" si="0"/>
        <v>0.10292593037173402</v>
      </c>
    </row>
    <row r="8" spans="1:15" ht="12.75">
      <c r="A8" t="s">
        <v>776</v>
      </c>
      <c r="B8" s="324">
        <v>0.0417985290544096</v>
      </c>
      <c r="C8" s="324">
        <v>0.0358503077732939</v>
      </c>
      <c r="D8" s="5">
        <v>0.08816705336426914</v>
      </c>
      <c r="E8" s="5">
        <v>0.29737045630317094</v>
      </c>
      <c r="F8" s="5">
        <v>0.30587780355761796</v>
      </c>
      <c r="G8" s="5">
        <v>0.25406032482598606</v>
      </c>
      <c r="H8" s="5">
        <v>0.054524361948955914</v>
      </c>
      <c r="I8">
        <f t="shared" si="2"/>
        <v>0.0014984901310715515</v>
      </c>
      <c r="J8">
        <f t="shared" si="3"/>
        <v>0.0036852531416880856</v>
      </c>
      <c r="K8">
        <f t="shared" si="4"/>
        <v>0.012429647657711132</v>
      </c>
      <c r="L8">
        <f t="shared" si="5"/>
        <v>0.012785242259102087</v>
      </c>
      <c r="M8">
        <f t="shared" si="6"/>
        <v>0.01061934786881172</v>
      </c>
      <c r="O8" s="327">
        <f t="shared" si="0"/>
        <v>0.04101798105838458</v>
      </c>
    </row>
    <row r="9" spans="1:15" ht="12.75">
      <c r="A9" t="s">
        <v>425</v>
      </c>
      <c r="B9" s="324">
        <v>0.0371106822329552</v>
      </c>
      <c r="C9" s="324">
        <v>0.0382301107004152</v>
      </c>
      <c r="D9" s="5">
        <v>0</v>
      </c>
      <c r="E9" s="5">
        <v>0.8806451612903226</v>
      </c>
      <c r="F9" s="5">
        <v>0.11935483870967742</v>
      </c>
      <c r="G9" s="5">
        <v>0</v>
      </c>
      <c r="H9" s="5">
        <v>0</v>
      </c>
      <c r="I9">
        <f t="shared" si="2"/>
        <v>0.0014187454899338091</v>
      </c>
      <c r="J9">
        <f t="shared" si="3"/>
        <v>0</v>
      </c>
      <c r="K9">
        <f t="shared" si="4"/>
        <v>0.03268134274063474</v>
      </c>
      <c r="L9">
        <f t="shared" si="5"/>
        <v>0.00442933949232046</v>
      </c>
      <c r="M9">
        <f t="shared" si="6"/>
        <v>0</v>
      </c>
      <c r="O9" s="327">
        <f t="shared" si="0"/>
        <v>0.03852942772288901</v>
      </c>
    </row>
    <row r="10" spans="1:15" ht="12.75">
      <c r="A10" t="s">
        <v>423</v>
      </c>
      <c r="B10" s="324">
        <v>0.0364828377109074</v>
      </c>
      <c r="C10" s="5">
        <v>0.7924528301886793</v>
      </c>
      <c r="D10" s="5">
        <v>0.20754716981132076</v>
      </c>
      <c r="E10" s="5">
        <v>0</v>
      </c>
      <c r="F10" s="5">
        <v>0</v>
      </c>
      <c r="G10" s="5">
        <v>0</v>
      </c>
      <c r="H10" s="327">
        <f t="shared" si="1"/>
        <v>1</v>
      </c>
      <c r="I10">
        <f t="shared" si="2"/>
        <v>0.028910927997322845</v>
      </c>
      <c r="J10">
        <f t="shared" si="3"/>
        <v>0.007571909713584555</v>
      </c>
      <c r="K10">
        <f t="shared" si="4"/>
        <v>0</v>
      </c>
      <c r="L10">
        <f t="shared" si="5"/>
        <v>0</v>
      </c>
      <c r="M10">
        <f t="shared" si="6"/>
        <v>0</v>
      </c>
      <c r="O10" s="327">
        <f t="shared" si="0"/>
        <v>0.0364828377109074</v>
      </c>
    </row>
    <row r="11" spans="1:15" ht="12.75">
      <c r="A11" t="s">
        <v>420</v>
      </c>
      <c r="B11" s="324">
        <v>0.0356733125401052</v>
      </c>
      <c r="C11" s="5">
        <v>0.8507109004739336</v>
      </c>
      <c r="D11" s="5">
        <v>0.14928909952606634</v>
      </c>
      <c r="E11" s="5">
        <v>0</v>
      </c>
      <c r="F11" s="5">
        <v>0</v>
      </c>
      <c r="G11" s="5">
        <v>0</v>
      </c>
      <c r="H11" s="327">
        <f t="shared" si="1"/>
        <v>1</v>
      </c>
      <c r="I11">
        <f t="shared" si="2"/>
        <v>0.030347675833880965</v>
      </c>
      <c r="J11">
        <f t="shared" si="3"/>
        <v>0.005325636706224236</v>
      </c>
      <c r="K11">
        <f t="shared" si="4"/>
        <v>0</v>
      </c>
      <c r="L11">
        <f t="shared" si="5"/>
        <v>0</v>
      </c>
      <c r="M11">
        <f t="shared" si="6"/>
        <v>0</v>
      </c>
      <c r="O11" s="327">
        <f t="shared" si="0"/>
        <v>0.0356733125401052</v>
      </c>
    </row>
    <row r="12" spans="1:15" ht="12.75">
      <c r="A12" t="s">
        <v>424</v>
      </c>
      <c r="B12" s="324">
        <v>0.0350763134675605</v>
      </c>
      <c r="C12" s="5">
        <v>0</v>
      </c>
      <c r="D12" s="5">
        <v>1</v>
      </c>
      <c r="E12" s="5">
        <v>0</v>
      </c>
      <c r="F12" s="5">
        <v>0</v>
      </c>
      <c r="G12" s="5">
        <v>0</v>
      </c>
      <c r="H12" s="327">
        <f t="shared" si="1"/>
        <v>1</v>
      </c>
      <c r="I12">
        <f t="shared" si="2"/>
        <v>0</v>
      </c>
      <c r="J12">
        <f t="shared" si="3"/>
        <v>0.0350763134675605</v>
      </c>
      <c r="K12">
        <f t="shared" si="4"/>
        <v>0</v>
      </c>
      <c r="L12">
        <f t="shared" si="5"/>
        <v>0</v>
      </c>
      <c r="M12">
        <f t="shared" si="6"/>
        <v>0</v>
      </c>
      <c r="O12" s="327">
        <f t="shared" si="0"/>
        <v>0.0350763134675605</v>
      </c>
    </row>
    <row r="13" spans="1:15" ht="12.75">
      <c r="A13" t="s">
        <v>422</v>
      </c>
      <c r="B13" s="324">
        <v>0.0342336668344493</v>
      </c>
      <c r="C13" s="5">
        <v>0</v>
      </c>
      <c r="D13" s="5">
        <v>1</v>
      </c>
      <c r="E13" s="5">
        <v>0</v>
      </c>
      <c r="F13" s="5">
        <v>0</v>
      </c>
      <c r="G13" s="5">
        <v>0</v>
      </c>
      <c r="H13" s="327">
        <f t="shared" si="1"/>
        <v>1</v>
      </c>
      <c r="I13">
        <f t="shared" si="2"/>
        <v>0</v>
      </c>
      <c r="J13">
        <f t="shared" si="3"/>
        <v>0.0342336668344493</v>
      </c>
      <c r="K13">
        <f t="shared" si="4"/>
        <v>0</v>
      </c>
      <c r="L13">
        <f t="shared" si="5"/>
        <v>0</v>
      </c>
      <c r="M13">
        <f t="shared" si="6"/>
        <v>0</v>
      </c>
      <c r="O13" s="327">
        <f t="shared" si="0"/>
        <v>0.0342336668344493</v>
      </c>
    </row>
    <row r="14" spans="1:15" ht="12.75">
      <c r="A14" t="s">
        <v>421</v>
      </c>
      <c r="B14" s="324">
        <v>0.0327562097681094</v>
      </c>
      <c r="C14" s="5">
        <v>0.470404984423676</v>
      </c>
      <c r="D14" s="5">
        <v>0.5295950155763239</v>
      </c>
      <c r="E14" s="5">
        <v>0</v>
      </c>
      <c r="F14" s="5">
        <v>0</v>
      </c>
      <c r="G14" s="5">
        <v>0</v>
      </c>
      <c r="H14" s="327">
        <f t="shared" si="1"/>
        <v>1</v>
      </c>
      <c r="I14">
        <f t="shared" si="2"/>
        <v>0.015408684345746165</v>
      </c>
      <c r="J14">
        <f t="shared" si="3"/>
        <v>0.01734752542236323</v>
      </c>
      <c r="K14">
        <f t="shared" si="4"/>
        <v>0</v>
      </c>
      <c r="L14">
        <f t="shared" si="5"/>
        <v>0</v>
      </c>
      <c r="M14">
        <f t="shared" si="6"/>
        <v>0</v>
      </c>
      <c r="O14" s="327">
        <f t="shared" si="0"/>
        <v>0.0327562097681094</v>
      </c>
    </row>
    <row r="15" spans="1:15" ht="12.75">
      <c r="A15" t="s">
        <v>740</v>
      </c>
      <c r="B15" s="324">
        <v>0.0310424817275242</v>
      </c>
      <c r="C15" s="5">
        <v>0.22419928825622776</v>
      </c>
      <c r="D15" s="5">
        <v>0.4119901450862305</v>
      </c>
      <c r="E15" s="5">
        <v>0.36381056665754175</v>
      </c>
      <c r="F15" s="5">
        <v>0</v>
      </c>
      <c r="G15" s="5">
        <v>0</v>
      </c>
      <c r="H15" s="327">
        <f t="shared" si="1"/>
        <v>1</v>
      </c>
      <c r="I15">
        <f t="shared" si="2"/>
        <v>0.0069597023090178815</v>
      </c>
      <c r="J15">
        <f t="shared" si="3"/>
        <v>0.012789196550759354</v>
      </c>
      <c r="K15">
        <f t="shared" si="4"/>
        <v>0.011293582867746964</v>
      </c>
      <c r="L15">
        <f t="shared" si="5"/>
        <v>0</v>
      </c>
      <c r="M15">
        <f t="shared" si="6"/>
        <v>0</v>
      </c>
      <c r="O15" s="327">
        <f t="shared" si="0"/>
        <v>0.0310424817275242</v>
      </c>
    </row>
    <row r="16" spans="1:15" ht="12.75">
      <c r="A16" t="s">
        <v>772</v>
      </c>
      <c r="B16" s="324">
        <v>0.0253768282949494</v>
      </c>
      <c r="C16" s="5">
        <v>0</v>
      </c>
      <c r="D16" s="5">
        <v>0</v>
      </c>
      <c r="E16" s="5">
        <v>0.2660619803476946</v>
      </c>
      <c r="F16" s="5">
        <v>0.6386999244142101</v>
      </c>
      <c r="G16" s="5">
        <v>0.09523809523809523</v>
      </c>
      <c r="H16" s="327">
        <f t="shared" si="1"/>
        <v>0.9999999999999999</v>
      </c>
      <c r="I16">
        <f t="shared" si="2"/>
        <v>0</v>
      </c>
      <c r="J16">
        <f t="shared" si="3"/>
        <v>0</v>
      </c>
      <c r="K16">
        <f t="shared" si="4"/>
        <v>0.006751809191097648</v>
      </c>
      <c r="L16">
        <f t="shared" si="5"/>
        <v>0.01620817831385657</v>
      </c>
      <c r="M16">
        <f t="shared" si="6"/>
        <v>0.0024168407899951808</v>
      </c>
      <c r="O16" s="327">
        <f t="shared" si="0"/>
        <v>0.0253768282949494</v>
      </c>
    </row>
    <row r="17" spans="1:15" ht="12.75">
      <c r="A17" t="s">
        <v>427</v>
      </c>
      <c r="B17" s="324">
        <v>0.0218724753049532</v>
      </c>
      <c r="C17" s="5">
        <v>0</v>
      </c>
      <c r="D17" s="5">
        <v>0</v>
      </c>
      <c r="E17" s="5">
        <v>1</v>
      </c>
      <c r="F17" s="5">
        <v>0</v>
      </c>
      <c r="G17" s="5">
        <v>0</v>
      </c>
      <c r="H17" s="327">
        <f t="shared" si="1"/>
        <v>1</v>
      </c>
      <c r="I17">
        <f aca="true" t="shared" si="7" ref="I17:M21">C17*$B17</f>
        <v>0</v>
      </c>
      <c r="J17">
        <f t="shared" si="7"/>
        <v>0</v>
      </c>
      <c r="K17">
        <f t="shared" si="7"/>
        <v>0.0218724753049532</v>
      </c>
      <c r="L17">
        <f t="shared" si="7"/>
        <v>0</v>
      </c>
      <c r="M17">
        <f t="shared" si="7"/>
        <v>0</v>
      </c>
      <c r="O17" s="327">
        <f t="shared" si="0"/>
        <v>0.0218724753049532</v>
      </c>
    </row>
    <row r="18" spans="1:15" ht="12.75">
      <c r="A18" t="s">
        <v>426</v>
      </c>
      <c r="B18" s="324">
        <v>0.0217481989882924</v>
      </c>
      <c r="C18" s="5">
        <v>0</v>
      </c>
      <c r="D18" s="5">
        <v>0</v>
      </c>
      <c r="E18" s="5">
        <v>1</v>
      </c>
      <c r="F18" s="5">
        <v>0</v>
      </c>
      <c r="G18" s="5">
        <v>0</v>
      </c>
      <c r="H18" s="327">
        <f t="shared" si="1"/>
        <v>1</v>
      </c>
      <c r="I18">
        <f t="shared" si="7"/>
        <v>0</v>
      </c>
      <c r="J18">
        <f t="shared" si="7"/>
        <v>0</v>
      </c>
      <c r="K18">
        <f t="shared" si="7"/>
        <v>0.0217481989882924</v>
      </c>
      <c r="L18">
        <f t="shared" si="7"/>
        <v>0</v>
      </c>
      <c r="M18">
        <f t="shared" si="7"/>
        <v>0</v>
      </c>
      <c r="O18" s="327">
        <f t="shared" si="0"/>
        <v>0.0217481989882924</v>
      </c>
    </row>
    <row r="19" spans="1:15" ht="12.75">
      <c r="A19" t="s">
        <v>897</v>
      </c>
      <c r="B19" s="324">
        <v>0.0211439317516047</v>
      </c>
      <c r="C19" s="5">
        <v>0</v>
      </c>
      <c r="D19" s="5">
        <v>0.602996254681648</v>
      </c>
      <c r="E19" s="5">
        <v>0.3970037453183521</v>
      </c>
      <c r="F19" s="5">
        <v>0</v>
      </c>
      <c r="G19" s="5">
        <v>0</v>
      </c>
      <c r="H19" s="327">
        <f t="shared" si="1"/>
        <v>1</v>
      </c>
      <c r="I19">
        <f t="shared" si="7"/>
        <v>0</v>
      </c>
      <c r="J19">
        <f t="shared" si="7"/>
        <v>0.012749711655462011</v>
      </c>
      <c r="K19">
        <f t="shared" si="7"/>
        <v>0.00839422009614269</v>
      </c>
      <c r="L19">
        <f t="shared" si="7"/>
        <v>0</v>
      </c>
      <c r="M19">
        <f t="shared" si="7"/>
        <v>0</v>
      </c>
      <c r="O19" s="327">
        <f t="shared" si="0"/>
        <v>0.0211439317516047</v>
      </c>
    </row>
    <row r="20" spans="1:15" ht="12.75">
      <c r="A20" t="s">
        <v>429</v>
      </c>
      <c r="B20" s="324">
        <v>0.0201229551663696</v>
      </c>
      <c r="C20" s="5">
        <v>0</v>
      </c>
      <c r="D20" s="5">
        <v>1</v>
      </c>
      <c r="E20" s="5">
        <v>0</v>
      </c>
      <c r="F20" s="5">
        <v>0</v>
      </c>
      <c r="G20" s="5">
        <v>0</v>
      </c>
      <c r="H20" s="327">
        <f t="shared" si="1"/>
        <v>1</v>
      </c>
      <c r="I20">
        <f t="shared" si="7"/>
        <v>0</v>
      </c>
      <c r="J20">
        <f t="shared" si="7"/>
        <v>0.0201229551663696</v>
      </c>
      <c r="K20">
        <f t="shared" si="7"/>
        <v>0</v>
      </c>
      <c r="L20">
        <f t="shared" si="7"/>
        <v>0</v>
      </c>
      <c r="M20">
        <f t="shared" si="7"/>
        <v>0</v>
      </c>
      <c r="O20" s="327">
        <f t="shared" si="0"/>
        <v>0.0201229551663696</v>
      </c>
    </row>
    <row r="21" spans="1:15" ht="12.75">
      <c r="A21" t="s">
        <v>430</v>
      </c>
      <c r="B21" s="324">
        <v>0.0199598853768262</v>
      </c>
      <c r="C21" s="5">
        <v>0</v>
      </c>
      <c r="D21" s="5">
        <v>0.5955882352941176</v>
      </c>
      <c r="E21" s="5">
        <v>0.40441176470588236</v>
      </c>
      <c r="F21" s="5">
        <v>0</v>
      </c>
      <c r="G21" s="5">
        <v>0</v>
      </c>
      <c r="H21" s="327">
        <f t="shared" si="1"/>
        <v>1</v>
      </c>
      <c r="I21">
        <f t="shared" si="7"/>
        <v>0</v>
      </c>
      <c r="J21">
        <f t="shared" si="7"/>
        <v>0.01188787290825678</v>
      </c>
      <c r="K21">
        <f t="shared" si="7"/>
        <v>0.00807201246856942</v>
      </c>
      <c r="L21">
        <f t="shared" si="7"/>
        <v>0</v>
      </c>
      <c r="M21">
        <f t="shared" si="7"/>
        <v>0</v>
      </c>
      <c r="O21" s="327">
        <f t="shared" si="0"/>
        <v>0.0199598853768262</v>
      </c>
    </row>
    <row r="22" spans="1:15" ht="12.75">
      <c r="A22" t="s">
        <v>428</v>
      </c>
      <c r="B22" s="324">
        <v>0.0178241345773366</v>
      </c>
      <c r="C22" s="5">
        <v>0</v>
      </c>
      <c r="D22" s="5">
        <v>0.10552763819095477</v>
      </c>
      <c r="E22" s="5">
        <v>0.8944723618090452</v>
      </c>
      <c r="F22" s="5">
        <v>0</v>
      </c>
      <c r="G22" s="5">
        <v>0</v>
      </c>
      <c r="H22" s="327">
        <f t="shared" si="1"/>
        <v>1</v>
      </c>
      <c r="I22">
        <f aca="true" t="shared" si="8" ref="I22:M24">C22*$B22</f>
        <v>0</v>
      </c>
      <c r="J22">
        <f t="shared" si="8"/>
        <v>0.0018809388247440634</v>
      </c>
      <c r="K22">
        <f t="shared" si="8"/>
        <v>0.015943195752592537</v>
      </c>
      <c r="L22">
        <f t="shared" si="8"/>
        <v>0</v>
      </c>
      <c r="M22">
        <f t="shared" si="8"/>
        <v>0</v>
      </c>
      <c r="O22" s="327">
        <f t="shared" si="0"/>
        <v>0.0178241345773366</v>
      </c>
    </row>
    <row r="23" spans="1:15" ht="12.75">
      <c r="A23" t="s">
        <v>485</v>
      </c>
      <c r="B23" s="324">
        <v>0.0137580345910501</v>
      </c>
      <c r="C23" s="5">
        <v>0.18752844788347747</v>
      </c>
      <c r="D23" s="5">
        <v>0.2988165680473373</v>
      </c>
      <c r="E23" s="5">
        <v>0.267637687756031</v>
      </c>
      <c r="F23" s="5">
        <v>0.2073281747837961</v>
      </c>
      <c r="G23" s="5">
        <v>0.03868912152935822</v>
      </c>
      <c r="H23" s="327">
        <f t="shared" si="1"/>
        <v>1</v>
      </c>
      <c r="I23">
        <f t="shared" si="8"/>
        <v>0.002580022872786819</v>
      </c>
      <c r="J23">
        <f t="shared" si="8"/>
        <v>0.004111128679574143</v>
      </c>
      <c r="K23">
        <f t="shared" si="8"/>
        <v>0.0036821685660161398</v>
      </c>
      <c r="L23">
        <f t="shared" si="8"/>
        <v>0.0028524282003747478</v>
      </c>
      <c r="M23">
        <f t="shared" si="8"/>
        <v>0.0005322862722982515</v>
      </c>
      <c r="O23" s="327">
        <f t="shared" si="0"/>
        <v>0.013758034591050102</v>
      </c>
    </row>
    <row r="24" spans="1:15" ht="12.75">
      <c r="A24" s="308" t="s">
        <v>434</v>
      </c>
      <c r="B24" s="324">
        <v>0.0994182945163565</v>
      </c>
      <c r="C24" s="326">
        <v>0.1</v>
      </c>
      <c r="D24" s="5">
        <v>0.2</v>
      </c>
      <c r="E24" s="5">
        <v>0.2</v>
      </c>
      <c r="F24" s="5">
        <v>0.25</v>
      </c>
      <c r="G24" s="5">
        <v>0.25</v>
      </c>
      <c r="H24" s="327">
        <f t="shared" si="1"/>
        <v>1</v>
      </c>
      <c r="I24">
        <f t="shared" si="8"/>
        <v>0.009941829451635652</v>
      </c>
      <c r="J24">
        <f t="shared" si="8"/>
        <v>0.019883658903271303</v>
      </c>
      <c r="K24">
        <f t="shared" si="8"/>
        <v>0.019883658903271303</v>
      </c>
      <c r="L24">
        <f t="shared" si="8"/>
        <v>0.024854573629089126</v>
      </c>
      <c r="M24">
        <f t="shared" si="8"/>
        <v>0.024854573629089126</v>
      </c>
      <c r="O24" s="327">
        <f t="shared" si="0"/>
        <v>0.0994182945163565</v>
      </c>
    </row>
    <row r="25" ht="12.75">
      <c r="S25" t="s">
        <v>964</v>
      </c>
    </row>
    <row r="28" spans="2:15" ht="12.75">
      <c r="B28" s="327">
        <f>SUM(B5:B27)</f>
        <v>0.9999999999999996</v>
      </c>
      <c r="E28" t="s">
        <v>853</v>
      </c>
      <c r="I28" s="324">
        <f>SUM(I5:I27)</f>
        <v>0.12439806367541892</v>
      </c>
      <c r="J28" s="324">
        <f>SUM(J5:J27)</f>
        <v>0.22067415774240517</v>
      </c>
      <c r="K28" s="324">
        <f>SUM(K5:K27)</f>
        <v>0.30068979791233696</v>
      </c>
      <c r="L28" s="324">
        <f>SUM(L5:L27)</f>
        <v>0.2712669160701241</v>
      </c>
      <c r="M28" s="324">
        <f>SUM(M5:M27)</f>
        <v>0.08360926209362313</v>
      </c>
      <c r="O28" s="327">
        <f>SUM(I28:N28)</f>
        <v>1.0006381974939083</v>
      </c>
    </row>
    <row r="30" spans="5:15" ht="13.5" customHeight="1">
      <c r="E30" s="20" t="s">
        <v>854</v>
      </c>
      <c r="F30" s="20"/>
      <c r="G30" s="20"/>
      <c r="H30" s="329">
        <f>'Contingency Summary'!I14+'Contingency Summary'!I16</f>
        <v>9250</v>
      </c>
      <c r="I30" s="329">
        <f>I28*$H$30</f>
        <v>1150.682088997625</v>
      </c>
      <c r="J30" s="329">
        <f>J28*$H$30</f>
        <v>2041.2359591172478</v>
      </c>
      <c r="K30" s="329">
        <f>K28*$H$30</f>
        <v>2781.380630689117</v>
      </c>
      <c r="L30" s="329">
        <f>L28*$H$30</f>
        <v>2509.218973648648</v>
      </c>
      <c r="M30" s="329">
        <f>M28*$H$30</f>
        <v>773.385674366014</v>
      </c>
      <c r="O30" s="334">
        <f>SUM(I30:M30)</f>
        <v>9255.903326818652</v>
      </c>
    </row>
    <row r="31" spans="5:13" ht="13.5" customHeight="1">
      <c r="E31" s="20"/>
      <c r="F31" s="20"/>
      <c r="G31" s="20"/>
      <c r="H31" s="329"/>
      <c r="I31" s="20"/>
      <c r="J31" s="329"/>
      <c r="K31" s="329"/>
      <c r="L31" s="329"/>
      <c r="M31" s="329"/>
    </row>
    <row r="32" spans="5:13" ht="13.5" customHeight="1">
      <c r="E32" s="20"/>
      <c r="F32" s="20"/>
      <c r="G32" s="20"/>
      <c r="H32" s="329"/>
      <c r="I32" s="20"/>
      <c r="J32" s="329"/>
      <c r="K32" s="329"/>
      <c r="L32" s="329"/>
      <c r="M32" s="329"/>
    </row>
    <row r="33" spans="5:15" ht="12.75">
      <c r="E33" s="385" t="s">
        <v>851</v>
      </c>
      <c r="F33" s="385"/>
      <c r="G33" s="385"/>
      <c r="H33" s="385"/>
      <c r="I33" s="385"/>
      <c r="K33" s="385" t="s">
        <v>852</v>
      </c>
      <c r="L33" s="385"/>
      <c r="M33" s="385"/>
      <c r="N33" s="385"/>
      <c r="O33" s="385"/>
    </row>
    <row r="34" spans="1:15" ht="12.75">
      <c r="A34" s="10" t="s">
        <v>849</v>
      </c>
      <c r="C34" s="95" t="s">
        <v>435</v>
      </c>
      <c r="E34">
        <v>2008</v>
      </c>
      <c r="F34">
        <v>2009</v>
      </c>
      <c r="G34">
        <v>2010</v>
      </c>
      <c r="H34">
        <v>2011</v>
      </c>
      <c r="I34">
        <v>2012</v>
      </c>
      <c r="K34">
        <v>2008</v>
      </c>
      <c r="L34">
        <v>2009</v>
      </c>
      <c r="M34">
        <v>2010</v>
      </c>
      <c r="N34">
        <v>2011</v>
      </c>
      <c r="O34">
        <v>2012</v>
      </c>
    </row>
    <row r="35" spans="1:17" ht="21" customHeight="1">
      <c r="A35" t="s">
        <v>49</v>
      </c>
      <c r="B35" s="324">
        <v>0.318217571329823</v>
      </c>
      <c r="C35" s="390" t="s">
        <v>436</v>
      </c>
      <c r="D35" s="391"/>
      <c r="E35" s="5">
        <f>E50/$J$50</f>
        <v>0.18418323249783924</v>
      </c>
      <c r="F35" s="5">
        <f>F50/$J$50</f>
        <v>0.2812445980985307</v>
      </c>
      <c r="G35" s="5">
        <f>G50/$J$50</f>
        <v>0.28375108038029384</v>
      </c>
      <c r="H35" s="5">
        <f>H50/$J$50</f>
        <v>0.19835782195332757</v>
      </c>
      <c r="I35" s="5">
        <f>I50/$J$50</f>
        <v>0.052463267070008646</v>
      </c>
      <c r="J35" s="327">
        <f aca="true" t="shared" si="9" ref="J35:J44">SUM(E35:I35)</f>
        <v>1</v>
      </c>
      <c r="K35">
        <f aca="true" t="shared" si="10" ref="K35:K44">E35*$B35</f>
        <v>0.05861034092513853</v>
      </c>
      <c r="L35">
        <f aca="true" t="shared" si="11" ref="L35:L44">F35*$B35</f>
        <v>0.08949697295654659</v>
      </c>
      <c r="M35">
        <f aca="true" t="shared" si="12" ref="M35:M44">G35*$B35</f>
        <v>0.09029457966083049</v>
      </c>
      <c r="N35">
        <f aca="true" t="shared" si="13" ref="N35:N44">H35*$B35</f>
        <v>0.06312094435626134</v>
      </c>
      <c r="O35">
        <f aca="true" t="shared" si="14" ref="O35:O44">I35*$B35</f>
        <v>0.01669473343104603</v>
      </c>
      <c r="Q35" s="327">
        <f aca="true" t="shared" si="15" ref="Q35:Q44">SUM(K35:P35)</f>
        <v>0.31821757132982303</v>
      </c>
    </row>
    <row r="36" spans="1:17" ht="12.75">
      <c r="A36" t="s">
        <v>17</v>
      </c>
      <c r="B36" s="324">
        <v>0.291208957150267</v>
      </c>
      <c r="C36" s="330">
        <v>8101</v>
      </c>
      <c r="D36" s="331"/>
      <c r="E36" s="332">
        <v>0.18752844788347747</v>
      </c>
      <c r="F36" s="5">
        <v>0.2988165680473373</v>
      </c>
      <c r="G36" s="5">
        <v>0.267637687756031</v>
      </c>
      <c r="H36" s="5">
        <v>0.2073281747837961</v>
      </c>
      <c r="I36" s="5">
        <v>0.03868912152935822</v>
      </c>
      <c r="J36" s="327">
        <f t="shared" si="9"/>
        <v>1</v>
      </c>
      <c r="K36">
        <f t="shared" si="10"/>
        <v>0.05460996374415567</v>
      </c>
      <c r="L36">
        <f t="shared" si="11"/>
        <v>0.0870180611602869</v>
      </c>
      <c r="M36">
        <f t="shared" si="12"/>
        <v>0.07793849194554256</v>
      </c>
      <c r="N36">
        <f t="shared" si="13"/>
        <v>0.06037582156665754</v>
      </c>
      <c r="O36">
        <f t="shared" si="14"/>
        <v>0.01126661873362435</v>
      </c>
      <c r="Q36" s="327">
        <f t="shared" si="15"/>
        <v>0.291208957150267</v>
      </c>
    </row>
    <row r="37" spans="1:17" ht="12.75">
      <c r="A37" t="s">
        <v>331</v>
      </c>
      <c r="B37" s="324">
        <v>0.16659758589668</v>
      </c>
      <c r="C37" s="330">
        <v>1352</v>
      </c>
      <c r="D37" s="331"/>
      <c r="E37" s="332">
        <v>0.6577507598784195</v>
      </c>
      <c r="F37" s="5">
        <v>0.3209726443768997</v>
      </c>
      <c r="G37" s="5">
        <v>0.00303951367781155</v>
      </c>
      <c r="H37" s="5">
        <v>0.0182370820668693</v>
      </c>
      <c r="I37" s="5">
        <v>0</v>
      </c>
      <c r="J37" s="327">
        <f t="shared" si="9"/>
        <v>1</v>
      </c>
      <c r="K37">
        <f t="shared" si="10"/>
        <v>0.10957968871745152</v>
      </c>
      <c r="L37">
        <f t="shared" si="11"/>
        <v>0.05347326769206507</v>
      </c>
      <c r="M37">
        <f t="shared" si="12"/>
        <v>0.0005063756410233434</v>
      </c>
      <c r="N37">
        <f t="shared" si="13"/>
        <v>0.0030382538461400607</v>
      </c>
      <c r="O37">
        <f t="shared" si="14"/>
        <v>0</v>
      </c>
      <c r="Q37" s="327">
        <f t="shared" si="15"/>
        <v>0.16659758589668</v>
      </c>
    </row>
    <row r="38" spans="1:17" ht="12.75">
      <c r="A38" t="s">
        <v>43</v>
      </c>
      <c r="B38" s="324">
        <v>0.0606089386781903</v>
      </c>
      <c r="C38" s="330">
        <v>7503</v>
      </c>
      <c r="D38" s="331"/>
      <c r="E38" s="332">
        <v>0</v>
      </c>
      <c r="F38" s="5">
        <v>0</v>
      </c>
      <c r="G38" s="5">
        <v>0.3227537922987165</v>
      </c>
      <c r="H38" s="5">
        <v>0.5355892648774796</v>
      </c>
      <c r="I38" s="5">
        <v>0.14165694282380398</v>
      </c>
      <c r="J38" s="327">
        <f t="shared" si="9"/>
        <v>1</v>
      </c>
      <c r="K38">
        <f t="shared" si="10"/>
        <v>0</v>
      </c>
      <c r="L38">
        <f t="shared" si="11"/>
        <v>0</v>
      </c>
      <c r="M38">
        <f t="shared" si="12"/>
        <v>0.019561764805586274</v>
      </c>
      <c r="N38">
        <f t="shared" si="13"/>
        <v>0.03246149691165618</v>
      </c>
      <c r="O38">
        <f t="shared" si="14"/>
        <v>0.008585676960947844</v>
      </c>
      <c r="Q38" s="327">
        <f t="shared" si="15"/>
        <v>0.0606089386781903</v>
      </c>
    </row>
    <row r="39" spans="1:17" ht="12.75">
      <c r="A39" t="s">
        <v>37</v>
      </c>
      <c r="B39" s="324">
        <v>0.033987434621982</v>
      </c>
      <c r="C39" s="330">
        <v>1815</v>
      </c>
      <c r="D39" s="331"/>
      <c r="E39" s="333">
        <f>E47/$J$47</f>
        <v>0</v>
      </c>
      <c r="F39" s="333">
        <f>F47/$J$47</f>
        <v>0.32608695652173914</v>
      </c>
      <c r="G39" s="333">
        <f>G47/$J$47</f>
        <v>0.6739130434782609</v>
      </c>
      <c r="H39" s="333">
        <f>H47/$J$47</f>
        <v>0</v>
      </c>
      <c r="I39" s="333">
        <f>I47/$J$47</f>
        <v>0</v>
      </c>
      <c r="J39" s="327">
        <f t="shared" si="9"/>
        <v>1</v>
      </c>
      <c r="K39">
        <f t="shared" si="10"/>
        <v>0</v>
      </c>
      <c r="L39">
        <f t="shared" si="11"/>
        <v>0.011082859115863696</v>
      </c>
      <c r="M39">
        <f t="shared" si="12"/>
        <v>0.022904575506118303</v>
      </c>
      <c r="N39">
        <f t="shared" si="13"/>
        <v>0</v>
      </c>
      <c r="O39">
        <f t="shared" si="14"/>
        <v>0</v>
      </c>
      <c r="Q39" s="327">
        <f t="shared" si="15"/>
        <v>0.033987434621982</v>
      </c>
    </row>
    <row r="40" spans="1:17" ht="12.75">
      <c r="A40" t="s">
        <v>433</v>
      </c>
      <c r="B40" s="324">
        <v>0.0329625718487419</v>
      </c>
      <c r="C40" s="330" t="s">
        <v>376</v>
      </c>
      <c r="D40" s="331"/>
      <c r="E40" s="332">
        <v>0.6308747855917667</v>
      </c>
      <c r="F40" s="5">
        <v>0.19245283018867926</v>
      </c>
      <c r="G40" s="5">
        <v>0.17667238421955403</v>
      </c>
      <c r="H40" s="5">
        <v>0</v>
      </c>
      <c r="I40" s="5">
        <v>0</v>
      </c>
      <c r="J40" s="327">
        <f t="shared" si="9"/>
        <v>0.9999999999999999</v>
      </c>
      <c r="K40">
        <f t="shared" si="10"/>
        <v>0.02079525544762825</v>
      </c>
      <c r="L40">
        <f t="shared" si="11"/>
        <v>0.006343740242588064</v>
      </c>
      <c r="M40">
        <f t="shared" si="12"/>
        <v>0.005823576158525585</v>
      </c>
      <c r="N40">
        <f t="shared" si="13"/>
        <v>0</v>
      </c>
      <c r="O40">
        <f t="shared" si="14"/>
        <v>0</v>
      </c>
      <c r="Q40" s="327">
        <f t="shared" si="15"/>
        <v>0.0329625718487419</v>
      </c>
    </row>
    <row r="41" spans="1:17" ht="12.75">
      <c r="A41" t="s">
        <v>167</v>
      </c>
      <c r="B41" s="324">
        <v>0.0228782362136819</v>
      </c>
      <c r="C41" s="330">
        <v>1815</v>
      </c>
      <c r="D41" s="331"/>
      <c r="E41" s="333">
        <f>E47/$J$47</f>
        <v>0</v>
      </c>
      <c r="F41" s="333">
        <f>F47/$J$47</f>
        <v>0.32608695652173914</v>
      </c>
      <c r="G41" s="333">
        <f>G47/$J$47</f>
        <v>0.6739130434782609</v>
      </c>
      <c r="H41" s="333">
        <f>H47/$J$47</f>
        <v>0</v>
      </c>
      <c r="I41" s="333">
        <f>I47/$J$47</f>
        <v>0</v>
      </c>
      <c r="J41" s="327">
        <f t="shared" si="9"/>
        <v>1</v>
      </c>
      <c r="K41">
        <f t="shared" si="10"/>
        <v>0</v>
      </c>
      <c r="L41">
        <f t="shared" si="11"/>
        <v>0.007460294417504967</v>
      </c>
      <c r="M41">
        <f t="shared" si="12"/>
        <v>0.015417941796176931</v>
      </c>
      <c r="N41">
        <f t="shared" si="13"/>
        <v>0</v>
      </c>
      <c r="O41">
        <f t="shared" si="14"/>
        <v>0</v>
      </c>
      <c r="Q41" s="327">
        <f t="shared" si="15"/>
        <v>0.0228782362136819</v>
      </c>
    </row>
    <row r="42" spans="1:17" ht="15.75" customHeight="1">
      <c r="A42" t="s">
        <v>180</v>
      </c>
      <c r="B42" s="324">
        <v>0.014692847573789</v>
      </c>
      <c r="C42" s="330" t="s">
        <v>452</v>
      </c>
      <c r="D42" s="331"/>
      <c r="E42" s="333">
        <f>(E47+E48)/($J$47+$J$48)</f>
        <v>0</v>
      </c>
      <c r="F42" s="333">
        <f>(F47+F48)/($J$47+$J$48)</f>
        <v>0.09965969859017987</v>
      </c>
      <c r="G42" s="333">
        <f>(G47+G48)/($J$47+$J$48)</f>
        <v>0.4300761626964836</v>
      </c>
      <c r="H42" s="333">
        <f>(H47+H48)/($J$47+$J$48)</f>
        <v>0.371900826446281</v>
      </c>
      <c r="I42" s="333">
        <f>(I47+I48)/($J$47+$J$48)</f>
        <v>0.09836331226705558</v>
      </c>
      <c r="J42" s="327">
        <f t="shared" si="9"/>
        <v>1</v>
      </c>
      <c r="K42">
        <f t="shared" si="10"/>
        <v>0</v>
      </c>
      <c r="L42">
        <f t="shared" si="11"/>
        <v>0.0014642847606352672</v>
      </c>
      <c r="M42">
        <f t="shared" si="12"/>
        <v>0.006319043503619511</v>
      </c>
      <c r="N42">
        <f t="shared" si="13"/>
        <v>0.005464282155541363</v>
      </c>
      <c r="O42">
        <f t="shared" si="14"/>
        <v>0.0014452371539928574</v>
      </c>
      <c r="Q42" s="327">
        <f t="shared" si="15"/>
        <v>0.014692847573789</v>
      </c>
    </row>
    <row r="43" spans="1:17" ht="12.75">
      <c r="A43" t="s">
        <v>30</v>
      </c>
      <c r="B43" s="324">
        <v>0.0104557685849946</v>
      </c>
      <c r="C43" s="330">
        <v>1810</v>
      </c>
      <c r="D43" s="331"/>
      <c r="E43" s="332">
        <f>E46/$J$46</f>
        <v>0.3947027227264308</v>
      </c>
      <c r="F43" s="332">
        <f>F46/$J$46</f>
        <v>0.4887942211520652</v>
      </c>
      <c r="G43" s="332">
        <f>G46/$J$46</f>
        <v>0.11650305612150398</v>
      </c>
      <c r="H43" s="332">
        <f>H46/$J$46</f>
        <v>0</v>
      </c>
      <c r="I43" s="332">
        <f>I46/$J$46</f>
        <v>0</v>
      </c>
      <c r="J43" s="327">
        <f t="shared" si="9"/>
        <v>1</v>
      </c>
      <c r="K43">
        <f t="shared" si="10"/>
        <v>0.004126920328694849</v>
      </c>
      <c r="L43">
        <f t="shared" si="11"/>
        <v>0.005110719262048667</v>
      </c>
      <c r="M43">
        <f t="shared" si="12"/>
        <v>0.0012181289942510842</v>
      </c>
      <c r="N43">
        <f t="shared" si="13"/>
        <v>0</v>
      </c>
      <c r="O43">
        <f t="shared" si="14"/>
        <v>0</v>
      </c>
      <c r="Q43" s="327">
        <f t="shared" si="15"/>
        <v>0.0104557685849946</v>
      </c>
    </row>
    <row r="44" spans="1:17" ht="12.75">
      <c r="A44" s="12" t="s">
        <v>431</v>
      </c>
      <c r="B44" s="324">
        <v>0.0483900881018507</v>
      </c>
      <c r="C44" s="330"/>
      <c r="D44" s="331"/>
      <c r="E44" s="326">
        <v>0.1</v>
      </c>
      <c r="F44" s="5">
        <v>0.2</v>
      </c>
      <c r="G44" s="5">
        <v>0.2</v>
      </c>
      <c r="H44" s="5">
        <v>0.25</v>
      </c>
      <c r="I44" s="5">
        <v>0.25</v>
      </c>
      <c r="J44" s="327">
        <f t="shared" si="9"/>
        <v>1</v>
      </c>
      <c r="K44">
        <f t="shared" si="10"/>
        <v>0.004839008810185071</v>
      </c>
      <c r="L44">
        <f t="shared" si="11"/>
        <v>0.009678017620370141</v>
      </c>
      <c r="M44">
        <f t="shared" si="12"/>
        <v>0.009678017620370141</v>
      </c>
      <c r="N44">
        <f t="shared" si="13"/>
        <v>0.012097522025462675</v>
      </c>
      <c r="O44">
        <f t="shared" si="14"/>
        <v>0.012097522025462675</v>
      </c>
      <c r="Q44" s="327">
        <f t="shared" si="15"/>
        <v>0.0483900881018507</v>
      </c>
    </row>
    <row r="45" spans="1:2" ht="12.75">
      <c r="A45" s="10"/>
      <c r="B45" s="327"/>
    </row>
    <row r="46" spans="1:17" ht="12.75" hidden="1">
      <c r="A46" s="10"/>
      <c r="B46">
        <v>1810</v>
      </c>
      <c r="E46" s="308">
        <f>SUM('Estimate Uncertainty Model'!Q74:Q90)</f>
        <v>2131</v>
      </c>
      <c r="F46" s="308">
        <f>SUM('Estimate Uncertainty Model'!R74:R90)</f>
        <v>2639</v>
      </c>
      <c r="G46" s="308">
        <f>SUM('Estimate Uncertainty Model'!S74:S90)</f>
        <v>629</v>
      </c>
      <c r="H46" s="308">
        <f>SUM('Estimate Uncertainty Model'!T74:T90)</f>
        <v>0</v>
      </c>
      <c r="I46" s="308">
        <f>SUM('Estimate Uncertainty Model'!U74:U90)</f>
        <v>0</v>
      </c>
      <c r="J46">
        <f>SUM(E46:I46)</f>
        <v>5399</v>
      </c>
      <c r="Q46" s="327">
        <f>SUM(Q35:Q45)</f>
        <v>1.0000000000000004</v>
      </c>
    </row>
    <row r="47" spans="1:10" ht="12.75" hidden="1">
      <c r="A47" s="10"/>
      <c r="B47">
        <v>1815</v>
      </c>
      <c r="E47">
        <f>SUM('Estimate Uncertainty Model'!Q91:Q94)</f>
        <v>0</v>
      </c>
      <c r="F47">
        <f>SUM('Estimate Uncertainty Model'!R91:R94)</f>
        <v>615</v>
      </c>
      <c r="G47">
        <f>SUM('Estimate Uncertainty Model'!S91:S94)</f>
        <v>1271</v>
      </c>
      <c r="H47">
        <f>SUM('Estimate Uncertainty Model'!T91:T94)</f>
        <v>0</v>
      </c>
      <c r="I47">
        <f>SUM('Estimate Uncertainty Model'!U91:U94)</f>
        <v>0</v>
      </c>
      <c r="J47">
        <f>SUM(E47:I47)</f>
        <v>1886</v>
      </c>
    </row>
    <row r="48" spans="1:10" ht="12.75" hidden="1">
      <c r="A48" s="10"/>
      <c r="B48">
        <v>7503</v>
      </c>
      <c r="E48" s="325">
        <v>0</v>
      </c>
      <c r="F48" s="325">
        <v>0</v>
      </c>
      <c r="G48" s="325">
        <v>1383</v>
      </c>
      <c r="H48" s="325">
        <v>2295</v>
      </c>
      <c r="I48" s="325">
        <v>607</v>
      </c>
      <c r="J48">
        <f>SUM(E48:I48)</f>
        <v>4285</v>
      </c>
    </row>
    <row r="49" ht="12.75" hidden="1">
      <c r="A49" s="10"/>
    </row>
    <row r="50" spans="1:10" ht="12.75" hidden="1">
      <c r="A50" s="10"/>
      <c r="E50">
        <f aca="true" t="shared" si="16" ref="E50:J50">SUM(E46:E49)</f>
        <v>2131</v>
      </c>
      <c r="F50">
        <f t="shared" si="16"/>
        <v>3254</v>
      </c>
      <c r="G50">
        <f t="shared" si="16"/>
        <v>3283</v>
      </c>
      <c r="H50">
        <f t="shared" si="16"/>
        <v>2295</v>
      </c>
      <c r="I50">
        <f t="shared" si="16"/>
        <v>607</v>
      </c>
      <c r="J50">
        <f t="shared" si="16"/>
        <v>11570</v>
      </c>
    </row>
    <row r="51" ht="12.75">
      <c r="A51" s="10"/>
    </row>
    <row r="52" spans="5:15" ht="12.75">
      <c r="E52" s="308" t="s">
        <v>439</v>
      </c>
      <c r="K52" s="323">
        <f>SUM(K35:K44)</f>
        <v>0.2525611779732539</v>
      </c>
      <c r="L52" s="323">
        <f>SUM(L35:L44)</f>
        <v>0.27112821722790936</v>
      </c>
      <c r="M52" s="323">
        <f>SUM(M35:M44)</f>
        <v>0.24966249563204418</v>
      </c>
      <c r="N52" s="323">
        <f>SUM(N35:N44)</f>
        <v>0.1765583208617192</v>
      </c>
      <c r="O52" s="323">
        <f>SUM(O35:O44)</f>
        <v>0.05008978830507375</v>
      </c>
    </row>
    <row r="54" spans="5:15" ht="12.75">
      <c r="E54" s="20" t="s">
        <v>437</v>
      </c>
      <c r="I54" s="329">
        <f>'Contingency Summary'!I20</f>
        <v>2880</v>
      </c>
      <c r="K54" s="329">
        <f>K52*$I$54</f>
        <v>727.3761925629713</v>
      </c>
      <c r="L54" s="329">
        <f>L52*$I$54</f>
        <v>780.849265616379</v>
      </c>
      <c r="M54" s="329">
        <f>M52*$I$54</f>
        <v>719.0279874202872</v>
      </c>
      <c r="N54" s="329">
        <f>N52*$I$54</f>
        <v>508.4879640817513</v>
      </c>
      <c r="O54" s="329">
        <f>O52*$I$54</f>
        <v>144.2585903186124</v>
      </c>
    </row>
    <row r="57" spans="5:15" ht="12.75">
      <c r="E57" s="20" t="s">
        <v>438</v>
      </c>
      <c r="I57" s="329">
        <f>'Contingency Summary'!I15+'Contingency Summary'!I21</f>
        <v>11390</v>
      </c>
      <c r="O57" s="329">
        <f>I57</f>
        <v>11390</v>
      </c>
    </row>
    <row r="59" spans="11:15" ht="12.75">
      <c r="K59" s="99">
        <v>2008</v>
      </c>
      <c r="L59" s="99">
        <v>2009</v>
      </c>
      <c r="M59" s="99">
        <v>2010</v>
      </c>
      <c r="N59" s="99">
        <v>2011</v>
      </c>
      <c r="O59" s="99">
        <v>2012</v>
      </c>
    </row>
    <row r="60" spans="5:15" ht="12.75">
      <c r="E60" s="20" t="s">
        <v>855</v>
      </c>
      <c r="I60" s="329">
        <f>I57+I54+H30</f>
        <v>23520</v>
      </c>
      <c r="K60" s="329">
        <f>K57+K54+I30</f>
        <v>1878.0582815605962</v>
      </c>
      <c r="L60" s="329">
        <f>L57+L54+J30</f>
        <v>2822.085224733627</v>
      </c>
      <c r="M60" s="329">
        <f>M57+M54+K30</f>
        <v>3500.4086181094044</v>
      </c>
      <c r="N60" s="329">
        <f>N57+N54+L30</f>
        <v>3017.706937730399</v>
      </c>
      <c r="O60" s="329">
        <f>O57+O54+M30</f>
        <v>12307.644264684626</v>
      </c>
    </row>
    <row r="62" spans="11:15" ht="12.75">
      <c r="K62" s="324">
        <f>K60/$I$60</f>
        <v>0.07984941673301854</v>
      </c>
      <c r="L62" s="324">
        <f>L60/$I$60</f>
        <v>0.11998661669785829</v>
      </c>
      <c r="M62" s="324">
        <f>M60/$I$60</f>
        <v>0.14882689702846108</v>
      </c>
      <c r="N62" s="324">
        <f>N60/$I$60</f>
        <v>0.128303866400102</v>
      </c>
      <c r="O62" s="324">
        <f>O60/$I$60</f>
        <v>0.5232841949270675</v>
      </c>
    </row>
    <row r="64" spans="8:15" ht="12.75">
      <c r="H64" s="20" t="s">
        <v>583</v>
      </c>
      <c r="I64" s="20"/>
      <c r="J64" s="20"/>
      <c r="K64" s="335">
        <v>0.1</v>
      </c>
      <c r="L64" s="335">
        <v>0.15</v>
      </c>
      <c r="M64" s="335">
        <v>0.15</v>
      </c>
      <c r="N64" s="335">
        <v>0.15</v>
      </c>
      <c r="O64" s="335">
        <v>0.45</v>
      </c>
    </row>
  </sheetData>
  <sheetProtection/>
  <mergeCells count="5">
    <mergeCell ref="C35:D35"/>
    <mergeCell ref="E33:I33"/>
    <mergeCell ref="K33:O33"/>
    <mergeCell ref="C3:G3"/>
    <mergeCell ref="I3:M3"/>
  </mergeCells>
  <printOptions/>
  <pageMargins left="0.75" right="0.75" top="1" bottom="1" header="0.5" footer="0.5"/>
  <pageSetup fitToHeight="1" fitToWidth="1" horizontalDpi="600" verticalDpi="600" orientation="landscape" scale="61"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D185"/>
  <sheetViews>
    <sheetView tabSelected="1" zoomScale="85" zoomScaleNormal="85" zoomScalePageLayoutView="0" workbookViewId="0" topLeftCell="A1">
      <pane xSplit="1" ySplit="2" topLeftCell="E3" activePane="bottomRight" state="frozen"/>
      <selection pane="topLeft" activeCell="A1" sqref="A1"/>
      <selection pane="topRight" activeCell="D1" sqref="D1"/>
      <selection pane="bottomLeft" activeCell="A3" sqref="A3"/>
      <selection pane="bottomRight" activeCell="S28" sqref="S28"/>
    </sheetView>
  </sheetViews>
  <sheetFormatPr defaultColWidth="9.140625" defaultRowHeight="12.75"/>
  <cols>
    <col min="1" max="5" width="8.00390625" style="0" customWidth="1"/>
    <col min="6" max="6" width="40.28125" style="3" customWidth="1"/>
    <col min="7" max="7" width="41.7109375" style="3" customWidth="1"/>
    <col min="8" max="8" width="37.8515625" style="3" hidden="1" customWidth="1"/>
    <col min="9" max="9" width="20.421875" style="3" customWidth="1"/>
    <col min="10" max="10" width="18.421875" style="3" customWidth="1"/>
    <col min="11" max="11" width="10.57421875" style="3" hidden="1" customWidth="1"/>
    <col min="12" max="12" width="10.8515625" style="6" bestFit="1" customWidth="1"/>
    <col min="13" max="14" width="9.00390625" style="46" bestFit="1" customWidth="1"/>
    <col min="15" max="15" width="8.57421875" style="46" bestFit="1" customWidth="1"/>
    <col min="16" max="16" width="4.7109375" style="46" customWidth="1"/>
    <col min="17" max="17" width="9.7109375" style="46" bestFit="1" customWidth="1"/>
    <col min="18" max="21" width="10.8515625" style="46" bestFit="1" customWidth="1"/>
    <col min="22" max="22" width="11.140625" style="3" customWidth="1"/>
    <col min="23" max="27" width="9.7109375" style="3" bestFit="1" customWidth="1"/>
    <col min="28" max="28" width="11.140625" style="3" customWidth="1"/>
    <col min="29" max="16384" width="9.140625" style="3" customWidth="1"/>
  </cols>
  <sheetData>
    <row r="1" spans="12:27" ht="30.75" customHeight="1">
      <c r="L1" s="43" t="s">
        <v>899</v>
      </c>
      <c r="M1" s="394" t="s">
        <v>786</v>
      </c>
      <c r="N1" s="394"/>
      <c r="O1" s="44"/>
      <c r="P1" s="45"/>
      <c r="R1" s="43" t="s">
        <v>899</v>
      </c>
      <c r="S1" s="43" t="s">
        <v>899</v>
      </c>
      <c r="T1" s="43" t="s">
        <v>899</v>
      </c>
      <c r="U1" s="43" t="s">
        <v>899</v>
      </c>
      <c r="V1" s="43" t="s">
        <v>899</v>
      </c>
      <c r="W1" s="393" t="s">
        <v>787</v>
      </c>
      <c r="X1" s="393"/>
      <c r="Y1" s="393"/>
      <c r="Z1" s="393"/>
      <c r="AA1" s="393"/>
    </row>
    <row r="2" spans="1:28" ht="15.75">
      <c r="A2" t="s">
        <v>710</v>
      </c>
      <c r="F2" s="2" t="s">
        <v>590</v>
      </c>
      <c r="G2" s="2" t="s">
        <v>646</v>
      </c>
      <c r="H2" s="2"/>
      <c r="I2" s="2" t="s">
        <v>591</v>
      </c>
      <c r="J2" s="2" t="s">
        <v>592</v>
      </c>
      <c r="K2" s="2" t="s">
        <v>785</v>
      </c>
      <c r="L2" s="6" t="s">
        <v>711</v>
      </c>
      <c r="M2" s="2" t="s">
        <v>586</v>
      </c>
      <c r="N2" s="2" t="s">
        <v>588</v>
      </c>
      <c r="O2" s="2"/>
      <c r="P2" s="2"/>
      <c r="Q2" s="2" t="s">
        <v>712</v>
      </c>
      <c r="R2" s="2" t="s">
        <v>713</v>
      </c>
      <c r="S2" s="2" t="s">
        <v>714</v>
      </c>
      <c r="T2" s="2" t="s">
        <v>715</v>
      </c>
      <c r="U2" s="2" t="s">
        <v>716</v>
      </c>
      <c r="V2" s="2" t="s">
        <v>455</v>
      </c>
      <c r="W2" s="2" t="s">
        <v>712</v>
      </c>
      <c r="X2" s="2" t="s">
        <v>713</v>
      </c>
      <c r="Y2" s="2" t="s">
        <v>714</v>
      </c>
      <c r="Z2" s="2" t="s">
        <v>715</v>
      </c>
      <c r="AA2" s="2" t="s">
        <v>716</v>
      </c>
      <c r="AB2" s="2" t="s">
        <v>455</v>
      </c>
    </row>
    <row r="3" spans="1:30" ht="15">
      <c r="A3">
        <v>12</v>
      </c>
      <c r="B3">
        <f>IF(D3=F3,"","X")</f>
      </c>
      <c r="C3">
        <f>IF(E3=G3,"","X")</f>
      </c>
      <c r="D3" t="s">
        <v>717</v>
      </c>
      <c r="E3" t="s">
        <v>666</v>
      </c>
      <c r="F3" t="s">
        <v>717</v>
      </c>
      <c r="G3" t="s">
        <v>666</v>
      </c>
      <c r="H3" s="47"/>
      <c r="I3" s="23" t="s">
        <v>602</v>
      </c>
      <c r="J3" s="23" t="s">
        <v>616</v>
      </c>
      <c r="K3" s="1" t="str">
        <f aca="true" t="shared" si="0" ref="K3:K44">CONCATENATE(I3,J3)</f>
        <v>HL</v>
      </c>
      <c r="L3" s="57">
        <f>SUM(Q3:V3)</f>
        <v>220</v>
      </c>
      <c r="M3" s="6">
        <f>(VLOOKUP($K3,'Standard Estimate Uncertainty '!$B$10:$D$18,2)*$L3)+$L3</f>
        <v>209</v>
      </c>
      <c r="N3" s="6">
        <f>(VLOOKUP($K3,'Standard Estimate Uncertainty '!$B$10:$D$18,3)*$L3)+$L3</f>
        <v>242</v>
      </c>
      <c r="O3" s="6"/>
      <c r="P3" s="49"/>
      <c r="Q3" s="58"/>
      <c r="R3" s="407">
        <v>44</v>
      </c>
      <c r="S3" s="407">
        <v>39</v>
      </c>
      <c r="T3" s="407">
        <v>0</v>
      </c>
      <c r="U3" s="407">
        <v>137</v>
      </c>
      <c r="V3" s="407">
        <v>0</v>
      </c>
      <c r="W3" s="60">
        <f aca="true" t="shared" si="1" ref="W3:AB3">Q3/$L3</f>
        <v>0</v>
      </c>
      <c r="X3" s="60">
        <f t="shared" si="1"/>
        <v>0.2</v>
      </c>
      <c r="Y3" s="60">
        <f t="shared" si="1"/>
        <v>0.17727272727272728</v>
      </c>
      <c r="Z3" s="60">
        <f t="shared" si="1"/>
        <v>0</v>
      </c>
      <c r="AA3" s="60">
        <f t="shared" si="1"/>
        <v>0.6227272727272727</v>
      </c>
      <c r="AB3" s="60">
        <f t="shared" si="1"/>
        <v>0</v>
      </c>
      <c r="AC3" s="47"/>
      <c r="AD3" s="3">
        <f>SUM(R3:V3)</f>
        <v>220</v>
      </c>
    </row>
    <row r="4" spans="2:29" ht="15">
      <c r="B4">
        <f aca="true" t="shared" si="2" ref="B4:B67">IF(D4=F4,"","X")</f>
      </c>
      <c r="C4">
        <f aca="true" t="shared" si="3" ref="C4:C67">IF(E4=G4,"","X")</f>
      </c>
      <c r="D4" t="s">
        <v>717</v>
      </c>
      <c r="E4" t="s">
        <v>667</v>
      </c>
      <c r="F4" t="s">
        <v>717</v>
      </c>
      <c r="G4" t="s">
        <v>667</v>
      </c>
      <c r="H4" s="47"/>
      <c r="I4" s="23" t="s">
        <v>602</v>
      </c>
      <c r="J4" s="23" t="s">
        <v>616</v>
      </c>
      <c r="K4" s="1" t="str">
        <f t="shared" si="0"/>
        <v>HL</v>
      </c>
      <c r="L4" s="57">
        <f aca="true" t="shared" si="4" ref="L4:L67">SUM(Q4:V4)</f>
        <v>0</v>
      </c>
      <c r="M4" s="6">
        <f>(VLOOKUP($K4,'Standard Estimate Uncertainty '!$B$10:$D$18,2)*$L4)+$L4</f>
        <v>0</v>
      </c>
      <c r="N4" s="6">
        <f>(VLOOKUP($K4,'Standard Estimate Uncertainty '!$B$10:$D$18,3)*$L4)+$L4</f>
        <v>0</v>
      </c>
      <c r="O4" s="6"/>
      <c r="P4" s="49"/>
      <c r="Q4" s="58"/>
      <c r="R4" s="407">
        <v>0</v>
      </c>
      <c r="S4" s="407">
        <v>0</v>
      </c>
      <c r="T4" s="407">
        <v>0</v>
      </c>
      <c r="U4" s="407">
        <v>0</v>
      </c>
      <c r="V4" s="407">
        <v>0</v>
      </c>
      <c r="W4" s="60" t="e">
        <f aca="true" t="shared" si="5" ref="W4:W67">Q4/$L4</f>
        <v>#DIV/0!</v>
      </c>
      <c r="X4" s="60" t="e">
        <f aca="true" t="shared" si="6" ref="X4:X67">R4/$L4</f>
        <v>#DIV/0!</v>
      </c>
      <c r="Y4" s="60" t="e">
        <f aca="true" t="shared" si="7" ref="Y4:Y67">S4/$L4</f>
        <v>#DIV/0!</v>
      </c>
      <c r="Z4" s="60" t="e">
        <f aca="true" t="shared" si="8" ref="Z4:Z67">T4/$L4</f>
        <v>#DIV/0!</v>
      </c>
      <c r="AA4" s="60" t="e">
        <f aca="true" t="shared" si="9" ref="AA4:AA67">U4/$L4</f>
        <v>#DIV/0!</v>
      </c>
      <c r="AB4" s="60" t="e">
        <f aca="true" t="shared" si="10" ref="AB4:AB67">V4/$L4</f>
        <v>#DIV/0!</v>
      </c>
      <c r="AC4" s="47"/>
    </row>
    <row r="5" spans="2:29" ht="15">
      <c r="B5">
        <f t="shared" si="2"/>
      </c>
      <c r="C5">
        <f t="shared" si="3"/>
      </c>
      <c r="D5" t="s">
        <v>717</v>
      </c>
      <c r="E5" t="s">
        <v>648</v>
      </c>
      <c r="F5" t="s">
        <v>717</v>
      </c>
      <c r="G5" t="s">
        <v>648</v>
      </c>
      <c r="H5" s="47"/>
      <c r="I5" s="23" t="s">
        <v>602</v>
      </c>
      <c r="J5" s="23" t="s">
        <v>616</v>
      </c>
      <c r="K5" s="1" t="str">
        <f t="shared" si="0"/>
        <v>HL</v>
      </c>
      <c r="L5" s="57">
        <f t="shared" si="4"/>
        <v>0</v>
      </c>
      <c r="M5" s="6">
        <f>(VLOOKUP($K5,'Standard Estimate Uncertainty '!$B$10:$D$18,2)*$L5)+$L5</f>
        <v>0</v>
      </c>
      <c r="N5" s="6">
        <f>(VLOOKUP($K5,'Standard Estimate Uncertainty '!$B$10:$D$18,3)*$L5)+$L5</f>
        <v>0</v>
      </c>
      <c r="O5" s="6"/>
      <c r="P5" s="49"/>
      <c r="Q5" s="58"/>
      <c r="R5" s="407">
        <v>0</v>
      </c>
      <c r="S5" s="407">
        <v>0</v>
      </c>
      <c r="T5" s="407">
        <v>0</v>
      </c>
      <c r="U5" s="407">
        <v>0</v>
      </c>
      <c r="V5" s="407">
        <v>0</v>
      </c>
      <c r="W5" s="60" t="e">
        <f t="shared" si="5"/>
        <v>#DIV/0!</v>
      </c>
      <c r="X5" s="60" t="e">
        <f t="shared" si="6"/>
        <v>#DIV/0!</v>
      </c>
      <c r="Y5" s="60" t="e">
        <f t="shared" si="7"/>
        <v>#DIV/0!</v>
      </c>
      <c r="Z5" s="60" t="e">
        <f t="shared" si="8"/>
        <v>#DIV/0!</v>
      </c>
      <c r="AA5" s="60" t="e">
        <f t="shared" si="9"/>
        <v>#DIV/0!</v>
      </c>
      <c r="AB5" s="60" t="e">
        <f t="shared" si="10"/>
        <v>#DIV/0!</v>
      </c>
      <c r="AC5" s="47"/>
    </row>
    <row r="6" spans="2:29" ht="15">
      <c r="B6">
        <f t="shared" si="2"/>
      </c>
      <c r="C6">
        <f t="shared" si="3"/>
      </c>
      <c r="D6" t="s">
        <v>717</v>
      </c>
      <c r="E6" t="s">
        <v>905</v>
      </c>
      <c r="F6" t="s">
        <v>717</v>
      </c>
      <c r="G6" t="s">
        <v>905</v>
      </c>
      <c r="H6" s="47"/>
      <c r="I6" s="23" t="s">
        <v>602</v>
      </c>
      <c r="J6" s="23" t="s">
        <v>616</v>
      </c>
      <c r="K6" s="1" t="str">
        <f t="shared" si="0"/>
        <v>HL</v>
      </c>
      <c r="L6" s="57">
        <f t="shared" si="4"/>
        <v>0</v>
      </c>
      <c r="M6" s="6">
        <f>(VLOOKUP($K6,'Standard Estimate Uncertainty '!$B$10:$D$18,2)*$L6)+$L6</f>
        <v>0</v>
      </c>
      <c r="N6" s="6">
        <f>(VLOOKUP($K6,'Standard Estimate Uncertainty '!$B$10:$D$18,3)*$L6)+$L6</f>
        <v>0</v>
      </c>
      <c r="O6" s="6"/>
      <c r="P6" s="49"/>
      <c r="Q6" s="58"/>
      <c r="R6" s="407">
        <v>0</v>
      </c>
      <c r="S6" s="407">
        <v>0</v>
      </c>
      <c r="T6" s="407">
        <v>0</v>
      </c>
      <c r="U6" s="407">
        <v>0</v>
      </c>
      <c r="V6" s="407">
        <v>0</v>
      </c>
      <c r="W6" s="60" t="e">
        <f t="shared" si="5"/>
        <v>#DIV/0!</v>
      </c>
      <c r="X6" s="60" t="e">
        <f t="shared" si="6"/>
        <v>#DIV/0!</v>
      </c>
      <c r="Y6" s="60" t="e">
        <f t="shared" si="7"/>
        <v>#DIV/0!</v>
      </c>
      <c r="Z6" s="60" t="e">
        <f t="shared" si="8"/>
        <v>#DIV/0!</v>
      </c>
      <c r="AA6" s="60" t="e">
        <f t="shared" si="9"/>
        <v>#DIV/0!</v>
      </c>
      <c r="AB6" s="60" t="e">
        <f t="shared" si="10"/>
        <v>#DIV/0!</v>
      </c>
      <c r="AC6" s="47"/>
    </row>
    <row r="7" spans="2:29" ht="15">
      <c r="B7">
        <f t="shared" si="2"/>
      </c>
      <c r="C7">
        <f t="shared" si="3"/>
      </c>
      <c r="D7" t="s">
        <v>717</v>
      </c>
      <c r="E7" t="s">
        <v>668</v>
      </c>
      <c r="F7" t="s">
        <v>717</v>
      </c>
      <c r="G7" t="s">
        <v>668</v>
      </c>
      <c r="H7" s="47"/>
      <c r="I7" s="23" t="s">
        <v>602</v>
      </c>
      <c r="J7" s="23" t="s">
        <v>616</v>
      </c>
      <c r="K7" s="1" t="str">
        <f t="shared" si="0"/>
        <v>HL</v>
      </c>
      <c r="L7" s="57">
        <f t="shared" si="4"/>
        <v>0</v>
      </c>
      <c r="M7" s="6">
        <f>(VLOOKUP($K7,'Standard Estimate Uncertainty '!$B$10:$D$18,2)*$L7)+$L7</f>
        <v>0</v>
      </c>
      <c r="N7" s="6">
        <f>(VLOOKUP($K7,'Standard Estimate Uncertainty '!$B$10:$D$18,3)*$L7)+$L7</f>
        <v>0</v>
      </c>
      <c r="O7" s="6"/>
      <c r="P7" s="49"/>
      <c r="Q7" s="58"/>
      <c r="R7" s="407">
        <v>0</v>
      </c>
      <c r="S7" s="407">
        <v>0</v>
      </c>
      <c r="T7" s="407">
        <v>0</v>
      </c>
      <c r="U7" s="407">
        <v>0</v>
      </c>
      <c r="V7" s="407">
        <v>0</v>
      </c>
      <c r="W7" s="60" t="e">
        <f t="shared" si="5"/>
        <v>#DIV/0!</v>
      </c>
      <c r="X7" s="60" t="e">
        <f t="shared" si="6"/>
        <v>#DIV/0!</v>
      </c>
      <c r="Y7" s="60" t="e">
        <f t="shared" si="7"/>
        <v>#DIV/0!</v>
      </c>
      <c r="Z7" s="60" t="e">
        <f t="shared" si="8"/>
        <v>#DIV/0!</v>
      </c>
      <c r="AA7" s="60" t="e">
        <f t="shared" si="9"/>
        <v>#DIV/0!</v>
      </c>
      <c r="AB7" s="60" t="e">
        <f t="shared" si="10"/>
        <v>#DIV/0!</v>
      </c>
      <c r="AC7" s="47"/>
    </row>
    <row r="8" spans="2:29" ht="15">
      <c r="B8">
        <f t="shared" si="2"/>
      </c>
      <c r="C8">
        <f t="shared" si="3"/>
      </c>
      <c r="D8" t="s">
        <v>718</v>
      </c>
      <c r="E8" t="s">
        <v>647</v>
      </c>
      <c r="F8" t="s">
        <v>718</v>
      </c>
      <c r="G8" t="s">
        <v>647</v>
      </c>
      <c r="H8" s="47"/>
      <c r="I8" s="23" t="s">
        <v>784</v>
      </c>
      <c r="J8" s="64"/>
      <c r="K8" s="1" t="str">
        <f t="shared" si="0"/>
        <v>FROZEN</v>
      </c>
      <c r="L8" s="57">
        <f t="shared" si="4"/>
        <v>0</v>
      </c>
      <c r="M8" s="392" t="s">
        <v>784</v>
      </c>
      <c r="N8" s="392"/>
      <c r="O8" s="6"/>
      <c r="P8" s="49"/>
      <c r="Q8" s="58"/>
      <c r="R8" s="407">
        <v>0</v>
      </c>
      <c r="S8" s="407">
        <v>0</v>
      </c>
      <c r="T8" s="407">
        <v>0</v>
      </c>
      <c r="U8" s="407">
        <v>0</v>
      </c>
      <c r="V8" s="407">
        <v>0</v>
      </c>
      <c r="W8" s="60" t="e">
        <f t="shared" si="5"/>
        <v>#DIV/0!</v>
      </c>
      <c r="X8" s="60" t="e">
        <f t="shared" si="6"/>
        <v>#DIV/0!</v>
      </c>
      <c r="Y8" s="60" t="e">
        <f t="shared" si="7"/>
        <v>#DIV/0!</v>
      </c>
      <c r="Z8" s="60" t="e">
        <f t="shared" si="8"/>
        <v>#DIV/0!</v>
      </c>
      <c r="AA8" s="60" t="e">
        <f t="shared" si="9"/>
        <v>#DIV/0!</v>
      </c>
      <c r="AB8" s="60" t="e">
        <f t="shared" si="10"/>
        <v>#DIV/0!</v>
      </c>
      <c r="AC8" s="47"/>
    </row>
    <row r="9" spans="2:29" ht="15">
      <c r="B9">
        <f t="shared" si="2"/>
      </c>
      <c r="C9">
        <f t="shared" si="3"/>
      </c>
      <c r="D9" t="s">
        <v>921</v>
      </c>
      <c r="E9" t="s">
        <v>647</v>
      </c>
      <c r="F9" t="s">
        <v>921</v>
      </c>
      <c r="G9" t="s">
        <v>647</v>
      </c>
      <c r="H9" s="55"/>
      <c r="I9" s="23" t="s">
        <v>603</v>
      </c>
      <c r="J9" s="64" t="s">
        <v>616</v>
      </c>
      <c r="K9" s="1" t="str">
        <f t="shared" si="0"/>
        <v>ML</v>
      </c>
      <c r="L9" s="57">
        <f t="shared" si="4"/>
        <v>566</v>
      </c>
      <c r="M9" s="6">
        <f>(VLOOKUP($K9,'Standard Estimate Uncertainty '!$B$10:$D$18,2)*$L9)+$L9</f>
        <v>509.4</v>
      </c>
      <c r="N9" s="6">
        <f>(VLOOKUP($K9,'Standard Estimate Uncertainty '!$B$10:$D$18,3)*$L9)+$L9</f>
        <v>650.9</v>
      </c>
      <c r="O9" s="6"/>
      <c r="P9" s="49"/>
      <c r="Q9" s="58"/>
      <c r="R9" s="407">
        <v>30</v>
      </c>
      <c r="S9" s="407">
        <v>108</v>
      </c>
      <c r="T9" s="407">
        <v>409</v>
      </c>
      <c r="U9" s="407">
        <v>19</v>
      </c>
      <c r="V9" s="407">
        <v>0</v>
      </c>
      <c r="W9" s="60">
        <f t="shared" si="5"/>
        <v>0</v>
      </c>
      <c r="X9" s="60">
        <f t="shared" si="6"/>
        <v>0.053003533568904596</v>
      </c>
      <c r="Y9" s="60">
        <f t="shared" si="7"/>
        <v>0.19081272084805653</v>
      </c>
      <c r="Z9" s="60">
        <f t="shared" si="8"/>
        <v>0.7226148409893993</v>
      </c>
      <c r="AA9" s="60">
        <f t="shared" si="9"/>
        <v>0.03356890459363958</v>
      </c>
      <c r="AB9" s="60">
        <f t="shared" si="10"/>
        <v>0</v>
      </c>
      <c r="AC9" s="47"/>
    </row>
    <row r="10" spans="2:29" ht="15">
      <c r="B10">
        <f t="shared" si="2"/>
      </c>
      <c r="C10">
        <f t="shared" si="3"/>
      </c>
      <c r="D10" t="s">
        <v>307</v>
      </c>
      <c r="E10" t="s">
        <v>647</v>
      </c>
      <c r="F10" t="s">
        <v>307</v>
      </c>
      <c r="G10" t="s">
        <v>647</v>
      </c>
      <c r="H10" s="55"/>
      <c r="I10" s="23" t="s">
        <v>603</v>
      </c>
      <c r="J10" s="64" t="s">
        <v>616</v>
      </c>
      <c r="K10" s="1" t="str">
        <f t="shared" si="0"/>
        <v>ML</v>
      </c>
      <c r="L10" s="57">
        <f t="shared" si="4"/>
        <v>642</v>
      </c>
      <c r="M10" s="6">
        <f>(VLOOKUP($K10,'Standard Estimate Uncertainty '!$B$10:$D$18,2)*$L10)+$L10</f>
        <v>577.8</v>
      </c>
      <c r="N10" s="6">
        <f>(VLOOKUP($K10,'Standard Estimate Uncertainty '!$B$10:$D$18,3)*$L10)+$L10</f>
        <v>738.3</v>
      </c>
      <c r="O10" s="6"/>
      <c r="P10" s="49"/>
      <c r="Q10" s="58"/>
      <c r="R10" s="407">
        <v>0</v>
      </c>
      <c r="S10" s="407">
        <v>93</v>
      </c>
      <c r="T10" s="407">
        <v>361</v>
      </c>
      <c r="U10" s="407">
        <v>188</v>
      </c>
      <c r="V10" s="407">
        <v>0</v>
      </c>
      <c r="W10" s="60">
        <f t="shared" si="5"/>
        <v>0</v>
      </c>
      <c r="X10" s="60">
        <f t="shared" si="6"/>
        <v>0</v>
      </c>
      <c r="Y10" s="60">
        <f t="shared" si="7"/>
        <v>0.14485981308411214</v>
      </c>
      <c r="Z10" s="60">
        <f t="shared" si="8"/>
        <v>0.5623052959501558</v>
      </c>
      <c r="AA10" s="60">
        <f t="shared" si="9"/>
        <v>0.29283489096573206</v>
      </c>
      <c r="AB10" s="60">
        <f t="shared" si="10"/>
        <v>0</v>
      </c>
      <c r="AC10" s="47"/>
    </row>
    <row r="11" spans="1:29" ht="15">
      <c r="A11">
        <v>13</v>
      </c>
      <c r="B11">
        <f t="shared" si="2"/>
      </c>
      <c r="C11">
        <f t="shared" si="3"/>
      </c>
      <c r="D11" t="s">
        <v>303</v>
      </c>
      <c r="E11" t="s">
        <v>647</v>
      </c>
      <c r="F11" t="s">
        <v>303</v>
      </c>
      <c r="G11" t="s">
        <v>647</v>
      </c>
      <c r="H11" s="47"/>
      <c r="I11" s="23" t="s">
        <v>602</v>
      </c>
      <c r="J11" s="23" t="s">
        <v>616</v>
      </c>
      <c r="K11" s="1" t="str">
        <f t="shared" si="0"/>
        <v>HL</v>
      </c>
      <c r="L11" s="57">
        <f t="shared" si="4"/>
        <v>91</v>
      </c>
      <c r="M11" s="6">
        <f>(VLOOKUP($K11,'Standard Estimate Uncertainty '!$B$10:$D$18,2)*$L11)+$L11</f>
        <v>86.45</v>
      </c>
      <c r="N11" s="6">
        <f>(VLOOKUP($K11,'Standard Estimate Uncertainty '!$B$10:$D$18,3)*$L11)+$L11</f>
        <v>100.1</v>
      </c>
      <c r="O11" s="6"/>
      <c r="P11" s="49"/>
      <c r="Q11" s="58"/>
      <c r="R11" s="407">
        <v>91</v>
      </c>
      <c r="S11" s="407">
        <v>0</v>
      </c>
      <c r="T11" s="407">
        <v>0</v>
      </c>
      <c r="U11" s="407">
        <v>0</v>
      </c>
      <c r="V11" s="407">
        <v>0</v>
      </c>
      <c r="W11" s="60">
        <f t="shared" si="5"/>
        <v>0</v>
      </c>
      <c r="X11" s="60">
        <f t="shared" si="6"/>
        <v>1</v>
      </c>
      <c r="Y11" s="60">
        <f t="shared" si="7"/>
        <v>0</v>
      </c>
      <c r="Z11" s="60">
        <f t="shared" si="8"/>
        <v>0</v>
      </c>
      <c r="AA11" s="60">
        <f t="shared" si="9"/>
        <v>0</v>
      </c>
      <c r="AB11" s="60">
        <f t="shared" si="10"/>
        <v>0</v>
      </c>
      <c r="AC11" s="47"/>
    </row>
    <row r="12" spans="2:29" ht="15">
      <c r="B12">
        <f t="shared" si="2"/>
      </c>
      <c r="C12">
        <f t="shared" si="3"/>
      </c>
      <c r="D12" t="s">
        <v>303</v>
      </c>
      <c r="E12" t="s">
        <v>664</v>
      </c>
      <c r="F12" t="s">
        <v>303</v>
      </c>
      <c r="G12" t="s">
        <v>664</v>
      </c>
      <c r="H12" s="47"/>
      <c r="I12" s="23" t="s">
        <v>784</v>
      </c>
      <c r="J12" s="64"/>
      <c r="K12" s="1" t="str">
        <f t="shared" si="0"/>
        <v>FROZEN</v>
      </c>
      <c r="L12" s="57">
        <f t="shared" si="4"/>
        <v>0</v>
      </c>
      <c r="M12" s="392" t="s">
        <v>784</v>
      </c>
      <c r="N12" s="392"/>
      <c r="O12" s="6"/>
      <c r="P12" s="49"/>
      <c r="Q12" s="58"/>
      <c r="R12" s="407">
        <v>0</v>
      </c>
      <c r="S12" s="407">
        <v>0</v>
      </c>
      <c r="T12" s="407">
        <v>0</v>
      </c>
      <c r="U12" s="407">
        <v>0</v>
      </c>
      <c r="V12" s="407">
        <v>0</v>
      </c>
      <c r="W12" s="60" t="e">
        <f t="shared" si="5"/>
        <v>#DIV/0!</v>
      </c>
      <c r="X12" s="60" t="e">
        <f t="shared" si="6"/>
        <v>#DIV/0!</v>
      </c>
      <c r="Y12" s="60" t="e">
        <f t="shared" si="7"/>
        <v>#DIV/0!</v>
      </c>
      <c r="Z12" s="60" t="e">
        <f t="shared" si="8"/>
        <v>#DIV/0!</v>
      </c>
      <c r="AA12" s="60" t="e">
        <f t="shared" si="9"/>
        <v>#DIV/0!</v>
      </c>
      <c r="AB12" s="60" t="e">
        <f t="shared" si="10"/>
        <v>#DIV/0!</v>
      </c>
      <c r="AC12" s="47"/>
    </row>
    <row r="13" spans="2:29" ht="15">
      <c r="B13">
        <f t="shared" si="2"/>
      </c>
      <c r="C13">
        <f t="shared" si="3"/>
      </c>
      <c r="D13" t="s">
        <v>906</v>
      </c>
      <c r="E13" t="s">
        <v>669</v>
      </c>
      <c r="F13" t="s">
        <v>906</v>
      </c>
      <c r="G13" t="s">
        <v>669</v>
      </c>
      <c r="H13" s="47"/>
      <c r="I13" s="23" t="s">
        <v>602</v>
      </c>
      <c r="J13" s="23" t="s">
        <v>616</v>
      </c>
      <c r="K13" s="1" t="str">
        <f t="shared" si="0"/>
        <v>HL</v>
      </c>
      <c r="L13" s="57">
        <f t="shared" si="4"/>
        <v>1638</v>
      </c>
      <c r="M13" s="6">
        <f>(VLOOKUP($K13,'Standard Estimate Uncertainty '!$B$10:$D$18,2)*$L13)+$L13</f>
        <v>1556.1</v>
      </c>
      <c r="N13" s="6">
        <f>(VLOOKUP($K13,'Standard Estimate Uncertainty '!$B$10:$D$18,3)*$L13)+$L13</f>
        <v>1801.8</v>
      </c>
      <c r="O13" s="6"/>
      <c r="P13" s="49"/>
      <c r="Q13" s="58"/>
      <c r="R13" s="407">
        <v>1054</v>
      </c>
      <c r="S13" s="407">
        <v>533</v>
      </c>
      <c r="T13" s="407">
        <v>21</v>
      </c>
      <c r="U13" s="407">
        <v>30</v>
      </c>
      <c r="V13" s="407">
        <v>0</v>
      </c>
      <c r="W13" s="60">
        <f t="shared" si="5"/>
        <v>0</v>
      </c>
      <c r="X13" s="60">
        <f t="shared" si="6"/>
        <v>0.6434676434676435</v>
      </c>
      <c r="Y13" s="60">
        <f t="shared" si="7"/>
        <v>0.3253968253968254</v>
      </c>
      <c r="Z13" s="60">
        <f t="shared" si="8"/>
        <v>0.01282051282051282</v>
      </c>
      <c r="AA13" s="60">
        <f t="shared" si="9"/>
        <v>0.018315018315018316</v>
      </c>
      <c r="AB13" s="60">
        <f t="shared" si="10"/>
        <v>0</v>
      </c>
      <c r="AC13" s="47"/>
    </row>
    <row r="14" spans="2:29" ht="15">
      <c r="B14">
        <f t="shared" si="2"/>
      </c>
      <c r="C14">
        <f t="shared" si="3"/>
      </c>
      <c r="D14" t="s">
        <v>304</v>
      </c>
      <c r="E14" t="s">
        <v>670</v>
      </c>
      <c r="F14" t="s">
        <v>304</v>
      </c>
      <c r="G14" t="s">
        <v>670</v>
      </c>
      <c r="H14" s="47"/>
      <c r="I14" s="23" t="s">
        <v>602</v>
      </c>
      <c r="J14" s="23" t="s">
        <v>616</v>
      </c>
      <c r="K14" s="1" t="str">
        <f t="shared" si="0"/>
        <v>HL</v>
      </c>
      <c r="L14" s="57">
        <f t="shared" si="4"/>
        <v>358</v>
      </c>
      <c r="M14" s="6">
        <f>(VLOOKUP($K14,'Standard Estimate Uncertainty '!$B$10:$D$18,2)*$L14)+$L14</f>
        <v>340.1</v>
      </c>
      <c r="N14" s="6">
        <f>(VLOOKUP($K14,'Standard Estimate Uncertainty '!$B$10:$D$18,3)*$L14)+$L14</f>
        <v>393.8</v>
      </c>
      <c r="O14" s="6"/>
      <c r="P14" s="49"/>
      <c r="Q14" s="58"/>
      <c r="R14" s="407">
        <v>34</v>
      </c>
      <c r="S14" s="407">
        <v>0</v>
      </c>
      <c r="T14" s="407">
        <v>254</v>
      </c>
      <c r="U14" s="407">
        <v>70</v>
      </c>
      <c r="V14" s="407">
        <v>0</v>
      </c>
      <c r="W14" s="60">
        <f t="shared" si="5"/>
        <v>0</v>
      </c>
      <c r="X14" s="60">
        <f t="shared" si="6"/>
        <v>0.09497206703910614</v>
      </c>
      <c r="Y14" s="60">
        <f t="shared" si="7"/>
        <v>0</v>
      </c>
      <c r="Z14" s="60">
        <f t="shared" si="8"/>
        <v>0.7094972067039106</v>
      </c>
      <c r="AA14" s="60">
        <f t="shared" si="9"/>
        <v>0.19553072625698323</v>
      </c>
      <c r="AB14" s="60">
        <f t="shared" si="10"/>
        <v>0</v>
      </c>
      <c r="AC14" s="47"/>
    </row>
    <row r="15" spans="2:29" ht="15">
      <c r="B15">
        <f t="shared" si="2"/>
      </c>
      <c r="C15">
        <f t="shared" si="3"/>
      </c>
      <c r="D15" t="s">
        <v>720</v>
      </c>
      <c r="E15" t="s">
        <v>907</v>
      </c>
      <c r="F15" t="s">
        <v>720</v>
      </c>
      <c r="G15" t="s">
        <v>907</v>
      </c>
      <c r="H15" s="47"/>
      <c r="I15" s="23" t="s">
        <v>603</v>
      </c>
      <c r="J15" s="23" t="s">
        <v>616</v>
      </c>
      <c r="K15" s="1" t="str">
        <f t="shared" si="0"/>
        <v>ML</v>
      </c>
      <c r="L15" s="57">
        <f t="shared" si="4"/>
        <v>1433</v>
      </c>
      <c r="M15" s="6">
        <f>(VLOOKUP($K15,'Standard Estimate Uncertainty '!$B$10:$D$18,2)*$L15)+$L15</f>
        <v>1289.7</v>
      </c>
      <c r="N15" s="6">
        <f>(VLOOKUP($K15,'Standard Estimate Uncertainty '!$B$10:$D$18,3)*$L15)+$L15</f>
        <v>1647.95</v>
      </c>
      <c r="O15" s="6"/>
      <c r="P15" s="49"/>
      <c r="Q15" s="58"/>
      <c r="R15" s="407">
        <v>858</v>
      </c>
      <c r="S15" s="407">
        <v>575</v>
      </c>
      <c r="T15" s="407">
        <v>0</v>
      </c>
      <c r="U15" s="407">
        <v>0</v>
      </c>
      <c r="V15" s="407">
        <v>0</v>
      </c>
      <c r="W15" s="60">
        <f t="shared" si="5"/>
        <v>0</v>
      </c>
      <c r="X15" s="60">
        <f t="shared" si="6"/>
        <v>0.5987438939288207</v>
      </c>
      <c r="Y15" s="60">
        <f t="shared" si="7"/>
        <v>0.40125610607117934</v>
      </c>
      <c r="Z15" s="60">
        <f t="shared" si="8"/>
        <v>0</v>
      </c>
      <c r="AA15" s="60">
        <f t="shared" si="9"/>
        <v>0</v>
      </c>
      <c r="AB15" s="60">
        <f t="shared" si="10"/>
        <v>0</v>
      </c>
      <c r="AC15" s="47"/>
    </row>
    <row r="16" spans="2:29" ht="15">
      <c r="B16">
        <f t="shared" si="2"/>
      </c>
      <c r="C16">
        <f t="shared" si="3"/>
      </c>
      <c r="D16" t="s">
        <v>908</v>
      </c>
      <c r="E16" t="s">
        <v>671</v>
      </c>
      <c r="F16" t="s">
        <v>908</v>
      </c>
      <c r="G16" t="s">
        <v>671</v>
      </c>
      <c r="H16" s="47"/>
      <c r="I16" s="23" t="s">
        <v>603</v>
      </c>
      <c r="J16" s="23" t="s">
        <v>616</v>
      </c>
      <c r="K16" s="1" t="str">
        <f t="shared" si="0"/>
        <v>ML</v>
      </c>
      <c r="L16" s="57">
        <f t="shared" si="4"/>
        <v>109</v>
      </c>
      <c r="M16" s="6">
        <f>(VLOOKUP($K16,'Standard Estimate Uncertainty '!$B$10:$D$18,2)*$L16)+$L16</f>
        <v>98.1</v>
      </c>
      <c r="N16" s="6">
        <f>(VLOOKUP($K16,'Standard Estimate Uncertainty '!$B$10:$D$18,3)*$L16)+$L16</f>
        <v>125.35</v>
      </c>
      <c r="O16" s="6"/>
      <c r="P16" s="49"/>
      <c r="Q16" s="58"/>
      <c r="R16" s="407">
        <v>57</v>
      </c>
      <c r="S16" s="407">
        <v>50</v>
      </c>
      <c r="T16" s="407">
        <v>0</v>
      </c>
      <c r="U16" s="407">
        <v>2</v>
      </c>
      <c r="V16" s="407">
        <v>0</v>
      </c>
      <c r="W16" s="60">
        <f t="shared" si="5"/>
        <v>0</v>
      </c>
      <c r="X16" s="60">
        <f t="shared" si="6"/>
        <v>0.5229357798165137</v>
      </c>
      <c r="Y16" s="60">
        <f t="shared" si="7"/>
        <v>0.45871559633027525</v>
      </c>
      <c r="Z16" s="60">
        <f t="shared" si="8"/>
        <v>0</v>
      </c>
      <c r="AA16" s="60">
        <f t="shared" si="9"/>
        <v>0.01834862385321101</v>
      </c>
      <c r="AB16" s="60">
        <f t="shared" si="10"/>
        <v>0</v>
      </c>
      <c r="AC16" s="47"/>
    </row>
    <row r="17" spans="2:29" ht="15">
      <c r="B17">
        <f t="shared" si="2"/>
      </c>
      <c r="C17">
        <f t="shared" si="3"/>
      </c>
      <c r="D17" t="s">
        <v>721</v>
      </c>
      <c r="E17" t="s">
        <v>647</v>
      </c>
      <c r="F17" t="s">
        <v>721</v>
      </c>
      <c r="G17" t="s">
        <v>647</v>
      </c>
      <c r="H17" s="47"/>
      <c r="I17" s="23" t="s">
        <v>784</v>
      </c>
      <c r="J17" s="64"/>
      <c r="K17" s="1" t="str">
        <f t="shared" si="0"/>
        <v>FROZEN</v>
      </c>
      <c r="L17" s="57">
        <f t="shared" si="4"/>
        <v>0</v>
      </c>
      <c r="M17" s="392" t="s">
        <v>784</v>
      </c>
      <c r="N17" s="392"/>
      <c r="O17" s="6"/>
      <c r="P17" s="49"/>
      <c r="Q17" s="58"/>
      <c r="R17" s="407">
        <v>0</v>
      </c>
      <c r="S17" s="407">
        <v>0</v>
      </c>
      <c r="T17" s="407">
        <v>0</v>
      </c>
      <c r="U17" s="407">
        <v>0</v>
      </c>
      <c r="V17" s="407">
        <v>0</v>
      </c>
      <c r="W17" s="60" t="e">
        <f t="shared" si="5"/>
        <v>#DIV/0!</v>
      </c>
      <c r="X17" s="60" t="e">
        <f t="shared" si="6"/>
        <v>#DIV/0!</v>
      </c>
      <c r="Y17" s="60" t="e">
        <f t="shared" si="7"/>
        <v>#DIV/0!</v>
      </c>
      <c r="Z17" s="60" t="e">
        <f t="shared" si="8"/>
        <v>#DIV/0!</v>
      </c>
      <c r="AA17" s="60" t="e">
        <f t="shared" si="9"/>
        <v>#DIV/0!</v>
      </c>
      <c r="AB17" s="60" t="e">
        <f t="shared" si="10"/>
        <v>#DIV/0!</v>
      </c>
      <c r="AC17" s="47"/>
    </row>
    <row r="18" spans="2:29" ht="15">
      <c r="B18">
        <f t="shared" si="2"/>
      </c>
      <c r="C18">
        <f t="shared" si="3"/>
      </c>
      <c r="D18" t="s">
        <v>721</v>
      </c>
      <c r="E18" t="s">
        <v>672</v>
      </c>
      <c r="F18" t="s">
        <v>721</v>
      </c>
      <c r="G18" t="s">
        <v>672</v>
      </c>
      <c r="H18" s="47"/>
      <c r="I18" s="23" t="s">
        <v>602</v>
      </c>
      <c r="J18" s="23" t="s">
        <v>603</v>
      </c>
      <c r="K18" s="1" t="str">
        <f t="shared" si="0"/>
        <v>HM</v>
      </c>
      <c r="L18" s="57">
        <f t="shared" si="4"/>
        <v>153</v>
      </c>
      <c r="M18" s="6">
        <f>(VLOOKUP($K18,'Standard Estimate Uncertainty '!$B$10:$D$18,2)*$L18)+$L18</f>
        <v>137.7</v>
      </c>
      <c r="N18" s="6">
        <f>(VLOOKUP($K18,'Standard Estimate Uncertainty '!$B$10:$D$18,3)*$L18)+$L18</f>
        <v>175.95</v>
      </c>
      <c r="O18" s="6"/>
      <c r="P18" s="49"/>
      <c r="Q18" s="58"/>
      <c r="R18" s="407">
        <v>136</v>
      </c>
      <c r="S18" s="407">
        <v>17</v>
      </c>
      <c r="T18" s="407">
        <v>0</v>
      </c>
      <c r="U18" s="407">
        <v>0</v>
      </c>
      <c r="V18" s="407">
        <v>0</v>
      </c>
      <c r="W18" s="60">
        <f t="shared" si="5"/>
        <v>0</v>
      </c>
      <c r="X18" s="60">
        <f t="shared" si="6"/>
        <v>0.8888888888888888</v>
      </c>
      <c r="Y18" s="60">
        <f t="shared" si="7"/>
        <v>0.1111111111111111</v>
      </c>
      <c r="Z18" s="60">
        <f t="shared" si="8"/>
        <v>0</v>
      </c>
      <c r="AA18" s="60">
        <f t="shared" si="9"/>
        <v>0</v>
      </c>
      <c r="AB18" s="60">
        <f t="shared" si="10"/>
        <v>0</v>
      </c>
      <c r="AC18" s="47"/>
    </row>
    <row r="19" spans="2:29" ht="15">
      <c r="B19">
        <f t="shared" si="2"/>
      </c>
      <c r="C19">
        <f t="shared" si="3"/>
      </c>
      <c r="D19" t="s">
        <v>721</v>
      </c>
      <c r="E19" t="s">
        <v>673</v>
      </c>
      <c r="F19" t="s">
        <v>721</v>
      </c>
      <c r="G19" t="s">
        <v>673</v>
      </c>
      <c r="H19" s="47"/>
      <c r="I19" s="23" t="s">
        <v>602</v>
      </c>
      <c r="J19" s="23" t="s">
        <v>603</v>
      </c>
      <c r="K19" s="1" t="str">
        <f t="shared" si="0"/>
        <v>HM</v>
      </c>
      <c r="L19" s="57">
        <f t="shared" si="4"/>
        <v>474</v>
      </c>
      <c r="M19" s="6">
        <f>(VLOOKUP($K19,'Standard Estimate Uncertainty '!$B$10:$D$18,2)*$L19)+$L19</f>
        <v>426.6</v>
      </c>
      <c r="N19" s="6">
        <f>(VLOOKUP($K19,'Standard Estimate Uncertainty '!$B$10:$D$18,3)*$L19)+$L19</f>
        <v>545.1</v>
      </c>
      <c r="O19" s="6"/>
      <c r="P19" s="49"/>
      <c r="Q19" s="58"/>
      <c r="R19" s="407">
        <v>427</v>
      </c>
      <c r="S19" s="407">
        <v>47</v>
      </c>
      <c r="T19" s="407">
        <v>0</v>
      </c>
      <c r="U19" s="407">
        <v>0</v>
      </c>
      <c r="V19" s="407">
        <v>0</v>
      </c>
      <c r="W19" s="60">
        <f t="shared" si="5"/>
        <v>0</v>
      </c>
      <c r="X19" s="60">
        <f t="shared" si="6"/>
        <v>0.9008438818565401</v>
      </c>
      <c r="Y19" s="60">
        <f t="shared" si="7"/>
        <v>0.09915611814345991</v>
      </c>
      <c r="Z19" s="60">
        <f t="shared" si="8"/>
        <v>0</v>
      </c>
      <c r="AA19" s="60">
        <f t="shared" si="9"/>
        <v>0</v>
      </c>
      <c r="AB19" s="60">
        <f t="shared" si="10"/>
        <v>0</v>
      </c>
      <c r="AC19" s="47"/>
    </row>
    <row r="20" spans="2:29" ht="15">
      <c r="B20">
        <f t="shared" si="2"/>
      </c>
      <c r="C20">
        <f t="shared" si="3"/>
      </c>
      <c r="D20" t="s">
        <v>721</v>
      </c>
      <c r="E20" t="s">
        <v>664</v>
      </c>
      <c r="F20" t="s">
        <v>721</v>
      </c>
      <c r="G20" t="s">
        <v>664</v>
      </c>
      <c r="H20" s="47"/>
      <c r="I20" s="23" t="s">
        <v>784</v>
      </c>
      <c r="J20" s="64"/>
      <c r="K20" s="1" t="str">
        <f t="shared" si="0"/>
        <v>FROZEN</v>
      </c>
      <c r="L20" s="57">
        <f t="shared" si="4"/>
        <v>0</v>
      </c>
      <c r="M20" s="392" t="s">
        <v>784</v>
      </c>
      <c r="N20" s="392"/>
      <c r="O20" s="6"/>
      <c r="P20" s="49"/>
      <c r="Q20" s="58"/>
      <c r="R20" s="407">
        <v>0</v>
      </c>
      <c r="S20" s="407">
        <v>0</v>
      </c>
      <c r="T20" s="407">
        <v>0</v>
      </c>
      <c r="U20" s="407">
        <v>0</v>
      </c>
      <c r="V20" s="407">
        <v>0</v>
      </c>
      <c r="W20" s="60" t="e">
        <f t="shared" si="5"/>
        <v>#DIV/0!</v>
      </c>
      <c r="X20" s="60" t="e">
        <f t="shared" si="6"/>
        <v>#DIV/0!</v>
      </c>
      <c r="Y20" s="60" t="e">
        <f t="shared" si="7"/>
        <v>#DIV/0!</v>
      </c>
      <c r="Z20" s="60" t="e">
        <f t="shared" si="8"/>
        <v>#DIV/0!</v>
      </c>
      <c r="AA20" s="60" t="e">
        <f t="shared" si="9"/>
        <v>#DIV/0!</v>
      </c>
      <c r="AB20" s="60" t="e">
        <f t="shared" si="10"/>
        <v>#DIV/0!</v>
      </c>
      <c r="AC20" s="47"/>
    </row>
    <row r="21" spans="1:29" ht="15">
      <c r="A21">
        <v>14</v>
      </c>
      <c r="B21">
        <f t="shared" si="2"/>
      </c>
      <c r="C21">
        <f t="shared" si="3"/>
      </c>
      <c r="D21" t="s">
        <v>722</v>
      </c>
      <c r="E21" t="s">
        <v>647</v>
      </c>
      <c r="F21" t="s">
        <v>722</v>
      </c>
      <c r="G21" t="s">
        <v>647</v>
      </c>
      <c r="H21" s="47"/>
      <c r="I21" s="23" t="s">
        <v>784</v>
      </c>
      <c r="J21" s="64"/>
      <c r="K21" s="1" t="str">
        <f t="shared" si="0"/>
        <v>FROZEN</v>
      </c>
      <c r="L21" s="57">
        <f t="shared" si="4"/>
        <v>0</v>
      </c>
      <c r="M21" s="392" t="s">
        <v>784</v>
      </c>
      <c r="N21" s="392"/>
      <c r="O21" s="6"/>
      <c r="P21" s="49"/>
      <c r="Q21" s="58"/>
      <c r="R21" s="407">
        <v>0</v>
      </c>
      <c r="S21" s="407">
        <v>0</v>
      </c>
      <c r="T21" s="407">
        <v>0</v>
      </c>
      <c r="U21" s="407">
        <v>0</v>
      </c>
      <c r="V21" s="407">
        <v>0</v>
      </c>
      <c r="W21" s="60" t="e">
        <f t="shared" si="5"/>
        <v>#DIV/0!</v>
      </c>
      <c r="X21" s="60" t="e">
        <f t="shared" si="6"/>
        <v>#DIV/0!</v>
      </c>
      <c r="Y21" s="60" t="e">
        <f t="shared" si="7"/>
        <v>#DIV/0!</v>
      </c>
      <c r="Z21" s="60" t="e">
        <f t="shared" si="8"/>
        <v>#DIV/0!</v>
      </c>
      <c r="AA21" s="60" t="e">
        <f t="shared" si="9"/>
        <v>#DIV/0!</v>
      </c>
      <c r="AB21" s="60" t="e">
        <f t="shared" si="10"/>
        <v>#DIV/0!</v>
      </c>
      <c r="AC21" s="47"/>
    </row>
    <row r="22" spans="2:29" ht="15">
      <c r="B22">
        <f t="shared" si="2"/>
      </c>
      <c r="C22">
        <f t="shared" si="3"/>
      </c>
      <c r="D22" t="s">
        <v>723</v>
      </c>
      <c r="E22" t="s">
        <v>647</v>
      </c>
      <c r="F22" t="s">
        <v>723</v>
      </c>
      <c r="G22" t="s">
        <v>647</v>
      </c>
      <c r="H22" s="47"/>
      <c r="I22" s="23" t="s">
        <v>616</v>
      </c>
      <c r="J22" s="23" t="s">
        <v>616</v>
      </c>
      <c r="K22" s="1" t="str">
        <f t="shared" si="0"/>
        <v>LL</v>
      </c>
      <c r="L22" s="57">
        <f t="shared" si="4"/>
        <v>123</v>
      </c>
      <c r="M22" s="6">
        <f>(VLOOKUP($K22,'Standard Estimate Uncertainty '!$B$10:$D$18,2)*$L22)+$L22</f>
        <v>104.55</v>
      </c>
      <c r="N22" s="6">
        <f>(VLOOKUP($K22,'Standard Estimate Uncertainty '!$B$10:$D$18,3)*$L22)+$L22</f>
        <v>153.75</v>
      </c>
      <c r="O22" s="6"/>
      <c r="P22" s="49"/>
      <c r="Q22" s="58"/>
      <c r="R22" s="407">
        <v>123</v>
      </c>
      <c r="S22" s="407">
        <v>0</v>
      </c>
      <c r="T22" s="407">
        <v>0</v>
      </c>
      <c r="U22" s="407">
        <v>0</v>
      </c>
      <c r="V22" s="407">
        <v>0</v>
      </c>
      <c r="W22" s="60">
        <f t="shared" si="5"/>
        <v>0</v>
      </c>
      <c r="X22" s="60">
        <f t="shared" si="6"/>
        <v>1</v>
      </c>
      <c r="Y22" s="60">
        <f t="shared" si="7"/>
        <v>0</v>
      </c>
      <c r="Z22" s="60">
        <f t="shared" si="8"/>
        <v>0</v>
      </c>
      <c r="AA22" s="60">
        <f t="shared" si="9"/>
        <v>0</v>
      </c>
      <c r="AB22" s="60">
        <f t="shared" si="10"/>
        <v>0</v>
      </c>
      <c r="AC22" s="47"/>
    </row>
    <row r="23" spans="2:29" ht="15">
      <c r="B23">
        <f t="shared" si="2"/>
      </c>
      <c r="C23">
        <f t="shared" si="3"/>
      </c>
      <c r="D23" t="s">
        <v>724</v>
      </c>
      <c r="E23" t="s">
        <v>647</v>
      </c>
      <c r="F23" t="s">
        <v>724</v>
      </c>
      <c r="G23" t="s">
        <v>647</v>
      </c>
      <c r="H23" s="61"/>
      <c r="I23" s="23" t="s">
        <v>904</v>
      </c>
      <c r="J23" s="64"/>
      <c r="K23" s="1" t="str">
        <f t="shared" si="0"/>
        <v>Closed</v>
      </c>
      <c r="L23" s="57">
        <f t="shared" si="4"/>
        <v>0</v>
      </c>
      <c r="M23" s="392" t="s">
        <v>784</v>
      </c>
      <c r="N23" s="392"/>
      <c r="O23" s="6"/>
      <c r="P23" s="49"/>
      <c r="Q23" s="58"/>
      <c r="R23" s="407">
        <v>0</v>
      </c>
      <c r="S23" s="407">
        <v>0</v>
      </c>
      <c r="T23" s="407">
        <v>0</v>
      </c>
      <c r="U23" s="407">
        <v>0</v>
      </c>
      <c r="V23" s="407">
        <v>0</v>
      </c>
      <c r="W23" s="60" t="e">
        <f t="shared" si="5"/>
        <v>#DIV/0!</v>
      </c>
      <c r="X23" s="60" t="e">
        <f t="shared" si="6"/>
        <v>#DIV/0!</v>
      </c>
      <c r="Y23" s="60" t="e">
        <f t="shared" si="7"/>
        <v>#DIV/0!</v>
      </c>
      <c r="Z23" s="60" t="e">
        <f t="shared" si="8"/>
        <v>#DIV/0!</v>
      </c>
      <c r="AA23" s="60" t="e">
        <f t="shared" si="9"/>
        <v>#DIV/0!</v>
      </c>
      <c r="AB23" s="60" t="e">
        <f t="shared" si="10"/>
        <v>#DIV/0!</v>
      </c>
      <c r="AC23" s="47"/>
    </row>
    <row r="24" spans="2:29" ht="15">
      <c r="B24">
        <f t="shared" si="2"/>
      </c>
      <c r="C24">
        <f t="shared" si="3"/>
      </c>
      <c r="D24" t="s">
        <v>725</v>
      </c>
      <c r="E24" t="s">
        <v>674</v>
      </c>
      <c r="F24" t="s">
        <v>725</v>
      </c>
      <c r="G24" t="s">
        <v>674</v>
      </c>
      <c r="H24" s="47"/>
      <c r="I24" s="23" t="s">
        <v>602</v>
      </c>
      <c r="J24" s="23" t="s">
        <v>616</v>
      </c>
      <c r="K24" s="1" t="str">
        <f t="shared" si="0"/>
        <v>HL</v>
      </c>
      <c r="L24" s="57">
        <f t="shared" si="4"/>
        <v>0</v>
      </c>
      <c r="M24" s="6">
        <f>(VLOOKUP($K24,'Standard Estimate Uncertainty '!$B$10:$D$18,2)*$L24)+$L24</f>
        <v>0</v>
      </c>
      <c r="N24" s="6">
        <f>(VLOOKUP($K24,'Standard Estimate Uncertainty '!$B$10:$D$18,3)*$L24)+$L24</f>
        <v>0</v>
      </c>
      <c r="O24" s="6"/>
      <c r="P24" s="49"/>
      <c r="Q24" s="58"/>
      <c r="R24" s="407">
        <v>0</v>
      </c>
      <c r="S24" s="407">
        <v>0</v>
      </c>
      <c r="T24" s="407">
        <v>0</v>
      </c>
      <c r="U24" s="407">
        <v>0</v>
      </c>
      <c r="V24" s="407">
        <v>0</v>
      </c>
      <c r="W24" s="60" t="e">
        <f t="shared" si="5"/>
        <v>#DIV/0!</v>
      </c>
      <c r="X24" s="60" t="e">
        <f t="shared" si="6"/>
        <v>#DIV/0!</v>
      </c>
      <c r="Y24" s="60" t="e">
        <f t="shared" si="7"/>
        <v>#DIV/0!</v>
      </c>
      <c r="Z24" s="60" t="e">
        <f t="shared" si="8"/>
        <v>#DIV/0!</v>
      </c>
      <c r="AA24" s="60" t="e">
        <f t="shared" si="9"/>
        <v>#DIV/0!</v>
      </c>
      <c r="AB24" s="60" t="e">
        <f t="shared" si="10"/>
        <v>#DIV/0!</v>
      </c>
      <c r="AC24" s="47"/>
    </row>
    <row r="25" spans="2:29" ht="15">
      <c r="B25">
        <f t="shared" si="2"/>
      </c>
      <c r="C25">
        <f t="shared" si="3"/>
      </c>
      <c r="D25" t="s">
        <v>725</v>
      </c>
      <c r="E25" t="s">
        <v>675</v>
      </c>
      <c r="F25" t="s">
        <v>725</v>
      </c>
      <c r="G25" t="s">
        <v>675</v>
      </c>
      <c r="H25" s="47"/>
      <c r="I25" s="23" t="s">
        <v>602</v>
      </c>
      <c r="J25" s="23" t="s">
        <v>616</v>
      </c>
      <c r="K25" s="1" t="str">
        <f t="shared" si="0"/>
        <v>HL</v>
      </c>
      <c r="L25" s="57">
        <f t="shared" si="4"/>
        <v>0</v>
      </c>
      <c r="M25" s="6">
        <f>(VLOOKUP($K25,'Standard Estimate Uncertainty '!$B$10:$D$18,2)*$L25)+$L25</f>
        <v>0</v>
      </c>
      <c r="N25" s="6">
        <f>(VLOOKUP($K25,'Standard Estimate Uncertainty '!$B$10:$D$18,3)*$L25)+$L25</f>
        <v>0</v>
      </c>
      <c r="O25" s="6"/>
      <c r="P25" s="49"/>
      <c r="Q25" s="58"/>
      <c r="R25" s="407">
        <v>0</v>
      </c>
      <c r="S25" s="407">
        <v>0</v>
      </c>
      <c r="T25" s="407">
        <v>0</v>
      </c>
      <c r="U25" s="407">
        <v>0</v>
      </c>
      <c r="V25" s="407">
        <v>0</v>
      </c>
      <c r="W25" s="60" t="e">
        <f t="shared" si="5"/>
        <v>#DIV/0!</v>
      </c>
      <c r="X25" s="60" t="e">
        <f t="shared" si="6"/>
        <v>#DIV/0!</v>
      </c>
      <c r="Y25" s="60" t="e">
        <f t="shared" si="7"/>
        <v>#DIV/0!</v>
      </c>
      <c r="Z25" s="60" t="e">
        <f t="shared" si="8"/>
        <v>#DIV/0!</v>
      </c>
      <c r="AA25" s="60" t="e">
        <f t="shared" si="9"/>
        <v>#DIV/0!</v>
      </c>
      <c r="AB25" s="60" t="e">
        <f t="shared" si="10"/>
        <v>#DIV/0!</v>
      </c>
      <c r="AC25" s="47"/>
    </row>
    <row r="26" spans="2:29" ht="15">
      <c r="B26">
        <f t="shared" si="2"/>
      </c>
      <c r="C26">
        <f t="shared" si="3"/>
      </c>
      <c r="D26" t="s">
        <v>725</v>
      </c>
      <c r="E26" t="s">
        <v>676</v>
      </c>
      <c r="F26" t="s">
        <v>725</v>
      </c>
      <c r="G26" t="s">
        <v>676</v>
      </c>
      <c r="H26" s="47"/>
      <c r="I26" s="23" t="s">
        <v>602</v>
      </c>
      <c r="J26" s="23" t="s">
        <v>616</v>
      </c>
      <c r="K26" s="1" t="str">
        <f t="shared" si="0"/>
        <v>HL</v>
      </c>
      <c r="L26" s="57">
        <f t="shared" si="4"/>
        <v>10</v>
      </c>
      <c r="M26" s="6">
        <f>(VLOOKUP($K26,'Standard Estimate Uncertainty '!$B$10:$D$18,2)*$L26)+$L26</f>
        <v>9.5</v>
      </c>
      <c r="N26" s="6">
        <f>(VLOOKUP($K26,'Standard Estimate Uncertainty '!$B$10:$D$18,3)*$L26)+$L26</f>
        <v>11</v>
      </c>
      <c r="O26" s="6"/>
      <c r="P26" s="49"/>
      <c r="Q26" s="58"/>
      <c r="R26" s="407">
        <v>10</v>
      </c>
      <c r="S26" s="407">
        <v>0</v>
      </c>
      <c r="T26" s="407">
        <v>0</v>
      </c>
      <c r="U26" s="407">
        <v>0</v>
      </c>
      <c r="V26" s="407">
        <v>0</v>
      </c>
      <c r="W26" s="60">
        <f t="shared" si="5"/>
        <v>0</v>
      </c>
      <c r="X26" s="60">
        <f t="shared" si="6"/>
        <v>1</v>
      </c>
      <c r="Y26" s="60">
        <f t="shared" si="7"/>
        <v>0</v>
      </c>
      <c r="Z26" s="60">
        <f t="shared" si="8"/>
        <v>0</v>
      </c>
      <c r="AA26" s="60">
        <f t="shared" si="9"/>
        <v>0</v>
      </c>
      <c r="AB26" s="60">
        <f t="shared" si="10"/>
        <v>0</v>
      </c>
      <c r="AC26" s="47"/>
    </row>
    <row r="27" spans="2:29" ht="15">
      <c r="B27">
        <f t="shared" si="2"/>
      </c>
      <c r="C27">
        <f t="shared" si="3"/>
      </c>
      <c r="D27" t="s">
        <v>725</v>
      </c>
      <c r="E27" t="s">
        <v>677</v>
      </c>
      <c r="F27" t="s">
        <v>725</v>
      </c>
      <c r="G27" t="s">
        <v>677</v>
      </c>
      <c r="H27" s="47"/>
      <c r="I27" s="23" t="s">
        <v>602</v>
      </c>
      <c r="J27" s="23" t="s">
        <v>616</v>
      </c>
      <c r="K27" s="1" t="str">
        <f t="shared" si="0"/>
        <v>HL</v>
      </c>
      <c r="L27" s="57">
        <f t="shared" si="4"/>
        <v>122</v>
      </c>
      <c r="M27" s="6">
        <f>(VLOOKUP($K27,'Standard Estimate Uncertainty '!$B$10:$D$18,2)*$L27)+$L27</f>
        <v>115.9</v>
      </c>
      <c r="N27" s="6">
        <f>(VLOOKUP($K27,'Standard Estimate Uncertainty '!$B$10:$D$18,3)*$L27)+$L27</f>
        <v>134.2</v>
      </c>
      <c r="O27" s="6"/>
      <c r="P27" s="49"/>
      <c r="Q27" s="58"/>
      <c r="R27" s="407">
        <v>122</v>
      </c>
      <c r="S27" s="407">
        <v>0</v>
      </c>
      <c r="T27" s="407">
        <v>0</v>
      </c>
      <c r="U27" s="407">
        <v>0</v>
      </c>
      <c r="V27" s="407">
        <v>0</v>
      </c>
      <c r="W27" s="60">
        <f t="shared" si="5"/>
        <v>0</v>
      </c>
      <c r="X27" s="60">
        <f t="shared" si="6"/>
        <v>1</v>
      </c>
      <c r="Y27" s="60">
        <f t="shared" si="7"/>
        <v>0</v>
      </c>
      <c r="Z27" s="60">
        <f t="shared" si="8"/>
        <v>0</v>
      </c>
      <c r="AA27" s="60">
        <f t="shared" si="9"/>
        <v>0</v>
      </c>
      <c r="AB27" s="60">
        <f t="shared" si="10"/>
        <v>0</v>
      </c>
      <c r="AC27" s="47"/>
    </row>
    <row r="28" spans="2:29" ht="15">
      <c r="B28">
        <f t="shared" si="2"/>
      </c>
      <c r="C28">
        <f t="shared" si="3"/>
      </c>
      <c r="D28" t="s">
        <v>725</v>
      </c>
      <c r="E28" t="s">
        <v>678</v>
      </c>
      <c r="F28" t="s">
        <v>725</v>
      </c>
      <c r="G28" t="s">
        <v>678</v>
      </c>
      <c r="H28" s="47"/>
      <c r="I28" s="23" t="s">
        <v>602</v>
      </c>
      <c r="J28" s="23" t="s">
        <v>616</v>
      </c>
      <c r="K28" s="1" t="str">
        <f t="shared" si="0"/>
        <v>HL</v>
      </c>
      <c r="L28" s="57">
        <f t="shared" si="4"/>
        <v>7</v>
      </c>
      <c r="M28" s="6">
        <f>(VLOOKUP($K28,'Standard Estimate Uncertainty '!$B$10:$D$18,2)*$L28)+$L28</f>
        <v>6.65</v>
      </c>
      <c r="N28" s="6">
        <f>(VLOOKUP($K28,'Standard Estimate Uncertainty '!$B$10:$D$18,3)*$L28)+$L28</f>
        <v>7.7</v>
      </c>
      <c r="O28" s="6"/>
      <c r="P28" s="49"/>
      <c r="Q28" s="58"/>
      <c r="R28" s="407">
        <v>0</v>
      </c>
      <c r="S28" s="407">
        <v>7</v>
      </c>
      <c r="T28" s="407">
        <v>0</v>
      </c>
      <c r="U28" s="407">
        <v>0</v>
      </c>
      <c r="V28" s="407">
        <v>0</v>
      </c>
      <c r="W28" s="60">
        <f t="shared" si="5"/>
        <v>0</v>
      </c>
      <c r="X28" s="60">
        <f t="shared" si="6"/>
        <v>0</v>
      </c>
      <c r="Y28" s="60">
        <f t="shared" si="7"/>
        <v>1</v>
      </c>
      <c r="Z28" s="60">
        <f t="shared" si="8"/>
        <v>0</v>
      </c>
      <c r="AA28" s="60">
        <f t="shared" si="9"/>
        <v>0</v>
      </c>
      <c r="AB28" s="60">
        <f t="shared" si="10"/>
        <v>0</v>
      </c>
      <c r="AC28" s="47"/>
    </row>
    <row r="29" spans="2:29" ht="15">
      <c r="B29">
        <f t="shared" si="2"/>
      </c>
      <c r="C29">
        <f t="shared" si="3"/>
      </c>
      <c r="D29" t="s">
        <v>726</v>
      </c>
      <c r="E29" t="s">
        <v>647</v>
      </c>
      <c r="F29" t="s">
        <v>726</v>
      </c>
      <c r="G29" t="s">
        <v>647</v>
      </c>
      <c r="H29" s="47"/>
      <c r="I29" s="23" t="s">
        <v>616</v>
      </c>
      <c r="J29" s="23" t="s">
        <v>603</v>
      </c>
      <c r="K29" s="1" t="str">
        <f t="shared" si="0"/>
        <v>LM</v>
      </c>
      <c r="L29" s="57">
        <f t="shared" si="4"/>
        <v>23</v>
      </c>
      <c r="M29" s="6">
        <f>(VLOOKUP($K29,'Standard Estimate Uncertainty '!$B$10:$D$18,2)*$L29)+$L29</f>
        <v>18.4</v>
      </c>
      <c r="N29" s="6">
        <f>(VLOOKUP($K29,'Standard Estimate Uncertainty '!$B$10:$D$18,3)*$L29)+$L29</f>
        <v>32.2</v>
      </c>
      <c r="O29" s="6"/>
      <c r="P29" s="49"/>
      <c r="Q29" s="58"/>
      <c r="R29" s="407">
        <v>23</v>
      </c>
      <c r="S29" s="407">
        <v>0</v>
      </c>
      <c r="T29" s="407">
        <v>0</v>
      </c>
      <c r="U29" s="407">
        <v>0</v>
      </c>
      <c r="V29" s="407">
        <v>0</v>
      </c>
      <c r="W29" s="60">
        <f t="shared" si="5"/>
        <v>0</v>
      </c>
      <c r="X29" s="60">
        <f t="shared" si="6"/>
        <v>1</v>
      </c>
      <c r="Y29" s="60">
        <f t="shared" si="7"/>
        <v>0</v>
      </c>
      <c r="Z29" s="60">
        <f t="shared" si="8"/>
        <v>0</v>
      </c>
      <c r="AA29" s="60">
        <f t="shared" si="9"/>
        <v>0</v>
      </c>
      <c r="AB29" s="60">
        <f t="shared" si="10"/>
        <v>0</v>
      </c>
      <c r="AC29" s="47"/>
    </row>
    <row r="30" spans="2:29" ht="15">
      <c r="B30">
        <f t="shared" si="2"/>
      </c>
      <c r="C30">
        <f t="shared" si="3"/>
      </c>
      <c r="D30" t="s">
        <v>726</v>
      </c>
      <c r="E30" t="s">
        <v>727</v>
      </c>
      <c r="F30" t="s">
        <v>726</v>
      </c>
      <c r="G30" t="s">
        <v>727</v>
      </c>
      <c r="H30" s="47"/>
      <c r="I30" s="23" t="s">
        <v>616</v>
      </c>
      <c r="J30" s="23" t="s">
        <v>603</v>
      </c>
      <c r="K30" s="1" t="str">
        <f t="shared" si="0"/>
        <v>LM</v>
      </c>
      <c r="L30" s="57">
        <f t="shared" si="4"/>
        <v>2</v>
      </c>
      <c r="M30" s="6">
        <f>(VLOOKUP($K30,'Standard Estimate Uncertainty '!$B$10:$D$18,2)*$L30)+$L30</f>
        <v>1.6</v>
      </c>
      <c r="N30" s="6">
        <f>(VLOOKUP($K30,'Standard Estimate Uncertainty '!$B$10:$D$18,3)*$L30)+$L30</f>
        <v>2.8</v>
      </c>
      <c r="O30" s="6"/>
      <c r="P30" s="49"/>
      <c r="Q30" s="58"/>
      <c r="R30" s="407">
        <v>2</v>
      </c>
      <c r="S30" s="407">
        <v>0</v>
      </c>
      <c r="T30" s="407">
        <v>0</v>
      </c>
      <c r="U30" s="407">
        <v>0</v>
      </c>
      <c r="V30" s="407">
        <v>0</v>
      </c>
      <c r="W30" s="60">
        <f t="shared" si="5"/>
        <v>0</v>
      </c>
      <c r="X30" s="60">
        <f t="shared" si="6"/>
        <v>1</v>
      </c>
      <c r="Y30" s="60">
        <f t="shared" si="7"/>
        <v>0</v>
      </c>
      <c r="Z30" s="60">
        <f t="shared" si="8"/>
        <v>0</v>
      </c>
      <c r="AA30" s="60">
        <f t="shared" si="9"/>
        <v>0</v>
      </c>
      <c r="AB30" s="60">
        <f t="shared" si="10"/>
        <v>0</v>
      </c>
      <c r="AC30" s="47"/>
    </row>
    <row r="31" spans="2:29" ht="15">
      <c r="B31">
        <f t="shared" si="2"/>
      </c>
      <c r="C31">
        <f t="shared" si="3"/>
      </c>
      <c r="D31" t="s">
        <v>726</v>
      </c>
      <c r="E31" t="s">
        <v>728</v>
      </c>
      <c r="F31" t="s">
        <v>726</v>
      </c>
      <c r="G31" t="s">
        <v>728</v>
      </c>
      <c r="H31" s="47"/>
      <c r="I31" s="23" t="s">
        <v>616</v>
      </c>
      <c r="J31" s="23" t="s">
        <v>603</v>
      </c>
      <c r="K31" s="1" t="str">
        <f t="shared" si="0"/>
        <v>LM</v>
      </c>
      <c r="L31" s="57">
        <f t="shared" si="4"/>
        <v>0</v>
      </c>
      <c r="M31" s="6">
        <f>(VLOOKUP($K31,'Standard Estimate Uncertainty '!$B$10:$D$18,2)*$L31)+$L31</f>
        <v>0</v>
      </c>
      <c r="N31" s="6">
        <f>(VLOOKUP($K31,'Standard Estimate Uncertainty '!$B$10:$D$18,3)*$L31)+$L31</f>
        <v>0</v>
      </c>
      <c r="O31" s="6"/>
      <c r="P31" s="49"/>
      <c r="Q31" s="58"/>
      <c r="R31" s="407">
        <v>0</v>
      </c>
      <c r="S31" s="407">
        <v>0</v>
      </c>
      <c r="T31" s="407">
        <v>0</v>
      </c>
      <c r="U31" s="407">
        <v>0</v>
      </c>
      <c r="V31" s="407">
        <v>0</v>
      </c>
      <c r="W31" s="60" t="e">
        <f t="shared" si="5"/>
        <v>#DIV/0!</v>
      </c>
      <c r="X31" s="60" t="e">
        <f t="shared" si="6"/>
        <v>#DIV/0!</v>
      </c>
      <c r="Y31" s="60" t="e">
        <f t="shared" si="7"/>
        <v>#DIV/0!</v>
      </c>
      <c r="Z31" s="60" t="e">
        <f t="shared" si="8"/>
        <v>#DIV/0!</v>
      </c>
      <c r="AA31" s="60" t="e">
        <f t="shared" si="9"/>
        <v>#DIV/0!</v>
      </c>
      <c r="AB31" s="60" t="e">
        <f t="shared" si="10"/>
        <v>#DIV/0!</v>
      </c>
      <c r="AC31" s="47"/>
    </row>
    <row r="32" spans="2:29" ht="15">
      <c r="B32">
        <f t="shared" si="2"/>
      </c>
      <c r="C32">
        <f t="shared" si="3"/>
      </c>
      <c r="D32" t="s">
        <v>726</v>
      </c>
      <c r="E32" t="s">
        <v>730</v>
      </c>
      <c r="F32" t="s">
        <v>726</v>
      </c>
      <c r="G32" t="s">
        <v>730</v>
      </c>
      <c r="H32" s="47"/>
      <c r="I32" s="23" t="s">
        <v>616</v>
      </c>
      <c r="J32" s="23" t="s">
        <v>603</v>
      </c>
      <c r="K32" s="1" t="str">
        <f t="shared" si="0"/>
        <v>LM</v>
      </c>
      <c r="L32" s="57">
        <f t="shared" si="4"/>
        <v>3</v>
      </c>
      <c r="M32" s="6">
        <f>(VLOOKUP($K32,'Standard Estimate Uncertainty '!$B$10:$D$18,2)*$L32)+$L32</f>
        <v>2.4</v>
      </c>
      <c r="N32" s="6">
        <f>(VLOOKUP($K32,'Standard Estimate Uncertainty '!$B$10:$D$18,3)*$L32)+$L32</f>
        <v>4.2</v>
      </c>
      <c r="O32" s="6"/>
      <c r="P32" s="49"/>
      <c r="Q32" s="58"/>
      <c r="R32" s="407">
        <v>3</v>
      </c>
      <c r="S32" s="407">
        <v>0</v>
      </c>
      <c r="T32" s="407">
        <v>0</v>
      </c>
      <c r="U32" s="407">
        <v>0</v>
      </c>
      <c r="V32" s="407">
        <v>0</v>
      </c>
      <c r="W32" s="60">
        <f t="shared" si="5"/>
        <v>0</v>
      </c>
      <c r="X32" s="60">
        <f t="shared" si="6"/>
        <v>1</v>
      </c>
      <c r="Y32" s="60">
        <f t="shared" si="7"/>
        <v>0</v>
      </c>
      <c r="Z32" s="60">
        <f t="shared" si="8"/>
        <v>0</v>
      </c>
      <c r="AA32" s="60">
        <f t="shared" si="9"/>
        <v>0</v>
      </c>
      <c r="AB32" s="60">
        <f t="shared" si="10"/>
        <v>0</v>
      </c>
      <c r="AC32" s="47"/>
    </row>
    <row r="33" spans="2:29" ht="15">
      <c r="B33">
        <f t="shared" si="2"/>
      </c>
      <c r="C33">
        <f t="shared" si="3"/>
      </c>
      <c r="D33" t="s">
        <v>726</v>
      </c>
      <c r="E33" t="s">
        <v>731</v>
      </c>
      <c r="F33" t="s">
        <v>726</v>
      </c>
      <c r="G33" t="s">
        <v>731</v>
      </c>
      <c r="H33" s="47"/>
      <c r="I33" s="23" t="s">
        <v>616</v>
      </c>
      <c r="J33" s="23" t="s">
        <v>603</v>
      </c>
      <c r="K33" s="1" t="str">
        <f t="shared" si="0"/>
        <v>LM</v>
      </c>
      <c r="L33" s="57">
        <f t="shared" si="4"/>
        <v>1</v>
      </c>
      <c r="M33" s="6">
        <f>(VLOOKUP($K33,'Standard Estimate Uncertainty '!$B$10:$D$18,2)*$L33)+$L33</f>
        <v>0.8</v>
      </c>
      <c r="N33" s="6">
        <f>(VLOOKUP($K33,'Standard Estimate Uncertainty '!$B$10:$D$18,3)*$L33)+$L33</f>
        <v>1.4</v>
      </c>
      <c r="O33" s="6"/>
      <c r="P33" s="49"/>
      <c r="Q33" s="58"/>
      <c r="R33" s="407">
        <v>1</v>
      </c>
      <c r="S33" s="407">
        <v>0</v>
      </c>
      <c r="T33" s="407">
        <v>0</v>
      </c>
      <c r="U33" s="407">
        <v>0</v>
      </c>
      <c r="V33" s="407">
        <v>0</v>
      </c>
      <c r="W33" s="60">
        <f t="shared" si="5"/>
        <v>0</v>
      </c>
      <c r="X33" s="60">
        <f t="shared" si="6"/>
        <v>1</v>
      </c>
      <c r="Y33" s="60">
        <f t="shared" si="7"/>
        <v>0</v>
      </c>
      <c r="Z33" s="60">
        <f t="shared" si="8"/>
        <v>0</v>
      </c>
      <c r="AA33" s="60">
        <f t="shared" si="9"/>
        <v>0</v>
      </c>
      <c r="AB33" s="60">
        <f t="shared" si="10"/>
        <v>0</v>
      </c>
      <c r="AC33" s="47"/>
    </row>
    <row r="34" spans="2:29" ht="15">
      <c r="B34">
        <f t="shared" si="2"/>
      </c>
      <c r="C34">
        <f t="shared" si="3"/>
      </c>
      <c r="D34" t="s">
        <v>726</v>
      </c>
      <c r="E34" t="s">
        <v>900</v>
      </c>
      <c r="F34" t="s">
        <v>726</v>
      </c>
      <c r="G34" t="s">
        <v>900</v>
      </c>
      <c r="H34" s="47"/>
      <c r="I34" s="23" t="s">
        <v>616</v>
      </c>
      <c r="J34" s="23" t="s">
        <v>603</v>
      </c>
      <c r="K34" s="1" t="str">
        <f t="shared" si="0"/>
        <v>LM</v>
      </c>
      <c r="L34" s="57">
        <f t="shared" si="4"/>
        <v>0</v>
      </c>
      <c r="M34" s="6">
        <f>(VLOOKUP($K34,'Standard Estimate Uncertainty '!$B$10:$D$18,2)*$L34)+$L34</f>
        <v>0</v>
      </c>
      <c r="N34" s="6">
        <f>(VLOOKUP($K34,'Standard Estimate Uncertainty '!$B$10:$D$18,3)*$L34)+$L34</f>
        <v>0</v>
      </c>
      <c r="O34" s="6"/>
      <c r="P34" s="49"/>
      <c r="Q34" s="58"/>
      <c r="R34" s="407">
        <v>0</v>
      </c>
      <c r="S34" s="407">
        <v>0</v>
      </c>
      <c r="T34" s="407">
        <v>0</v>
      </c>
      <c r="U34" s="407">
        <v>0</v>
      </c>
      <c r="V34" s="407">
        <v>0</v>
      </c>
      <c r="W34" s="60" t="e">
        <f t="shared" si="5"/>
        <v>#DIV/0!</v>
      </c>
      <c r="X34" s="60" t="e">
        <f t="shared" si="6"/>
        <v>#DIV/0!</v>
      </c>
      <c r="Y34" s="60" t="e">
        <f t="shared" si="7"/>
        <v>#DIV/0!</v>
      </c>
      <c r="Z34" s="60" t="e">
        <f t="shared" si="8"/>
        <v>#DIV/0!</v>
      </c>
      <c r="AA34" s="60" t="e">
        <f t="shared" si="9"/>
        <v>#DIV/0!</v>
      </c>
      <c r="AB34" s="60" t="e">
        <f t="shared" si="10"/>
        <v>#DIV/0!</v>
      </c>
      <c r="AC34" s="47"/>
    </row>
    <row r="35" spans="2:29" ht="15">
      <c r="B35">
        <f t="shared" si="2"/>
      </c>
      <c r="C35">
        <f t="shared" si="3"/>
      </c>
      <c r="D35" t="s">
        <v>726</v>
      </c>
      <c r="E35" t="s">
        <v>910</v>
      </c>
      <c r="F35" t="s">
        <v>726</v>
      </c>
      <c r="G35" t="s">
        <v>910</v>
      </c>
      <c r="H35" s="47"/>
      <c r="I35" s="23" t="s">
        <v>616</v>
      </c>
      <c r="J35" s="23" t="s">
        <v>603</v>
      </c>
      <c r="K35" s="1" t="str">
        <f t="shared" si="0"/>
        <v>LM</v>
      </c>
      <c r="L35" s="57">
        <f t="shared" si="4"/>
        <v>0</v>
      </c>
      <c r="M35" s="6">
        <f>(VLOOKUP($K35,'Standard Estimate Uncertainty '!$B$10:$D$18,2)*$L35)+$L35</f>
        <v>0</v>
      </c>
      <c r="N35" s="6">
        <f>(VLOOKUP($K35,'Standard Estimate Uncertainty '!$B$10:$D$18,3)*$L35)+$L35</f>
        <v>0</v>
      </c>
      <c r="O35" s="6"/>
      <c r="P35" s="49"/>
      <c r="Q35" s="58"/>
      <c r="R35" s="407">
        <v>0</v>
      </c>
      <c r="S35" s="407">
        <v>0</v>
      </c>
      <c r="T35" s="407">
        <v>0</v>
      </c>
      <c r="U35" s="407">
        <v>0</v>
      </c>
      <c r="V35" s="407">
        <v>0</v>
      </c>
      <c r="W35" s="60" t="e">
        <f t="shared" si="5"/>
        <v>#DIV/0!</v>
      </c>
      <c r="X35" s="60" t="e">
        <f t="shared" si="6"/>
        <v>#DIV/0!</v>
      </c>
      <c r="Y35" s="60" t="e">
        <f t="shared" si="7"/>
        <v>#DIV/0!</v>
      </c>
      <c r="Z35" s="60" t="e">
        <f t="shared" si="8"/>
        <v>#DIV/0!</v>
      </c>
      <c r="AA35" s="60" t="e">
        <f t="shared" si="9"/>
        <v>#DIV/0!</v>
      </c>
      <c r="AB35" s="60" t="e">
        <f t="shared" si="10"/>
        <v>#DIV/0!</v>
      </c>
      <c r="AC35" s="47"/>
    </row>
    <row r="36" spans="2:29" ht="15">
      <c r="B36">
        <f t="shared" si="2"/>
      </c>
      <c r="C36">
        <f t="shared" si="3"/>
      </c>
      <c r="D36" t="s">
        <v>911</v>
      </c>
      <c r="E36" t="s">
        <v>729</v>
      </c>
      <c r="F36" t="s">
        <v>911</v>
      </c>
      <c r="G36" t="s">
        <v>729</v>
      </c>
      <c r="H36" s="61"/>
      <c r="I36" s="23" t="s">
        <v>904</v>
      </c>
      <c r="J36" s="64"/>
      <c r="K36" s="1" t="str">
        <f t="shared" si="0"/>
        <v>Closed</v>
      </c>
      <c r="L36" s="57">
        <f t="shared" si="4"/>
        <v>4</v>
      </c>
      <c r="M36" s="392" t="s">
        <v>784</v>
      </c>
      <c r="N36" s="392"/>
      <c r="O36" s="6"/>
      <c r="P36" s="49"/>
      <c r="Q36" s="58"/>
      <c r="R36" s="407">
        <v>4</v>
      </c>
      <c r="S36" s="407">
        <v>0</v>
      </c>
      <c r="T36" s="407">
        <v>0</v>
      </c>
      <c r="U36" s="407">
        <v>0</v>
      </c>
      <c r="V36" s="407">
        <v>0</v>
      </c>
      <c r="W36" s="60">
        <f t="shared" si="5"/>
        <v>0</v>
      </c>
      <c r="X36" s="60">
        <f t="shared" si="6"/>
        <v>1</v>
      </c>
      <c r="Y36" s="60">
        <f t="shared" si="7"/>
        <v>0</v>
      </c>
      <c r="Z36" s="60">
        <f t="shared" si="8"/>
        <v>0</v>
      </c>
      <c r="AA36" s="60">
        <f t="shared" si="9"/>
        <v>0</v>
      </c>
      <c r="AB36" s="60">
        <f t="shared" si="10"/>
        <v>0</v>
      </c>
      <c r="AC36" s="47"/>
    </row>
    <row r="37" spans="2:29" ht="15">
      <c r="B37">
        <f t="shared" si="2"/>
      </c>
      <c r="C37">
        <f t="shared" si="3"/>
      </c>
      <c r="D37" t="s">
        <v>732</v>
      </c>
      <c r="E37" t="s">
        <v>679</v>
      </c>
      <c r="F37" t="s">
        <v>732</v>
      </c>
      <c r="G37" t="s">
        <v>679</v>
      </c>
      <c r="H37" s="47"/>
      <c r="I37" s="23" t="s">
        <v>602</v>
      </c>
      <c r="J37" s="23" t="s">
        <v>603</v>
      </c>
      <c r="K37" s="1" t="str">
        <f t="shared" si="0"/>
        <v>HM</v>
      </c>
      <c r="L37" s="57">
        <f t="shared" si="4"/>
        <v>5</v>
      </c>
      <c r="M37" s="6">
        <f>(VLOOKUP($K37,'Standard Estimate Uncertainty '!$B$10:$D$18,2)*$L37)+$L37</f>
        <v>4.5</v>
      </c>
      <c r="N37" s="6">
        <f>(VLOOKUP($K37,'Standard Estimate Uncertainty '!$B$10:$D$18,3)*$L37)+$L37</f>
        <v>5.75</v>
      </c>
      <c r="O37" s="6"/>
      <c r="P37" s="49"/>
      <c r="Q37" s="58"/>
      <c r="R37" s="407">
        <v>5</v>
      </c>
      <c r="S37" s="407">
        <v>0</v>
      </c>
      <c r="T37" s="407">
        <v>0</v>
      </c>
      <c r="U37" s="407">
        <v>0</v>
      </c>
      <c r="V37" s="407">
        <v>0</v>
      </c>
      <c r="W37" s="60">
        <f t="shared" si="5"/>
        <v>0</v>
      </c>
      <c r="X37" s="60">
        <f t="shared" si="6"/>
        <v>1</v>
      </c>
      <c r="Y37" s="60">
        <f t="shared" si="7"/>
        <v>0</v>
      </c>
      <c r="Z37" s="60">
        <f t="shared" si="8"/>
        <v>0</v>
      </c>
      <c r="AA37" s="60">
        <f t="shared" si="9"/>
        <v>0</v>
      </c>
      <c r="AB37" s="60">
        <f t="shared" si="10"/>
        <v>0</v>
      </c>
      <c r="AC37" s="47"/>
    </row>
    <row r="38" spans="2:29" ht="15">
      <c r="B38">
        <f t="shared" si="2"/>
      </c>
      <c r="C38">
        <f t="shared" si="3"/>
      </c>
      <c r="D38" t="s">
        <v>732</v>
      </c>
      <c r="E38" t="s">
        <v>680</v>
      </c>
      <c r="F38" t="s">
        <v>732</v>
      </c>
      <c r="G38" t="s">
        <v>680</v>
      </c>
      <c r="H38" s="47"/>
      <c r="I38" s="23" t="s">
        <v>602</v>
      </c>
      <c r="J38" s="23" t="s">
        <v>603</v>
      </c>
      <c r="K38" s="1" t="str">
        <f t="shared" si="0"/>
        <v>HM</v>
      </c>
      <c r="L38" s="57">
        <f t="shared" si="4"/>
        <v>19</v>
      </c>
      <c r="M38" s="6">
        <f>(VLOOKUP($K38,'Standard Estimate Uncertainty '!$B$10:$D$18,2)*$L38)+$L38</f>
        <v>17.1</v>
      </c>
      <c r="N38" s="6">
        <f>(VLOOKUP($K38,'Standard Estimate Uncertainty '!$B$10:$D$18,3)*$L38)+$L38</f>
        <v>21.85</v>
      </c>
      <c r="O38" s="6"/>
      <c r="P38" s="49"/>
      <c r="Q38" s="58"/>
      <c r="R38" s="407">
        <v>19</v>
      </c>
      <c r="S38" s="407">
        <v>0</v>
      </c>
      <c r="T38" s="407">
        <v>0</v>
      </c>
      <c r="U38" s="407">
        <v>0</v>
      </c>
      <c r="V38" s="407">
        <v>0</v>
      </c>
      <c r="W38" s="60">
        <f t="shared" si="5"/>
        <v>0</v>
      </c>
      <c r="X38" s="60">
        <f t="shared" si="6"/>
        <v>1</v>
      </c>
      <c r="Y38" s="60">
        <f t="shared" si="7"/>
        <v>0</v>
      </c>
      <c r="Z38" s="60">
        <f t="shared" si="8"/>
        <v>0</v>
      </c>
      <c r="AA38" s="60">
        <f t="shared" si="9"/>
        <v>0</v>
      </c>
      <c r="AB38" s="60">
        <f t="shared" si="10"/>
        <v>0</v>
      </c>
      <c r="AC38" s="47"/>
    </row>
    <row r="39" spans="2:29" ht="15">
      <c r="B39">
        <f t="shared" si="2"/>
      </c>
      <c r="C39">
        <f t="shared" si="3"/>
      </c>
      <c r="D39" t="s">
        <v>732</v>
      </c>
      <c r="E39" t="s">
        <v>912</v>
      </c>
      <c r="F39" t="s">
        <v>732</v>
      </c>
      <c r="G39" t="s">
        <v>912</v>
      </c>
      <c r="H39" s="47"/>
      <c r="I39" s="23" t="s">
        <v>602</v>
      </c>
      <c r="J39" s="23" t="s">
        <v>603</v>
      </c>
      <c r="K39" s="1" t="str">
        <f t="shared" si="0"/>
        <v>HM</v>
      </c>
      <c r="L39" s="57">
        <f t="shared" si="4"/>
        <v>36</v>
      </c>
      <c r="M39" s="6">
        <f>(VLOOKUP($K39,'Standard Estimate Uncertainty '!$B$10:$D$18,2)*$L39)+$L39</f>
        <v>32.4</v>
      </c>
      <c r="N39" s="6">
        <f>(VLOOKUP($K39,'Standard Estimate Uncertainty '!$B$10:$D$18,3)*$L39)+$L39</f>
        <v>41.4</v>
      </c>
      <c r="O39" s="6"/>
      <c r="P39" s="49"/>
      <c r="Q39" s="58"/>
      <c r="R39" s="407">
        <v>30</v>
      </c>
      <c r="S39" s="407">
        <v>6</v>
      </c>
      <c r="T39" s="407">
        <v>0</v>
      </c>
      <c r="U39" s="407">
        <v>0</v>
      </c>
      <c r="V39" s="407">
        <v>0</v>
      </c>
      <c r="W39" s="60">
        <f t="shared" si="5"/>
        <v>0</v>
      </c>
      <c r="X39" s="60">
        <f t="shared" si="6"/>
        <v>0.8333333333333334</v>
      </c>
      <c r="Y39" s="60">
        <f t="shared" si="7"/>
        <v>0.16666666666666666</v>
      </c>
      <c r="Z39" s="60">
        <f t="shared" si="8"/>
        <v>0</v>
      </c>
      <c r="AA39" s="60">
        <f t="shared" si="9"/>
        <v>0</v>
      </c>
      <c r="AB39" s="60">
        <f t="shared" si="10"/>
        <v>0</v>
      </c>
      <c r="AC39" s="47"/>
    </row>
    <row r="40" spans="2:29" ht="15">
      <c r="B40">
        <f t="shared" si="2"/>
      </c>
      <c r="C40">
        <f t="shared" si="3"/>
      </c>
      <c r="D40" t="s">
        <v>732</v>
      </c>
      <c r="E40" t="s">
        <v>884</v>
      </c>
      <c r="F40" t="s">
        <v>732</v>
      </c>
      <c r="G40" t="s">
        <v>884</v>
      </c>
      <c r="H40" s="47"/>
      <c r="I40" s="23" t="s">
        <v>602</v>
      </c>
      <c r="J40" s="23" t="s">
        <v>603</v>
      </c>
      <c r="K40" s="1" t="str">
        <f t="shared" si="0"/>
        <v>HM</v>
      </c>
      <c r="L40" s="57">
        <f t="shared" si="4"/>
        <v>593</v>
      </c>
      <c r="M40" s="6">
        <f>(VLOOKUP($K40,'Standard Estimate Uncertainty '!$B$10:$D$18,2)*$L40)+$L40</f>
        <v>533.7</v>
      </c>
      <c r="N40" s="6">
        <f>(VLOOKUP($K40,'Standard Estimate Uncertainty '!$B$10:$D$18,3)*$L40)+$L40</f>
        <v>681.95</v>
      </c>
      <c r="O40" s="6"/>
      <c r="P40" s="49"/>
      <c r="Q40" s="58"/>
      <c r="R40" s="407">
        <v>593</v>
      </c>
      <c r="S40" s="407">
        <v>0</v>
      </c>
      <c r="T40" s="407">
        <v>0</v>
      </c>
      <c r="U40" s="407">
        <v>0</v>
      </c>
      <c r="V40" s="407">
        <v>0</v>
      </c>
      <c r="W40" s="60">
        <f t="shared" si="5"/>
        <v>0</v>
      </c>
      <c r="X40" s="60">
        <f t="shared" si="6"/>
        <v>1</v>
      </c>
      <c r="Y40" s="60">
        <f t="shared" si="7"/>
        <v>0</v>
      </c>
      <c r="Z40" s="60">
        <f t="shared" si="8"/>
        <v>0</v>
      </c>
      <c r="AA40" s="60">
        <f t="shared" si="9"/>
        <v>0</v>
      </c>
      <c r="AB40" s="60">
        <f t="shared" si="10"/>
        <v>0</v>
      </c>
      <c r="AC40" s="47"/>
    </row>
    <row r="41" spans="2:29" ht="15">
      <c r="B41">
        <f t="shared" si="2"/>
      </c>
      <c r="C41">
        <f t="shared" si="3"/>
      </c>
      <c r="D41" t="s">
        <v>732</v>
      </c>
      <c r="E41" t="s">
        <v>885</v>
      </c>
      <c r="F41" t="s">
        <v>732</v>
      </c>
      <c r="G41" t="s">
        <v>885</v>
      </c>
      <c r="H41" s="47"/>
      <c r="I41" s="23" t="s">
        <v>602</v>
      </c>
      <c r="J41" s="23" t="s">
        <v>603</v>
      </c>
      <c r="K41" s="1" t="str">
        <f t="shared" si="0"/>
        <v>HM</v>
      </c>
      <c r="L41" s="57">
        <f t="shared" si="4"/>
        <v>131</v>
      </c>
      <c r="M41" s="6">
        <f>(VLOOKUP($K41,'Standard Estimate Uncertainty '!$B$10:$D$18,2)*$L41)+$L41</f>
        <v>117.9</v>
      </c>
      <c r="N41" s="6">
        <f>(VLOOKUP($K41,'Standard Estimate Uncertainty '!$B$10:$D$18,3)*$L41)+$L41</f>
        <v>150.65</v>
      </c>
      <c r="O41" s="6"/>
      <c r="P41" s="49"/>
      <c r="Q41" s="58"/>
      <c r="R41" s="407">
        <v>93</v>
      </c>
      <c r="S41" s="407">
        <v>38</v>
      </c>
      <c r="T41" s="407">
        <v>0</v>
      </c>
      <c r="U41" s="407">
        <v>0</v>
      </c>
      <c r="V41" s="407">
        <v>0</v>
      </c>
      <c r="W41" s="60">
        <f t="shared" si="5"/>
        <v>0</v>
      </c>
      <c r="X41" s="60">
        <f t="shared" si="6"/>
        <v>0.7099236641221374</v>
      </c>
      <c r="Y41" s="60">
        <f t="shared" si="7"/>
        <v>0.2900763358778626</v>
      </c>
      <c r="Z41" s="60">
        <f t="shared" si="8"/>
        <v>0</v>
      </c>
      <c r="AA41" s="60">
        <f t="shared" si="9"/>
        <v>0</v>
      </c>
      <c r="AB41" s="60">
        <f t="shared" si="10"/>
        <v>0</v>
      </c>
      <c r="AC41" s="47"/>
    </row>
    <row r="42" spans="2:29" ht="15">
      <c r="B42">
        <f t="shared" si="2"/>
      </c>
      <c r="C42">
        <f t="shared" si="3"/>
      </c>
      <c r="D42" t="s">
        <v>732</v>
      </c>
      <c r="E42" t="s">
        <v>886</v>
      </c>
      <c r="F42" t="s">
        <v>732</v>
      </c>
      <c r="G42" t="s">
        <v>886</v>
      </c>
      <c r="H42" s="47"/>
      <c r="I42" s="23" t="s">
        <v>602</v>
      </c>
      <c r="J42" s="23" t="s">
        <v>603</v>
      </c>
      <c r="K42" s="1" t="str">
        <f t="shared" si="0"/>
        <v>HM</v>
      </c>
      <c r="L42" s="57">
        <f t="shared" si="4"/>
        <v>28</v>
      </c>
      <c r="M42" s="6">
        <f>(VLOOKUP($K42,'Standard Estimate Uncertainty '!$B$10:$D$18,2)*$L42)+$L42</f>
        <v>25.2</v>
      </c>
      <c r="N42" s="6">
        <f>(VLOOKUP($K42,'Standard Estimate Uncertainty '!$B$10:$D$18,3)*$L42)+$L42</f>
        <v>32.2</v>
      </c>
      <c r="O42" s="6"/>
      <c r="P42" s="49"/>
      <c r="Q42" s="58"/>
      <c r="R42" s="407">
        <v>0</v>
      </c>
      <c r="S42" s="407">
        <v>0</v>
      </c>
      <c r="T42" s="407">
        <v>28</v>
      </c>
      <c r="U42" s="407">
        <v>0</v>
      </c>
      <c r="V42" s="407">
        <v>0</v>
      </c>
      <c r="W42" s="60">
        <f t="shared" si="5"/>
        <v>0</v>
      </c>
      <c r="X42" s="60">
        <f t="shared" si="6"/>
        <v>0</v>
      </c>
      <c r="Y42" s="60">
        <f t="shared" si="7"/>
        <v>0</v>
      </c>
      <c r="Z42" s="60">
        <f t="shared" si="8"/>
        <v>1</v>
      </c>
      <c r="AA42" s="60">
        <f t="shared" si="9"/>
        <v>0</v>
      </c>
      <c r="AB42" s="60">
        <f t="shared" si="10"/>
        <v>0</v>
      </c>
      <c r="AC42" s="47"/>
    </row>
    <row r="43" spans="2:29" ht="15">
      <c r="B43">
        <f t="shared" si="2"/>
      </c>
      <c r="C43">
        <f t="shared" si="3"/>
      </c>
      <c r="D43" t="s">
        <v>732</v>
      </c>
      <c r="E43" t="s">
        <v>681</v>
      </c>
      <c r="F43" t="s">
        <v>732</v>
      </c>
      <c r="G43" t="s">
        <v>681</v>
      </c>
      <c r="H43" s="47"/>
      <c r="I43" s="23" t="s">
        <v>602</v>
      </c>
      <c r="J43" s="23" t="s">
        <v>603</v>
      </c>
      <c r="K43" s="1" t="str">
        <f t="shared" si="0"/>
        <v>HM</v>
      </c>
      <c r="L43" s="57">
        <f t="shared" si="4"/>
        <v>143</v>
      </c>
      <c r="M43" s="6">
        <f>(VLOOKUP($K43,'Standard Estimate Uncertainty '!$B$10:$D$18,2)*$L43)+$L43</f>
        <v>128.7</v>
      </c>
      <c r="N43" s="6">
        <f>(VLOOKUP($K43,'Standard Estimate Uncertainty '!$B$10:$D$18,3)*$L43)+$L43</f>
        <v>164.45</v>
      </c>
      <c r="O43" s="6"/>
      <c r="P43" s="49"/>
      <c r="Q43" s="58"/>
      <c r="R43" s="407">
        <v>143</v>
      </c>
      <c r="S43" s="407">
        <v>0</v>
      </c>
      <c r="T43" s="407">
        <v>0</v>
      </c>
      <c r="U43" s="407">
        <v>0</v>
      </c>
      <c r="V43" s="407">
        <v>0</v>
      </c>
      <c r="W43" s="60">
        <f t="shared" si="5"/>
        <v>0</v>
      </c>
      <c r="X43" s="60">
        <f t="shared" si="6"/>
        <v>1</v>
      </c>
      <c r="Y43" s="60">
        <f t="shared" si="7"/>
        <v>0</v>
      </c>
      <c r="Z43" s="60">
        <f t="shared" si="8"/>
        <v>0</v>
      </c>
      <c r="AA43" s="60">
        <f t="shared" si="9"/>
        <v>0</v>
      </c>
      <c r="AB43" s="60">
        <f t="shared" si="10"/>
        <v>0</v>
      </c>
      <c r="AC43" s="47"/>
    </row>
    <row r="44" spans="2:29" ht="15">
      <c r="B44">
        <f t="shared" si="2"/>
      </c>
      <c r="C44">
        <f t="shared" si="3"/>
      </c>
      <c r="D44" t="s">
        <v>732</v>
      </c>
      <c r="E44" t="s">
        <v>901</v>
      </c>
      <c r="F44" t="s">
        <v>732</v>
      </c>
      <c r="G44" t="s">
        <v>901</v>
      </c>
      <c r="H44" s="56">
        <v>20</v>
      </c>
      <c r="I44" s="23" t="s">
        <v>602</v>
      </c>
      <c r="J44" s="23" t="s">
        <v>603</v>
      </c>
      <c r="K44" s="1" t="str">
        <f t="shared" si="0"/>
        <v>HM</v>
      </c>
      <c r="L44" s="57">
        <f t="shared" si="4"/>
        <v>119</v>
      </c>
      <c r="M44" s="6">
        <f>(VLOOKUP($K44,'Standard Estimate Uncertainty '!$B$10:$D$18,2)*$L44)+$L44</f>
        <v>107.1</v>
      </c>
      <c r="N44" s="6">
        <f>(VLOOKUP($K44,'Standard Estimate Uncertainty '!$B$10:$D$18,3)*$L44)+$L44</f>
        <v>136.85</v>
      </c>
      <c r="O44" s="6"/>
      <c r="P44" s="49"/>
      <c r="Q44" s="58"/>
      <c r="R44" s="407">
        <v>48</v>
      </c>
      <c r="S44" s="407">
        <v>71</v>
      </c>
      <c r="T44" s="407">
        <v>0</v>
      </c>
      <c r="U44" s="407">
        <v>0</v>
      </c>
      <c r="V44" s="407">
        <v>0</v>
      </c>
      <c r="W44" s="60">
        <f t="shared" si="5"/>
        <v>0</v>
      </c>
      <c r="X44" s="60">
        <f t="shared" si="6"/>
        <v>0.40336134453781514</v>
      </c>
      <c r="Y44" s="60">
        <f t="shared" si="7"/>
        <v>0.5966386554621849</v>
      </c>
      <c r="Z44" s="60">
        <f t="shared" si="8"/>
        <v>0</v>
      </c>
      <c r="AA44" s="60">
        <f t="shared" si="9"/>
        <v>0</v>
      </c>
      <c r="AB44" s="60">
        <f t="shared" si="10"/>
        <v>0</v>
      </c>
      <c r="AC44" s="47"/>
    </row>
    <row r="45" spans="2:29" ht="15">
      <c r="B45">
        <f t="shared" si="2"/>
      </c>
      <c r="C45">
        <f t="shared" si="3"/>
      </c>
      <c r="D45" t="s">
        <v>733</v>
      </c>
      <c r="E45" t="s">
        <v>682</v>
      </c>
      <c r="F45" t="s">
        <v>733</v>
      </c>
      <c r="G45" t="s">
        <v>682</v>
      </c>
      <c r="H45" s="47"/>
      <c r="I45" s="23" t="s">
        <v>602</v>
      </c>
      <c r="J45" s="23" t="s">
        <v>602</v>
      </c>
      <c r="K45" s="1" t="str">
        <f aca="true" t="shared" si="11" ref="K45:K83">CONCATENATE(I45,J45)</f>
        <v>HH</v>
      </c>
      <c r="L45" s="57">
        <f t="shared" si="4"/>
        <v>98</v>
      </c>
      <c r="M45" s="6">
        <f>(VLOOKUP($K45,'Standard Estimate Uncertainty '!$B$10:$D$18,2)*$L45)+$L45</f>
        <v>83.3</v>
      </c>
      <c r="N45" s="6">
        <f>(VLOOKUP($K45,'Standard Estimate Uncertainty '!$B$10:$D$18,3)*$L45)+$L45</f>
        <v>122.5</v>
      </c>
      <c r="O45" s="6"/>
      <c r="P45" s="49"/>
      <c r="Q45" s="58"/>
      <c r="R45" s="407">
        <v>98</v>
      </c>
      <c r="S45" s="407">
        <v>0</v>
      </c>
      <c r="T45" s="407">
        <v>0</v>
      </c>
      <c r="U45" s="407">
        <v>0</v>
      </c>
      <c r="V45" s="407">
        <v>0</v>
      </c>
      <c r="W45" s="60">
        <f t="shared" si="5"/>
        <v>0</v>
      </c>
      <c r="X45" s="60">
        <f t="shared" si="6"/>
        <v>1</v>
      </c>
      <c r="Y45" s="60">
        <f t="shared" si="7"/>
        <v>0</v>
      </c>
      <c r="Z45" s="60">
        <f t="shared" si="8"/>
        <v>0</v>
      </c>
      <c r="AA45" s="60">
        <f t="shared" si="9"/>
        <v>0</v>
      </c>
      <c r="AB45" s="60">
        <f t="shared" si="10"/>
        <v>0</v>
      </c>
      <c r="AC45" s="47"/>
    </row>
    <row r="46" spans="2:29" ht="15">
      <c r="B46">
        <f t="shared" si="2"/>
      </c>
      <c r="C46">
        <f t="shared" si="3"/>
      </c>
      <c r="D46" t="s">
        <v>733</v>
      </c>
      <c r="E46" t="s">
        <v>683</v>
      </c>
      <c r="F46" t="s">
        <v>733</v>
      </c>
      <c r="G46" t="s">
        <v>683</v>
      </c>
      <c r="H46" s="47"/>
      <c r="I46" s="23" t="s">
        <v>602</v>
      </c>
      <c r="J46" s="23" t="s">
        <v>602</v>
      </c>
      <c r="K46" s="1" t="str">
        <f t="shared" si="11"/>
        <v>HH</v>
      </c>
      <c r="L46" s="57">
        <f t="shared" si="4"/>
        <v>28</v>
      </c>
      <c r="M46" s="6">
        <f>(VLOOKUP($K46,'Standard Estimate Uncertainty '!$B$10:$D$18,2)*$L46)+$L46</f>
        <v>23.8</v>
      </c>
      <c r="N46" s="6">
        <f>(VLOOKUP($K46,'Standard Estimate Uncertainty '!$B$10:$D$18,3)*$L46)+$L46</f>
        <v>35</v>
      </c>
      <c r="O46" s="6"/>
      <c r="P46" s="49"/>
      <c r="Q46" s="58"/>
      <c r="R46" s="407">
        <v>28</v>
      </c>
      <c r="S46" s="407">
        <v>0</v>
      </c>
      <c r="T46" s="407">
        <v>0</v>
      </c>
      <c r="U46" s="407">
        <v>0</v>
      </c>
      <c r="V46" s="407">
        <v>0</v>
      </c>
      <c r="W46" s="60">
        <f t="shared" si="5"/>
        <v>0</v>
      </c>
      <c r="X46" s="60">
        <f t="shared" si="6"/>
        <v>1</v>
      </c>
      <c r="Y46" s="60">
        <f t="shared" si="7"/>
        <v>0</v>
      </c>
      <c r="Z46" s="60">
        <f t="shared" si="8"/>
        <v>0</v>
      </c>
      <c r="AA46" s="60">
        <f t="shared" si="9"/>
        <v>0</v>
      </c>
      <c r="AB46" s="60">
        <f t="shared" si="10"/>
        <v>0</v>
      </c>
      <c r="AC46" s="47"/>
    </row>
    <row r="47" spans="2:29" ht="15">
      <c r="B47">
        <f t="shared" si="2"/>
      </c>
      <c r="C47">
        <f t="shared" si="3"/>
      </c>
      <c r="D47" t="s">
        <v>733</v>
      </c>
      <c r="E47" t="s">
        <v>684</v>
      </c>
      <c r="F47" t="s">
        <v>733</v>
      </c>
      <c r="G47" t="s">
        <v>684</v>
      </c>
      <c r="H47" s="47"/>
      <c r="I47" s="23" t="s">
        <v>602</v>
      </c>
      <c r="J47" s="23" t="s">
        <v>602</v>
      </c>
      <c r="K47" s="1" t="str">
        <f t="shared" si="11"/>
        <v>HH</v>
      </c>
      <c r="L47" s="57">
        <f t="shared" si="4"/>
        <v>84</v>
      </c>
      <c r="M47" s="6">
        <f>(VLOOKUP($K47,'Standard Estimate Uncertainty '!$B$10:$D$18,2)*$L47)+$L47</f>
        <v>71.4</v>
      </c>
      <c r="N47" s="6">
        <f>(VLOOKUP($K47,'Standard Estimate Uncertainty '!$B$10:$D$18,3)*$L47)+$L47</f>
        <v>105</v>
      </c>
      <c r="O47" s="6"/>
      <c r="P47" s="49"/>
      <c r="Q47" s="58"/>
      <c r="R47" s="407">
        <v>84</v>
      </c>
      <c r="S47" s="407">
        <v>0</v>
      </c>
      <c r="T47" s="407">
        <v>0</v>
      </c>
      <c r="U47" s="407">
        <v>0</v>
      </c>
      <c r="V47" s="407">
        <v>0</v>
      </c>
      <c r="W47" s="60">
        <f t="shared" si="5"/>
        <v>0</v>
      </c>
      <c r="X47" s="60">
        <f t="shared" si="6"/>
        <v>1</v>
      </c>
      <c r="Y47" s="60">
        <f t="shared" si="7"/>
        <v>0</v>
      </c>
      <c r="Z47" s="60">
        <f t="shared" si="8"/>
        <v>0</v>
      </c>
      <c r="AA47" s="60">
        <f t="shared" si="9"/>
        <v>0</v>
      </c>
      <c r="AB47" s="60">
        <f t="shared" si="10"/>
        <v>0</v>
      </c>
      <c r="AC47" s="47"/>
    </row>
    <row r="48" spans="2:29" ht="15">
      <c r="B48">
        <f t="shared" si="2"/>
      </c>
      <c r="C48">
        <f t="shared" si="3"/>
      </c>
      <c r="D48" t="s">
        <v>733</v>
      </c>
      <c r="E48" t="s">
        <v>909</v>
      </c>
      <c r="F48" t="s">
        <v>733</v>
      </c>
      <c r="G48" t="s">
        <v>909</v>
      </c>
      <c r="H48" s="47"/>
      <c r="I48" s="23" t="s">
        <v>602</v>
      </c>
      <c r="J48" s="23" t="s">
        <v>602</v>
      </c>
      <c r="K48" s="1" t="str">
        <f t="shared" si="11"/>
        <v>HH</v>
      </c>
      <c r="L48" s="57">
        <f t="shared" si="4"/>
        <v>179</v>
      </c>
      <c r="M48" s="6">
        <f>(VLOOKUP($K48,'Standard Estimate Uncertainty '!$B$10:$D$18,2)*$L48)+$L48</f>
        <v>152.15</v>
      </c>
      <c r="N48" s="6">
        <f>(VLOOKUP($K48,'Standard Estimate Uncertainty '!$B$10:$D$18,3)*$L48)+$L48</f>
        <v>223.75</v>
      </c>
      <c r="O48" s="6"/>
      <c r="P48" s="49"/>
      <c r="Q48" s="58"/>
      <c r="R48" s="407">
        <v>179</v>
      </c>
      <c r="S48" s="407">
        <v>0</v>
      </c>
      <c r="T48" s="407">
        <v>0</v>
      </c>
      <c r="U48" s="407">
        <v>0</v>
      </c>
      <c r="V48" s="407">
        <v>0</v>
      </c>
      <c r="W48" s="60">
        <f t="shared" si="5"/>
        <v>0</v>
      </c>
      <c r="X48" s="60">
        <f t="shared" si="6"/>
        <v>1</v>
      </c>
      <c r="Y48" s="60">
        <f t="shared" si="7"/>
        <v>0</v>
      </c>
      <c r="Z48" s="60">
        <f t="shared" si="8"/>
        <v>0</v>
      </c>
      <c r="AA48" s="60">
        <f t="shared" si="9"/>
        <v>0</v>
      </c>
      <c r="AB48" s="60">
        <f t="shared" si="10"/>
        <v>0</v>
      </c>
      <c r="AC48" s="47"/>
    </row>
    <row r="49" spans="2:29" ht="15">
      <c r="B49">
        <f t="shared" si="2"/>
      </c>
      <c r="C49">
        <f t="shared" si="3"/>
      </c>
      <c r="D49" t="s">
        <v>733</v>
      </c>
      <c r="E49" t="s">
        <v>685</v>
      </c>
      <c r="F49" t="s">
        <v>733</v>
      </c>
      <c r="G49" t="s">
        <v>685</v>
      </c>
      <c r="H49" s="47"/>
      <c r="I49" s="23" t="s">
        <v>602</v>
      </c>
      <c r="J49" s="23" t="s">
        <v>602</v>
      </c>
      <c r="K49" s="1" t="str">
        <f t="shared" si="11"/>
        <v>HH</v>
      </c>
      <c r="L49" s="57">
        <f t="shared" si="4"/>
        <v>175</v>
      </c>
      <c r="M49" s="6">
        <f>(VLOOKUP($K49,'Standard Estimate Uncertainty '!$B$10:$D$18,2)*$L49)+$L49</f>
        <v>148.75</v>
      </c>
      <c r="N49" s="6">
        <f>(VLOOKUP($K49,'Standard Estimate Uncertainty '!$B$10:$D$18,3)*$L49)+$L49</f>
        <v>218.75</v>
      </c>
      <c r="O49" s="6"/>
      <c r="P49" s="49"/>
      <c r="Q49" s="58"/>
      <c r="R49" s="407">
        <v>175</v>
      </c>
      <c r="S49" s="407">
        <v>0</v>
      </c>
      <c r="T49" s="407">
        <v>0</v>
      </c>
      <c r="U49" s="407">
        <v>0</v>
      </c>
      <c r="V49" s="407">
        <v>0</v>
      </c>
      <c r="W49" s="60">
        <f t="shared" si="5"/>
        <v>0</v>
      </c>
      <c r="X49" s="60">
        <f t="shared" si="6"/>
        <v>1</v>
      </c>
      <c r="Y49" s="60">
        <f t="shared" si="7"/>
        <v>0</v>
      </c>
      <c r="Z49" s="60">
        <f t="shared" si="8"/>
        <v>0</v>
      </c>
      <c r="AA49" s="60">
        <f t="shared" si="9"/>
        <v>0</v>
      </c>
      <c r="AB49" s="60">
        <f t="shared" si="10"/>
        <v>0</v>
      </c>
      <c r="AC49" s="47"/>
    </row>
    <row r="50" spans="2:29" ht="15">
      <c r="B50">
        <f t="shared" si="2"/>
      </c>
      <c r="C50">
        <f t="shared" si="3"/>
      </c>
      <c r="D50" t="s">
        <v>733</v>
      </c>
      <c r="E50" t="s">
        <v>686</v>
      </c>
      <c r="F50" t="s">
        <v>733</v>
      </c>
      <c r="G50" t="s">
        <v>686</v>
      </c>
      <c r="H50" s="47"/>
      <c r="I50" s="23" t="s">
        <v>602</v>
      </c>
      <c r="J50" s="23" t="s">
        <v>602</v>
      </c>
      <c r="K50" s="1" t="str">
        <f t="shared" si="11"/>
        <v>HH</v>
      </c>
      <c r="L50" s="57">
        <f t="shared" si="4"/>
        <v>348</v>
      </c>
      <c r="M50" s="6">
        <f>(VLOOKUP($K50,'Standard Estimate Uncertainty '!$B$10:$D$18,2)*$L50)+$L50</f>
        <v>295.8</v>
      </c>
      <c r="N50" s="6">
        <f>(VLOOKUP($K50,'Standard Estimate Uncertainty '!$B$10:$D$18,3)*$L50)+$L50</f>
        <v>435</v>
      </c>
      <c r="O50" s="6"/>
      <c r="P50" s="49"/>
      <c r="Q50" s="58"/>
      <c r="R50" s="407">
        <v>348</v>
      </c>
      <c r="S50" s="407">
        <v>0</v>
      </c>
      <c r="T50" s="407">
        <v>0</v>
      </c>
      <c r="U50" s="407">
        <v>0</v>
      </c>
      <c r="V50" s="407">
        <v>0</v>
      </c>
      <c r="W50" s="60">
        <f t="shared" si="5"/>
        <v>0</v>
      </c>
      <c r="X50" s="60">
        <f t="shared" si="6"/>
        <v>1</v>
      </c>
      <c r="Y50" s="60">
        <f t="shared" si="7"/>
        <v>0</v>
      </c>
      <c r="Z50" s="60">
        <f t="shared" si="8"/>
        <v>0</v>
      </c>
      <c r="AA50" s="60">
        <f t="shared" si="9"/>
        <v>0</v>
      </c>
      <c r="AB50" s="60">
        <f t="shared" si="10"/>
        <v>0</v>
      </c>
      <c r="AC50" s="47"/>
    </row>
    <row r="51" spans="2:29" ht="15">
      <c r="B51">
        <f t="shared" si="2"/>
      </c>
      <c r="C51">
        <f t="shared" si="3"/>
      </c>
      <c r="D51" t="s">
        <v>734</v>
      </c>
      <c r="E51" t="s">
        <v>687</v>
      </c>
      <c r="F51" t="s">
        <v>734</v>
      </c>
      <c r="G51" t="s">
        <v>687</v>
      </c>
      <c r="H51" s="47"/>
      <c r="I51" s="23" t="s">
        <v>603</v>
      </c>
      <c r="J51" s="23" t="s">
        <v>616</v>
      </c>
      <c r="K51" s="1" t="str">
        <f t="shared" si="11"/>
        <v>ML</v>
      </c>
      <c r="L51" s="57">
        <f t="shared" si="4"/>
        <v>143</v>
      </c>
      <c r="M51" s="6">
        <f>(VLOOKUP($K51,'Standard Estimate Uncertainty '!$B$10:$D$18,2)*$L51)+$L51</f>
        <v>128.7</v>
      </c>
      <c r="N51" s="6">
        <f>(VLOOKUP($K51,'Standard Estimate Uncertainty '!$B$10:$D$18,3)*$L51)+$L51</f>
        <v>164.45</v>
      </c>
      <c r="O51" s="6"/>
      <c r="P51" s="49"/>
      <c r="Q51" s="58"/>
      <c r="R51" s="407">
        <v>130</v>
      </c>
      <c r="S51" s="407">
        <v>13</v>
      </c>
      <c r="T51" s="407">
        <v>0</v>
      </c>
      <c r="U51" s="407">
        <v>0</v>
      </c>
      <c r="V51" s="407">
        <v>0</v>
      </c>
      <c r="W51" s="60">
        <f t="shared" si="5"/>
        <v>0</v>
      </c>
      <c r="X51" s="60">
        <f t="shared" si="6"/>
        <v>0.9090909090909091</v>
      </c>
      <c r="Y51" s="60">
        <f t="shared" si="7"/>
        <v>0.09090909090909091</v>
      </c>
      <c r="Z51" s="60">
        <f t="shared" si="8"/>
        <v>0</v>
      </c>
      <c r="AA51" s="60">
        <f t="shared" si="9"/>
        <v>0</v>
      </c>
      <c r="AB51" s="60">
        <f t="shared" si="10"/>
        <v>0</v>
      </c>
      <c r="AC51" s="47"/>
    </row>
    <row r="52" spans="2:29" ht="15">
      <c r="B52">
        <f t="shared" si="2"/>
      </c>
      <c r="C52">
        <f t="shared" si="3"/>
      </c>
      <c r="D52" t="s">
        <v>734</v>
      </c>
      <c r="E52" t="s">
        <v>688</v>
      </c>
      <c r="F52" t="s">
        <v>734</v>
      </c>
      <c r="G52" t="s">
        <v>688</v>
      </c>
      <c r="H52" s="47"/>
      <c r="I52" s="23" t="s">
        <v>603</v>
      </c>
      <c r="J52" s="23" t="s">
        <v>616</v>
      </c>
      <c r="K52" s="1" t="str">
        <f t="shared" si="11"/>
        <v>ML</v>
      </c>
      <c r="L52" s="57">
        <f t="shared" si="4"/>
        <v>139</v>
      </c>
      <c r="M52" s="6">
        <f>(VLOOKUP($K52,'Standard Estimate Uncertainty '!$B$10:$D$18,2)*$L52)+$L52</f>
        <v>125.1</v>
      </c>
      <c r="N52" s="6">
        <f>(VLOOKUP($K52,'Standard Estimate Uncertainty '!$B$10:$D$18,3)*$L52)+$L52</f>
        <v>159.85</v>
      </c>
      <c r="O52" s="6"/>
      <c r="P52" s="49"/>
      <c r="Q52" s="58"/>
      <c r="R52" s="407">
        <v>139</v>
      </c>
      <c r="S52" s="407">
        <v>0</v>
      </c>
      <c r="T52" s="407">
        <v>0</v>
      </c>
      <c r="U52" s="407">
        <v>0</v>
      </c>
      <c r="V52" s="407">
        <v>0</v>
      </c>
      <c r="W52" s="60">
        <f t="shared" si="5"/>
        <v>0</v>
      </c>
      <c r="X52" s="60">
        <f t="shared" si="6"/>
        <v>1</v>
      </c>
      <c r="Y52" s="60">
        <f t="shared" si="7"/>
        <v>0</v>
      </c>
      <c r="Z52" s="60">
        <f t="shared" si="8"/>
        <v>0</v>
      </c>
      <c r="AA52" s="60">
        <f t="shared" si="9"/>
        <v>0</v>
      </c>
      <c r="AB52" s="60">
        <f t="shared" si="10"/>
        <v>0</v>
      </c>
      <c r="AC52" s="47"/>
    </row>
    <row r="53" spans="1:29" ht="15">
      <c r="A53">
        <v>15</v>
      </c>
      <c r="B53">
        <f t="shared" si="2"/>
      </c>
      <c r="C53">
        <f t="shared" si="3"/>
      </c>
      <c r="D53" t="s">
        <v>735</v>
      </c>
      <c r="E53" t="s">
        <v>647</v>
      </c>
      <c r="F53" t="s">
        <v>735</v>
      </c>
      <c r="G53" t="s">
        <v>647</v>
      </c>
      <c r="H53" s="47"/>
      <c r="I53" s="23" t="s">
        <v>603</v>
      </c>
      <c r="J53" s="23" t="s">
        <v>616</v>
      </c>
      <c r="K53" s="1" t="str">
        <f t="shared" si="11"/>
        <v>ML</v>
      </c>
      <c r="L53" s="57">
        <f t="shared" si="4"/>
        <v>90</v>
      </c>
      <c r="M53" s="6">
        <f>(VLOOKUP($K53,'Standard Estimate Uncertainty '!$B$10:$D$18,2)*$L53)+$L53</f>
        <v>81</v>
      </c>
      <c r="N53" s="6">
        <f>(VLOOKUP($K53,'Standard Estimate Uncertainty '!$B$10:$D$18,3)*$L53)+$L53</f>
        <v>103.5</v>
      </c>
      <c r="O53" s="6"/>
      <c r="P53" s="49"/>
      <c r="Q53" s="58"/>
      <c r="R53" s="407">
        <v>90</v>
      </c>
      <c r="S53" s="407">
        <v>0</v>
      </c>
      <c r="T53" s="407">
        <v>0</v>
      </c>
      <c r="U53" s="407">
        <v>0</v>
      </c>
      <c r="V53" s="407">
        <v>0</v>
      </c>
      <c r="W53" s="60">
        <f t="shared" si="5"/>
        <v>0</v>
      </c>
      <c r="X53" s="60">
        <f t="shared" si="6"/>
        <v>1</v>
      </c>
      <c r="Y53" s="60">
        <f t="shared" si="7"/>
        <v>0</v>
      </c>
      <c r="Z53" s="60">
        <f t="shared" si="8"/>
        <v>0</v>
      </c>
      <c r="AA53" s="60">
        <f t="shared" si="9"/>
        <v>0</v>
      </c>
      <c r="AB53" s="60">
        <f t="shared" si="10"/>
        <v>0</v>
      </c>
      <c r="AC53" s="47"/>
    </row>
    <row r="54" spans="2:29" ht="15">
      <c r="B54">
        <f t="shared" si="2"/>
      </c>
      <c r="C54">
        <f t="shared" si="3"/>
      </c>
      <c r="D54" t="s">
        <v>308</v>
      </c>
      <c r="E54" t="s">
        <v>647</v>
      </c>
      <c r="F54" t="s">
        <v>308</v>
      </c>
      <c r="G54" t="s">
        <v>647</v>
      </c>
      <c r="H54" s="47"/>
      <c r="I54" s="23" t="s">
        <v>603</v>
      </c>
      <c r="J54" s="23" t="s">
        <v>616</v>
      </c>
      <c r="K54" s="1" t="str">
        <f t="shared" si="11"/>
        <v>ML</v>
      </c>
      <c r="L54" s="57">
        <f t="shared" si="4"/>
        <v>1440</v>
      </c>
      <c r="M54" s="6">
        <f>(VLOOKUP($K54,'Standard Estimate Uncertainty '!$B$10:$D$18,2)*$L54)+$L54</f>
        <v>1296</v>
      </c>
      <c r="N54" s="6">
        <f>(VLOOKUP($K54,'Standard Estimate Uncertainty '!$B$10:$D$18,3)*$L54)+$L54</f>
        <v>1656</v>
      </c>
      <c r="O54" s="6"/>
      <c r="P54" s="49"/>
      <c r="Q54" s="58"/>
      <c r="R54" s="407">
        <v>230</v>
      </c>
      <c r="S54" s="407">
        <v>1210</v>
      </c>
      <c r="T54" s="407">
        <v>0</v>
      </c>
      <c r="U54" s="407">
        <v>0</v>
      </c>
      <c r="V54" s="407">
        <v>0</v>
      </c>
      <c r="W54" s="60">
        <f t="shared" si="5"/>
        <v>0</v>
      </c>
      <c r="X54" s="60">
        <f t="shared" si="6"/>
        <v>0.1597222222222222</v>
      </c>
      <c r="Y54" s="60">
        <f t="shared" si="7"/>
        <v>0.8402777777777778</v>
      </c>
      <c r="Z54" s="60">
        <f t="shared" si="8"/>
        <v>0</v>
      </c>
      <c r="AA54" s="60">
        <f t="shared" si="9"/>
        <v>0</v>
      </c>
      <c r="AB54" s="60">
        <f t="shared" si="10"/>
        <v>0</v>
      </c>
      <c r="AC54" s="47"/>
    </row>
    <row r="55" spans="1:29" ht="15">
      <c r="A55">
        <v>16</v>
      </c>
      <c r="B55">
        <f t="shared" si="2"/>
      </c>
      <c r="C55">
        <f t="shared" si="3"/>
      </c>
      <c r="D55" t="s">
        <v>737</v>
      </c>
      <c r="E55" t="s">
        <v>689</v>
      </c>
      <c r="F55" t="s">
        <v>737</v>
      </c>
      <c r="G55" t="s">
        <v>689</v>
      </c>
      <c r="H55" s="47"/>
      <c r="I55" s="23" t="s">
        <v>602</v>
      </c>
      <c r="J55" s="23" t="s">
        <v>616</v>
      </c>
      <c r="K55" s="1" t="str">
        <f t="shared" si="11"/>
        <v>HL</v>
      </c>
      <c r="L55" s="57">
        <f t="shared" si="4"/>
        <v>306</v>
      </c>
      <c r="M55" s="6">
        <f>(VLOOKUP($K55,'Standard Estimate Uncertainty '!$B$10:$D$18,2)*$L55)+$L55</f>
        <v>290.7</v>
      </c>
      <c r="N55" s="6">
        <f>(VLOOKUP($K55,'Standard Estimate Uncertainty '!$B$10:$D$18,3)*$L55)+$L55</f>
        <v>336.6</v>
      </c>
      <c r="O55" s="6"/>
      <c r="P55" s="49"/>
      <c r="Q55" s="58"/>
      <c r="R55" s="407">
        <v>150</v>
      </c>
      <c r="S55" s="407">
        <v>156</v>
      </c>
      <c r="T55" s="407">
        <v>0</v>
      </c>
      <c r="U55" s="407">
        <v>0</v>
      </c>
      <c r="V55" s="407">
        <v>0</v>
      </c>
      <c r="W55" s="60">
        <f t="shared" si="5"/>
        <v>0</v>
      </c>
      <c r="X55" s="60">
        <f t="shared" si="6"/>
        <v>0.49019607843137253</v>
      </c>
      <c r="Y55" s="60">
        <f t="shared" si="7"/>
        <v>0.5098039215686274</v>
      </c>
      <c r="Z55" s="60">
        <f t="shared" si="8"/>
        <v>0</v>
      </c>
      <c r="AA55" s="60">
        <f t="shared" si="9"/>
        <v>0</v>
      </c>
      <c r="AB55" s="60">
        <f t="shared" si="10"/>
        <v>0</v>
      </c>
      <c r="AC55" s="47"/>
    </row>
    <row r="56" spans="2:29" ht="15">
      <c r="B56">
        <f t="shared" si="2"/>
      </c>
      <c r="C56">
        <f t="shared" si="3"/>
      </c>
      <c r="D56" t="s">
        <v>737</v>
      </c>
      <c r="E56" t="s">
        <v>690</v>
      </c>
      <c r="F56" t="s">
        <v>737</v>
      </c>
      <c r="G56" t="s">
        <v>690</v>
      </c>
      <c r="H56" s="47"/>
      <c r="I56" s="23" t="s">
        <v>603</v>
      </c>
      <c r="J56" s="23" t="s">
        <v>616</v>
      </c>
      <c r="K56" s="1" t="str">
        <f t="shared" si="11"/>
        <v>ML</v>
      </c>
      <c r="L56" s="57">
        <f t="shared" si="4"/>
        <v>745</v>
      </c>
      <c r="M56" s="6">
        <f>(VLOOKUP($K56,'Standard Estimate Uncertainty '!$B$10:$D$18,2)*$L56)+$L56</f>
        <v>670.5</v>
      </c>
      <c r="N56" s="6">
        <f>(VLOOKUP($K56,'Standard Estimate Uncertainty '!$B$10:$D$18,3)*$L56)+$L56</f>
        <v>856.75</v>
      </c>
      <c r="O56" s="6"/>
      <c r="P56" s="49"/>
      <c r="Q56" s="58"/>
      <c r="R56" s="407">
        <v>129</v>
      </c>
      <c r="S56" s="407">
        <v>128</v>
      </c>
      <c r="T56" s="407">
        <v>488</v>
      </c>
      <c r="U56" s="407">
        <v>0</v>
      </c>
      <c r="V56" s="407">
        <v>0</v>
      </c>
      <c r="W56" s="60">
        <f t="shared" si="5"/>
        <v>0</v>
      </c>
      <c r="X56" s="60">
        <f t="shared" si="6"/>
        <v>0.17315436241610738</v>
      </c>
      <c r="Y56" s="60">
        <f t="shared" si="7"/>
        <v>0.17181208053691274</v>
      </c>
      <c r="Z56" s="60">
        <f t="shared" si="8"/>
        <v>0.6550335570469799</v>
      </c>
      <c r="AA56" s="60">
        <f t="shared" si="9"/>
        <v>0</v>
      </c>
      <c r="AB56" s="60">
        <f t="shared" si="10"/>
        <v>0</v>
      </c>
      <c r="AC56" s="47"/>
    </row>
    <row r="57" spans="2:29" ht="15">
      <c r="B57">
        <f t="shared" si="2"/>
      </c>
      <c r="C57">
        <f t="shared" si="3"/>
      </c>
      <c r="D57" t="s">
        <v>737</v>
      </c>
      <c r="E57" t="s">
        <v>691</v>
      </c>
      <c r="F57" t="s">
        <v>737</v>
      </c>
      <c r="G57" t="s">
        <v>691</v>
      </c>
      <c r="H57" s="47"/>
      <c r="I57" s="23" t="s">
        <v>602</v>
      </c>
      <c r="J57" s="23" t="s">
        <v>616</v>
      </c>
      <c r="K57" s="1" t="str">
        <f t="shared" si="11"/>
        <v>HL</v>
      </c>
      <c r="L57" s="57">
        <f t="shared" si="4"/>
        <v>31</v>
      </c>
      <c r="M57" s="6">
        <f>(VLOOKUP($K57,'Standard Estimate Uncertainty '!$B$10:$D$18,2)*$L57)+$L57</f>
        <v>29.45</v>
      </c>
      <c r="N57" s="6">
        <f>(VLOOKUP($K57,'Standard Estimate Uncertainty '!$B$10:$D$18,3)*$L57)+$L57</f>
        <v>34.1</v>
      </c>
      <c r="O57" s="6"/>
      <c r="P57" s="49"/>
      <c r="Q57" s="58"/>
      <c r="R57" s="407">
        <v>0</v>
      </c>
      <c r="S57" s="407">
        <v>31</v>
      </c>
      <c r="T57" s="407">
        <v>0</v>
      </c>
      <c r="U57" s="407">
        <v>0</v>
      </c>
      <c r="V57" s="407">
        <v>0</v>
      </c>
      <c r="W57" s="60">
        <f t="shared" si="5"/>
        <v>0</v>
      </c>
      <c r="X57" s="60">
        <f t="shared" si="6"/>
        <v>0</v>
      </c>
      <c r="Y57" s="60">
        <f t="shared" si="7"/>
        <v>1</v>
      </c>
      <c r="Z57" s="60">
        <f t="shared" si="8"/>
        <v>0</v>
      </c>
      <c r="AA57" s="60">
        <f t="shared" si="9"/>
        <v>0</v>
      </c>
      <c r="AB57" s="60">
        <f t="shared" si="10"/>
        <v>0</v>
      </c>
      <c r="AC57" s="47"/>
    </row>
    <row r="58" spans="2:29" ht="15">
      <c r="B58">
        <f t="shared" si="2"/>
      </c>
      <c r="C58">
        <f t="shared" si="3"/>
      </c>
      <c r="D58" t="s">
        <v>737</v>
      </c>
      <c r="E58" t="s">
        <v>664</v>
      </c>
      <c r="F58" t="s">
        <v>737</v>
      </c>
      <c r="G58" t="s">
        <v>664</v>
      </c>
      <c r="H58" s="47"/>
      <c r="I58" s="23" t="s">
        <v>602</v>
      </c>
      <c r="J58" s="23" t="s">
        <v>616</v>
      </c>
      <c r="K58" s="1" t="str">
        <f t="shared" si="11"/>
        <v>HL</v>
      </c>
      <c r="L58" s="57">
        <f t="shared" si="4"/>
        <v>0</v>
      </c>
      <c r="M58" s="6">
        <f>(VLOOKUP($K58,'Standard Estimate Uncertainty '!$B$10:$D$18,2)*$L58)+$L58</f>
        <v>0</v>
      </c>
      <c r="N58" s="6">
        <f>(VLOOKUP($K58,'Standard Estimate Uncertainty '!$B$10:$D$18,3)*$L58)+$L58</f>
        <v>0</v>
      </c>
      <c r="O58" s="6"/>
      <c r="P58" s="49"/>
      <c r="Q58" s="58"/>
      <c r="R58" s="407">
        <v>0</v>
      </c>
      <c r="S58" s="407">
        <v>0</v>
      </c>
      <c r="T58" s="407">
        <v>0</v>
      </c>
      <c r="U58" s="407">
        <v>0</v>
      </c>
      <c r="V58" s="407">
        <v>0</v>
      </c>
      <c r="W58" s="60" t="e">
        <f t="shared" si="5"/>
        <v>#DIV/0!</v>
      </c>
      <c r="X58" s="60" t="e">
        <f t="shared" si="6"/>
        <v>#DIV/0!</v>
      </c>
      <c r="Y58" s="60" t="e">
        <f t="shared" si="7"/>
        <v>#DIV/0!</v>
      </c>
      <c r="Z58" s="60" t="e">
        <f t="shared" si="8"/>
        <v>#DIV/0!</v>
      </c>
      <c r="AA58" s="60" t="e">
        <f t="shared" si="9"/>
        <v>#DIV/0!</v>
      </c>
      <c r="AB58" s="60" t="e">
        <f t="shared" si="10"/>
        <v>#DIV/0!</v>
      </c>
      <c r="AC58" s="47"/>
    </row>
    <row r="59" spans="1:29" ht="15.75">
      <c r="A59">
        <v>17</v>
      </c>
      <c r="B59">
        <f t="shared" si="2"/>
      </c>
      <c r="C59">
        <f t="shared" si="3"/>
      </c>
      <c r="D59" t="s">
        <v>913</v>
      </c>
      <c r="E59" t="s">
        <v>647</v>
      </c>
      <c r="F59" t="s">
        <v>913</v>
      </c>
      <c r="G59" t="s">
        <v>647</v>
      </c>
      <c r="H59" s="47"/>
      <c r="I59" s="23" t="s">
        <v>616</v>
      </c>
      <c r="J59" s="383" t="s">
        <v>602</v>
      </c>
      <c r="K59" s="1" t="str">
        <f t="shared" si="11"/>
        <v>LH</v>
      </c>
      <c r="L59" s="57">
        <f t="shared" si="4"/>
        <v>580</v>
      </c>
      <c r="M59" s="6">
        <f>(VLOOKUP($K59,'Standard Estimate Uncertainty '!$B$10:$D$18,2)*$L59)+$L59</f>
        <v>406</v>
      </c>
      <c r="N59" s="6">
        <f>(VLOOKUP($K59,'Standard Estimate Uncertainty '!$B$10:$D$18,3)*$L59)+$L59</f>
        <v>928</v>
      </c>
      <c r="O59" s="6"/>
      <c r="P59" s="49"/>
      <c r="Q59" s="58"/>
      <c r="R59" s="407">
        <v>61</v>
      </c>
      <c r="S59" s="407">
        <v>403</v>
      </c>
      <c r="T59" s="407">
        <v>116</v>
      </c>
      <c r="U59" s="407">
        <v>0</v>
      </c>
      <c r="V59" s="407">
        <v>0</v>
      </c>
      <c r="W59" s="60">
        <f t="shared" si="5"/>
        <v>0</v>
      </c>
      <c r="X59" s="60">
        <f t="shared" si="6"/>
        <v>0.10517241379310345</v>
      </c>
      <c r="Y59" s="60">
        <f t="shared" si="7"/>
        <v>0.6948275862068966</v>
      </c>
      <c r="Z59" s="60">
        <f t="shared" si="8"/>
        <v>0.2</v>
      </c>
      <c r="AA59" s="60">
        <f t="shared" si="9"/>
        <v>0</v>
      </c>
      <c r="AB59" s="60">
        <f t="shared" si="10"/>
        <v>0</v>
      </c>
      <c r="AC59" s="47"/>
    </row>
    <row r="60" spans="2:29" ht="15">
      <c r="B60">
        <f t="shared" si="2"/>
      </c>
      <c r="C60">
        <f t="shared" si="3"/>
      </c>
      <c r="D60" t="s">
        <v>738</v>
      </c>
      <c r="E60" t="s">
        <v>647</v>
      </c>
      <c r="F60" t="s">
        <v>738</v>
      </c>
      <c r="G60" t="s">
        <v>647</v>
      </c>
      <c r="H60" s="47"/>
      <c r="I60" s="23" t="s">
        <v>602</v>
      </c>
      <c r="J60" s="23" t="s">
        <v>616</v>
      </c>
      <c r="K60" s="1" t="str">
        <f t="shared" si="11"/>
        <v>HL</v>
      </c>
      <c r="L60" s="57">
        <f t="shared" si="4"/>
        <v>139</v>
      </c>
      <c r="M60" s="6">
        <f>(VLOOKUP($K60,'Standard Estimate Uncertainty '!$B$10:$D$18,2)*$L60)+$L60</f>
        <v>132.05</v>
      </c>
      <c r="N60" s="6">
        <f>(VLOOKUP($K60,'Standard Estimate Uncertainty '!$B$10:$D$18,3)*$L60)+$L60</f>
        <v>152.9</v>
      </c>
      <c r="O60" s="6"/>
      <c r="P60" s="49"/>
      <c r="Q60" s="58"/>
      <c r="R60" s="407">
        <v>139</v>
      </c>
      <c r="S60" s="407">
        <v>0</v>
      </c>
      <c r="T60" s="407">
        <v>0</v>
      </c>
      <c r="U60" s="407">
        <v>0</v>
      </c>
      <c r="V60" s="407">
        <v>0</v>
      </c>
      <c r="W60" s="60">
        <f t="shared" si="5"/>
        <v>0</v>
      </c>
      <c r="X60" s="60">
        <f t="shared" si="6"/>
        <v>1</v>
      </c>
      <c r="Y60" s="60">
        <f t="shared" si="7"/>
        <v>0</v>
      </c>
      <c r="Z60" s="60">
        <f t="shared" si="8"/>
        <v>0</v>
      </c>
      <c r="AA60" s="60">
        <f t="shared" si="9"/>
        <v>0</v>
      </c>
      <c r="AB60" s="60">
        <f t="shared" si="10"/>
        <v>0</v>
      </c>
      <c r="AC60" s="47"/>
    </row>
    <row r="61" spans="2:29" ht="15">
      <c r="B61">
        <f t="shared" si="2"/>
      </c>
      <c r="C61">
        <f t="shared" si="3"/>
      </c>
      <c r="D61" t="s">
        <v>914</v>
      </c>
      <c r="E61" t="s">
        <v>647</v>
      </c>
      <c r="F61" t="s">
        <v>914</v>
      </c>
      <c r="G61" t="s">
        <v>647</v>
      </c>
      <c r="H61" s="47"/>
      <c r="I61" s="23" t="s">
        <v>602</v>
      </c>
      <c r="J61" s="23" t="s">
        <v>616</v>
      </c>
      <c r="K61" s="1" t="str">
        <f t="shared" si="11"/>
        <v>HL</v>
      </c>
      <c r="L61" s="57">
        <f t="shared" si="4"/>
        <v>550</v>
      </c>
      <c r="M61" s="6">
        <f>(VLOOKUP($K61,'Standard Estimate Uncertainty '!$B$10:$D$18,2)*$L61)+$L61</f>
        <v>522.5</v>
      </c>
      <c r="N61" s="6">
        <f>(VLOOKUP($K61,'Standard Estimate Uncertainty '!$B$10:$D$18,3)*$L61)+$L61</f>
        <v>605</v>
      </c>
      <c r="O61" s="6"/>
      <c r="P61" s="49"/>
      <c r="Q61" s="58"/>
      <c r="R61" s="407">
        <v>20</v>
      </c>
      <c r="S61" s="407">
        <v>46</v>
      </c>
      <c r="T61" s="407">
        <v>288</v>
      </c>
      <c r="U61" s="407">
        <v>196</v>
      </c>
      <c r="V61" s="407">
        <v>0</v>
      </c>
      <c r="W61" s="60">
        <f t="shared" si="5"/>
        <v>0</v>
      </c>
      <c r="X61" s="60">
        <f t="shared" si="6"/>
        <v>0.03636363636363636</v>
      </c>
      <c r="Y61" s="60">
        <f t="shared" si="7"/>
        <v>0.08363636363636363</v>
      </c>
      <c r="Z61" s="60">
        <f t="shared" si="8"/>
        <v>0.5236363636363637</v>
      </c>
      <c r="AA61" s="60">
        <f t="shared" si="9"/>
        <v>0.3563636363636364</v>
      </c>
      <c r="AB61" s="60">
        <f t="shared" si="10"/>
        <v>0</v>
      </c>
      <c r="AC61" s="47"/>
    </row>
    <row r="62" spans="2:29" ht="15">
      <c r="B62">
        <f t="shared" si="2"/>
      </c>
      <c r="C62">
        <f t="shared" si="3"/>
      </c>
      <c r="D62" t="s">
        <v>305</v>
      </c>
      <c r="E62" t="s">
        <v>692</v>
      </c>
      <c r="F62" t="s">
        <v>305</v>
      </c>
      <c r="G62" t="s">
        <v>692</v>
      </c>
      <c r="H62" s="47"/>
      <c r="I62" s="23" t="s">
        <v>602</v>
      </c>
      <c r="J62" s="23" t="s">
        <v>616</v>
      </c>
      <c r="K62" s="1" t="str">
        <f t="shared" si="11"/>
        <v>HL</v>
      </c>
      <c r="L62" s="57">
        <f t="shared" si="4"/>
        <v>231</v>
      </c>
      <c r="M62" s="6">
        <f>(VLOOKUP($K62,'Standard Estimate Uncertainty '!$B$10:$D$18,2)*$L62)+$L62</f>
        <v>219.45</v>
      </c>
      <c r="N62" s="6">
        <f>(VLOOKUP($K62,'Standard Estimate Uncertainty '!$B$10:$D$18,3)*$L62)+$L62</f>
        <v>254.1</v>
      </c>
      <c r="O62" s="6"/>
      <c r="P62" s="49"/>
      <c r="Q62" s="58"/>
      <c r="R62" s="407">
        <v>1</v>
      </c>
      <c r="S62" s="407">
        <v>230</v>
      </c>
      <c r="T62" s="407">
        <v>0</v>
      </c>
      <c r="U62" s="407">
        <v>0</v>
      </c>
      <c r="V62" s="407">
        <v>0</v>
      </c>
      <c r="W62" s="60">
        <f t="shared" si="5"/>
        <v>0</v>
      </c>
      <c r="X62" s="60">
        <f t="shared" si="6"/>
        <v>0.004329004329004329</v>
      </c>
      <c r="Y62" s="60">
        <f t="shared" si="7"/>
        <v>0.9956709956709957</v>
      </c>
      <c r="Z62" s="60">
        <f t="shared" si="8"/>
        <v>0</v>
      </c>
      <c r="AA62" s="60">
        <f t="shared" si="9"/>
        <v>0</v>
      </c>
      <c r="AB62" s="60">
        <f t="shared" si="10"/>
        <v>0</v>
      </c>
      <c r="AC62" s="47"/>
    </row>
    <row r="63" spans="1:29" ht="15">
      <c r="A63">
        <v>18</v>
      </c>
      <c r="B63">
        <f t="shared" si="2"/>
      </c>
      <c r="C63">
        <f t="shared" si="3"/>
      </c>
      <c r="D63" t="s">
        <v>740</v>
      </c>
      <c r="E63" t="s">
        <v>693</v>
      </c>
      <c r="F63" t="s">
        <v>740</v>
      </c>
      <c r="G63" t="s">
        <v>693</v>
      </c>
      <c r="H63" s="47"/>
      <c r="I63" s="23" t="s">
        <v>602</v>
      </c>
      <c r="J63" s="23" t="s">
        <v>603</v>
      </c>
      <c r="K63" s="1" t="str">
        <f t="shared" si="11"/>
        <v>HM</v>
      </c>
      <c r="L63" s="57">
        <f t="shared" si="4"/>
        <v>3826</v>
      </c>
      <c r="M63" s="6">
        <f>(VLOOKUP($K63,'Standard Estimate Uncertainty '!$B$10:$D$18,2)*$L63)+$L63</f>
        <v>3443.4</v>
      </c>
      <c r="N63" s="6">
        <f>(VLOOKUP($K63,'Standard Estimate Uncertainty '!$B$10:$D$18,3)*$L63)+$L63</f>
        <v>4399.9</v>
      </c>
      <c r="O63" s="6"/>
      <c r="P63" s="49"/>
      <c r="Q63" s="58"/>
      <c r="R63" s="407">
        <v>814</v>
      </c>
      <c r="S63" s="407">
        <v>1540</v>
      </c>
      <c r="T63" s="407">
        <v>1472</v>
      </c>
      <c r="U63" s="407">
        <v>0</v>
      </c>
      <c r="V63" s="407">
        <v>0</v>
      </c>
      <c r="W63" s="60">
        <f t="shared" si="5"/>
        <v>0</v>
      </c>
      <c r="X63" s="60">
        <f t="shared" si="6"/>
        <v>0.21275483533716674</v>
      </c>
      <c r="Y63" s="60">
        <f t="shared" si="7"/>
        <v>0.40250914793518033</v>
      </c>
      <c r="Z63" s="60">
        <f t="shared" si="8"/>
        <v>0.3847360167276529</v>
      </c>
      <c r="AA63" s="60">
        <f t="shared" si="9"/>
        <v>0</v>
      </c>
      <c r="AB63" s="60">
        <f t="shared" si="10"/>
        <v>0</v>
      </c>
      <c r="AC63" s="47"/>
    </row>
    <row r="64" spans="2:29" ht="15">
      <c r="B64">
        <f t="shared" si="2"/>
      </c>
      <c r="C64">
        <f t="shared" si="3"/>
      </c>
      <c r="D64" t="s">
        <v>741</v>
      </c>
      <c r="E64" t="s">
        <v>695</v>
      </c>
      <c r="F64" t="s">
        <v>741</v>
      </c>
      <c r="G64" t="s">
        <v>695</v>
      </c>
      <c r="H64" s="47"/>
      <c r="I64" s="23" t="s">
        <v>603</v>
      </c>
      <c r="J64" s="23" t="s">
        <v>616</v>
      </c>
      <c r="K64" s="1" t="str">
        <f t="shared" si="11"/>
        <v>ML</v>
      </c>
      <c r="L64" s="57">
        <f t="shared" si="4"/>
        <v>250</v>
      </c>
      <c r="M64" s="6">
        <f>(VLOOKUP($K64,'Standard Estimate Uncertainty '!$B$10:$D$18,2)*$L64)+$L64</f>
        <v>225</v>
      </c>
      <c r="N64" s="6">
        <f>(VLOOKUP($K64,'Standard Estimate Uncertainty '!$B$10:$D$18,3)*$L64)+$L64</f>
        <v>287.5</v>
      </c>
      <c r="O64" s="6"/>
      <c r="P64" s="49"/>
      <c r="Q64" s="58"/>
      <c r="R64" s="407">
        <v>236</v>
      </c>
      <c r="S64" s="407">
        <v>14</v>
      </c>
      <c r="T64" s="407">
        <v>0</v>
      </c>
      <c r="U64" s="407">
        <v>0</v>
      </c>
      <c r="V64" s="407">
        <v>0</v>
      </c>
      <c r="W64" s="60">
        <f t="shared" si="5"/>
        <v>0</v>
      </c>
      <c r="X64" s="60">
        <f t="shared" si="6"/>
        <v>0.944</v>
      </c>
      <c r="Y64" s="60">
        <f t="shared" si="7"/>
        <v>0.056</v>
      </c>
      <c r="Z64" s="60">
        <f t="shared" si="8"/>
        <v>0</v>
      </c>
      <c r="AA64" s="60">
        <f t="shared" si="9"/>
        <v>0</v>
      </c>
      <c r="AB64" s="60">
        <f t="shared" si="10"/>
        <v>0</v>
      </c>
      <c r="AC64" s="47"/>
    </row>
    <row r="65" spans="2:29" ht="15">
      <c r="B65">
        <f t="shared" si="2"/>
      </c>
      <c r="C65">
        <f t="shared" si="3"/>
      </c>
      <c r="D65" t="s">
        <v>741</v>
      </c>
      <c r="E65" t="s">
        <v>696</v>
      </c>
      <c r="F65" t="s">
        <v>741</v>
      </c>
      <c r="G65" t="s">
        <v>696</v>
      </c>
      <c r="H65" s="47"/>
      <c r="I65" s="23" t="s">
        <v>603</v>
      </c>
      <c r="J65" s="23" t="s">
        <v>616</v>
      </c>
      <c r="K65" s="1" t="str">
        <f t="shared" si="11"/>
        <v>ML</v>
      </c>
      <c r="L65" s="57">
        <f t="shared" si="4"/>
        <v>203</v>
      </c>
      <c r="M65" s="6">
        <f>(VLOOKUP($K65,'Standard Estimate Uncertainty '!$B$10:$D$18,2)*$L65)+$L65</f>
        <v>182.7</v>
      </c>
      <c r="N65" s="6">
        <f>(VLOOKUP($K65,'Standard Estimate Uncertainty '!$B$10:$D$18,3)*$L65)+$L65</f>
        <v>233.45</v>
      </c>
      <c r="O65" s="6"/>
      <c r="P65" s="49"/>
      <c r="Q65" s="58"/>
      <c r="R65" s="407">
        <v>203</v>
      </c>
      <c r="S65" s="407">
        <v>0</v>
      </c>
      <c r="T65" s="407">
        <v>0</v>
      </c>
      <c r="U65" s="407">
        <v>0</v>
      </c>
      <c r="V65" s="407">
        <v>0</v>
      </c>
      <c r="W65" s="60">
        <f t="shared" si="5"/>
        <v>0</v>
      </c>
      <c r="X65" s="60">
        <f t="shared" si="6"/>
        <v>1</v>
      </c>
      <c r="Y65" s="60">
        <f t="shared" si="7"/>
        <v>0</v>
      </c>
      <c r="Z65" s="60">
        <f t="shared" si="8"/>
        <v>0</v>
      </c>
      <c r="AA65" s="60">
        <f t="shared" si="9"/>
        <v>0</v>
      </c>
      <c r="AB65" s="60">
        <f t="shared" si="10"/>
        <v>0</v>
      </c>
      <c r="AC65" s="47"/>
    </row>
    <row r="66" spans="2:29" ht="15">
      <c r="B66">
        <f t="shared" si="2"/>
      </c>
      <c r="C66">
        <f t="shared" si="3"/>
      </c>
      <c r="D66" t="s">
        <v>741</v>
      </c>
      <c r="E66" t="s">
        <v>697</v>
      </c>
      <c r="F66" t="s">
        <v>741</v>
      </c>
      <c r="G66" t="s">
        <v>697</v>
      </c>
      <c r="H66" s="47"/>
      <c r="I66" s="23" t="s">
        <v>616</v>
      </c>
      <c r="J66" s="23" t="s">
        <v>603</v>
      </c>
      <c r="K66" s="1" t="str">
        <f t="shared" si="11"/>
        <v>LM</v>
      </c>
      <c r="L66" s="57">
        <f t="shared" si="4"/>
        <v>541</v>
      </c>
      <c r="M66" s="6">
        <f>(VLOOKUP($K66,'Standard Estimate Uncertainty '!$B$10:$D$18,2)*$L66)+$L66</f>
        <v>432.8</v>
      </c>
      <c r="N66" s="6">
        <f>(VLOOKUP($K66,'Standard Estimate Uncertainty '!$B$10:$D$18,3)*$L66)+$L66</f>
        <v>757.4</v>
      </c>
      <c r="O66" s="6"/>
      <c r="P66" s="49"/>
      <c r="Q66" s="58"/>
      <c r="R66" s="407">
        <v>313</v>
      </c>
      <c r="S66" s="407">
        <v>228</v>
      </c>
      <c r="T66" s="407">
        <v>0</v>
      </c>
      <c r="U66" s="407">
        <v>0</v>
      </c>
      <c r="V66" s="407">
        <v>0</v>
      </c>
      <c r="W66" s="60">
        <f t="shared" si="5"/>
        <v>0</v>
      </c>
      <c r="X66" s="60">
        <f t="shared" si="6"/>
        <v>0.5785582255083179</v>
      </c>
      <c r="Y66" s="60">
        <f t="shared" si="7"/>
        <v>0.4214417744916821</v>
      </c>
      <c r="Z66" s="60">
        <f t="shared" si="8"/>
        <v>0</v>
      </c>
      <c r="AA66" s="60">
        <f t="shared" si="9"/>
        <v>0</v>
      </c>
      <c r="AB66" s="60">
        <f t="shared" si="10"/>
        <v>0</v>
      </c>
      <c r="AC66" s="47"/>
    </row>
    <row r="67" spans="2:29" ht="15">
      <c r="B67">
        <f t="shared" si="2"/>
      </c>
      <c r="C67">
        <f t="shared" si="3"/>
      </c>
      <c r="D67" t="s">
        <v>742</v>
      </c>
      <c r="E67" t="s">
        <v>647</v>
      </c>
      <c r="F67" t="s">
        <v>742</v>
      </c>
      <c r="G67" t="s">
        <v>647</v>
      </c>
      <c r="H67" s="47"/>
      <c r="I67" s="23" t="s">
        <v>603</v>
      </c>
      <c r="J67" s="23" t="s">
        <v>603</v>
      </c>
      <c r="K67" s="1" t="str">
        <f t="shared" si="11"/>
        <v>MM</v>
      </c>
      <c r="L67" s="57">
        <f t="shared" si="4"/>
        <v>54</v>
      </c>
      <c r="M67" s="6">
        <f>(VLOOKUP($K67,'Standard Estimate Uncertainty '!$B$10:$D$18,2)*$L67)+$L67</f>
        <v>45.9</v>
      </c>
      <c r="N67" s="6">
        <f>(VLOOKUP($K67,'Standard Estimate Uncertainty '!$B$10:$D$18,3)*$L67)+$L67</f>
        <v>67.5</v>
      </c>
      <c r="O67" s="6"/>
      <c r="P67" s="49"/>
      <c r="Q67" s="58"/>
      <c r="R67" s="407">
        <v>48</v>
      </c>
      <c r="S67" s="407">
        <v>6</v>
      </c>
      <c r="T67" s="407">
        <v>0</v>
      </c>
      <c r="U67" s="407">
        <v>0</v>
      </c>
      <c r="V67" s="407">
        <v>0</v>
      </c>
      <c r="W67" s="60">
        <f t="shared" si="5"/>
        <v>0</v>
      </c>
      <c r="X67" s="60">
        <f t="shared" si="6"/>
        <v>0.8888888888888888</v>
      </c>
      <c r="Y67" s="60">
        <f t="shared" si="7"/>
        <v>0.1111111111111111</v>
      </c>
      <c r="Z67" s="60">
        <f t="shared" si="8"/>
        <v>0</v>
      </c>
      <c r="AA67" s="60">
        <f t="shared" si="9"/>
        <v>0</v>
      </c>
      <c r="AB67" s="60">
        <f t="shared" si="10"/>
        <v>0</v>
      </c>
      <c r="AC67" s="47"/>
    </row>
    <row r="68" spans="2:29" ht="15">
      <c r="B68">
        <f aca="true" t="shared" si="12" ref="B68:B131">IF(D68=F68,"","X")</f>
      </c>
      <c r="C68">
        <f aca="true" t="shared" si="13" ref="C68:C131">IF(E68=G68,"","X")</f>
      </c>
      <c r="D68" t="s">
        <v>742</v>
      </c>
      <c r="E68" t="s">
        <v>698</v>
      </c>
      <c r="F68" t="s">
        <v>742</v>
      </c>
      <c r="G68" t="s">
        <v>698</v>
      </c>
      <c r="H68" s="47"/>
      <c r="I68" s="23" t="s">
        <v>603</v>
      </c>
      <c r="J68" s="23" t="s">
        <v>603</v>
      </c>
      <c r="K68" s="1" t="str">
        <f t="shared" si="11"/>
        <v>MM</v>
      </c>
      <c r="L68" s="57">
        <f aca="true" t="shared" si="14" ref="L68:L131">SUM(Q68:V68)</f>
        <v>19</v>
      </c>
      <c r="M68" s="6">
        <f>(VLOOKUP($K68,'Standard Estimate Uncertainty '!$B$10:$D$18,2)*$L68)+$L68</f>
        <v>16.15</v>
      </c>
      <c r="N68" s="6">
        <f>(VLOOKUP($K68,'Standard Estimate Uncertainty '!$B$10:$D$18,3)*$L68)+$L68</f>
        <v>23.75</v>
      </c>
      <c r="O68" s="6"/>
      <c r="P68" s="49"/>
      <c r="Q68" s="58"/>
      <c r="R68" s="407">
        <v>10</v>
      </c>
      <c r="S68" s="407">
        <v>9</v>
      </c>
      <c r="T68" s="407">
        <v>0</v>
      </c>
      <c r="U68" s="407">
        <v>0</v>
      </c>
      <c r="V68" s="407">
        <v>0</v>
      </c>
      <c r="W68" s="60">
        <f aca="true" t="shared" si="15" ref="W68:W131">Q68/$L68</f>
        <v>0</v>
      </c>
      <c r="X68" s="60">
        <f aca="true" t="shared" si="16" ref="X68:X131">R68/$L68</f>
        <v>0.5263157894736842</v>
      </c>
      <c r="Y68" s="60">
        <f aca="true" t="shared" si="17" ref="Y68:Y131">S68/$L68</f>
        <v>0.47368421052631576</v>
      </c>
      <c r="Z68" s="60">
        <f aca="true" t="shared" si="18" ref="Z68:Z131">T68/$L68</f>
        <v>0</v>
      </c>
      <c r="AA68" s="60">
        <f aca="true" t="shared" si="19" ref="AA68:AA131">U68/$L68</f>
        <v>0</v>
      </c>
      <c r="AB68" s="60">
        <f aca="true" t="shared" si="20" ref="AB68:AB131">V68/$L68</f>
        <v>0</v>
      </c>
      <c r="AC68" s="47"/>
    </row>
    <row r="69" spans="2:29" ht="15">
      <c r="B69">
        <f t="shared" si="12"/>
      </c>
      <c r="C69">
        <f t="shared" si="13"/>
      </c>
      <c r="D69" t="s">
        <v>742</v>
      </c>
      <c r="E69" t="s">
        <v>694</v>
      </c>
      <c r="F69" t="s">
        <v>742</v>
      </c>
      <c r="G69" t="s">
        <v>694</v>
      </c>
      <c r="H69" s="47"/>
      <c r="I69" s="23" t="s">
        <v>603</v>
      </c>
      <c r="J69" s="23" t="s">
        <v>603</v>
      </c>
      <c r="K69" s="1" t="str">
        <f t="shared" si="11"/>
        <v>MM</v>
      </c>
      <c r="L69" s="57">
        <f t="shared" si="14"/>
        <v>2</v>
      </c>
      <c r="M69" s="6">
        <f>(VLOOKUP($K69,'Standard Estimate Uncertainty '!$B$10:$D$18,2)*$L69)+$L69</f>
        <v>1.7</v>
      </c>
      <c r="N69" s="6">
        <f>(VLOOKUP($K69,'Standard Estimate Uncertainty '!$B$10:$D$18,3)*$L69)+$L69</f>
        <v>2.5</v>
      </c>
      <c r="O69" s="6"/>
      <c r="P69" s="49"/>
      <c r="Q69" s="58"/>
      <c r="R69" s="407">
        <v>2</v>
      </c>
      <c r="S69" s="407">
        <v>0</v>
      </c>
      <c r="T69" s="407">
        <v>0</v>
      </c>
      <c r="U69" s="407">
        <v>0</v>
      </c>
      <c r="V69" s="407">
        <v>0</v>
      </c>
      <c r="W69" s="60">
        <f t="shared" si="15"/>
        <v>0</v>
      </c>
      <c r="X69" s="60">
        <f t="shared" si="16"/>
        <v>1</v>
      </c>
      <c r="Y69" s="60">
        <f t="shared" si="17"/>
        <v>0</v>
      </c>
      <c r="Z69" s="60">
        <f t="shared" si="18"/>
        <v>0</v>
      </c>
      <c r="AA69" s="60">
        <f t="shared" si="19"/>
        <v>0</v>
      </c>
      <c r="AB69" s="60">
        <f t="shared" si="20"/>
        <v>0</v>
      </c>
      <c r="AC69" s="47"/>
    </row>
    <row r="70" spans="2:29" ht="15">
      <c r="B70">
        <f t="shared" si="12"/>
      </c>
      <c r="C70">
        <f t="shared" si="13"/>
      </c>
      <c r="D70" t="s">
        <v>742</v>
      </c>
      <c r="E70" t="s">
        <v>695</v>
      </c>
      <c r="F70" t="s">
        <v>742</v>
      </c>
      <c r="G70" t="s">
        <v>695</v>
      </c>
      <c r="H70" s="47"/>
      <c r="I70" s="23" t="s">
        <v>603</v>
      </c>
      <c r="J70" s="23" t="s">
        <v>603</v>
      </c>
      <c r="K70" s="1" t="str">
        <f t="shared" si="11"/>
        <v>MM</v>
      </c>
      <c r="L70" s="57">
        <f t="shared" si="14"/>
        <v>30</v>
      </c>
      <c r="M70" s="6">
        <f>(VLOOKUP($K70,'Standard Estimate Uncertainty '!$B$10:$D$18,2)*$L70)+$L70</f>
        <v>25.5</v>
      </c>
      <c r="N70" s="6">
        <f>(VLOOKUP($K70,'Standard Estimate Uncertainty '!$B$10:$D$18,3)*$L70)+$L70</f>
        <v>37.5</v>
      </c>
      <c r="O70" s="6"/>
      <c r="P70" s="49"/>
      <c r="Q70" s="58"/>
      <c r="R70" s="407">
        <v>30</v>
      </c>
      <c r="S70" s="407">
        <v>0</v>
      </c>
      <c r="T70" s="407">
        <v>0</v>
      </c>
      <c r="U70" s="407">
        <v>0</v>
      </c>
      <c r="V70" s="407">
        <v>0</v>
      </c>
      <c r="W70" s="60">
        <f t="shared" si="15"/>
        <v>0</v>
      </c>
      <c r="X70" s="60">
        <f t="shared" si="16"/>
        <v>1</v>
      </c>
      <c r="Y70" s="60">
        <f t="shared" si="17"/>
        <v>0</v>
      </c>
      <c r="Z70" s="60">
        <f t="shared" si="18"/>
        <v>0</v>
      </c>
      <c r="AA70" s="60">
        <f t="shared" si="19"/>
        <v>0</v>
      </c>
      <c r="AB70" s="60">
        <f t="shared" si="20"/>
        <v>0</v>
      </c>
      <c r="AC70" s="47"/>
    </row>
    <row r="71" spans="2:29" ht="15">
      <c r="B71">
        <f t="shared" si="12"/>
      </c>
      <c r="C71">
        <f t="shared" si="13"/>
      </c>
      <c r="D71" t="s">
        <v>742</v>
      </c>
      <c r="E71" t="s">
        <v>696</v>
      </c>
      <c r="F71" t="s">
        <v>742</v>
      </c>
      <c r="G71" t="s">
        <v>696</v>
      </c>
      <c r="H71" s="47"/>
      <c r="I71" s="23" t="s">
        <v>603</v>
      </c>
      <c r="J71" s="23" t="s">
        <v>603</v>
      </c>
      <c r="K71" s="1" t="str">
        <f t="shared" si="11"/>
        <v>MM</v>
      </c>
      <c r="L71" s="57">
        <f t="shared" si="14"/>
        <v>114</v>
      </c>
      <c r="M71" s="6">
        <f>(VLOOKUP($K71,'Standard Estimate Uncertainty '!$B$10:$D$18,2)*$L71)+$L71</f>
        <v>96.9</v>
      </c>
      <c r="N71" s="6">
        <f>(VLOOKUP($K71,'Standard Estimate Uncertainty '!$B$10:$D$18,3)*$L71)+$L71</f>
        <v>142.5</v>
      </c>
      <c r="O71" s="6"/>
      <c r="P71" s="49"/>
      <c r="Q71" s="58"/>
      <c r="R71" s="407">
        <v>114</v>
      </c>
      <c r="S71" s="407">
        <v>0</v>
      </c>
      <c r="T71" s="407">
        <v>0</v>
      </c>
      <c r="U71" s="407">
        <v>0</v>
      </c>
      <c r="V71" s="407">
        <v>0</v>
      </c>
      <c r="W71" s="60">
        <f t="shared" si="15"/>
        <v>0</v>
      </c>
      <c r="X71" s="60">
        <f t="shared" si="16"/>
        <v>1</v>
      </c>
      <c r="Y71" s="60">
        <f t="shared" si="17"/>
        <v>0</v>
      </c>
      <c r="Z71" s="60">
        <f t="shared" si="18"/>
        <v>0</v>
      </c>
      <c r="AA71" s="60">
        <f t="shared" si="19"/>
        <v>0</v>
      </c>
      <c r="AB71" s="60">
        <f t="shared" si="20"/>
        <v>0</v>
      </c>
      <c r="AC71" s="47"/>
    </row>
    <row r="72" spans="2:29" ht="15">
      <c r="B72">
        <f t="shared" si="12"/>
      </c>
      <c r="C72">
        <f t="shared" si="13"/>
      </c>
      <c r="D72" t="s">
        <v>742</v>
      </c>
      <c r="E72" t="s">
        <v>697</v>
      </c>
      <c r="F72" t="s">
        <v>742</v>
      </c>
      <c r="G72" t="s">
        <v>697</v>
      </c>
      <c r="H72" s="47"/>
      <c r="I72" s="23" t="s">
        <v>603</v>
      </c>
      <c r="J72" s="23" t="s">
        <v>603</v>
      </c>
      <c r="K72" s="1" t="str">
        <f t="shared" si="11"/>
        <v>MM</v>
      </c>
      <c r="L72" s="57">
        <f t="shared" si="14"/>
        <v>137</v>
      </c>
      <c r="M72" s="6">
        <f>(VLOOKUP($K72,'Standard Estimate Uncertainty '!$B$10:$D$18,2)*$L72)+$L72</f>
        <v>116.45</v>
      </c>
      <c r="N72" s="6">
        <f>(VLOOKUP($K72,'Standard Estimate Uncertainty '!$B$10:$D$18,3)*$L72)+$L72</f>
        <v>171.25</v>
      </c>
      <c r="O72" s="6"/>
      <c r="P72" s="49"/>
      <c r="Q72" s="58"/>
      <c r="R72" s="407">
        <v>135</v>
      </c>
      <c r="S72" s="407">
        <v>2</v>
      </c>
      <c r="T72" s="407">
        <v>0</v>
      </c>
      <c r="U72" s="407">
        <v>0</v>
      </c>
      <c r="V72" s="407">
        <v>0</v>
      </c>
      <c r="W72" s="60">
        <f t="shared" si="15"/>
        <v>0</v>
      </c>
      <c r="X72" s="60">
        <f t="shared" si="16"/>
        <v>0.9854014598540146</v>
      </c>
      <c r="Y72" s="60">
        <f t="shared" si="17"/>
        <v>0.014598540145985401</v>
      </c>
      <c r="Z72" s="60">
        <f t="shared" si="18"/>
        <v>0</v>
      </c>
      <c r="AA72" s="60">
        <f t="shared" si="19"/>
        <v>0</v>
      </c>
      <c r="AB72" s="60">
        <f t="shared" si="20"/>
        <v>0</v>
      </c>
      <c r="AC72" s="47"/>
    </row>
    <row r="73" spans="2:29" ht="15">
      <c r="B73">
        <f t="shared" si="12"/>
      </c>
      <c r="C73">
        <f t="shared" si="13"/>
      </c>
      <c r="D73" t="s">
        <v>306</v>
      </c>
      <c r="E73" t="s">
        <v>887</v>
      </c>
      <c r="F73" t="s">
        <v>306</v>
      </c>
      <c r="G73" t="s">
        <v>887</v>
      </c>
      <c r="H73" s="47"/>
      <c r="I73" s="23" t="s">
        <v>602</v>
      </c>
      <c r="J73" s="23" t="s">
        <v>603</v>
      </c>
      <c r="K73" s="1" t="str">
        <f t="shared" si="11"/>
        <v>HM</v>
      </c>
      <c r="L73" s="57">
        <f t="shared" si="14"/>
        <v>1946</v>
      </c>
      <c r="M73" s="6">
        <f>(VLOOKUP($K73,'Standard Estimate Uncertainty '!$B$10:$D$18,2)*$L73)+$L73</f>
        <v>1751.4</v>
      </c>
      <c r="N73" s="6">
        <f>(VLOOKUP($K73,'Standard Estimate Uncertainty '!$B$10:$D$18,3)*$L73)+$L73</f>
        <v>2237.9</v>
      </c>
      <c r="O73" s="6"/>
      <c r="P73" s="49"/>
      <c r="Q73" s="58"/>
      <c r="R73" s="407">
        <v>446</v>
      </c>
      <c r="S73" s="407">
        <v>665</v>
      </c>
      <c r="T73" s="407">
        <v>835</v>
      </c>
      <c r="U73" s="407">
        <v>0</v>
      </c>
      <c r="V73" s="407">
        <v>0</v>
      </c>
      <c r="W73" s="60">
        <f t="shared" si="15"/>
        <v>0</v>
      </c>
      <c r="X73" s="60">
        <f t="shared" si="16"/>
        <v>0.22918807810894143</v>
      </c>
      <c r="Y73" s="60">
        <f t="shared" si="17"/>
        <v>0.34172661870503596</v>
      </c>
      <c r="Z73" s="60">
        <f t="shared" si="18"/>
        <v>0.4290853031860226</v>
      </c>
      <c r="AA73" s="60">
        <f t="shared" si="19"/>
        <v>0</v>
      </c>
      <c r="AB73" s="60">
        <f t="shared" si="20"/>
        <v>0</v>
      </c>
      <c r="AC73" s="47"/>
    </row>
    <row r="74" spans="2:29" ht="15">
      <c r="B74">
        <f t="shared" si="12"/>
      </c>
      <c r="C74">
        <f t="shared" si="13"/>
      </c>
      <c r="D74" t="s">
        <v>306</v>
      </c>
      <c r="E74" t="s">
        <v>702</v>
      </c>
      <c r="F74" t="s">
        <v>306</v>
      </c>
      <c r="G74" t="s">
        <v>702</v>
      </c>
      <c r="H74" s="47"/>
      <c r="I74" s="23" t="s">
        <v>602</v>
      </c>
      <c r="J74" s="23" t="s">
        <v>603</v>
      </c>
      <c r="K74" s="1" t="str">
        <f t="shared" si="11"/>
        <v>HM</v>
      </c>
      <c r="L74" s="57">
        <f t="shared" si="14"/>
        <v>189</v>
      </c>
      <c r="M74" s="6">
        <f>(VLOOKUP($K74,'Standard Estimate Uncertainty '!$B$10:$D$18,2)*$L74)+$L74</f>
        <v>170.1</v>
      </c>
      <c r="N74" s="6">
        <f>(VLOOKUP($K74,'Standard Estimate Uncertainty '!$B$10:$D$18,3)*$L74)+$L74</f>
        <v>217.35</v>
      </c>
      <c r="O74" s="6"/>
      <c r="P74" s="49"/>
      <c r="Q74" s="58"/>
      <c r="R74" s="407">
        <v>189</v>
      </c>
      <c r="S74" s="407">
        <v>0</v>
      </c>
      <c r="T74" s="407">
        <v>0</v>
      </c>
      <c r="U74" s="407">
        <v>0</v>
      </c>
      <c r="V74" s="407">
        <v>0</v>
      </c>
      <c r="W74" s="60">
        <f t="shared" si="15"/>
        <v>0</v>
      </c>
      <c r="X74" s="60">
        <f t="shared" si="16"/>
        <v>1</v>
      </c>
      <c r="Y74" s="60">
        <f t="shared" si="17"/>
        <v>0</v>
      </c>
      <c r="Z74" s="60">
        <f t="shared" si="18"/>
        <v>0</v>
      </c>
      <c r="AA74" s="60">
        <f t="shared" si="19"/>
        <v>0</v>
      </c>
      <c r="AB74" s="60">
        <f t="shared" si="20"/>
        <v>0</v>
      </c>
      <c r="AC74" s="47"/>
    </row>
    <row r="75" spans="2:29" ht="15">
      <c r="B75">
        <f t="shared" si="12"/>
      </c>
      <c r="C75">
        <f t="shared" si="13"/>
      </c>
      <c r="D75" t="s">
        <v>306</v>
      </c>
      <c r="E75" t="s">
        <v>703</v>
      </c>
      <c r="F75" t="s">
        <v>306</v>
      </c>
      <c r="G75" t="s">
        <v>703</v>
      </c>
      <c r="H75" s="47"/>
      <c r="I75" s="23" t="s">
        <v>602</v>
      </c>
      <c r="J75" s="23" t="s">
        <v>603</v>
      </c>
      <c r="K75" s="1" t="str">
        <f t="shared" si="11"/>
        <v>HM</v>
      </c>
      <c r="L75" s="57">
        <f t="shared" si="14"/>
        <v>124</v>
      </c>
      <c r="M75" s="6">
        <f>(VLOOKUP($K75,'Standard Estimate Uncertainty '!$B$10:$D$18,2)*$L75)+$L75</f>
        <v>111.6</v>
      </c>
      <c r="N75" s="6">
        <f>(VLOOKUP($K75,'Standard Estimate Uncertainty '!$B$10:$D$18,3)*$L75)+$L75</f>
        <v>142.6</v>
      </c>
      <c r="O75" s="6"/>
      <c r="P75" s="49"/>
      <c r="Q75" s="58"/>
      <c r="R75" s="407">
        <v>83</v>
      </c>
      <c r="S75" s="407">
        <v>41</v>
      </c>
      <c r="T75" s="407">
        <v>0</v>
      </c>
      <c r="U75" s="407">
        <v>0</v>
      </c>
      <c r="V75" s="407">
        <v>0</v>
      </c>
      <c r="W75" s="60">
        <f t="shared" si="15"/>
        <v>0</v>
      </c>
      <c r="X75" s="60">
        <f t="shared" si="16"/>
        <v>0.6693548387096774</v>
      </c>
      <c r="Y75" s="60">
        <f t="shared" si="17"/>
        <v>0.33064516129032256</v>
      </c>
      <c r="Z75" s="60">
        <f t="shared" si="18"/>
        <v>0</v>
      </c>
      <c r="AA75" s="60">
        <f t="shared" si="19"/>
        <v>0</v>
      </c>
      <c r="AB75" s="60">
        <f t="shared" si="20"/>
        <v>0</v>
      </c>
      <c r="AC75" s="47"/>
    </row>
    <row r="76" spans="2:29" ht="15">
      <c r="B76">
        <f t="shared" si="12"/>
      </c>
      <c r="C76">
        <f t="shared" si="13"/>
      </c>
      <c r="D76" t="s">
        <v>306</v>
      </c>
      <c r="E76" t="s">
        <v>704</v>
      </c>
      <c r="F76" t="s">
        <v>306</v>
      </c>
      <c r="G76" t="s">
        <v>704</v>
      </c>
      <c r="H76" s="47"/>
      <c r="I76" s="23" t="s">
        <v>602</v>
      </c>
      <c r="J76" s="23" t="s">
        <v>603</v>
      </c>
      <c r="K76" s="1" t="str">
        <f t="shared" si="11"/>
        <v>HM</v>
      </c>
      <c r="L76" s="57">
        <f t="shared" si="14"/>
        <v>128</v>
      </c>
      <c r="M76" s="6">
        <f>(VLOOKUP($K76,'Standard Estimate Uncertainty '!$B$10:$D$18,2)*$L76)+$L76</f>
        <v>115.2</v>
      </c>
      <c r="N76" s="6">
        <f>(VLOOKUP($K76,'Standard Estimate Uncertainty '!$B$10:$D$18,3)*$L76)+$L76</f>
        <v>147.2</v>
      </c>
      <c r="O76" s="6"/>
      <c r="P76" s="49"/>
      <c r="Q76" s="58"/>
      <c r="R76" s="407">
        <v>43</v>
      </c>
      <c r="S76" s="407">
        <v>85</v>
      </c>
      <c r="T76" s="407">
        <v>0</v>
      </c>
      <c r="U76" s="407">
        <v>0</v>
      </c>
      <c r="V76" s="407">
        <v>0</v>
      </c>
      <c r="W76" s="60">
        <f t="shared" si="15"/>
        <v>0</v>
      </c>
      <c r="X76" s="60">
        <f t="shared" si="16"/>
        <v>0.3359375</v>
      </c>
      <c r="Y76" s="60">
        <f t="shared" si="17"/>
        <v>0.6640625</v>
      </c>
      <c r="Z76" s="60">
        <f t="shared" si="18"/>
        <v>0</v>
      </c>
      <c r="AA76" s="60">
        <f t="shared" si="19"/>
        <v>0</v>
      </c>
      <c r="AB76" s="60">
        <f t="shared" si="20"/>
        <v>0</v>
      </c>
      <c r="AC76" s="47"/>
    </row>
    <row r="77" spans="2:29" ht="15">
      <c r="B77">
        <f t="shared" si="12"/>
      </c>
      <c r="C77">
        <f t="shared" si="13"/>
      </c>
      <c r="D77" t="s">
        <v>306</v>
      </c>
      <c r="E77" t="s">
        <v>705</v>
      </c>
      <c r="F77" t="s">
        <v>306</v>
      </c>
      <c r="G77" t="s">
        <v>705</v>
      </c>
      <c r="H77" s="47"/>
      <c r="I77" s="23" t="s">
        <v>602</v>
      </c>
      <c r="J77" s="23" t="s">
        <v>603</v>
      </c>
      <c r="K77" s="1" t="str">
        <f t="shared" si="11"/>
        <v>HM</v>
      </c>
      <c r="L77" s="57">
        <f t="shared" si="14"/>
        <v>111</v>
      </c>
      <c r="M77" s="6">
        <f>(VLOOKUP($K77,'Standard Estimate Uncertainty '!$B$10:$D$18,2)*$L77)+$L77</f>
        <v>99.9</v>
      </c>
      <c r="N77" s="6">
        <f>(VLOOKUP($K77,'Standard Estimate Uncertainty '!$B$10:$D$18,3)*$L77)+$L77</f>
        <v>127.65</v>
      </c>
      <c r="O77" s="6"/>
      <c r="P77" s="49"/>
      <c r="Q77" s="58"/>
      <c r="R77" s="407">
        <v>0</v>
      </c>
      <c r="S77" s="407">
        <v>111</v>
      </c>
      <c r="T77" s="407">
        <v>0</v>
      </c>
      <c r="U77" s="407">
        <v>0</v>
      </c>
      <c r="V77" s="407">
        <v>0</v>
      </c>
      <c r="W77" s="60">
        <f t="shared" si="15"/>
        <v>0</v>
      </c>
      <c r="X77" s="60">
        <f t="shared" si="16"/>
        <v>0</v>
      </c>
      <c r="Y77" s="60">
        <f t="shared" si="17"/>
        <v>1</v>
      </c>
      <c r="Z77" s="60">
        <f t="shared" si="18"/>
        <v>0</v>
      </c>
      <c r="AA77" s="60">
        <f t="shared" si="19"/>
        <v>0</v>
      </c>
      <c r="AB77" s="60">
        <f t="shared" si="20"/>
        <v>0</v>
      </c>
      <c r="AC77" s="47"/>
    </row>
    <row r="78" spans="2:29" ht="15">
      <c r="B78">
        <f t="shared" si="12"/>
      </c>
      <c r="C78">
        <f t="shared" si="13"/>
      </c>
      <c r="D78" t="s">
        <v>306</v>
      </c>
      <c r="E78" t="s">
        <v>915</v>
      </c>
      <c r="F78" t="s">
        <v>306</v>
      </c>
      <c r="G78" t="s">
        <v>915</v>
      </c>
      <c r="H78" s="47"/>
      <c r="I78" s="23" t="s">
        <v>603</v>
      </c>
      <c r="J78" s="23" t="s">
        <v>602</v>
      </c>
      <c r="K78" s="1" t="str">
        <f t="shared" si="11"/>
        <v>MH</v>
      </c>
      <c r="L78" s="57">
        <f t="shared" si="14"/>
        <v>414</v>
      </c>
      <c r="M78" s="6">
        <f>(VLOOKUP($K78,'Standard Estimate Uncertainty '!$B$10:$D$18,2)*$L78)+$L78</f>
        <v>331.2</v>
      </c>
      <c r="N78" s="6">
        <f>(VLOOKUP($K78,'Standard Estimate Uncertainty '!$B$10:$D$18,3)*$L78)+$L78</f>
        <v>579.6</v>
      </c>
      <c r="O78" s="6"/>
      <c r="P78" s="49"/>
      <c r="Q78" s="58"/>
      <c r="R78" s="407">
        <v>351</v>
      </c>
      <c r="S78" s="407">
        <v>63</v>
      </c>
      <c r="T78" s="407">
        <v>0</v>
      </c>
      <c r="U78" s="407">
        <v>0</v>
      </c>
      <c r="V78" s="407">
        <v>0</v>
      </c>
      <c r="W78" s="60">
        <f t="shared" si="15"/>
        <v>0</v>
      </c>
      <c r="X78" s="60">
        <f t="shared" si="16"/>
        <v>0.8478260869565217</v>
      </c>
      <c r="Y78" s="60">
        <f t="shared" si="17"/>
        <v>0.15217391304347827</v>
      </c>
      <c r="Z78" s="60">
        <f t="shared" si="18"/>
        <v>0</v>
      </c>
      <c r="AA78" s="60">
        <f t="shared" si="19"/>
        <v>0</v>
      </c>
      <c r="AB78" s="60">
        <f t="shared" si="20"/>
        <v>0</v>
      </c>
      <c r="AC78" s="47"/>
    </row>
    <row r="79" spans="2:29" ht="15">
      <c r="B79">
        <f t="shared" si="12"/>
      </c>
      <c r="C79">
        <f t="shared" si="13"/>
      </c>
      <c r="D79" t="s">
        <v>306</v>
      </c>
      <c r="E79" t="s">
        <v>916</v>
      </c>
      <c r="F79" t="s">
        <v>306</v>
      </c>
      <c r="G79" t="s">
        <v>916</v>
      </c>
      <c r="H79" s="47"/>
      <c r="I79" s="23" t="s">
        <v>603</v>
      </c>
      <c r="J79" s="23" t="s">
        <v>602</v>
      </c>
      <c r="K79" s="1" t="str">
        <f t="shared" si="11"/>
        <v>MH</v>
      </c>
      <c r="L79" s="57">
        <f t="shared" si="14"/>
        <v>314</v>
      </c>
      <c r="M79" s="6">
        <f>(VLOOKUP($K79,'Standard Estimate Uncertainty '!$B$10:$D$18,2)*$L79)+$L79</f>
        <v>251.2</v>
      </c>
      <c r="N79" s="6">
        <f>(VLOOKUP($K79,'Standard Estimate Uncertainty '!$B$10:$D$18,3)*$L79)+$L79</f>
        <v>439.6</v>
      </c>
      <c r="O79" s="6"/>
      <c r="P79" s="49"/>
      <c r="Q79" s="58"/>
      <c r="R79" s="407">
        <v>249</v>
      </c>
      <c r="S79" s="407">
        <v>65</v>
      </c>
      <c r="T79" s="407">
        <v>0</v>
      </c>
      <c r="U79" s="407">
        <v>0</v>
      </c>
      <c r="V79" s="407">
        <v>0</v>
      </c>
      <c r="W79" s="60">
        <f t="shared" si="15"/>
        <v>0</v>
      </c>
      <c r="X79" s="60">
        <f t="shared" si="16"/>
        <v>0.7929936305732485</v>
      </c>
      <c r="Y79" s="60">
        <f t="shared" si="17"/>
        <v>0.2070063694267516</v>
      </c>
      <c r="Z79" s="60">
        <f t="shared" si="18"/>
        <v>0</v>
      </c>
      <c r="AA79" s="60">
        <f t="shared" si="19"/>
        <v>0</v>
      </c>
      <c r="AB79" s="60">
        <f t="shared" si="20"/>
        <v>0</v>
      </c>
      <c r="AC79" s="47"/>
    </row>
    <row r="80" spans="2:29" ht="15">
      <c r="B80">
        <f t="shared" si="12"/>
      </c>
      <c r="C80">
        <f t="shared" si="13"/>
      </c>
      <c r="D80" t="s">
        <v>306</v>
      </c>
      <c r="E80" t="s">
        <v>917</v>
      </c>
      <c r="F80" t="s">
        <v>306</v>
      </c>
      <c r="G80" t="s">
        <v>917</v>
      </c>
      <c r="H80" s="47"/>
      <c r="I80" s="23" t="s">
        <v>603</v>
      </c>
      <c r="J80" s="23" t="s">
        <v>602</v>
      </c>
      <c r="K80" s="1" t="str">
        <f t="shared" si="11"/>
        <v>MH</v>
      </c>
      <c r="L80" s="57">
        <f t="shared" si="14"/>
        <v>317</v>
      </c>
      <c r="M80" s="6">
        <f>(VLOOKUP($K80,'Standard Estimate Uncertainty '!$B$10:$D$18,2)*$L80)+$L80</f>
        <v>253.6</v>
      </c>
      <c r="N80" s="6">
        <f>(VLOOKUP($K80,'Standard Estimate Uncertainty '!$B$10:$D$18,3)*$L80)+$L80</f>
        <v>443.8</v>
      </c>
      <c r="O80" s="6"/>
      <c r="P80" s="49"/>
      <c r="Q80" s="58"/>
      <c r="R80" s="407">
        <v>147</v>
      </c>
      <c r="S80" s="407">
        <v>170</v>
      </c>
      <c r="T80" s="407">
        <v>0</v>
      </c>
      <c r="U80" s="407">
        <v>0</v>
      </c>
      <c r="V80" s="407">
        <v>0</v>
      </c>
      <c r="W80" s="60">
        <f t="shared" si="15"/>
        <v>0</v>
      </c>
      <c r="X80" s="60">
        <f t="shared" si="16"/>
        <v>0.4637223974763407</v>
      </c>
      <c r="Y80" s="60">
        <f t="shared" si="17"/>
        <v>0.5362776025236593</v>
      </c>
      <c r="Z80" s="60">
        <f t="shared" si="18"/>
        <v>0</v>
      </c>
      <c r="AA80" s="60">
        <f t="shared" si="19"/>
        <v>0</v>
      </c>
      <c r="AB80" s="60">
        <f t="shared" si="20"/>
        <v>0</v>
      </c>
      <c r="AC80" s="47"/>
    </row>
    <row r="81" spans="2:29" ht="15">
      <c r="B81">
        <f t="shared" si="12"/>
      </c>
      <c r="C81">
        <f t="shared" si="13"/>
      </c>
      <c r="D81" t="s">
        <v>306</v>
      </c>
      <c r="E81" t="s">
        <v>918</v>
      </c>
      <c r="F81" t="s">
        <v>306</v>
      </c>
      <c r="G81" t="s">
        <v>918</v>
      </c>
      <c r="H81" s="47"/>
      <c r="I81" s="23" t="s">
        <v>603</v>
      </c>
      <c r="J81" s="23" t="s">
        <v>602</v>
      </c>
      <c r="K81" s="1" t="str">
        <f t="shared" si="11"/>
        <v>MH</v>
      </c>
      <c r="L81" s="57">
        <f t="shared" si="14"/>
        <v>311</v>
      </c>
      <c r="M81" s="6">
        <f>(VLOOKUP($K81,'Standard Estimate Uncertainty '!$B$10:$D$18,2)*$L81)+$L81</f>
        <v>248.8</v>
      </c>
      <c r="N81" s="6">
        <f>(VLOOKUP($K81,'Standard Estimate Uncertainty '!$B$10:$D$18,3)*$L81)+$L81</f>
        <v>435.4</v>
      </c>
      <c r="O81" s="6"/>
      <c r="P81" s="49"/>
      <c r="Q81" s="58"/>
      <c r="R81" s="407">
        <v>0</v>
      </c>
      <c r="S81" s="407">
        <v>311</v>
      </c>
      <c r="T81" s="407">
        <v>0</v>
      </c>
      <c r="U81" s="407">
        <v>0</v>
      </c>
      <c r="V81" s="407">
        <v>0</v>
      </c>
      <c r="W81" s="60">
        <f t="shared" si="15"/>
        <v>0</v>
      </c>
      <c r="X81" s="60">
        <f t="shared" si="16"/>
        <v>0</v>
      </c>
      <c r="Y81" s="60">
        <f t="shared" si="17"/>
        <v>1</v>
      </c>
      <c r="Z81" s="60">
        <f t="shared" si="18"/>
        <v>0</v>
      </c>
      <c r="AA81" s="60">
        <f t="shared" si="19"/>
        <v>0</v>
      </c>
      <c r="AB81" s="60">
        <f t="shared" si="20"/>
        <v>0</v>
      </c>
      <c r="AC81" s="47"/>
    </row>
    <row r="82" spans="2:29" ht="15">
      <c r="B82">
        <f t="shared" si="12"/>
      </c>
      <c r="C82">
        <f t="shared" si="13"/>
      </c>
      <c r="D82" t="s">
        <v>306</v>
      </c>
      <c r="E82" t="s">
        <v>919</v>
      </c>
      <c r="F82" t="s">
        <v>306</v>
      </c>
      <c r="G82" t="s">
        <v>919</v>
      </c>
      <c r="H82" s="47"/>
      <c r="I82" s="23" t="s">
        <v>603</v>
      </c>
      <c r="J82" s="23" t="s">
        <v>602</v>
      </c>
      <c r="K82" s="1" t="str">
        <f t="shared" si="11"/>
        <v>MH</v>
      </c>
      <c r="L82" s="57">
        <f t="shared" si="14"/>
        <v>312</v>
      </c>
      <c r="M82" s="6">
        <f>(VLOOKUP($K82,'Standard Estimate Uncertainty '!$B$10:$D$18,2)*$L82)+$L82</f>
        <v>249.6</v>
      </c>
      <c r="N82" s="6">
        <f>(VLOOKUP($K82,'Standard Estimate Uncertainty '!$B$10:$D$18,3)*$L82)+$L82</f>
        <v>436.8</v>
      </c>
      <c r="O82" s="6"/>
      <c r="P82" s="49"/>
      <c r="Q82" s="58"/>
      <c r="R82" s="407">
        <v>0</v>
      </c>
      <c r="S82" s="407">
        <v>312</v>
      </c>
      <c r="T82" s="407">
        <v>0</v>
      </c>
      <c r="U82" s="407">
        <v>0</v>
      </c>
      <c r="V82" s="407">
        <v>0</v>
      </c>
      <c r="W82" s="60">
        <f t="shared" si="15"/>
        <v>0</v>
      </c>
      <c r="X82" s="60">
        <f t="shared" si="16"/>
        <v>0</v>
      </c>
      <c r="Y82" s="60">
        <f t="shared" si="17"/>
        <v>1</v>
      </c>
      <c r="Z82" s="60">
        <f t="shared" si="18"/>
        <v>0</v>
      </c>
      <c r="AA82" s="60">
        <f t="shared" si="19"/>
        <v>0</v>
      </c>
      <c r="AB82" s="60">
        <f t="shared" si="20"/>
        <v>0</v>
      </c>
      <c r="AC82" s="47"/>
    </row>
    <row r="83" spans="2:29" ht="14.25" customHeight="1">
      <c r="B83">
        <f t="shared" si="12"/>
      </c>
      <c r="C83">
        <f t="shared" si="13"/>
      </c>
      <c r="D83" t="s">
        <v>306</v>
      </c>
      <c r="E83" t="s">
        <v>920</v>
      </c>
      <c r="F83" t="s">
        <v>306</v>
      </c>
      <c r="G83" t="s">
        <v>920</v>
      </c>
      <c r="H83" s="47"/>
      <c r="I83" s="23" t="s">
        <v>603</v>
      </c>
      <c r="J83" s="23" t="s">
        <v>602</v>
      </c>
      <c r="K83" s="1" t="str">
        <f t="shared" si="11"/>
        <v>MH</v>
      </c>
      <c r="L83" s="57">
        <f t="shared" si="14"/>
        <v>310</v>
      </c>
      <c r="M83" s="6">
        <f>(VLOOKUP($K83,'Standard Estimate Uncertainty '!$B$10:$D$18,2)*$L83)+$L83</f>
        <v>248</v>
      </c>
      <c r="N83" s="6">
        <f>(VLOOKUP($K83,'Standard Estimate Uncertainty '!$B$10:$D$18,3)*$L83)+$L83</f>
        <v>434</v>
      </c>
      <c r="O83" s="6"/>
      <c r="P83" s="49"/>
      <c r="Q83" s="58"/>
      <c r="R83" s="407">
        <v>0</v>
      </c>
      <c r="S83" s="407">
        <v>273</v>
      </c>
      <c r="T83" s="407">
        <v>37</v>
      </c>
      <c r="U83" s="407">
        <v>0</v>
      </c>
      <c r="V83" s="407">
        <v>0</v>
      </c>
      <c r="W83" s="60">
        <f t="shared" si="15"/>
        <v>0</v>
      </c>
      <c r="X83" s="60">
        <f t="shared" si="16"/>
        <v>0</v>
      </c>
      <c r="Y83" s="60">
        <f t="shared" si="17"/>
        <v>0.8806451612903226</v>
      </c>
      <c r="Z83" s="60">
        <f t="shared" si="18"/>
        <v>0.11935483870967742</v>
      </c>
      <c r="AA83" s="60">
        <f t="shared" si="19"/>
        <v>0</v>
      </c>
      <c r="AB83" s="60">
        <f t="shared" si="20"/>
        <v>0</v>
      </c>
      <c r="AC83" s="47"/>
    </row>
    <row r="84" spans="2:29" ht="15">
      <c r="B84">
        <f t="shared" si="12"/>
      </c>
      <c r="C84">
        <f t="shared" si="13"/>
      </c>
      <c r="D84" t="s">
        <v>306</v>
      </c>
      <c r="E84" t="s">
        <v>744</v>
      </c>
      <c r="F84" t="s">
        <v>306</v>
      </c>
      <c r="G84" t="s">
        <v>744</v>
      </c>
      <c r="H84" s="47"/>
      <c r="I84" s="23" t="s">
        <v>603</v>
      </c>
      <c r="J84" s="23" t="s">
        <v>602</v>
      </c>
      <c r="K84" s="1" t="str">
        <f aca="true" t="shared" si="21" ref="K84:K101">CONCATENATE(I84,J84)</f>
        <v>MH</v>
      </c>
      <c r="L84" s="57">
        <f t="shared" si="14"/>
        <v>323</v>
      </c>
      <c r="M84" s="6">
        <f>(VLOOKUP($K84,'Standard Estimate Uncertainty '!$B$10:$D$18,2)*$L84)+$L84</f>
        <v>258.4</v>
      </c>
      <c r="N84" s="6">
        <f>(VLOOKUP($K84,'Standard Estimate Uncertainty '!$B$10:$D$18,3)*$L84)+$L84</f>
        <v>452.20000000000005</v>
      </c>
      <c r="O84" s="6"/>
      <c r="P84" s="49"/>
      <c r="Q84" s="58"/>
      <c r="R84" s="407">
        <v>257</v>
      </c>
      <c r="S84" s="407">
        <v>66</v>
      </c>
      <c r="T84" s="407">
        <v>0</v>
      </c>
      <c r="U84" s="407">
        <v>0</v>
      </c>
      <c r="V84" s="407">
        <v>0</v>
      </c>
      <c r="W84" s="60">
        <f t="shared" si="15"/>
        <v>0</v>
      </c>
      <c r="X84" s="60">
        <f t="shared" si="16"/>
        <v>0.7956656346749226</v>
      </c>
      <c r="Y84" s="60">
        <f t="shared" si="17"/>
        <v>0.2043343653250774</v>
      </c>
      <c r="Z84" s="60">
        <f t="shared" si="18"/>
        <v>0</v>
      </c>
      <c r="AA84" s="60">
        <f t="shared" si="19"/>
        <v>0</v>
      </c>
      <c r="AB84" s="60">
        <f t="shared" si="20"/>
        <v>0</v>
      </c>
      <c r="AC84" s="47"/>
    </row>
    <row r="85" spans="2:29" ht="15">
      <c r="B85">
        <f t="shared" si="12"/>
      </c>
      <c r="C85">
        <f t="shared" si="13"/>
      </c>
      <c r="D85" t="s">
        <v>306</v>
      </c>
      <c r="E85" t="s">
        <v>706</v>
      </c>
      <c r="F85" t="s">
        <v>306</v>
      </c>
      <c r="G85" t="s">
        <v>706</v>
      </c>
      <c r="H85" s="47"/>
      <c r="I85" s="23" t="s">
        <v>603</v>
      </c>
      <c r="J85" s="23" t="s">
        <v>602</v>
      </c>
      <c r="K85" s="1" t="str">
        <f t="shared" si="21"/>
        <v>MH</v>
      </c>
      <c r="L85" s="57">
        <f t="shared" si="14"/>
        <v>0</v>
      </c>
      <c r="M85" s="6">
        <f>(VLOOKUP($K85,'Standard Estimate Uncertainty '!$B$10:$D$18,2)*$L85)+$L85</f>
        <v>0</v>
      </c>
      <c r="N85" s="6">
        <f>(VLOOKUP($K85,'Standard Estimate Uncertainty '!$B$10:$D$18,3)*$L85)+$L85</f>
        <v>0</v>
      </c>
      <c r="O85" s="6"/>
      <c r="P85" s="49"/>
      <c r="Q85" s="58"/>
      <c r="R85" s="407">
        <v>0</v>
      </c>
      <c r="S85" s="407">
        <v>0</v>
      </c>
      <c r="T85" s="407">
        <v>0</v>
      </c>
      <c r="U85" s="407">
        <v>0</v>
      </c>
      <c r="V85" s="407">
        <v>0</v>
      </c>
      <c r="W85" s="60" t="e">
        <f t="shared" si="15"/>
        <v>#DIV/0!</v>
      </c>
      <c r="X85" s="60" t="e">
        <f t="shared" si="16"/>
        <v>#DIV/0!</v>
      </c>
      <c r="Y85" s="60" t="e">
        <f t="shared" si="17"/>
        <v>#DIV/0!</v>
      </c>
      <c r="Z85" s="60" t="e">
        <f t="shared" si="18"/>
        <v>#DIV/0!</v>
      </c>
      <c r="AA85" s="60" t="e">
        <f t="shared" si="19"/>
        <v>#DIV/0!</v>
      </c>
      <c r="AB85" s="60" t="e">
        <f t="shared" si="20"/>
        <v>#DIV/0!</v>
      </c>
      <c r="AC85" s="47"/>
    </row>
    <row r="86" spans="2:29" ht="15">
      <c r="B86">
        <f t="shared" si="12"/>
      </c>
      <c r="C86">
        <f t="shared" si="13"/>
      </c>
      <c r="D86" t="s">
        <v>306</v>
      </c>
      <c r="E86" t="s">
        <v>743</v>
      </c>
      <c r="F86" t="s">
        <v>306</v>
      </c>
      <c r="G86" t="s">
        <v>743</v>
      </c>
      <c r="H86" s="47"/>
      <c r="I86" s="23" t="s">
        <v>602</v>
      </c>
      <c r="J86" s="23" t="s">
        <v>602</v>
      </c>
      <c r="K86" s="1" t="str">
        <f t="shared" si="21"/>
        <v>HH</v>
      </c>
      <c r="L86" s="57">
        <f t="shared" si="14"/>
        <v>967</v>
      </c>
      <c r="M86" s="6">
        <f>(VLOOKUP($K86,'Standard Estimate Uncertainty '!$B$10:$D$18,2)*$L86)+$L86</f>
        <v>821.95</v>
      </c>
      <c r="N86" s="6">
        <f>(VLOOKUP($K86,'Standard Estimate Uncertainty '!$B$10:$D$18,3)*$L86)+$L86</f>
        <v>1208.75</v>
      </c>
      <c r="O86" s="6"/>
      <c r="P86" s="49"/>
      <c r="Q86" s="58"/>
      <c r="R86" s="407">
        <v>804</v>
      </c>
      <c r="S86" s="407">
        <v>92</v>
      </c>
      <c r="T86" s="407">
        <v>71</v>
      </c>
      <c r="U86" s="407">
        <v>0</v>
      </c>
      <c r="V86" s="407">
        <v>0</v>
      </c>
      <c r="W86" s="60">
        <f t="shared" si="15"/>
        <v>0</v>
      </c>
      <c r="X86" s="60">
        <f t="shared" si="16"/>
        <v>0.8314374353671148</v>
      </c>
      <c r="Y86" s="60">
        <f t="shared" si="17"/>
        <v>0.09513960703205791</v>
      </c>
      <c r="Z86" s="60">
        <f t="shared" si="18"/>
        <v>0.0734229576008273</v>
      </c>
      <c r="AA86" s="60">
        <f t="shared" si="19"/>
        <v>0</v>
      </c>
      <c r="AB86" s="60">
        <f t="shared" si="20"/>
        <v>0</v>
      </c>
      <c r="AC86" s="47"/>
    </row>
    <row r="87" spans="2:29" ht="15">
      <c r="B87">
        <f t="shared" si="12"/>
      </c>
      <c r="C87">
        <f t="shared" si="13"/>
      </c>
      <c r="D87" t="s">
        <v>306</v>
      </c>
      <c r="E87" t="s">
        <v>745</v>
      </c>
      <c r="F87" t="s">
        <v>306</v>
      </c>
      <c r="G87" t="s">
        <v>745</v>
      </c>
      <c r="H87" s="47"/>
      <c r="I87" s="23" t="s">
        <v>603</v>
      </c>
      <c r="J87" s="23" t="s">
        <v>602</v>
      </c>
      <c r="K87" s="1" t="str">
        <f t="shared" si="21"/>
        <v>MH</v>
      </c>
      <c r="L87" s="57">
        <f t="shared" si="14"/>
        <v>188</v>
      </c>
      <c r="M87" s="6">
        <f>(VLOOKUP($K87,'Standard Estimate Uncertainty '!$B$10:$D$18,2)*$L87)+$L87</f>
        <v>150.4</v>
      </c>
      <c r="N87" s="6">
        <f>(VLOOKUP($K87,'Standard Estimate Uncertainty '!$B$10:$D$18,3)*$L87)+$L87</f>
        <v>263.2</v>
      </c>
      <c r="O87" s="6"/>
      <c r="P87" s="49"/>
      <c r="Q87" s="58"/>
      <c r="R87" s="407">
        <v>8</v>
      </c>
      <c r="S87" s="407">
        <v>180</v>
      </c>
      <c r="T87" s="407">
        <v>0</v>
      </c>
      <c r="U87" s="407">
        <v>0</v>
      </c>
      <c r="V87" s="407">
        <v>0</v>
      </c>
      <c r="W87" s="60">
        <f t="shared" si="15"/>
        <v>0</v>
      </c>
      <c r="X87" s="60">
        <f t="shared" si="16"/>
        <v>0.0425531914893617</v>
      </c>
      <c r="Y87" s="60">
        <f t="shared" si="17"/>
        <v>0.9574468085106383</v>
      </c>
      <c r="Z87" s="60">
        <f t="shared" si="18"/>
        <v>0</v>
      </c>
      <c r="AA87" s="60">
        <f t="shared" si="19"/>
        <v>0</v>
      </c>
      <c r="AB87" s="60">
        <f t="shared" si="20"/>
        <v>0</v>
      </c>
      <c r="AC87" s="47"/>
    </row>
    <row r="88" spans="2:29" ht="15">
      <c r="B88">
        <f t="shared" si="12"/>
      </c>
      <c r="C88">
        <f t="shared" si="13"/>
      </c>
      <c r="D88" t="s">
        <v>306</v>
      </c>
      <c r="E88" t="s">
        <v>707</v>
      </c>
      <c r="F88" t="s">
        <v>306</v>
      </c>
      <c r="G88" t="s">
        <v>707</v>
      </c>
      <c r="H88" s="47"/>
      <c r="I88" s="23" t="s">
        <v>603</v>
      </c>
      <c r="J88" s="23" t="s">
        <v>602</v>
      </c>
      <c r="K88" s="1" t="str">
        <f t="shared" si="21"/>
        <v>MH</v>
      </c>
      <c r="L88" s="57">
        <f t="shared" si="14"/>
        <v>585</v>
      </c>
      <c r="M88" s="6">
        <f>(VLOOKUP($K88,'Standard Estimate Uncertainty '!$B$10:$D$18,2)*$L88)+$L88</f>
        <v>468</v>
      </c>
      <c r="N88" s="6">
        <f>(VLOOKUP($K88,'Standard Estimate Uncertainty '!$B$10:$D$18,3)*$L88)+$L88</f>
        <v>819</v>
      </c>
      <c r="O88" s="6"/>
      <c r="P88" s="49"/>
      <c r="Q88" s="58"/>
      <c r="R88" s="407">
        <v>0</v>
      </c>
      <c r="S88" s="407">
        <v>585</v>
      </c>
      <c r="T88" s="407">
        <v>0</v>
      </c>
      <c r="U88" s="407">
        <v>0</v>
      </c>
      <c r="V88" s="407">
        <v>0</v>
      </c>
      <c r="W88" s="60">
        <f t="shared" si="15"/>
        <v>0</v>
      </c>
      <c r="X88" s="60">
        <f t="shared" si="16"/>
        <v>0</v>
      </c>
      <c r="Y88" s="60">
        <f t="shared" si="17"/>
        <v>1</v>
      </c>
      <c r="Z88" s="60">
        <f t="shared" si="18"/>
        <v>0</v>
      </c>
      <c r="AA88" s="60">
        <f t="shared" si="19"/>
        <v>0</v>
      </c>
      <c r="AB88" s="60">
        <f t="shared" si="20"/>
        <v>0</v>
      </c>
      <c r="AC88" s="47"/>
    </row>
    <row r="89" spans="2:29" ht="15">
      <c r="B89">
        <f t="shared" si="12"/>
      </c>
      <c r="C89">
        <f t="shared" si="13"/>
      </c>
      <c r="D89" t="s">
        <v>306</v>
      </c>
      <c r="E89" t="s">
        <v>708</v>
      </c>
      <c r="F89" t="s">
        <v>306</v>
      </c>
      <c r="G89" t="s">
        <v>708</v>
      </c>
      <c r="H89" s="47"/>
      <c r="I89" s="23" t="s">
        <v>603</v>
      </c>
      <c r="J89" s="23" t="s">
        <v>602</v>
      </c>
      <c r="K89" s="1" t="str">
        <f t="shared" si="21"/>
        <v>MH</v>
      </c>
      <c r="L89" s="57">
        <f t="shared" si="14"/>
        <v>408</v>
      </c>
      <c r="M89" s="6">
        <f>(VLOOKUP($K89,'Standard Estimate Uncertainty '!$B$10:$D$18,2)*$L89)+$L89</f>
        <v>326.4</v>
      </c>
      <c r="N89" s="6">
        <f>(VLOOKUP($K89,'Standard Estimate Uncertainty '!$B$10:$D$18,3)*$L89)+$L89</f>
        <v>571.2</v>
      </c>
      <c r="O89" s="6"/>
      <c r="P89" s="49"/>
      <c r="Q89" s="58"/>
      <c r="R89" s="407">
        <v>0</v>
      </c>
      <c r="S89" s="407">
        <v>243</v>
      </c>
      <c r="T89" s="407">
        <v>165</v>
      </c>
      <c r="U89" s="407">
        <v>0</v>
      </c>
      <c r="V89" s="407">
        <v>0</v>
      </c>
      <c r="W89" s="60">
        <f t="shared" si="15"/>
        <v>0</v>
      </c>
      <c r="X89" s="60">
        <f t="shared" si="16"/>
        <v>0</v>
      </c>
      <c r="Y89" s="60">
        <f t="shared" si="17"/>
        <v>0.5955882352941176</v>
      </c>
      <c r="Z89" s="60">
        <f t="shared" si="18"/>
        <v>0.40441176470588236</v>
      </c>
      <c r="AA89" s="60">
        <f t="shared" si="19"/>
        <v>0</v>
      </c>
      <c r="AB89" s="60">
        <f t="shared" si="20"/>
        <v>0</v>
      </c>
      <c r="AC89" s="47"/>
    </row>
    <row r="90" spans="2:29" ht="15">
      <c r="B90">
        <f t="shared" si="12"/>
      </c>
      <c r="C90">
        <f t="shared" si="13"/>
      </c>
      <c r="D90" t="s">
        <v>306</v>
      </c>
      <c r="E90" t="s">
        <v>709</v>
      </c>
      <c r="F90" t="s">
        <v>306</v>
      </c>
      <c r="G90" t="s">
        <v>709</v>
      </c>
      <c r="H90" s="47"/>
      <c r="I90" s="23" t="s">
        <v>603</v>
      </c>
      <c r="J90" s="23" t="s">
        <v>602</v>
      </c>
      <c r="K90" s="1" t="str">
        <f t="shared" si="21"/>
        <v>MH</v>
      </c>
      <c r="L90" s="57">
        <f t="shared" si="14"/>
        <v>398</v>
      </c>
      <c r="M90" s="6">
        <f>(VLOOKUP($K90,'Standard Estimate Uncertainty '!$B$10:$D$18,2)*$L90)+$L90</f>
        <v>318.4</v>
      </c>
      <c r="N90" s="6">
        <f>(VLOOKUP($K90,'Standard Estimate Uncertainty '!$B$10:$D$18,3)*$L90)+$L90</f>
        <v>557.2</v>
      </c>
      <c r="O90" s="6"/>
      <c r="P90" s="49"/>
      <c r="Q90" s="58"/>
      <c r="R90" s="407">
        <v>0</v>
      </c>
      <c r="S90" s="407">
        <v>42</v>
      </c>
      <c r="T90" s="407">
        <v>356</v>
      </c>
      <c r="U90" s="407">
        <v>0</v>
      </c>
      <c r="V90" s="407">
        <v>0</v>
      </c>
      <c r="W90" s="60">
        <f t="shared" si="15"/>
        <v>0</v>
      </c>
      <c r="X90" s="60">
        <f t="shared" si="16"/>
        <v>0</v>
      </c>
      <c r="Y90" s="60">
        <f t="shared" si="17"/>
        <v>0.10552763819095477</v>
      </c>
      <c r="Z90" s="60">
        <f t="shared" si="18"/>
        <v>0.8944723618090452</v>
      </c>
      <c r="AA90" s="60">
        <f t="shared" si="19"/>
        <v>0</v>
      </c>
      <c r="AB90" s="60">
        <f t="shared" si="20"/>
        <v>0</v>
      </c>
      <c r="AC90" s="47"/>
    </row>
    <row r="91" spans="2:29" ht="15">
      <c r="B91">
        <f t="shared" si="12"/>
      </c>
      <c r="C91">
        <f t="shared" si="13"/>
      </c>
      <c r="D91" t="s">
        <v>746</v>
      </c>
      <c r="E91" t="s">
        <v>747</v>
      </c>
      <c r="F91" t="s">
        <v>746</v>
      </c>
      <c r="G91" t="s">
        <v>747</v>
      </c>
      <c r="H91" s="47"/>
      <c r="I91" s="23" t="s">
        <v>616</v>
      </c>
      <c r="J91" s="23" t="s">
        <v>603</v>
      </c>
      <c r="K91" s="1" t="str">
        <f t="shared" si="21"/>
        <v>LM</v>
      </c>
      <c r="L91" s="57">
        <f t="shared" si="14"/>
        <v>294</v>
      </c>
      <c r="M91" s="6">
        <f>(VLOOKUP($K91,'Standard Estimate Uncertainty '!$B$10:$D$18,2)*$L91)+$L91</f>
        <v>235.2</v>
      </c>
      <c r="N91" s="6">
        <f>(VLOOKUP($K91,'Standard Estimate Uncertainty '!$B$10:$D$18,3)*$L91)+$L91</f>
        <v>411.6</v>
      </c>
      <c r="O91" s="6"/>
      <c r="P91" s="49"/>
      <c r="Q91" s="58"/>
      <c r="R91" s="407">
        <v>0</v>
      </c>
      <c r="S91" s="407">
        <v>276</v>
      </c>
      <c r="T91" s="407">
        <v>18</v>
      </c>
      <c r="U91" s="407">
        <v>0</v>
      </c>
      <c r="V91" s="407">
        <v>0</v>
      </c>
      <c r="W91" s="60">
        <f t="shared" si="15"/>
        <v>0</v>
      </c>
      <c r="X91" s="60">
        <f t="shared" si="16"/>
        <v>0</v>
      </c>
      <c r="Y91" s="60">
        <f t="shared" si="17"/>
        <v>0.9387755102040817</v>
      </c>
      <c r="Z91" s="60">
        <f t="shared" si="18"/>
        <v>0.061224489795918366</v>
      </c>
      <c r="AA91" s="60">
        <f t="shared" si="19"/>
        <v>0</v>
      </c>
      <c r="AB91" s="60">
        <f t="shared" si="20"/>
        <v>0</v>
      </c>
      <c r="AC91" s="47"/>
    </row>
    <row r="92" spans="2:29" ht="15">
      <c r="B92">
        <f t="shared" si="12"/>
      </c>
      <c r="C92">
        <f t="shared" si="13"/>
      </c>
      <c r="D92" t="s">
        <v>746</v>
      </c>
      <c r="E92" t="s">
        <v>699</v>
      </c>
      <c r="F92" t="s">
        <v>746</v>
      </c>
      <c r="G92" t="s">
        <v>699</v>
      </c>
      <c r="H92" s="47"/>
      <c r="I92" s="23" t="s">
        <v>616</v>
      </c>
      <c r="J92" s="23" t="s">
        <v>603</v>
      </c>
      <c r="K92" s="1" t="str">
        <f t="shared" si="21"/>
        <v>LM</v>
      </c>
      <c r="L92" s="57">
        <f t="shared" si="14"/>
        <v>534</v>
      </c>
      <c r="M92" s="6">
        <f>(VLOOKUP($K92,'Standard Estimate Uncertainty '!$B$10:$D$18,2)*$L92)+$L92</f>
        <v>427.2</v>
      </c>
      <c r="N92" s="6">
        <f>(VLOOKUP($K92,'Standard Estimate Uncertainty '!$B$10:$D$18,3)*$L92)+$L92</f>
        <v>747.6</v>
      </c>
      <c r="O92" s="6"/>
      <c r="P92" s="49"/>
      <c r="Q92" s="58"/>
      <c r="R92" s="407">
        <v>0</v>
      </c>
      <c r="S92" s="407">
        <v>339</v>
      </c>
      <c r="T92" s="407">
        <v>195</v>
      </c>
      <c r="U92" s="407">
        <v>0</v>
      </c>
      <c r="V92" s="407">
        <v>0</v>
      </c>
      <c r="W92" s="60">
        <f t="shared" si="15"/>
        <v>0</v>
      </c>
      <c r="X92" s="60">
        <f t="shared" si="16"/>
        <v>0</v>
      </c>
      <c r="Y92" s="60">
        <f t="shared" si="17"/>
        <v>0.6348314606741573</v>
      </c>
      <c r="Z92" s="60">
        <f t="shared" si="18"/>
        <v>0.3651685393258427</v>
      </c>
      <c r="AA92" s="60">
        <f t="shared" si="19"/>
        <v>0</v>
      </c>
      <c r="AB92" s="60">
        <f t="shared" si="20"/>
        <v>0</v>
      </c>
      <c r="AC92" s="47"/>
    </row>
    <row r="93" spans="2:29" ht="15">
      <c r="B93">
        <f t="shared" si="12"/>
      </c>
      <c r="C93">
        <f t="shared" si="13"/>
      </c>
      <c r="D93" t="s">
        <v>746</v>
      </c>
      <c r="E93" t="s">
        <v>700</v>
      </c>
      <c r="F93" t="s">
        <v>746</v>
      </c>
      <c r="G93" t="s">
        <v>700</v>
      </c>
      <c r="H93" s="47"/>
      <c r="I93" s="23" t="s">
        <v>616</v>
      </c>
      <c r="J93" s="23" t="s">
        <v>603</v>
      </c>
      <c r="K93" s="1" t="str">
        <f t="shared" si="21"/>
        <v>LM</v>
      </c>
      <c r="L93" s="57">
        <f t="shared" si="14"/>
        <v>534</v>
      </c>
      <c r="M93" s="6">
        <f>(VLOOKUP($K93,'Standard Estimate Uncertainty '!$B$10:$D$18,2)*$L93)+$L93</f>
        <v>427.2</v>
      </c>
      <c r="N93" s="6">
        <f>(VLOOKUP($K93,'Standard Estimate Uncertainty '!$B$10:$D$18,3)*$L93)+$L93</f>
        <v>747.6</v>
      </c>
      <c r="O93" s="6"/>
      <c r="P93" s="49"/>
      <c r="Q93" s="58"/>
      <c r="R93" s="407">
        <v>0</v>
      </c>
      <c r="S93" s="407">
        <v>0</v>
      </c>
      <c r="T93" s="407">
        <v>534</v>
      </c>
      <c r="U93" s="407">
        <v>0</v>
      </c>
      <c r="V93" s="407">
        <v>0</v>
      </c>
      <c r="W93" s="60">
        <f t="shared" si="15"/>
        <v>0</v>
      </c>
      <c r="X93" s="60">
        <f t="shared" si="16"/>
        <v>0</v>
      </c>
      <c r="Y93" s="60">
        <f t="shared" si="17"/>
        <v>0</v>
      </c>
      <c r="Z93" s="60">
        <f t="shared" si="18"/>
        <v>1</v>
      </c>
      <c r="AA93" s="60">
        <f t="shared" si="19"/>
        <v>0</v>
      </c>
      <c r="AB93" s="60">
        <f t="shared" si="20"/>
        <v>0</v>
      </c>
      <c r="AC93" s="47"/>
    </row>
    <row r="94" spans="2:29" ht="15">
      <c r="B94">
        <f t="shared" si="12"/>
      </c>
      <c r="C94">
        <f t="shared" si="13"/>
      </c>
      <c r="D94" t="s">
        <v>746</v>
      </c>
      <c r="E94" t="s">
        <v>701</v>
      </c>
      <c r="F94" t="s">
        <v>746</v>
      </c>
      <c r="G94" t="s">
        <v>701</v>
      </c>
      <c r="H94" s="47"/>
      <c r="I94" s="23" t="s">
        <v>616</v>
      </c>
      <c r="J94" s="23" t="s">
        <v>603</v>
      </c>
      <c r="K94" s="1" t="str">
        <f t="shared" si="21"/>
        <v>LM</v>
      </c>
      <c r="L94" s="57">
        <f t="shared" si="14"/>
        <v>524</v>
      </c>
      <c r="M94" s="6">
        <f>(VLOOKUP($K94,'Standard Estimate Uncertainty '!$B$10:$D$18,2)*$L94)+$L94</f>
        <v>419.2</v>
      </c>
      <c r="N94" s="6">
        <f>(VLOOKUP($K94,'Standard Estimate Uncertainty '!$B$10:$D$18,3)*$L94)+$L94</f>
        <v>733.6</v>
      </c>
      <c r="O94" s="6"/>
      <c r="P94" s="49"/>
      <c r="Q94" s="58"/>
      <c r="R94" s="407">
        <v>0</v>
      </c>
      <c r="S94" s="407">
        <v>0</v>
      </c>
      <c r="T94" s="407">
        <v>524</v>
      </c>
      <c r="U94" s="407">
        <v>0</v>
      </c>
      <c r="V94" s="407">
        <v>0</v>
      </c>
      <c r="W94" s="60">
        <f t="shared" si="15"/>
        <v>0</v>
      </c>
      <c r="X94" s="60">
        <f t="shared" si="16"/>
        <v>0</v>
      </c>
      <c r="Y94" s="60">
        <f t="shared" si="17"/>
        <v>0</v>
      </c>
      <c r="Z94" s="60">
        <f t="shared" si="18"/>
        <v>1</v>
      </c>
      <c r="AA94" s="60">
        <f t="shared" si="19"/>
        <v>0</v>
      </c>
      <c r="AB94" s="60">
        <f t="shared" si="20"/>
        <v>0</v>
      </c>
      <c r="AC94" s="47"/>
    </row>
    <row r="95" spans="1:29" ht="15">
      <c r="A95">
        <v>19</v>
      </c>
      <c r="B95">
        <f t="shared" si="12"/>
      </c>
      <c r="C95">
        <f t="shared" si="13"/>
      </c>
      <c r="D95" t="s">
        <v>748</v>
      </c>
      <c r="E95" t="s">
        <v>749</v>
      </c>
      <c r="F95" t="s">
        <v>748</v>
      </c>
      <c r="G95" t="s">
        <v>749</v>
      </c>
      <c r="H95" s="47"/>
      <c r="I95" s="23" t="s">
        <v>602</v>
      </c>
      <c r="J95" s="23" t="s">
        <v>616</v>
      </c>
      <c r="K95" s="1" t="str">
        <f t="shared" si="21"/>
        <v>HL</v>
      </c>
      <c r="L95" s="57">
        <f t="shared" si="14"/>
        <v>941</v>
      </c>
      <c r="M95" s="6">
        <f>(VLOOKUP($K95,'Standard Estimate Uncertainty '!$B$10:$D$18,2)*$L95)+$L95</f>
        <v>893.95</v>
      </c>
      <c r="N95" s="6">
        <f>(VLOOKUP($K95,'Standard Estimate Uncertainty '!$B$10:$D$18,3)*$L95)+$L95</f>
        <v>1035.1</v>
      </c>
      <c r="O95" s="6"/>
      <c r="P95" s="49"/>
      <c r="Q95" s="58"/>
      <c r="R95" s="407">
        <v>145</v>
      </c>
      <c r="S95" s="407">
        <v>237</v>
      </c>
      <c r="T95" s="407">
        <v>258</v>
      </c>
      <c r="U95" s="407">
        <v>261</v>
      </c>
      <c r="V95" s="407">
        <v>40</v>
      </c>
      <c r="W95" s="60">
        <f t="shared" si="15"/>
        <v>0</v>
      </c>
      <c r="X95" s="60">
        <f t="shared" si="16"/>
        <v>0.15409139213602552</v>
      </c>
      <c r="Y95" s="60">
        <f t="shared" si="17"/>
        <v>0.2518597236981934</v>
      </c>
      <c r="Z95" s="60">
        <f t="shared" si="18"/>
        <v>0.27417640807651433</v>
      </c>
      <c r="AA95" s="60">
        <f t="shared" si="19"/>
        <v>0.2773645058448459</v>
      </c>
      <c r="AB95" s="60">
        <f t="shared" si="20"/>
        <v>0.04250797024442083</v>
      </c>
      <c r="AC95" s="47"/>
    </row>
    <row r="96" spans="2:29" ht="15">
      <c r="B96">
        <f t="shared" si="12"/>
      </c>
      <c r="C96">
        <f t="shared" si="13"/>
      </c>
      <c r="D96" t="s">
        <v>748</v>
      </c>
      <c r="E96" t="s">
        <v>457</v>
      </c>
      <c r="F96" t="s">
        <v>748</v>
      </c>
      <c r="G96" t="s">
        <v>457</v>
      </c>
      <c r="H96" s="47"/>
      <c r="I96" s="23" t="s">
        <v>602</v>
      </c>
      <c r="J96" s="23" t="s">
        <v>616</v>
      </c>
      <c r="K96" s="1" t="str">
        <f t="shared" si="21"/>
        <v>HL</v>
      </c>
      <c r="L96" s="57">
        <f t="shared" si="14"/>
        <v>1309</v>
      </c>
      <c r="M96" s="6">
        <f>(VLOOKUP($K96,'Standard Estimate Uncertainty '!$B$10:$D$18,2)*$L96)+$L96</f>
        <v>1243.55</v>
      </c>
      <c r="N96" s="6">
        <f>(VLOOKUP($K96,'Standard Estimate Uncertainty '!$B$10:$D$18,3)*$L96)+$L96</f>
        <v>1439.9</v>
      </c>
      <c r="O96" s="6"/>
      <c r="P96" s="49"/>
      <c r="Q96" s="58"/>
      <c r="R96" s="407">
        <v>231</v>
      </c>
      <c r="S96" s="407">
        <v>386</v>
      </c>
      <c r="T96" s="407">
        <v>402</v>
      </c>
      <c r="U96" s="407">
        <v>250</v>
      </c>
      <c r="V96" s="407">
        <v>40</v>
      </c>
      <c r="W96" s="60">
        <f t="shared" si="15"/>
        <v>0</v>
      </c>
      <c r="X96" s="60">
        <f t="shared" si="16"/>
        <v>0.17647058823529413</v>
      </c>
      <c r="Y96" s="60">
        <f t="shared" si="17"/>
        <v>0.29488158899923606</v>
      </c>
      <c r="Z96" s="60">
        <f t="shared" si="18"/>
        <v>0.30710466004583653</v>
      </c>
      <c r="AA96" s="60">
        <f t="shared" si="19"/>
        <v>0.19098548510313215</v>
      </c>
      <c r="AB96" s="60">
        <f t="shared" si="20"/>
        <v>0.030557677616501147</v>
      </c>
      <c r="AC96" s="47"/>
    </row>
    <row r="97" spans="1:29" ht="15">
      <c r="A97">
        <v>21</v>
      </c>
      <c r="B97">
        <f t="shared" si="12"/>
      </c>
      <c r="C97">
        <f t="shared" si="13"/>
      </c>
      <c r="D97" t="s">
        <v>750</v>
      </c>
      <c r="E97" t="s">
        <v>647</v>
      </c>
      <c r="F97" t="s">
        <v>750</v>
      </c>
      <c r="G97" t="s">
        <v>647</v>
      </c>
      <c r="H97" s="47"/>
      <c r="I97" s="23" t="s">
        <v>616</v>
      </c>
      <c r="J97" s="23" t="s">
        <v>616</v>
      </c>
      <c r="K97" s="1" t="str">
        <f t="shared" si="21"/>
        <v>LL</v>
      </c>
      <c r="L97" s="57">
        <f t="shared" si="14"/>
        <v>334</v>
      </c>
      <c r="M97" s="6">
        <f>(VLOOKUP($K97,'Standard Estimate Uncertainty '!$B$10:$D$18,2)*$L97)+$L97</f>
        <v>283.9</v>
      </c>
      <c r="N97" s="6">
        <f>(VLOOKUP($K97,'Standard Estimate Uncertainty '!$B$10:$D$18,3)*$L97)+$L97</f>
        <v>417.5</v>
      </c>
      <c r="O97" s="6"/>
      <c r="P97" s="49"/>
      <c r="Q97" s="58"/>
      <c r="R97" s="407">
        <v>0</v>
      </c>
      <c r="S97" s="407">
        <v>161</v>
      </c>
      <c r="T97" s="407">
        <v>53</v>
      </c>
      <c r="U97" s="407">
        <v>120</v>
      </c>
      <c r="V97" s="407">
        <v>0</v>
      </c>
      <c r="W97" s="60">
        <f t="shared" si="15"/>
        <v>0</v>
      </c>
      <c r="X97" s="60">
        <f t="shared" si="16"/>
        <v>0</v>
      </c>
      <c r="Y97" s="60">
        <f t="shared" si="17"/>
        <v>0.4820359281437126</v>
      </c>
      <c r="Z97" s="60">
        <f t="shared" si="18"/>
        <v>0.15868263473053892</v>
      </c>
      <c r="AA97" s="60">
        <f t="shared" si="19"/>
        <v>0.3592814371257485</v>
      </c>
      <c r="AB97" s="60">
        <f t="shared" si="20"/>
        <v>0</v>
      </c>
      <c r="AC97" s="47"/>
    </row>
    <row r="98" spans="1:29" ht="15">
      <c r="A98">
        <v>22</v>
      </c>
      <c r="B98">
        <f t="shared" si="12"/>
      </c>
      <c r="C98">
        <f t="shared" si="13"/>
      </c>
      <c r="D98" t="s">
        <v>751</v>
      </c>
      <c r="E98" t="s">
        <v>647</v>
      </c>
      <c r="F98" t="s">
        <v>751</v>
      </c>
      <c r="G98" t="s">
        <v>647</v>
      </c>
      <c r="H98" s="47"/>
      <c r="I98" s="23" t="s">
        <v>616</v>
      </c>
      <c r="J98" s="23" t="s">
        <v>616</v>
      </c>
      <c r="K98" s="1" t="str">
        <f t="shared" si="21"/>
        <v>LL</v>
      </c>
      <c r="L98" s="57">
        <f t="shared" si="14"/>
        <v>683</v>
      </c>
      <c r="M98" s="6">
        <f>(VLOOKUP($K98,'Standard Estimate Uncertainty '!$B$10:$D$18,2)*$L98)+$L98</f>
        <v>580.55</v>
      </c>
      <c r="N98" s="6">
        <f>(VLOOKUP($K98,'Standard Estimate Uncertainty '!$B$10:$D$18,3)*$L98)+$L98</f>
        <v>853.75</v>
      </c>
      <c r="O98" s="6"/>
      <c r="P98" s="49"/>
      <c r="Q98" s="58"/>
      <c r="R98" s="407">
        <v>0</v>
      </c>
      <c r="S98" s="407">
        <v>280</v>
      </c>
      <c r="T98" s="407">
        <v>197</v>
      </c>
      <c r="U98" s="407">
        <v>206</v>
      </c>
      <c r="V98" s="407">
        <v>0</v>
      </c>
      <c r="W98" s="60">
        <f t="shared" si="15"/>
        <v>0</v>
      </c>
      <c r="X98" s="60">
        <f t="shared" si="16"/>
        <v>0</v>
      </c>
      <c r="Y98" s="60">
        <f t="shared" si="17"/>
        <v>0.40995607613469986</v>
      </c>
      <c r="Z98" s="60">
        <f t="shared" si="18"/>
        <v>0.2884333821376281</v>
      </c>
      <c r="AA98" s="60">
        <f t="shared" si="19"/>
        <v>0.30161054172767204</v>
      </c>
      <c r="AB98" s="60">
        <f t="shared" si="20"/>
        <v>0</v>
      </c>
      <c r="AC98" s="47"/>
    </row>
    <row r="99" spans="1:29" ht="15">
      <c r="A99">
        <v>31</v>
      </c>
      <c r="B99">
        <f t="shared" si="12"/>
      </c>
      <c r="C99">
        <f t="shared" si="13"/>
      </c>
      <c r="D99" t="s">
        <v>752</v>
      </c>
      <c r="E99" t="s">
        <v>648</v>
      </c>
      <c r="F99" t="s">
        <v>752</v>
      </c>
      <c r="G99" t="s">
        <v>648</v>
      </c>
      <c r="H99" s="47"/>
      <c r="I99" s="23" t="s">
        <v>602</v>
      </c>
      <c r="J99" s="23" t="s">
        <v>616</v>
      </c>
      <c r="K99" s="1" t="str">
        <f t="shared" si="21"/>
        <v>HL</v>
      </c>
      <c r="L99" s="57">
        <f t="shared" si="14"/>
        <v>47</v>
      </c>
      <c r="M99" s="6">
        <f>(VLOOKUP($K99,'Standard Estimate Uncertainty '!$B$10:$D$18,2)*$L99)+$L99</f>
        <v>44.65</v>
      </c>
      <c r="N99" s="6">
        <f>(VLOOKUP($K99,'Standard Estimate Uncertainty '!$B$10:$D$18,3)*$L99)+$L99</f>
        <v>51.7</v>
      </c>
      <c r="O99" s="6"/>
      <c r="P99" s="49"/>
      <c r="Q99" s="58"/>
      <c r="R99" s="407">
        <v>47</v>
      </c>
      <c r="S99" s="407">
        <v>0</v>
      </c>
      <c r="T99" s="407">
        <v>0</v>
      </c>
      <c r="U99" s="407">
        <v>0</v>
      </c>
      <c r="V99" s="407">
        <v>0</v>
      </c>
      <c r="W99" s="60">
        <f t="shared" si="15"/>
        <v>0</v>
      </c>
      <c r="X99" s="60">
        <f t="shared" si="16"/>
        <v>1</v>
      </c>
      <c r="Y99" s="60">
        <f t="shared" si="17"/>
        <v>0</v>
      </c>
      <c r="Z99" s="60">
        <f t="shared" si="18"/>
        <v>0</v>
      </c>
      <c r="AA99" s="60">
        <f t="shared" si="19"/>
        <v>0</v>
      </c>
      <c r="AB99" s="60">
        <f t="shared" si="20"/>
        <v>0</v>
      </c>
      <c r="AC99" s="47"/>
    </row>
    <row r="100" spans="2:29" ht="15">
      <c r="B100">
        <f t="shared" si="12"/>
      </c>
      <c r="C100">
        <f t="shared" si="13"/>
      </c>
      <c r="D100" t="s">
        <v>752</v>
      </c>
      <c r="E100" t="s">
        <v>905</v>
      </c>
      <c r="F100" t="s">
        <v>752</v>
      </c>
      <c r="G100" t="s">
        <v>905</v>
      </c>
      <c r="H100" s="47"/>
      <c r="I100" s="23" t="s">
        <v>602</v>
      </c>
      <c r="J100" s="23" t="s">
        <v>616</v>
      </c>
      <c r="K100" s="1" t="str">
        <f t="shared" si="21"/>
        <v>HL</v>
      </c>
      <c r="L100" s="57">
        <f t="shared" si="14"/>
        <v>56</v>
      </c>
      <c r="M100" s="6">
        <f>(VLOOKUP($K100,'Standard Estimate Uncertainty '!$B$10:$D$18,2)*$L100)+$L100</f>
        <v>53.2</v>
      </c>
      <c r="N100" s="6">
        <f>(VLOOKUP($K100,'Standard Estimate Uncertainty '!$B$10:$D$18,3)*$L100)+$L100</f>
        <v>61.6</v>
      </c>
      <c r="O100" s="6"/>
      <c r="P100" s="49"/>
      <c r="Q100" s="58"/>
      <c r="R100" s="407">
        <v>0</v>
      </c>
      <c r="S100" s="407">
        <v>56</v>
      </c>
      <c r="T100" s="407">
        <v>0</v>
      </c>
      <c r="U100" s="407">
        <v>0</v>
      </c>
      <c r="V100" s="407">
        <v>0</v>
      </c>
      <c r="W100" s="60">
        <f t="shared" si="15"/>
        <v>0</v>
      </c>
      <c r="X100" s="60">
        <f t="shared" si="16"/>
        <v>0</v>
      </c>
      <c r="Y100" s="60">
        <f t="shared" si="17"/>
        <v>1</v>
      </c>
      <c r="Z100" s="60">
        <f t="shared" si="18"/>
        <v>0</v>
      </c>
      <c r="AA100" s="60">
        <f t="shared" si="19"/>
        <v>0</v>
      </c>
      <c r="AB100" s="60">
        <f t="shared" si="20"/>
        <v>0</v>
      </c>
      <c r="AC100" s="47"/>
    </row>
    <row r="101" spans="2:29" ht="15">
      <c r="B101">
        <f t="shared" si="12"/>
      </c>
      <c r="C101">
        <f t="shared" si="13"/>
      </c>
      <c r="D101" t="s">
        <v>752</v>
      </c>
      <c r="E101" t="s">
        <v>458</v>
      </c>
      <c r="F101" t="s">
        <v>752</v>
      </c>
      <c r="G101" t="s">
        <v>458</v>
      </c>
      <c r="H101" s="47"/>
      <c r="I101" s="23" t="s">
        <v>602</v>
      </c>
      <c r="J101" s="23" t="s">
        <v>616</v>
      </c>
      <c r="K101" s="1" t="str">
        <f t="shared" si="21"/>
        <v>HL</v>
      </c>
      <c r="L101" s="57">
        <f t="shared" si="14"/>
        <v>18</v>
      </c>
      <c r="M101" s="6">
        <f>(VLOOKUP($K101,'Standard Estimate Uncertainty '!$B$10:$D$18,2)*$L101)+$L101</f>
        <v>17.1</v>
      </c>
      <c r="N101" s="6">
        <f>(VLOOKUP($K101,'Standard Estimate Uncertainty '!$B$10:$D$18,3)*$L101)+$L101</f>
        <v>19.8</v>
      </c>
      <c r="O101" s="6"/>
      <c r="P101" s="49"/>
      <c r="Q101" s="58"/>
      <c r="R101" s="407">
        <v>16</v>
      </c>
      <c r="S101" s="407">
        <v>2</v>
      </c>
      <c r="T101" s="407">
        <v>0</v>
      </c>
      <c r="U101" s="407">
        <v>0</v>
      </c>
      <c r="V101" s="407">
        <v>0</v>
      </c>
      <c r="W101" s="60">
        <f t="shared" si="15"/>
        <v>0</v>
      </c>
      <c r="X101" s="60">
        <f t="shared" si="16"/>
        <v>0.8888888888888888</v>
      </c>
      <c r="Y101" s="60">
        <f t="shared" si="17"/>
        <v>0.1111111111111111</v>
      </c>
      <c r="Z101" s="60">
        <f t="shared" si="18"/>
        <v>0</v>
      </c>
      <c r="AA101" s="60">
        <f t="shared" si="19"/>
        <v>0</v>
      </c>
      <c r="AB101" s="60">
        <f t="shared" si="20"/>
        <v>0</v>
      </c>
      <c r="AC101" s="47"/>
    </row>
    <row r="102" spans="2:29" ht="15">
      <c r="B102">
        <f t="shared" si="12"/>
      </c>
      <c r="C102">
        <f t="shared" si="13"/>
      </c>
      <c r="D102" t="s">
        <v>752</v>
      </c>
      <c r="E102" t="s">
        <v>649</v>
      </c>
      <c r="F102" t="s">
        <v>752</v>
      </c>
      <c r="G102" t="s">
        <v>649</v>
      </c>
      <c r="H102" s="47"/>
      <c r="I102" s="23" t="s">
        <v>602</v>
      </c>
      <c r="J102" s="23" t="s">
        <v>616</v>
      </c>
      <c r="K102" s="1" t="str">
        <f aca="true" t="shared" si="22" ref="K102:K159">CONCATENATE(I102,J102)</f>
        <v>HL</v>
      </c>
      <c r="L102" s="57">
        <f t="shared" si="14"/>
        <v>180</v>
      </c>
      <c r="M102" s="6">
        <f>(VLOOKUP($K102,'Standard Estimate Uncertainty '!$B$10:$D$18,2)*$L102)+$L102</f>
        <v>171</v>
      </c>
      <c r="N102" s="6">
        <f>(VLOOKUP($K102,'Standard Estimate Uncertainty '!$B$10:$D$18,3)*$L102)+$L102</f>
        <v>198</v>
      </c>
      <c r="O102" s="6"/>
      <c r="P102" s="49"/>
      <c r="Q102" s="58"/>
      <c r="R102" s="407">
        <v>92</v>
      </c>
      <c r="S102" s="407">
        <v>68</v>
      </c>
      <c r="T102" s="407">
        <v>20</v>
      </c>
      <c r="U102" s="407">
        <v>0</v>
      </c>
      <c r="V102" s="407">
        <v>0</v>
      </c>
      <c r="W102" s="60">
        <f t="shared" si="15"/>
        <v>0</v>
      </c>
      <c r="X102" s="60">
        <f t="shared" si="16"/>
        <v>0.5111111111111111</v>
      </c>
      <c r="Y102" s="60">
        <f t="shared" si="17"/>
        <v>0.37777777777777777</v>
      </c>
      <c r="Z102" s="60">
        <f t="shared" si="18"/>
        <v>0.1111111111111111</v>
      </c>
      <c r="AA102" s="60">
        <f t="shared" si="19"/>
        <v>0</v>
      </c>
      <c r="AB102" s="60">
        <f t="shared" si="20"/>
        <v>0</v>
      </c>
      <c r="AC102" s="47"/>
    </row>
    <row r="103" spans="2:29" ht="15">
      <c r="B103">
        <f t="shared" si="12"/>
      </c>
      <c r="C103">
        <f t="shared" si="13"/>
      </c>
      <c r="D103" t="s">
        <v>752</v>
      </c>
      <c r="E103" t="s">
        <v>650</v>
      </c>
      <c r="F103" t="s">
        <v>752</v>
      </c>
      <c r="G103" t="s">
        <v>650</v>
      </c>
      <c r="H103" s="47"/>
      <c r="I103" s="23" t="s">
        <v>602</v>
      </c>
      <c r="J103" s="23" t="s">
        <v>616</v>
      </c>
      <c r="K103" s="1" t="str">
        <f t="shared" si="22"/>
        <v>HL</v>
      </c>
      <c r="L103" s="57">
        <f t="shared" si="14"/>
        <v>46</v>
      </c>
      <c r="M103" s="6">
        <f>(VLOOKUP($K103,'Standard Estimate Uncertainty '!$B$10:$D$18,2)*$L103)+$L103</f>
        <v>43.7</v>
      </c>
      <c r="N103" s="6">
        <f>(VLOOKUP($K103,'Standard Estimate Uncertainty '!$B$10:$D$18,3)*$L103)+$L103</f>
        <v>50.6</v>
      </c>
      <c r="O103" s="6"/>
      <c r="P103" s="49"/>
      <c r="Q103" s="58"/>
      <c r="R103" s="407">
        <v>42</v>
      </c>
      <c r="S103" s="407">
        <v>4</v>
      </c>
      <c r="T103" s="407">
        <v>0</v>
      </c>
      <c r="U103" s="407">
        <v>0</v>
      </c>
      <c r="V103" s="407">
        <v>0</v>
      </c>
      <c r="W103" s="60">
        <f t="shared" si="15"/>
        <v>0</v>
      </c>
      <c r="X103" s="60">
        <f t="shared" si="16"/>
        <v>0.9130434782608695</v>
      </c>
      <c r="Y103" s="60">
        <f t="shared" si="17"/>
        <v>0.08695652173913043</v>
      </c>
      <c r="Z103" s="60">
        <f t="shared" si="18"/>
        <v>0</v>
      </c>
      <c r="AA103" s="60">
        <f t="shared" si="19"/>
        <v>0</v>
      </c>
      <c r="AB103" s="60">
        <f t="shared" si="20"/>
        <v>0</v>
      </c>
      <c r="AC103" s="47"/>
    </row>
    <row r="104" spans="2:29" ht="15">
      <c r="B104">
        <f t="shared" si="12"/>
      </c>
      <c r="C104">
        <f t="shared" si="13"/>
      </c>
      <c r="D104" t="s">
        <v>752</v>
      </c>
      <c r="E104" t="s">
        <v>753</v>
      </c>
      <c r="F104" t="s">
        <v>752</v>
      </c>
      <c r="G104" t="s">
        <v>753</v>
      </c>
      <c r="H104" s="47"/>
      <c r="I104" s="23" t="s">
        <v>602</v>
      </c>
      <c r="J104" s="23" t="s">
        <v>616</v>
      </c>
      <c r="K104" s="1" t="str">
        <f t="shared" si="22"/>
        <v>HL</v>
      </c>
      <c r="L104" s="57">
        <f t="shared" si="14"/>
        <v>62</v>
      </c>
      <c r="M104" s="6">
        <f>(VLOOKUP($K104,'Standard Estimate Uncertainty '!$B$10:$D$18,2)*$L104)+$L104</f>
        <v>58.9</v>
      </c>
      <c r="N104" s="6">
        <f>(VLOOKUP($K104,'Standard Estimate Uncertainty '!$B$10:$D$18,3)*$L104)+$L104</f>
        <v>68.2</v>
      </c>
      <c r="O104" s="6"/>
      <c r="P104" s="49"/>
      <c r="Q104" s="58"/>
      <c r="R104" s="407">
        <v>57</v>
      </c>
      <c r="S104" s="407">
        <v>5</v>
      </c>
      <c r="T104" s="407">
        <v>0</v>
      </c>
      <c r="U104" s="407">
        <v>0</v>
      </c>
      <c r="V104" s="407">
        <v>0</v>
      </c>
      <c r="W104" s="60">
        <f t="shared" si="15"/>
        <v>0</v>
      </c>
      <c r="X104" s="60">
        <f t="shared" si="16"/>
        <v>0.9193548387096774</v>
      </c>
      <c r="Y104" s="60">
        <f t="shared" si="17"/>
        <v>0.08064516129032258</v>
      </c>
      <c r="Z104" s="60">
        <f t="shared" si="18"/>
        <v>0</v>
      </c>
      <c r="AA104" s="60">
        <f t="shared" si="19"/>
        <v>0</v>
      </c>
      <c r="AB104" s="60">
        <f t="shared" si="20"/>
        <v>0</v>
      </c>
      <c r="AC104" s="47"/>
    </row>
    <row r="105" spans="1:29" ht="15">
      <c r="A105">
        <v>36</v>
      </c>
      <c r="B105">
        <f t="shared" si="12"/>
      </c>
      <c r="C105">
        <f t="shared" si="13"/>
      </c>
      <c r="D105" t="s">
        <v>754</v>
      </c>
      <c r="E105" t="s">
        <v>647</v>
      </c>
      <c r="F105" t="s">
        <v>754</v>
      </c>
      <c r="G105" t="s">
        <v>647</v>
      </c>
      <c r="H105" s="47"/>
      <c r="I105" s="23" t="s">
        <v>603</v>
      </c>
      <c r="J105" s="23" t="s">
        <v>616</v>
      </c>
      <c r="K105" s="1" t="str">
        <f t="shared" si="22"/>
        <v>ML</v>
      </c>
      <c r="L105" s="57">
        <f t="shared" si="14"/>
        <v>29</v>
      </c>
      <c r="M105" s="6">
        <f>(VLOOKUP($K105,'Standard Estimate Uncertainty '!$B$10:$D$18,2)*$L105)+$L105</f>
        <v>26.1</v>
      </c>
      <c r="N105" s="6">
        <f>(VLOOKUP($K105,'Standard Estimate Uncertainty '!$B$10:$D$18,3)*$L105)+$L105</f>
        <v>33.35</v>
      </c>
      <c r="O105" s="6"/>
      <c r="P105" s="49"/>
      <c r="Q105" s="58"/>
      <c r="R105" s="407">
        <v>0</v>
      </c>
      <c r="S105" s="407">
        <v>0</v>
      </c>
      <c r="T105" s="407">
        <v>29</v>
      </c>
      <c r="U105" s="407">
        <v>0</v>
      </c>
      <c r="V105" s="407">
        <v>0</v>
      </c>
      <c r="W105" s="60">
        <f t="shared" si="15"/>
        <v>0</v>
      </c>
      <c r="X105" s="60">
        <f t="shared" si="16"/>
        <v>0</v>
      </c>
      <c r="Y105" s="60">
        <f t="shared" si="17"/>
        <v>0</v>
      </c>
      <c r="Z105" s="60">
        <f t="shared" si="18"/>
        <v>1</v>
      </c>
      <c r="AA105" s="60">
        <f t="shared" si="19"/>
        <v>0</v>
      </c>
      <c r="AB105" s="60">
        <f t="shared" si="20"/>
        <v>0</v>
      </c>
      <c r="AC105" s="47"/>
    </row>
    <row r="106" spans="1:29" ht="15">
      <c r="A106">
        <v>38</v>
      </c>
      <c r="B106">
        <f t="shared" si="12"/>
      </c>
      <c r="C106">
        <f t="shared" si="13"/>
      </c>
      <c r="D106" t="s">
        <v>755</v>
      </c>
      <c r="E106" t="s">
        <v>647</v>
      </c>
      <c r="F106" t="s">
        <v>755</v>
      </c>
      <c r="G106" t="s">
        <v>647</v>
      </c>
      <c r="H106" s="47"/>
      <c r="I106" s="23" t="s">
        <v>603</v>
      </c>
      <c r="J106" s="23" t="s">
        <v>603</v>
      </c>
      <c r="K106" s="1" t="str">
        <f t="shared" si="22"/>
        <v>MM</v>
      </c>
      <c r="L106" s="57">
        <f t="shared" si="14"/>
        <v>257</v>
      </c>
      <c r="M106" s="6">
        <f>(VLOOKUP($K106,'Standard Estimate Uncertainty '!$B$10:$D$18,2)*$L106)+$L106</f>
        <v>218.45</v>
      </c>
      <c r="N106" s="6">
        <f>(VLOOKUP($K106,'Standard Estimate Uncertainty '!$B$10:$D$18,3)*$L106)+$L106</f>
        <v>321.25</v>
      </c>
      <c r="O106" s="6"/>
      <c r="P106" s="49"/>
      <c r="Q106" s="58"/>
      <c r="R106" s="407">
        <v>0</v>
      </c>
      <c r="S106" s="407">
        <v>171</v>
      </c>
      <c r="T106" s="407">
        <v>31</v>
      </c>
      <c r="U106" s="407">
        <v>55</v>
      </c>
      <c r="V106" s="407">
        <v>0</v>
      </c>
      <c r="W106" s="60">
        <f t="shared" si="15"/>
        <v>0</v>
      </c>
      <c r="X106" s="60">
        <f t="shared" si="16"/>
        <v>0</v>
      </c>
      <c r="Y106" s="60">
        <f t="shared" si="17"/>
        <v>0.6653696498054474</v>
      </c>
      <c r="Z106" s="60">
        <f t="shared" si="18"/>
        <v>0.12062256809338522</v>
      </c>
      <c r="AA106" s="60">
        <f t="shared" si="19"/>
        <v>0.2140077821011673</v>
      </c>
      <c r="AB106" s="60">
        <f t="shared" si="20"/>
        <v>0</v>
      </c>
      <c r="AC106" s="47"/>
    </row>
    <row r="107" spans="1:29" ht="15">
      <c r="A107">
        <v>39</v>
      </c>
      <c r="B107">
        <f t="shared" si="12"/>
      </c>
      <c r="C107">
        <f t="shared" si="13"/>
      </c>
      <c r="D107" t="s">
        <v>756</v>
      </c>
      <c r="E107" t="s">
        <v>647</v>
      </c>
      <c r="F107" t="s">
        <v>756</v>
      </c>
      <c r="G107" t="s">
        <v>647</v>
      </c>
      <c r="H107" s="47"/>
      <c r="I107" s="23" t="s">
        <v>602</v>
      </c>
      <c r="J107" s="23" t="s">
        <v>616</v>
      </c>
      <c r="K107" s="1" t="str">
        <f t="shared" si="22"/>
        <v>HL</v>
      </c>
      <c r="L107" s="57">
        <f t="shared" si="14"/>
        <v>111</v>
      </c>
      <c r="M107" s="6">
        <f>(VLOOKUP($K107,'Standard Estimate Uncertainty '!$B$10:$D$18,2)*$L107)+$L107</f>
        <v>105.45</v>
      </c>
      <c r="N107" s="6">
        <f>(VLOOKUP($K107,'Standard Estimate Uncertainty '!$B$10:$D$18,3)*$L107)+$L107</f>
        <v>122.1</v>
      </c>
      <c r="O107" s="6"/>
      <c r="P107" s="49"/>
      <c r="Q107" s="58"/>
      <c r="R107" s="407">
        <v>16</v>
      </c>
      <c r="S107" s="407">
        <v>31</v>
      </c>
      <c r="T107" s="407">
        <v>30</v>
      </c>
      <c r="U107" s="407">
        <v>34</v>
      </c>
      <c r="V107" s="407">
        <v>0</v>
      </c>
      <c r="W107" s="60">
        <f t="shared" si="15"/>
        <v>0</v>
      </c>
      <c r="X107" s="60">
        <f t="shared" si="16"/>
        <v>0.14414414414414414</v>
      </c>
      <c r="Y107" s="60">
        <f t="shared" si="17"/>
        <v>0.27927927927927926</v>
      </c>
      <c r="Z107" s="60">
        <f t="shared" si="18"/>
        <v>0.2702702702702703</v>
      </c>
      <c r="AA107" s="60">
        <f t="shared" si="19"/>
        <v>0.3063063063063063</v>
      </c>
      <c r="AB107" s="60">
        <f t="shared" si="20"/>
        <v>0</v>
      </c>
      <c r="AC107" s="47"/>
    </row>
    <row r="108" spans="1:29" ht="15">
      <c r="A108">
        <v>41</v>
      </c>
      <c r="B108">
        <f t="shared" si="12"/>
      </c>
      <c r="C108">
        <f t="shared" si="13"/>
      </c>
      <c r="D108" t="s">
        <v>757</v>
      </c>
      <c r="E108" t="s">
        <v>647</v>
      </c>
      <c r="F108" t="s">
        <v>757</v>
      </c>
      <c r="G108" t="s">
        <v>647</v>
      </c>
      <c r="H108" s="47"/>
      <c r="I108" s="23" t="s">
        <v>784</v>
      </c>
      <c r="J108" s="64"/>
      <c r="K108" s="1" t="str">
        <f t="shared" si="22"/>
        <v>FROZEN</v>
      </c>
      <c r="L108" s="57">
        <f t="shared" si="14"/>
        <v>0</v>
      </c>
      <c r="M108" s="392" t="s">
        <v>784</v>
      </c>
      <c r="N108" s="392"/>
      <c r="O108" s="6"/>
      <c r="P108" s="49"/>
      <c r="Q108" s="58"/>
      <c r="R108" s="407">
        <v>0</v>
      </c>
      <c r="S108" s="407">
        <v>0</v>
      </c>
      <c r="T108" s="407">
        <v>0</v>
      </c>
      <c r="U108" s="407">
        <v>0</v>
      </c>
      <c r="V108" s="407">
        <v>0</v>
      </c>
      <c r="W108" s="60" t="e">
        <f t="shared" si="15"/>
        <v>#DIV/0!</v>
      </c>
      <c r="X108" s="60" t="e">
        <f t="shared" si="16"/>
        <v>#DIV/0!</v>
      </c>
      <c r="Y108" s="60" t="e">
        <f t="shared" si="17"/>
        <v>#DIV/0!</v>
      </c>
      <c r="Z108" s="60" t="e">
        <f t="shared" si="18"/>
        <v>#DIV/0!</v>
      </c>
      <c r="AA108" s="60" t="e">
        <f t="shared" si="19"/>
        <v>#DIV/0!</v>
      </c>
      <c r="AB108" s="60" t="e">
        <f t="shared" si="20"/>
        <v>#DIV/0!</v>
      </c>
      <c r="AC108" s="47"/>
    </row>
    <row r="109" spans="2:29" ht="15">
      <c r="B109">
        <f t="shared" si="12"/>
      </c>
      <c r="C109">
        <f t="shared" si="13"/>
      </c>
      <c r="D109" t="s">
        <v>757</v>
      </c>
      <c r="E109" t="s">
        <v>651</v>
      </c>
      <c r="F109" t="s">
        <v>757</v>
      </c>
      <c r="G109" t="s">
        <v>651</v>
      </c>
      <c r="H109" s="47"/>
      <c r="I109" s="23" t="s">
        <v>602</v>
      </c>
      <c r="J109" s="23" t="s">
        <v>616</v>
      </c>
      <c r="K109" s="1" t="str">
        <f t="shared" si="22"/>
        <v>HL</v>
      </c>
      <c r="L109" s="57">
        <f t="shared" si="14"/>
        <v>120</v>
      </c>
      <c r="M109" s="6">
        <f>(VLOOKUP($K109,'Standard Estimate Uncertainty '!$B$10:$D$18,2)*$L109)+$L109</f>
        <v>114</v>
      </c>
      <c r="N109" s="6">
        <f>(VLOOKUP($K109,'Standard Estimate Uncertainty '!$B$10:$D$18,3)*$L109)+$L109</f>
        <v>132</v>
      </c>
      <c r="O109" s="6"/>
      <c r="P109" s="49"/>
      <c r="Q109" s="58"/>
      <c r="R109" s="407">
        <v>0</v>
      </c>
      <c r="S109" s="407">
        <v>20</v>
      </c>
      <c r="T109" s="407">
        <v>33</v>
      </c>
      <c r="U109" s="407">
        <v>67</v>
      </c>
      <c r="V109" s="407">
        <v>0</v>
      </c>
      <c r="W109" s="60">
        <f t="shared" si="15"/>
        <v>0</v>
      </c>
      <c r="X109" s="60">
        <f t="shared" si="16"/>
        <v>0</v>
      </c>
      <c r="Y109" s="60">
        <f t="shared" si="17"/>
        <v>0.16666666666666666</v>
      </c>
      <c r="Z109" s="60">
        <f t="shared" si="18"/>
        <v>0.275</v>
      </c>
      <c r="AA109" s="60">
        <f t="shared" si="19"/>
        <v>0.5583333333333333</v>
      </c>
      <c r="AB109" s="60">
        <f t="shared" si="20"/>
        <v>0</v>
      </c>
      <c r="AC109" s="47"/>
    </row>
    <row r="110" spans="2:29" ht="15">
      <c r="B110">
        <f t="shared" si="12"/>
      </c>
      <c r="C110">
        <f t="shared" si="13"/>
      </c>
      <c r="D110" t="s">
        <v>757</v>
      </c>
      <c r="E110" t="s">
        <v>652</v>
      </c>
      <c r="F110" t="s">
        <v>757</v>
      </c>
      <c r="G110" t="s">
        <v>652</v>
      </c>
      <c r="H110" s="47"/>
      <c r="I110" s="23" t="s">
        <v>602</v>
      </c>
      <c r="J110" s="23" t="s">
        <v>616</v>
      </c>
      <c r="K110" s="1" t="str">
        <f t="shared" si="22"/>
        <v>HL</v>
      </c>
      <c r="L110" s="57">
        <f t="shared" si="14"/>
        <v>36</v>
      </c>
      <c r="M110" s="6">
        <f>(VLOOKUP($K110,'Standard Estimate Uncertainty '!$B$10:$D$18,2)*$L110)+$L110</f>
        <v>34.2</v>
      </c>
      <c r="N110" s="6">
        <f>(VLOOKUP($K110,'Standard Estimate Uncertainty '!$B$10:$D$18,3)*$L110)+$L110</f>
        <v>39.6</v>
      </c>
      <c r="O110" s="6"/>
      <c r="P110" s="49"/>
      <c r="Q110" s="58"/>
      <c r="R110" s="407">
        <v>0</v>
      </c>
      <c r="S110" s="407">
        <v>7</v>
      </c>
      <c r="T110" s="407">
        <v>29</v>
      </c>
      <c r="U110" s="407">
        <v>0</v>
      </c>
      <c r="V110" s="407">
        <v>0</v>
      </c>
      <c r="W110" s="60">
        <f t="shared" si="15"/>
        <v>0</v>
      </c>
      <c r="X110" s="60">
        <f t="shared" si="16"/>
        <v>0</v>
      </c>
      <c r="Y110" s="60">
        <f t="shared" si="17"/>
        <v>0.19444444444444445</v>
      </c>
      <c r="Z110" s="60">
        <f t="shared" si="18"/>
        <v>0.8055555555555556</v>
      </c>
      <c r="AA110" s="60">
        <f t="shared" si="19"/>
        <v>0</v>
      </c>
      <c r="AB110" s="60">
        <f t="shared" si="20"/>
        <v>0</v>
      </c>
      <c r="AC110" s="47"/>
    </row>
    <row r="111" spans="1:29" ht="15">
      <c r="A111">
        <v>43</v>
      </c>
      <c r="B111">
        <f t="shared" si="12"/>
      </c>
      <c r="C111">
        <f t="shared" si="13"/>
      </c>
      <c r="D111" t="s">
        <v>758</v>
      </c>
      <c r="E111" t="s">
        <v>653</v>
      </c>
      <c r="F111" t="s">
        <v>758</v>
      </c>
      <c r="G111" t="s">
        <v>653</v>
      </c>
      <c r="H111" s="47"/>
      <c r="I111" s="23" t="s">
        <v>602</v>
      </c>
      <c r="J111" s="23" t="s">
        <v>616</v>
      </c>
      <c r="K111" s="1" t="str">
        <f t="shared" si="22"/>
        <v>HL</v>
      </c>
      <c r="L111" s="57">
        <f t="shared" si="14"/>
        <v>577</v>
      </c>
      <c r="M111" s="6">
        <f>(VLOOKUP($K111,'Standard Estimate Uncertainty '!$B$10:$D$18,2)*$L111)+$L111</f>
        <v>548.15</v>
      </c>
      <c r="N111" s="6">
        <f>(VLOOKUP($K111,'Standard Estimate Uncertainty '!$B$10:$D$18,3)*$L111)+$L111</f>
        <v>634.7</v>
      </c>
      <c r="O111" s="6"/>
      <c r="P111" s="49"/>
      <c r="Q111" s="58"/>
      <c r="R111" s="407">
        <v>47</v>
      </c>
      <c r="S111" s="407">
        <v>94</v>
      </c>
      <c r="T111" s="407">
        <v>434</v>
      </c>
      <c r="U111" s="407">
        <v>2</v>
      </c>
      <c r="V111" s="407">
        <v>0</v>
      </c>
      <c r="W111" s="60">
        <f t="shared" si="15"/>
        <v>0</v>
      </c>
      <c r="X111" s="60">
        <f t="shared" si="16"/>
        <v>0.08145580589254767</v>
      </c>
      <c r="Y111" s="60">
        <f t="shared" si="17"/>
        <v>0.16291161178509533</v>
      </c>
      <c r="Z111" s="60">
        <f t="shared" si="18"/>
        <v>0.7521663778162911</v>
      </c>
      <c r="AA111" s="60">
        <f t="shared" si="19"/>
        <v>0.0034662045060658577</v>
      </c>
      <c r="AB111" s="60">
        <f t="shared" si="20"/>
        <v>0</v>
      </c>
      <c r="AC111" s="47"/>
    </row>
    <row r="112" spans="1:29" ht="15">
      <c r="A112">
        <v>44</v>
      </c>
      <c r="B112">
        <f t="shared" si="12"/>
      </c>
      <c r="C112">
        <f t="shared" si="13"/>
      </c>
      <c r="D112" t="s">
        <v>759</v>
      </c>
      <c r="E112" t="s">
        <v>654</v>
      </c>
      <c r="F112" t="s">
        <v>759</v>
      </c>
      <c r="G112" t="s">
        <v>654</v>
      </c>
      <c r="H112" s="47"/>
      <c r="I112" s="23" t="s">
        <v>603</v>
      </c>
      <c r="J112" s="23" t="s">
        <v>616</v>
      </c>
      <c r="K112" s="1" t="str">
        <f t="shared" si="22"/>
        <v>ML</v>
      </c>
      <c r="L112" s="57">
        <f t="shared" si="14"/>
        <v>482</v>
      </c>
      <c r="M112" s="6">
        <f>(VLOOKUP($K112,'Standard Estimate Uncertainty '!$B$10:$D$18,2)*$L112)+$L112</f>
        <v>433.8</v>
      </c>
      <c r="N112" s="6">
        <f>(VLOOKUP($K112,'Standard Estimate Uncertainty '!$B$10:$D$18,3)*$L112)+$L112</f>
        <v>554.3</v>
      </c>
      <c r="O112" s="6"/>
      <c r="P112" s="49"/>
      <c r="Q112" s="58"/>
      <c r="R112" s="407">
        <v>10</v>
      </c>
      <c r="S112" s="407">
        <v>43</v>
      </c>
      <c r="T112" s="407">
        <v>242</v>
      </c>
      <c r="U112" s="407">
        <v>187</v>
      </c>
      <c r="V112" s="407">
        <v>0</v>
      </c>
      <c r="W112" s="60">
        <f t="shared" si="15"/>
        <v>0</v>
      </c>
      <c r="X112" s="60">
        <f t="shared" si="16"/>
        <v>0.02074688796680498</v>
      </c>
      <c r="Y112" s="60">
        <f t="shared" si="17"/>
        <v>0.08921161825726141</v>
      </c>
      <c r="Z112" s="60">
        <f t="shared" si="18"/>
        <v>0.5020746887966805</v>
      </c>
      <c r="AA112" s="60">
        <f t="shared" si="19"/>
        <v>0.3879668049792531</v>
      </c>
      <c r="AB112" s="60">
        <f t="shared" si="20"/>
        <v>0</v>
      </c>
      <c r="AC112" s="47"/>
    </row>
    <row r="113" spans="2:29" ht="15">
      <c r="B113">
        <f t="shared" si="12"/>
      </c>
      <c r="C113">
        <f t="shared" si="13"/>
      </c>
      <c r="D113" t="s">
        <v>759</v>
      </c>
      <c r="E113" t="s">
        <v>655</v>
      </c>
      <c r="F113" t="s">
        <v>759</v>
      </c>
      <c r="G113" t="s">
        <v>655</v>
      </c>
      <c r="H113" s="47"/>
      <c r="I113" s="23" t="s">
        <v>603</v>
      </c>
      <c r="J113" s="23" t="s">
        <v>616</v>
      </c>
      <c r="K113" s="1" t="str">
        <f t="shared" si="22"/>
        <v>ML</v>
      </c>
      <c r="L113" s="57">
        <f t="shared" si="14"/>
        <v>69</v>
      </c>
      <c r="M113" s="6">
        <f>(VLOOKUP($K113,'Standard Estimate Uncertainty '!$B$10:$D$18,2)*$L113)+$L113</f>
        <v>62.1</v>
      </c>
      <c r="N113" s="6">
        <f>(VLOOKUP($K113,'Standard Estimate Uncertainty '!$B$10:$D$18,3)*$L113)+$L113</f>
        <v>79.35</v>
      </c>
      <c r="O113" s="6"/>
      <c r="P113" s="49"/>
      <c r="Q113" s="58"/>
      <c r="R113" s="407">
        <v>0</v>
      </c>
      <c r="S113" s="407">
        <v>20</v>
      </c>
      <c r="T113" s="407">
        <v>17</v>
      </c>
      <c r="U113" s="407">
        <v>32</v>
      </c>
      <c r="V113" s="407">
        <v>0</v>
      </c>
      <c r="W113" s="60">
        <f t="shared" si="15"/>
        <v>0</v>
      </c>
      <c r="X113" s="60">
        <f t="shared" si="16"/>
        <v>0</v>
      </c>
      <c r="Y113" s="60">
        <f t="shared" si="17"/>
        <v>0.2898550724637681</v>
      </c>
      <c r="Z113" s="60">
        <f t="shared" si="18"/>
        <v>0.2463768115942029</v>
      </c>
      <c r="AA113" s="60">
        <f t="shared" si="19"/>
        <v>0.463768115942029</v>
      </c>
      <c r="AB113" s="60">
        <f t="shared" si="20"/>
        <v>0</v>
      </c>
      <c r="AC113" s="47"/>
    </row>
    <row r="114" spans="2:29" ht="15">
      <c r="B114">
        <f t="shared" si="12"/>
      </c>
      <c r="C114">
        <f t="shared" si="13"/>
      </c>
      <c r="D114" t="s">
        <v>759</v>
      </c>
      <c r="E114" t="s">
        <v>656</v>
      </c>
      <c r="F114" t="s">
        <v>759</v>
      </c>
      <c r="G114" t="s">
        <v>656</v>
      </c>
      <c r="H114" s="47"/>
      <c r="I114" s="23" t="s">
        <v>603</v>
      </c>
      <c r="J114" s="23" t="s">
        <v>616</v>
      </c>
      <c r="K114" s="1" t="str">
        <f t="shared" si="22"/>
        <v>ML</v>
      </c>
      <c r="L114" s="57">
        <f t="shared" si="14"/>
        <v>14</v>
      </c>
      <c r="M114" s="6">
        <f>(VLOOKUP($K114,'Standard Estimate Uncertainty '!$B$10:$D$18,2)*$L114)+$L114</f>
        <v>12.6</v>
      </c>
      <c r="N114" s="6">
        <f>(VLOOKUP($K114,'Standard Estimate Uncertainty '!$B$10:$D$18,3)*$L114)+$L114</f>
        <v>16.1</v>
      </c>
      <c r="O114" s="6"/>
      <c r="P114" s="49"/>
      <c r="Q114" s="58"/>
      <c r="R114" s="407">
        <v>0</v>
      </c>
      <c r="S114" s="407">
        <v>0</v>
      </c>
      <c r="T114" s="407">
        <v>14</v>
      </c>
      <c r="U114" s="407">
        <v>0</v>
      </c>
      <c r="V114" s="407">
        <v>0</v>
      </c>
      <c r="W114" s="60">
        <f t="shared" si="15"/>
        <v>0</v>
      </c>
      <c r="X114" s="60">
        <f t="shared" si="16"/>
        <v>0</v>
      </c>
      <c r="Y114" s="60">
        <f t="shared" si="17"/>
        <v>0</v>
      </c>
      <c r="Z114" s="60">
        <f t="shared" si="18"/>
        <v>1</v>
      </c>
      <c r="AA114" s="60">
        <f t="shared" si="19"/>
        <v>0</v>
      </c>
      <c r="AB114" s="60">
        <f t="shared" si="20"/>
        <v>0</v>
      </c>
      <c r="AC114" s="47"/>
    </row>
    <row r="115" spans="2:29" ht="15">
      <c r="B115">
        <f t="shared" si="12"/>
      </c>
      <c r="C115">
        <f t="shared" si="13"/>
      </c>
      <c r="D115" t="s">
        <v>759</v>
      </c>
      <c r="E115" t="s">
        <v>657</v>
      </c>
      <c r="F115" t="s">
        <v>759</v>
      </c>
      <c r="G115" t="s">
        <v>657</v>
      </c>
      <c r="H115" s="47"/>
      <c r="I115" s="23" t="s">
        <v>603</v>
      </c>
      <c r="J115" s="23" t="s">
        <v>616</v>
      </c>
      <c r="K115" s="1" t="str">
        <f t="shared" si="22"/>
        <v>ML</v>
      </c>
      <c r="L115" s="57">
        <f t="shared" si="14"/>
        <v>241</v>
      </c>
      <c r="M115" s="6">
        <f>(VLOOKUP($K115,'Standard Estimate Uncertainty '!$B$10:$D$18,2)*$L115)+$L115</f>
        <v>216.9</v>
      </c>
      <c r="N115" s="6">
        <f>(VLOOKUP($K115,'Standard Estimate Uncertainty '!$B$10:$D$18,3)*$L115)+$L115</f>
        <v>277.15</v>
      </c>
      <c r="O115" s="6"/>
      <c r="P115" s="49"/>
      <c r="Q115" s="58"/>
      <c r="R115" s="407">
        <v>0</v>
      </c>
      <c r="S115" s="407">
        <v>16</v>
      </c>
      <c r="T115" s="407">
        <v>148</v>
      </c>
      <c r="U115" s="407">
        <v>77</v>
      </c>
      <c r="V115" s="407">
        <v>0</v>
      </c>
      <c r="W115" s="60">
        <f t="shared" si="15"/>
        <v>0</v>
      </c>
      <c r="X115" s="60">
        <f t="shared" si="16"/>
        <v>0</v>
      </c>
      <c r="Y115" s="60">
        <f t="shared" si="17"/>
        <v>0.06639004149377593</v>
      </c>
      <c r="Z115" s="60">
        <f t="shared" si="18"/>
        <v>0.6141078838174274</v>
      </c>
      <c r="AA115" s="60">
        <f t="shared" si="19"/>
        <v>0.31950207468879666</v>
      </c>
      <c r="AB115" s="60">
        <f t="shared" si="20"/>
        <v>0</v>
      </c>
      <c r="AC115" s="47"/>
    </row>
    <row r="116" spans="2:29" ht="15">
      <c r="B116">
        <f t="shared" si="12"/>
      </c>
      <c r="C116">
        <f t="shared" si="13"/>
      </c>
      <c r="D116" t="s">
        <v>759</v>
      </c>
      <c r="E116" t="s">
        <v>658</v>
      </c>
      <c r="F116" t="s">
        <v>759</v>
      </c>
      <c r="G116" t="s">
        <v>658</v>
      </c>
      <c r="H116" s="47"/>
      <c r="I116" s="23" t="s">
        <v>603</v>
      </c>
      <c r="J116" s="23" t="s">
        <v>616</v>
      </c>
      <c r="K116" s="1" t="str">
        <f t="shared" si="22"/>
        <v>ML</v>
      </c>
      <c r="L116" s="57">
        <f t="shared" si="14"/>
        <v>276</v>
      </c>
      <c r="M116" s="6">
        <f>(VLOOKUP($K116,'Standard Estimate Uncertainty '!$B$10:$D$18,2)*$L116)+$L116</f>
        <v>248.4</v>
      </c>
      <c r="N116" s="6">
        <f>(VLOOKUP($K116,'Standard Estimate Uncertainty '!$B$10:$D$18,3)*$L116)+$L116</f>
        <v>317.4</v>
      </c>
      <c r="O116" s="6"/>
      <c r="P116" s="49"/>
      <c r="Q116" s="58"/>
      <c r="R116" s="407">
        <v>24</v>
      </c>
      <c r="S116" s="407">
        <v>48</v>
      </c>
      <c r="T116" s="407">
        <v>71</v>
      </c>
      <c r="U116" s="407">
        <v>133</v>
      </c>
      <c r="V116" s="407">
        <v>0</v>
      </c>
      <c r="W116" s="60">
        <f t="shared" si="15"/>
        <v>0</v>
      </c>
      <c r="X116" s="60">
        <f t="shared" si="16"/>
        <v>0.08695652173913043</v>
      </c>
      <c r="Y116" s="60">
        <f t="shared" si="17"/>
        <v>0.17391304347826086</v>
      </c>
      <c r="Z116" s="60">
        <f t="shared" si="18"/>
        <v>0.2572463768115942</v>
      </c>
      <c r="AA116" s="60">
        <f t="shared" si="19"/>
        <v>0.48188405797101447</v>
      </c>
      <c r="AB116" s="60">
        <f t="shared" si="20"/>
        <v>0</v>
      </c>
      <c r="AC116" s="47"/>
    </row>
    <row r="117" spans="1:29" ht="15">
      <c r="A117">
        <v>45</v>
      </c>
      <c r="B117">
        <f t="shared" si="12"/>
      </c>
      <c r="C117">
        <f t="shared" si="13"/>
      </c>
      <c r="D117" t="s">
        <v>760</v>
      </c>
      <c r="E117" t="s">
        <v>659</v>
      </c>
      <c r="F117" t="s">
        <v>760</v>
      </c>
      <c r="G117" t="s">
        <v>659</v>
      </c>
      <c r="H117" s="47"/>
      <c r="I117" s="23" t="s">
        <v>602</v>
      </c>
      <c r="J117" s="23" t="s">
        <v>616</v>
      </c>
      <c r="K117" s="1" t="str">
        <f t="shared" si="22"/>
        <v>HL</v>
      </c>
      <c r="L117" s="57">
        <f t="shared" si="14"/>
        <v>319</v>
      </c>
      <c r="M117" s="6">
        <f>(VLOOKUP($K117,'Standard Estimate Uncertainty '!$B$10:$D$18,2)*$L117)+$L117</f>
        <v>303.05</v>
      </c>
      <c r="N117" s="6">
        <f>(VLOOKUP($K117,'Standard Estimate Uncertainty '!$B$10:$D$18,3)*$L117)+$L117</f>
        <v>350.9</v>
      </c>
      <c r="O117" s="6"/>
      <c r="P117" s="49"/>
      <c r="Q117" s="58"/>
      <c r="R117" s="407">
        <v>51</v>
      </c>
      <c r="S117" s="407">
        <v>119</v>
      </c>
      <c r="T117" s="407">
        <v>105</v>
      </c>
      <c r="U117" s="407">
        <v>44</v>
      </c>
      <c r="V117" s="407">
        <v>0</v>
      </c>
      <c r="W117" s="60">
        <f t="shared" si="15"/>
        <v>0</v>
      </c>
      <c r="X117" s="60">
        <f t="shared" si="16"/>
        <v>0.15987460815047022</v>
      </c>
      <c r="Y117" s="60">
        <f t="shared" si="17"/>
        <v>0.3730407523510972</v>
      </c>
      <c r="Z117" s="60">
        <f t="shared" si="18"/>
        <v>0.329153605015674</v>
      </c>
      <c r="AA117" s="60">
        <f t="shared" si="19"/>
        <v>0.13793103448275862</v>
      </c>
      <c r="AB117" s="60">
        <f t="shared" si="20"/>
        <v>0</v>
      </c>
      <c r="AC117" s="47"/>
    </row>
    <row r="118" spans="2:29" ht="15">
      <c r="B118">
        <f t="shared" si="12"/>
      </c>
      <c r="C118">
        <f t="shared" si="13"/>
      </c>
      <c r="D118" t="s">
        <v>760</v>
      </c>
      <c r="E118" t="s">
        <v>660</v>
      </c>
      <c r="F118" t="s">
        <v>760</v>
      </c>
      <c r="G118" t="s">
        <v>660</v>
      </c>
      <c r="H118" s="47"/>
      <c r="I118" s="23" t="s">
        <v>602</v>
      </c>
      <c r="J118" s="23" t="s">
        <v>616</v>
      </c>
      <c r="K118" s="1" t="str">
        <f t="shared" si="22"/>
        <v>HL</v>
      </c>
      <c r="L118" s="57">
        <f t="shared" si="14"/>
        <v>199</v>
      </c>
      <c r="M118" s="6">
        <f>(VLOOKUP($K118,'Standard Estimate Uncertainty '!$B$10:$D$18,2)*$L118)+$L118</f>
        <v>189.05</v>
      </c>
      <c r="N118" s="6">
        <f>(VLOOKUP($K118,'Standard Estimate Uncertainty '!$B$10:$D$18,3)*$L118)+$L118</f>
        <v>218.9</v>
      </c>
      <c r="O118" s="6"/>
      <c r="P118" s="49"/>
      <c r="Q118" s="58"/>
      <c r="R118" s="407">
        <v>0</v>
      </c>
      <c r="S118" s="407">
        <v>0</v>
      </c>
      <c r="T118" s="407">
        <v>133</v>
      </c>
      <c r="U118" s="407">
        <v>66</v>
      </c>
      <c r="V118" s="407">
        <v>0</v>
      </c>
      <c r="W118" s="60">
        <f t="shared" si="15"/>
        <v>0</v>
      </c>
      <c r="X118" s="60">
        <f t="shared" si="16"/>
        <v>0</v>
      </c>
      <c r="Y118" s="60">
        <f t="shared" si="17"/>
        <v>0</v>
      </c>
      <c r="Z118" s="60">
        <f t="shared" si="18"/>
        <v>0.6683417085427136</v>
      </c>
      <c r="AA118" s="60">
        <f t="shared" si="19"/>
        <v>0.3316582914572864</v>
      </c>
      <c r="AB118" s="60">
        <f t="shared" si="20"/>
        <v>0</v>
      </c>
      <c r="AC118" s="47"/>
    </row>
    <row r="119" spans="2:29" ht="15">
      <c r="B119">
        <f t="shared" si="12"/>
      </c>
      <c r="C119">
        <f t="shared" si="13"/>
      </c>
      <c r="D119" t="s">
        <v>760</v>
      </c>
      <c r="E119" t="s">
        <v>661</v>
      </c>
      <c r="F119" t="s">
        <v>760</v>
      </c>
      <c r="G119" t="s">
        <v>661</v>
      </c>
      <c r="H119" s="47"/>
      <c r="I119" s="23" t="s">
        <v>602</v>
      </c>
      <c r="J119" s="23" t="s">
        <v>616</v>
      </c>
      <c r="K119" s="1" t="str">
        <f t="shared" si="22"/>
        <v>HL</v>
      </c>
      <c r="L119" s="57">
        <f t="shared" si="14"/>
        <v>386</v>
      </c>
      <c r="M119" s="6">
        <f>(VLOOKUP($K119,'Standard Estimate Uncertainty '!$B$10:$D$18,2)*$L119)+$L119</f>
        <v>366.7</v>
      </c>
      <c r="N119" s="6">
        <f>(VLOOKUP($K119,'Standard Estimate Uncertainty '!$B$10:$D$18,3)*$L119)+$L119</f>
        <v>424.6</v>
      </c>
      <c r="O119" s="6"/>
      <c r="P119" s="49"/>
      <c r="Q119" s="58"/>
      <c r="R119" s="407">
        <v>0</v>
      </c>
      <c r="S119" s="407">
        <v>0</v>
      </c>
      <c r="T119" s="407">
        <v>0</v>
      </c>
      <c r="U119" s="407">
        <v>386</v>
      </c>
      <c r="V119" s="407">
        <v>0</v>
      </c>
      <c r="W119" s="60">
        <f t="shared" si="15"/>
        <v>0</v>
      </c>
      <c r="X119" s="60">
        <f t="shared" si="16"/>
        <v>0</v>
      </c>
      <c r="Y119" s="60">
        <f t="shared" si="17"/>
        <v>0</v>
      </c>
      <c r="Z119" s="60">
        <f t="shared" si="18"/>
        <v>0</v>
      </c>
      <c r="AA119" s="60">
        <f t="shared" si="19"/>
        <v>1</v>
      </c>
      <c r="AB119" s="60">
        <f t="shared" si="20"/>
        <v>0</v>
      </c>
      <c r="AC119" s="47"/>
    </row>
    <row r="120" spans="1:29" ht="15">
      <c r="A120">
        <v>51</v>
      </c>
      <c r="B120">
        <f t="shared" si="12"/>
      </c>
      <c r="C120">
        <f t="shared" si="13"/>
      </c>
      <c r="D120" t="s">
        <v>761</v>
      </c>
      <c r="E120" t="s">
        <v>647</v>
      </c>
      <c r="F120" t="s">
        <v>761</v>
      </c>
      <c r="G120" t="s">
        <v>647</v>
      </c>
      <c r="H120" s="47"/>
      <c r="I120" s="23" t="s">
        <v>603</v>
      </c>
      <c r="J120" s="23" t="s">
        <v>616</v>
      </c>
      <c r="K120" s="1" t="str">
        <f t="shared" si="22"/>
        <v>ML</v>
      </c>
      <c r="L120" s="57">
        <f t="shared" si="14"/>
        <v>222</v>
      </c>
      <c r="M120" s="6">
        <f>(VLOOKUP($K120,'Standard Estimate Uncertainty '!$B$10:$D$18,2)*$L120)+$L120</f>
        <v>199.8</v>
      </c>
      <c r="N120" s="6">
        <f>(VLOOKUP($K120,'Standard Estimate Uncertainty '!$B$10:$D$18,3)*$L120)+$L120</f>
        <v>255.3</v>
      </c>
      <c r="O120" s="6"/>
      <c r="P120" s="49"/>
      <c r="Q120" s="58"/>
      <c r="R120" s="407">
        <v>0</v>
      </c>
      <c r="S120" s="407">
        <v>0</v>
      </c>
      <c r="T120" s="407">
        <v>133</v>
      </c>
      <c r="U120" s="407">
        <v>89</v>
      </c>
      <c r="V120" s="407">
        <v>0</v>
      </c>
      <c r="W120" s="60">
        <f t="shared" si="15"/>
        <v>0</v>
      </c>
      <c r="X120" s="60">
        <f t="shared" si="16"/>
        <v>0</v>
      </c>
      <c r="Y120" s="60">
        <f t="shared" si="17"/>
        <v>0</v>
      </c>
      <c r="Z120" s="60">
        <f t="shared" si="18"/>
        <v>0.5990990990990991</v>
      </c>
      <c r="AA120" s="60">
        <f t="shared" si="19"/>
        <v>0.4009009009009009</v>
      </c>
      <c r="AB120" s="60">
        <f t="shared" si="20"/>
        <v>0</v>
      </c>
      <c r="AC120" s="47"/>
    </row>
    <row r="121" spans="1:29" ht="15">
      <c r="A121">
        <v>52</v>
      </c>
      <c r="B121">
        <f t="shared" si="12"/>
      </c>
      <c r="C121">
        <f t="shared" si="13"/>
      </c>
      <c r="D121" t="s">
        <v>762</v>
      </c>
      <c r="E121" t="s">
        <v>647</v>
      </c>
      <c r="F121" t="s">
        <v>762</v>
      </c>
      <c r="G121" t="s">
        <v>647</v>
      </c>
      <c r="H121" s="47"/>
      <c r="I121" s="23" t="s">
        <v>603</v>
      </c>
      <c r="J121" s="23" t="s">
        <v>616</v>
      </c>
      <c r="K121" s="1" t="str">
        <f t="shared" si="22"/>
        <v>ML</v>
      </c>
      <c r="L121" s="57">
        <f t="shared" si="14"/>
        <v>411</v>
      </c>
      <c r="M121" s="6">
        <f>(VLOOKUP($K121,'Standard Estimate Uncertainty '!$B$10:$D$18,2)*$L121)+$L121</f>
        <v>369.9</v>
      </c>
      <c r="N121" s="6">
        <f>(VLOOKUP($K121,'Standard Estimate Uncertainty '!$B$10:$D$18,3)*$L121)+$L121</f>
        <v>472.65</v>
      </c>
      <c r="O121" s="6"/>
      <c r="P121" s="49"/>
      <c r="Q121" s="58"/>
      <c r="R121" s="407">
        <v>0</v>
      </c>
      <c r="S121" s="407">
        <v>19</v>
      </c>
      <c r="T121" s="407">
        <v>282</v>
      </c>
      <c r="U121" s="407">
        <v>110</v>
      </c>
      <c r="V121" s="407">
        <v>0</v>
      </c>
      <c r="W121" s="60">
        <f t="shared" si="15"/>
        <v>0</v>
      </c>
      <c r="X121" s="60">
        <f t="shared" si="16"/>
        <v>0</v>
      </c>
      <c r="Y121" s="60">
        <f t="shared" si="17"/>
        <v>0.046228710462287104</v>
      </c>
      <c r="Z121" s="60">
        <f t="shared" si="18"/>
        <v>0.6861313868613139</v>
      </c>
      <c r="AA121" s="60">
        <f t="shared" si="19"/>
        <v>0.26763990267639903</v>
      </c>
      <c r="AB121" s="60">
        <f t="shared" si="20"/>
        <v>0</v>
      </c>
      <c r="AC121" s="47"/>
    </row>
    <row r="122" spans="1:29" ht="15">
      <c r="A122">
        <v>53</v>
      </c>
      <c r="B122">
        <f t="shared" si="12"/>
      </c>
      <c r="C122">
        <f t="shared" si="13"/>
      </c>
      <c r="D122" t="s">
        <v>763</v>
      </c>
      <c r="E122" t="s">
        <v>647</v>
      </c>
      <c r="F122" t="s">
        <v>763</v>
      </c>
      <c r="G122" t="s">
        <v>647</v>
      </c>
      <c r="H122" s="47"/>
      <c r="I122" s="23" t="s">
        <v>603</v>
      </c>
      <c r="J122" s="23" t="s">
        <v>616</v>
      </c>
      <c r="K122" s="1" t="str">
        <f t="shared" si="22"/>
        <v>ML</v>
      </c>
      <c r="L122" s="57">
        <f t="shared" si="14"/>
        <v>165</v>
      </c>
      <c r="M122" s="6">
        <f>(VLOOKUP($K122,'Standard Estimate Uncertainty '!$B$10:$D$18,2)*$L122)+$L122</f>
        <v>148.5</v>
      </c>
      <c r="N122" s="6">
        <f>(VLOOKUP($K122,'Standard Estimate Uncertainty '!$B$10:$D$18,3)*$L122)+$L122</f>
        <v>189.75</v>
      </c>
      <c r="O122" s="6"/>
      <c r="P122" s="49"/>
      <c r="Q122" s="58"/>
      <c r="R122" s="407">
        <v>0</v>
      </c>
      <c r="S122" s="407">
        <v>10</v>
      </c>
      <c r="T122" s="407">
        <v>118</v>
      </c>
      <c r="U122" s="407">
        <v>37</v>
      </c>
      <c r="V122" s="407">
        <v>0</v>
      </c>
      <c r="W122" s="60">
        <f t="shared" si="15"/>
        <v>0</v>
      </c>
      <c r="X122" s="60">
        <f t="shared" si="16"/>
        <v>0</v>
      </c>
      <c r="Y122" s="60">
        <f t="shared" si="17"/>
        <v>0.06060606060606061</v>
      </c>
      <c r="Z122" s="60">
        <f t="shared" si="18"/>
        <v>0.7151515151515152</v>
      </c>
      <c r="AA122" s="60">
        <f t="shared" si="19"/>
        <v>0.22424242424242424</v>
      </c>
      <c r="AB122" s="60">
        <f t="shared" si="20"/>
        <v>0</v>
      </c>
      <c r="AC122" s="47"/>
    </row>
    <row r="123" spans="1:29" ht="15">
      <c r="A123">
        <v>54</v>
      </c>
      <c r="B123">
        <f t="shared" si="12"/>
      </c>
      <c r="C123">
        <f t="shared" si="13"/>
      </c>
      <c r="D123" t="s">
        <v>764</v>
      </c>
      <c r="E123" t="s">
        <v>647</v>
      </c>
      <c r="F123" t="s">
        <v>764</v>
      </c>
      <c r="G123" t="s">
        <v>647</v>
      </c>
      <c r="H123" s="47"/>
      <c r="I123" s="23" t="s">
        <v>603</v>
      </c>
      <c r="J123" s="23" t="s">
        <v>603</v>
      </c>
      <c r="K123" s="1" t="str">
        <f t="shared" si="22"/>
        <v>MM</v>
      </c>
      <c r="L123" s="57">
        <f t="shared" si="14"/>
        <v>357</v>
      </c>
      <c r="M123" s="6">
        <f>(VLOOKUP($K123,'Standard Estimate Uncertainty '!$B$10:$D$18,2)*$L123)+$L123</f>
        <v>303.45</v>
      </c>
      <c r="N123" s="6">
        <f>(VLOOKUP($K123,'Standard Estimate Uncertainty '!$B$10:$D$18,3)*$L123)+$L123</f>
        <v>446.25</v>
      </c>
      <c r="O123" s="6"/>
      <c r="P123" s="49"/>
      <c r="Q123" s="58"/>
      <c r="R123" s="407">
        <v>0</v>
      </c>
      <c r="S123" s="407">
        <v>0</v>
      </c>
      <c r="T123" s="407">
        <v>262</v>
      </c>
      <c r="U123" s="407">
        <v>95</v>
      </c>
      <c r="V123" s="407">
        <v>0</v>
      </c>
      <c r="W123" s="60">
        <f t="shared" si="15"/>
        <v>0</v>
      </c>
      <c r="X123" s="60">
        <f t="shared" si="16"/>
        <v>0</v>
      </c>
      <c r="Y123" s="60">
        <f t="shared" si="17"/>
        <v>0</v>
      </c>
      <c r="Z123" s="60">
        <f t="shared" si="18"/>
        <v>0.7338935574229691</v>
      </c>
      <c r="AA123" s="60">
        <f t="shared" si="19"/>
        <v>0.2661064425770308</v>
      </c>
      <c r="AB123" s="60">
        <f t="shared" si="20"/>
        <v>0</v>
      </c>
      <c r="AC123" s="47"/>
    </row>
    <row r="124" spans="1:29" ht="15">
      <c r="A124">
        <v>55</v>
      </c>
      <c r="B124">
        <f t="shared" si="12"/>
      </c>
      <c r="C124">
        <f t="shared" si="13"/>
      </c>
      <c r="D124" t="s">
        <v>765</v>
      </c>
      <c r="E124" t="s">
        <v>647</v>
      </c>
      <c r="F124" t="s">
        <v>765</v>
      </c>
      <c r="G124" t="s">
        <v>647</v>
      </c>
      <c r="H124" s="47"/>
      <c r="I124" s="23" t="s">
        <v>603</v>
      </c>
      <c r="J124" s="23" t="s">
        <v>616</v>
      </c>
      <c r="K124" s="1" t="str">
        <f t="shared" si="22"/>
        <v>ML</v>
      </c>
      <c r="L124" s="57">
        <f t="shared" si="14"/>
        <v>503</v>
      </c>
      <c r="M124" s="6">
        <f>(VLOOKUP($K124,'Standard Estimate Uncertainty '!$B$10:$D$18,2)*$L124)+$L124</f>
        <v>452.7</v>
      </c>
      <c r="N124" s="6">
        <f>(VLOOKUP($K124,'Standard Estimate Uncertainty '!$B$10:$D$18,3)*$L124)+$L124</f>
        <v>578.45</v>
      </c>
      <c r="O124" s="6"/>
      <c r="P124" s="49"/>
      <c r="Q124" s="58"/>
      <c r="R124" s="407">
        <v>0</v>
      </c>
      <c r="S124" s="407">
        <v>0</v>
      </c>
      <c r="T124" s="407">
        <v>349</v>
      </c>
      <c r="U124" s="407">
        <v>154</v>
      </c>
      <c r="V124" s="407">
        <v>0</v>
      </c>
      <c r="W124" s="60">
        <f t="shared" si="15"/>
        <v>0</v>
      </c>
      <c r="X124" s="60">
        <f t="shared" si="16"/>
        <v>0</v>
      </c>
      <c r="Y124" s="60">
        <f t="shared" si="17"/>
        <v>0</v>
      </c>
      <c r="Z124" s="60">
        <f t="shared" si="18"/>
        <v>0.6938369781312127</v>
      </c>
      <c r="AA124" s="60">
        <f t="shared" si="19"/>
        <v>0.3061630218687873</v>
      </c>
      <c r="AB124" s="60">
        <f t="shared" si="20"/>
        <v>0</v>
      </c>
      <c r="AC124" s="47"/>
    </row>
    <row r="125" spans="1:29" ht="15">
      <c r="A125">
        <v>56</v>
      </c>
      <c r="B125">
        <f t="shared" si="12"/>
      </c>
      <c r="C125">
        <f t="shared" si="13"/>
      </c>
      <c r="D125" t="s">
        <v>766</v>
      </c>
      <c r="E125" t="s">
        <v>647</v>
      </c>
      <c r="F125" t="s">
        <v>766</v>
      </c>
      <c r="G125" t="s">
        <v>647</v>
      </c>
      <c r="H125" s="47"/>
      <c r="I125" s="23" t="s">
        <v>616</v>
      </c>
      <c r="J125" s="23" t="s">
        <v>616</v>
      </c>
      <c r="K125" s="1" t="str">
        <f t="shared" si="22"/>
        <v>LL</v>
      </c>
      <c r="L125" s="57">
        <f t="shared" si="14"/>
        <v>372</v>
      </c>
      <c r="M125" s="6">
        <f>(VLOOKUP($K125,'Standard Estimate Uncertainty '!$B$10:$D$18,2)*$L125)+$L125</f>
        <v>316.2</v>
      </c>
      <c r="N125" s="6">
        <f>(VLOOKUP($K125,'Standard Estimate Uncertainty '!$B$10:$D$18,3)*$L125)+$L125</f>
        <v>465</v>
      </c>
      <c r="O125" s="6"/>
      <c r="P125" s="49"/>
      <c r="Q125" s="58"/>
      <c r="R125" s="407">
        <v>0</v>
      </c>
      <c r="S125" s="407">
        <v>11</v>
      </c>
      <c r="T125" s="407">
        <v>233</v>
      </c>
      <c r="U125" s="407">
        <v>128</v>
      </c>
      <c r="V125" s="407">
        <v>0</v>
      </c>
      <c r="W125" s="60">
        <f t="shared" si="15"/>
        <v>0</v>
      </c>
      <c r="X125" s="60">
        <f t="shared" si="16"/>
        <v>0</v>
      </c>
      <c r="Y125" s="60">
        <f t="shared" si="17"/>
        <v>0.02956989247311828</v>
      </c>
      <c r="Z125" s="60">
        <f t="shared" si="18"/>
        <v>0.6263440860215054</v>
      </c>
      <c r="AA125" s="60">
        <f t="shared" si="19"/>
        <v>0.34408602150537637</v>
      </c>
      <c r="AB125" s="60">
        <f t="shared" si="20"/>
        <v>0</v>
      </c>
      <c r="AC125" s="47"/>
    </row>
    <row r="126" spans="1:29" ht="15">
      <c r="A126">
        <v>58</v>
      </c>
      <c r="B126">
        <f t="shared" si="12"/>
      </c>
      <c r="C126">
        <f t="shared" si="13"/>
      </c>
      <c r="D126" t="s">
        <v>767</v>
      </c>
      <c r="E126" t="s">
        <v>647</v>
      </c>
      <c r="F126" t="s">
        <v>767</v>
      </c>
      <c r="G126" t="s">
        <v>647</v>
      </c>
      <c r="H126" s="47"/>
      <c r="I126" s="23" t="s">
        <v>602</v>
      </c>
      <c r="J126" s="23" t="s">
        <v>616</v>
      </c>
      <c r="K126" s="1" t="str">
        <f t="shared" si="22"/>
        <v>HL</v>
      </c>
      <c r="L126" s="57">
        <f t="shared" si="14"/>
        <v>65</v>
      </c>
      <c r="M126" s="6">
        <f>(VLOOKUP($K126,'Standard Estimate Uncertainty '!$B$10:$D$18,2)*$L126)+$L126</f>
        <v>61.75</v>
      </c>
      <c r="N126" s="6">
        <f>(VLOOKUP($K126,'Standard Estimate Uncertainty '!$B$10:$D$18,3)*$L126)+$L126</f>
        <v>71.5</v>
      </c>
      <c r="O126" s="6"/>
      <c r="P126" s="49"/>
      <c r="Q126" s="58"/>
      <c r="R126" s="407">
        <v>16</v>
      </c>
      <c r="S126" s="407">
        <v>13</v>
      </c>
      <c r="T126" s="407">
        <v>17</v>
      </c>
      <c r="U126" s="407">
        <v>19</v>
      </c>
      <c r="V126" s="407">
        <v>0</v>
      </c>
      <c r="W126" s="60">
        <f t="shared" si="15"/>
        <v>0</v>
      </c>
      <c r="X126" s="60">
        <f t="shared" si="16"/>
        <v>0.24615384615384617</v>
      </c>
      <c r="Y126" s="60">
        <f t="shared" si="17"/>
        <v>0.2</v>
      </c>
      <c r="Z126" s="60">
        <f t="shared" si="18"/>
        <v>0.26153846153846155</v>
      </c>
      <c r="AA126" s="60">
        <f t="shared" si="19"/>
        <v>0.2923076923076923</v>
      </c>
      <c r="AB126" s="60">
        <f t="shared" si="20"/>
        <v>0</v>
      </c>
      <c r="AC126" s="47"/>
    </row>
    <row r="127" spans="1:29" ht="15">
      <c r="A127">
        <v>61</v>
      </c>
      <c r="B127">
        <f t="shared" si="12"/>
      </c>
      <c r="C127">
        <f t="shared" si="13"/>
      </c>
      <c r="D127" t="s">
        <v>768</v>
      </c>
      <c r="E127" t="s">
        <v>662</v>
      </c>
      <c r="F127" t="s">
        <v>768</v>
      </c>
      <c r="G127" t="s">
        <v>662</v>
      </c>
      <c r="H127" s="47"/>
      <c r="I127" s="23" t="s">
        <v>603</v>
      </c>
      <c r="J127" s="23" t="s">
        <v>616</v>
      </c>
      <c r="K127" s="1" t="str">
        <f t="shared" si="22"/>
        <v>ML</v>
      </c>
      <c r="L127" s="57">
        <f t="shared" si="14"/>
        <v>113</v>
      </c>
      <c r="M127" s="6">
        <f>(VLOOKUP($K127,'Standard Estimate Uncertainty '!$B$10:$D$18,2)*$L127)+$L127</f>
        <v>101.7</v>
      </c>
      <c r="N127" s="6">
        <f>(VLOOKUP($K127,'Standard Estimate Uncertainty '!$B$10:$D$18,3)*$L127)+$L127</f>
        <v>129.95</v>
      </c>
      <c r="O127" s="6"/>
      <c r="P127" s="49"/>
      <c r="Q127" s="58"/>
      <c r="R127" s="407">
        <v>0</v>
      </c>
      <c r="S127" s="407">
        <v>0</v>
      </c>
      <c r="T127" s="407">
        <v>61</v>
      </c>
      <c r="U127" s="407">
        <v>52</v>
      </c>
      <c r="V127" s="407">
        <v>0</v>
      </c>
      <c r="W127" s="60">
        <f t="shared" si="15"/>
        <v>0</v>
      </c>
      <c r="X127" s="60">
        <f t="shared" si="16"/>
        <v>0</v>
      </c>
      <c r="Y127" s="60">
        <f t="shared" si="17"/>
        <v>0</v>
      </c>
      <c r="Z127" s="60">
        <f t="shared" si="18"/>
        <v>0.5398230088495575</v>
      </c>
      <c r="AA127" s="60">
        <f t="shared" si="19"/>
        <v>0.46017699115044247</v>
      </c>
      <c r="AB127" s="60">
        <f t="shared" si="20"/>
        <v>0</v>
      </c>
      <c r="AC127" s="47"/>
    </row>
    <row r="128" spans="1:29" ht="15.75">
      <c r="A128">
        <v>62</v>
      </c>
      <c r="B128">
        <f t="shared" si="12"/>
      </c>
      <c r="C128">
        <f t="shared" si="13"/>
      </c>
      <c r="D128" t="s">
        <v>459</v>
      </c>
      <c r="E128" t="s">
        <v>309</v>
      </c>
      <c r="F128" t="s">
        <v>459</v>
      </c>
      <c r="G128" t="s">
        <v>309</v>
      </c>
      <c r="H128" s="47"/>
      <c r="I128" s="23" t="s">
        <v>616</v>
      </c>
      <c r="J128" s="383" t="s">
        <v>602</v>
      </c>
      <c r="K128" s="1" t="str">
        <f t="shared" si="22"/>
        <v>LH</v>
      </c>
      <c r="L128" s="57">
        <f t="shared" si="14"/>
        <v>803</v>
      </c>
      <c r="M128" s="6">
        <f>(VLOOKUP($K128,'Standard Estimate Uncertainty '!$B$10:$D$18,2)*$L128)+$L128</f>
        <v>562.1</v>
      </c>
      <c r="N128" s="6">
        <f>(VLOOKUP($K128,'Standard Estimate Uncertainty '!$B$10:$D$18,3)*$L128)+$L128</f>
        <v>1284.8</v>
      </c>
      <c r="O128" s="6"/>
      <c r="P128" s="49"/>
      <c r="Q128" s="58"/>
      <c r="R128" s="407">
        <v>60</v>
      </c>
      <c r="S128" s="407">
        <v>156</v>
      </c>
      <c r="T128" s="407">
        <v>385</v>
      </c>
      <c r="U128" s="407">
        <v>202</v>
      </c>
      <c r="V128" s="407">
        <v>0</v>
      </c>
      <c r="W128" s="60">
        <f t="shared" si="15"/>
        <v>0</v>
      </c>
      <c r="X128" s="60">
        <f t="shared" si="16"/>
        <v>0.074719800747198</v>
      </c>
      <c r="Y128" s="60">
        <f t="shared" si="17"/>
        <v>0.19427148194271482</v>
      </c>
      <c r="Z128" s="60">
        <f t="shared" si="18"/>
        <v>0.4794520547945205</v>
      </c>
      <c r="AA128" s="60">
        <f t="shared" si="19"/>
        <v>0.25155666251556663</v>
      </c>
      <c r="AB128" s="60">
        <f t="shared" si="20"/>
        <v>0</v>
      </c>
      <c r="AC128" s="47"/>
    </row>
    <row r="129" spans="2:29" ht="15.75">
      <c r="B129">
        <f t="shared" si="12"/>
      </c>
      <c r="C129">
        <f t="shared" si="13"/>
      </c>
      <c r="D129" t="s">
        <v>459</v>
      </c>
      <c r="E129" t="s">
        <v>663</v>
      </c>
      <c r="F129" t="s">
        <v>459</v>
      </c>
      <c r="G129" t="s">
        <v>663</v>
      </c>
      <c r="H129" s="47"/>
      <c r="I129" s="23" t="s">
        <v>616</v>
      </c>
      <c r="J129" s="383" t="s">
        <v>602</v>
      </c>
      <c r="K129" s="1" t="str">
        <f t="shared" si="22"/>
        <v>LH</v>
      </c>
      <c r="L129" s="57">
        <f t="shared" si="14"/>
        <v>764</v>
      </c>
      <c r="M129" s="6">
        <f>(VLOOKUP($K129,'Standard Estimate Uncertainty '!$B$10:$D$18,2)*$L129)+$L129</f>
        <v>534.8</v>
      </c>
      <c r="N129" s="6">
        <f>(VLOOKUP($K129,'Standard Estimate Uncertainty '!$B$10:$D$18,3)*$L129)+$L129</f>
        <v>1222.4</v>
      </c>
      <c r="O129" s="6"/>
      <c r="P129" s="49"/>
      <c r="Q129" s="58"/>
      <c r="R129" s="407">
        <v>18</v>
      </c>
      <c r="S129" s="407">
        <v>351</v>
      </c>
      <c r="T129" s="407">
        <v>138</v>
      </c>
      <c r="U129" s="407">
        <v>257</v>
      </c>
      <c r="V129" s="407">
        <v>0</v>
      </c>
      <c r="W129" s="60">
        <f t="shared" si="15"/>
        <v>0</v>
      </c>
      <c r="X129" s="60">
        <f t="shared" si="16"/>
        <v>0.02356020942408377</v>
      </c>
      <c r="Y129" s="60">
        <f t="shared" si="17"/>
        <v>0.4594240837696335</v>
      </c>
      <c r="Z129" s="60">
        <f t="shared" si="18"/>
        <v>0.1806282722513089</v>
      </c>
      <c r="AA129" s="60">
        <f t="shared" si="19"/>
        <v>0.33638743455497383</v>
      </c>
      <c r="AB129" s="60">
        <f t="shared" si="20"/>
        <v>0</v>
      </c>
      <c r="AC129" s="47"/>
    </row>
    <row r="130" spans="1:29" ht="15">
      <c r="A130">
        <v>63</v>
      </c>
      <c r="B130">
        <f t="shared" si="12"/>
      </c>
      <c r="C130">
        <f t="shared" si="13"/>
      </c>
      <c r="D130" t="s">
        <v>769</v>
      </c>
      <c r="E130" t="s">
        <v>647</v>
      </c>
      <c r="F130" t="s">
        <v>769</v>
      </c>
      <c r="G130" t="s">
        <v>647</v>
      </c>
      <c r="H130" s="47"/>
      <c r="I130" s="23" t="s">
        <v>603</v>
      </c>
      <c r="J130" s="23" t="s">
        <v>616</v>
      </c>
      <c r="K130" s="1" t="str">
        <f t="shared" si="22"/>
        <v>ML</v>
      </c>
      <c r="L130" s="57">
        <f t="shared" si="14"/>
        <v>109</v>
      </c>
      <c r="M130" s="6">
        <f>(VLOOKUP($K130,'Standard Estimate Uncertainty '!$B$10:$D$18,2)*$L130)+$L130</f>
        <v>98.1</v>
      </c>
      <c r="N130" s="6">
        <f>(VLOOKUP($K130,'Standard Estimate Uncertainty '!$B$10:$D$18,3)*$L130)+$L130</f>
        <v>125.35</v>
      </c>
      <c r="O130" s="6"/>
      <c r="P130" s="49"/>
      <c r="Q130" s="58"/>
      <c r="R130" s="407">
        <v>0</v>
      </c>
      <c r="S130" s="407">
        <v>0</v>
      </c>
      <c r="T130" s="407">
        <v>0</v>
      </c>
      <c r="U130" s="407">
        <v>109</v>
      </c>
      <c r="V130" s="407">
        <v>0</v>
      </c>
      <c r="W130" s="60">
        <f t="shared" si="15"/>
        <v>0</v>
      </c>
      <c r="X130" s="60">
        <f t="shared" si="16"/>
        <v>0</v>
      </c>
      <c r="Y130" s="60">
        <f t="shared" si="17"/>
        <v>0</v>
      </c>
      <c r="Z130" s="60">
        <f t="shared" si="18"/>
        <v>0</v>
      </c>
      <c r="AA130" s="60">
        <f t="shared" si="19"/>
        <v>1</v>
      </c>
      <c r="AB130" s="60">
        <f t="shared" si="20"/>
        <v>0</v>
      </c>
      <c r="AC130" s="47"/>
    </row>
    <row r="131" spans="1:29" ht="15">
      <c r="A131">
        <v>64</v>
      </c>
      <c r="B131">
        <f t="shared" si="12"/>
      </c>
      <c r="C131">
        <f t="shared" si="13"/>
      </c>
      <c r="D131" t="s">
        <v>902</v>
      </c>
      <c r="E131" t="s">
        <v>647</v>
      </c>
      <c r="F131" t="s">
        <v>902</v>
      </c>
      <c r="G131" t="s">
        <v>647</v>
      </c>
      <c r="H131" s="47"/>
      <c r="I131" s="23" t="s">
        <v>616</v>
      </c>
      <c r="J131" s="23" t="s">
        <v>603</v>
      </c>
      <c r="K131" s="1" t="str">
        <f t="shared" si="22"/>
        <v>LM</v>
      </c>
      <c r="L131" s="57">
        <f t="shared" si="14"/>
        <v>633</v>
      </c>
      <c r="M131" s="6">
        <f>(VLOOKUP($K131,'Standard Estimate Uncertainty '!$B$10:$D$18,2)*$L131)+$L131</f>
        <v>506.4</v>
      </c>
      <c r="N131" s="6">
        <f>(VLOOKUP($K131,'Standard Estimate Uncertainty '!$B$10:$D$18,3)*$L131)+$L131</f>
        <v>886.2</v>
      </c>
      <c r="O131" s="6"/>
      <c r="P131" s="49"/>
      <c r="Q131" s="58"/>
      <c r="R131" s="407">
        <v>0</v>
      </c>
      <c r="S131" s="407">
        <v>0</v>
      </c>
      <c r="T131" s="407">
        <v>157</v>
      </c>
      <c r="U131" s="407">
        <v>476</v>
      </c>
      <c r="V131" s="407">
        <v>0</v>
      </c>
      <c r="W131" s="60">
        <f t="shared" si="15"/>
        <v>0</v>
      </c>
      <c r="X131" s="60">
        <f t="shared" si="16"/>
        <v>0</v>
      </c>
      <c r="Y131" s="60">
        <f t="shared" si="17"/>
        <v>0</v>
      </c>
      <c r="Z131" s="60">
        <f t="shared" si="18"/>
        <v>0.2480252764612954</v>
      </c>
      <c r="AA131" s="60">
        <f t="shared" si="19"/>
        <v>0.7519747235387045</v>
      </c>
      <c r="AB131" s="60">
        <f t="shared" si="20"/>
        <v>0</v>
      </c>
      <c r="AC131" s="47"/>
    </row>
    <row r="132" spans="1:29" ht="15">
      <c r="A132">
        <v>73</v>
      </c>
      <c r="B132">
        <f aca="true" t="shared" si="23" ref="B132:B172">IF(D132=F132,"","X")</f>
      </c>
      <c r="C132">
        <f aca="true" t="shared" si="24" ref="C132:C172">IF(E132=G132,"","X")</f>
      </c>
      <c r="D132" t="s">
        <v>770</v>
      </c>
      <c r="E132" t="s">
        <v>647</v>
      </c>
      <c r="F132" t="s">
        <v>770</v>
      </c>
      <c r="G132" t="s">
        <v>647</v>
      </c>
      <c r="H132" s="47"/>
      <c r="I132" s="23" t="s">
        <v>602</v>
      </c>
      <c r="J132" s="23" t="s">
        <v>616</v>
      </c>
      <c r="K132" s="1" t="str">
        <f t="shared" si="22"/>
        <v>HL</v>
      </c>
      <c r="L132" s="57">
        <f aca="true" t="shared" si="25" ref="L132:L172">SUM(Q132:V132)</f>
        <v>212</v>
      </c>
      <c r="M132" s="6">
        <f>(VLOOKUP($K132,'Standard Estimate Uncertainty '!$B$10:$D$18,2)*$L132)+$L132</f>
        <v>201.4</v>
      </c>
      <c r="N132" s="6">
        <f>(VLOOKUP($K132,'Standard Estimate Uncertainty '!$B$10:$D$18,3)*$L132)+$L132</f>
        <v>233.2</v>
      </c>
      <c r="O132" s="6"/>
      <c r="P132" s="49"/>
      <c r="Q132" s="58"/>
      <c r="R132" s="407">
        <v>63</v>
      </c>
      <c r="S132" s="407">
        <v>25</v>
      </c>
      <c r="T132" s="407">
        <v>124</v>
      </c>
      <c r="U132" s="407">
        <v>0</v>
      </c>
      <c r="V132" s="407">
        <v>0</v>
      </c>
      <c r="W132" s="60">
        <f aca="true" t="shared" si="26" ref="W132:W178">Q132/$L132</f>
        <v>0</v>
      </c>
      <c r="X132" s="60">
        <f aca="true" t="shared" si="27" ref="X132:X178">R132/$L132</f>
        <v>0.2971698113207547</v>
      </c>
      <c r="Y132" s="60">
        <f aca="true" t="shared" si="28" ref="Y132:Y178">S132/$L132</f>
        <v>0.1179245283018868</v>
      </c>
      <c r="Z132" s="60">
        <f aca="true" t="shared" si="29" ref="Z132:Z178">T132/$L132</f>
        <v>0.5849056603773585</v>
      </c>
      <c r="AA132" s="60">
        <f aca="true" t="shared" si="30" ref="AA132:AA178">U132/$L132</f>
        <v>0</v>
      </c>
      <c r="AB132" s="60">
        <f aca="true" t="shared" si="31" ref="AB132:AB178">V132/$L132</f>
        <v>0</v>
      </c>
      <c r="AC132" s="47"/>
    </row>
    <row r="133" spans="1:29" ht="15">
      <c r="A133">
        <v>74</v>
      </c>
      <c r="B133">
        <f t="shared" si="23"/>
      </c>
      <c r="C133">
        <f t="shared" si="24"/>
      </c>
      <c r="D133" t="s">
        <v>771</v>
      </c>
      <c r="E133" t="s">
        <v>647</v>
      </c>
      <c r="F133" t="s">
        <v>771</v>
      </c>
      <c r="G133" t="s">
        <v>647</v>
      </c>
      <c r="H133" s="47"/>
      <c r="I133" s="23" t="s">
        <v>616</v>
      </c>
      <c r="J133" s="23" t="s">
        <v>603</v>
      </c>
      <c r="K133" s="1" t="str">
        <f t="shared" si="22"/>
        <v>LM</v>
      </c>
      <c r="L133" s="57">
        <f t="shared" si="25"/>
        <v>2323</v>
      </c>
      <c r="M133" s="6">
        <f>(VLOOKUP($K133,'Standard Estimate Uncertainty '!$B$10:$D$18,2)*$L133)+$L133</f>
        <v>1858.4</v>
      </c>
      <c r="N133" s="6">
        <f>(VLOOKUP($K133,'Standard Estimate Uncertainty '!$B$10:$D$18,3)*$L133)+$L133</f>
        <v>3252.2</v>
      </c>
      <c r="O133" s="6"/>
      <c r="P133" s="49"/>
      <c r="Q133" s="58"/>
      <c r="R133" s="407">
        <v>106</v>
      </c>
      <c r="S133" s="407">
        <v>156</v>
      </c>
      <c r="T133" s="407">
        <v>529</v>
      </c>
      <c r="U133" s="407">
        <v>1332</v>
      </c>
      <c r="V133" s="407">
        <v>200</v>
      </c>
      <c r="W133" s="60">
        <f t="shared" si="26"/>
        <v>0</v>
      </c>
      <c r="X133" s="60">
        <f t="shared" si="27"/>
        <v>0.04563065002152389</v>
      </c>
      <c r="Y133" s="60">
        <f t="shared" si="28"/>
        <v>0.06715454154111063</v>
      </c>
      <c r="Z133" s="60">
        <f t="shared" si="29"/>
        <v>0.22772277227722773</v>
      </c>
      <c r="AA133" s="60">
        <f t="shared" si="30"/>
        <v>0.5733964700817908</v>
      </c>
      <c r="AB133" s="60">
        <f t="shared" si="31"/>
        <v>0.08609556607834697</v>
      </c>
      <c r="AC133" s="47"/>
    </row>
    <row r="134" spans="1:29" ht="15">
      <c r="A134">
        <v>75</v>
      </c>
      <c r="B134">
        <f t="shared" si="23"/>
      </c>
      <c r="C134">
        <f t="shared" si="24"/>
      </c>
      <c r="D134" t="s">
        <v>772</v>
      </c>
      <c r="E134" t="s">
        <v>887</v>
      </c>
      <c r="F134" t="s">
        <v>772</v>
      </c>
      <c r="G134" t="s">
        <v>887</v>
      </c>
      <c r="H134" s="47"/>
      <c r="I134" s="23" t="s">
        <v>616</v>
      </c>
      <c r="J134" s="23" t="s">
        <v>603</v>
      </c>
      <c r="K134" s="1" t="str">
        <f t="shared" si="22"/>
        <v>LM</v>
      </c>
      <c r="L134" s="57">
        <f t="shared" si="25"/>
        <v>1323</v>
      </c>
      <c r="M134" s="6">
        <f>(VLOOKUP($K134,'Standard Estimate Uncertainty '!$B$10:$D$18,2)*$L134)+$L134</f>
        <v>1058.4</v>
      </c>
      <c r="N134" s="6">
        <f>(VLOOKUP($K134,'Standard Estimate Uncertainty '!$B$10:$D$18,3)*$L134)+$L134</f>
        <v>1852.2</v>
      </c>
      <c r="O134" s="6"/>
      <c r="P134" s="49"/>
      <c r="Q134" s="58"/>
      <c r="R134" s="407">
        <v>0</v>
      </c>
      <c r="S134" s="407">
        <v>0</v>
      </c>
      <c r="T134" s="407">
        <v>352</v>
      </c>
      <c r="U134" s="407">
        <v>845</v>
      </c>
      <c r="V134" s="407">
        <v>126</v>
      </c>
      <c r="W134" s="60">
        <f t="shared" si="26"/>
        <v>0</v>
      </c>
      <c r="X134" s="60">
        <f t="shared" si="27"/>
        <v>0</v>
      </c>
      <c r="Y134" s="60">
        <f t="shared" si="28"/>
        <v>0</v>
      </c>
      <c r="Z134" s="60">
        <f t="shared" si="29"/>
        <v>0.2660619803476946</v>
      </c>
      <c r="AA134" s="60">
        <f t="shared" si="30"/>
        <v>0.6386999244142101</v>
      </c>
      <c r="AB134" s="60">
        <f t="shared" si="31"/>
        <v>0.09523809523809523</v>
      </c>
      <c r="AC134" s="47"/>
    </row>
    <row r="135" spans="2:29" ht="15">
      <c r="B135">
        <f t="shared" si="23"/>
      </c>
      <c r="C135">
        <f t="shared" si="24"/>
      </c>
      <c r="D135" t="s">
        <v>773</v>
      </c>
      <c r="E135" t="s">
        <v>460</v>
      </c>
      <c r="F135" t="s">
        <v>773</v>
      </c>
      <c r="G135" t="s">
        <v>460</v>
      </c>
      <c r="H135" s="47"/>
      <c r="I135" s="23" t="s">
        <v>616</v>
      </c>
      <c r="J135" s="23" t="s">
        <v>603</v>
      </c>
      <c r="K135" s="1" t="str">
        <f t="shared" si="22"/>
        <v>LM</v>
      </c>
      <c r="L135" s="57">
        <f t="shared" si="25"/>
        <v>330</v>
      </c>
      <c r="M135" s="6">
        <f>(VLOOKUP($K135,'Standard Estimate Uncertainty '!$B$10:$D$18,2)*$L135)+$L135</f>
        <v>264</v>
      </c>
      <c r="N135" s="6">
        <f>(VLOOKUP($K135,'Standard Estimate Uncertainty '!$B$10:$D$18,3)*$L135)+$L135</f>
        <v>462</v>
      </c>
      <c r="O135" s="6"/>
      <c r="P135" s="49"/>
      <c r="Q135" s="58"/>
      <c r="R135" s="407">
        <v>0</v>
      </c>
      <c r="S135" s="407">
        <v>0</v>
      </c>
      <c r="T135" s="407">
        <v>330</v>
      </c>
      <c r="U135" s="407">
        <v>0</v>
      </c>
      <c r="V135" s="407">
        <v>0</v>
      </c>
      <c r="W135" s="60">
        <f t="shared" si="26"/>
        <v>0</v>
      </c>
      <c r="X135" s="60">
        <f t="shared" si="27"/>
        <v>0</v>
      </c>
      <c r="Y135" s="60">
        <f t="shared" si="28"/>
        <v>0</v>
      </c>
      <c r="Z135" s="60">
        <f t="shared" si="29"/>
        <v>1</v>
      </c>
      <c r="AA135" s="60">
        <f t="shared" si="30"/>
        <v>0</v>
      </c>
      <c r="AB135" s="60">
        <f t="shared" si="31"/>
        <v>0</v>
      </c>
      <c r="AC135" s="47"/>
    </row>
    <row r="136" spans="2:29" ht="15">
      <c r="B136">
        <f t="shared" si="23"/>
      </c>
      <c r="C136">
        <f t="shared" si="24"/>
      </c>
      <c r="D136" t="s">
        <v>773</v>
      </c>
      <c r="E136" t="s">
        <v>469</v>
      </c>
      <c r="F136" t="s">
        <v>773</v>
      </c>
      <c r="G136" t="s">
        <v>469</v>
      </c>
      <c r="H136" s="47"/>
      <c r="I136" s="23" t="s">
        <v>616</v>
      </c>
      <c r="J136" s="23" t="s">
        <v>603</v>
      </c>
      <c r="K136" s="1" t="str">
        <f t="shared" si="22"/>
        <v>LM</v>
      </c>
      <c r="L136" s="57">
        <f t="shared" si="25"/>
        <v>3</v>
      </c>
      <c r="M136" s="6">
        <f>(VLOOKUP($K136,'Standard Estimate Uncertainty '!$B$10:$D$18,2)*$L136)+$L136</f>
        <v>2.4</v>
      </c>
      <c r="N136" s="6">
        <f>(VLOOKUP($K136,'Standard Estimate Uncertainty '!$B$10:$D$18,3)*$L136)+$L136</f>
        <v>4.2</v>
      </c>
      <c r="O136" s="6"/>
      <c r="P136" s="49"/>
      <c r="Q136" s="58"/>
      <c r="R136" s="407">
        <v>0</v>
      </c>
      <c r="S136" s="407">
        <v>0</v>
      </c>
      <c r="T136" s="407">
        <v>3</v>
      </c>
      <c r="U136" s="407">
        <v>0</v>
      </c>
      <c r="V136" s="407">
        <v>0</v>
      </c>
      <c r="W136" s="60">
        <f t="shared" si="26"/>
        <v>0</v>
      </c>
      <c r="X136" s="60">
        <f t="shared" si="27"/>
        <v>0</v>
      </c>
      <c r="Y136" s="60">
        <f t="shared" si="28"/>
        <v>0</v>
      </c>
      <c r="Z136" s="60">
        <f t="shared" si="29"/>
        <v>1</v>
      </c>
      <c r="AA136" s="60">
        <f t="shared" si="30"/>
        <v>0</v>
      </c>
      <c r="AB136" s="60">
        <f t="shared" si="31"/>
        <v>0</v>
      </c>
      <c r="AC136" s="47"/>
    </row>
    <row r="137" spans="2:29" ht="15">
      <c r="B137">
        <f t="shared" si="23"/>
      </c>
      <c r="C137">
        <f t="shared" si="24"/>
      </c>
      <c r="D137" t="s">
        <v>773</v>
      </c>
      <c r="E137" t="s">
        <v>470</v>
      </c>
      <c r="F137" t="s">
        <v>773</v>
      </c>
      <c r="G137" t="s">
        <v>470</v>
      </c>
      <c r="H137" s="47"/>
      <c r="I137" s="23" t="s">
        <v>616</v>
      </c>
      <c r="J137" s="23" t="s">
        <v>603</v>
      </c>
      <c r="K137" s="1" t="str">
        <f t="shared" si="22"/>
        <v>LM</v>
      </c>
      <c r="L137" s="57">
        <f t="shared" si="25"/>
        <v>302</v>
      </c>
      <c r="M137" s="6">
        <f>(VLOOKUP($K137,'Standard Estimate Uncertainty '!$B$10:$D$18,2)*$L137)+$L137</f>
        <v>241.6</v>
      </c>
      <c r="N137" s="6">
        <f>(VLOOKUP($K137,'Standard Estimate Uncertainty '!$B$10:$D$18,3)*$L137)+$L137</f>
        <v>422.8</v>
      </c>
      <c r="O137" s="6"/>
      <c r="P137" s="49"/>
      <c r="Q137" s="58"/>
      <c r="R137" s="407">
        <v>0</v>
      </c>
      <c r="S137" s="407">
        <v>0</v>
      </c>
      <c r="T137" s="407">
        <v>178</v>
      </c>
      <c r="U137" s="407">
        <v>124</v>
      </c>
      <c r="V137" s="407">
        <v>0</v>
      </c>
      <c r="W137" s="60">
        <f t="shared" si="26"/>
        <v>0</v>
      </c>
      <c r="X137" s="60">
        <f t="shared" si="27"/>
        <v>0</v>
      </c>
      <c r="Y137" s="60">
        <f t="shared" si="28"/>
        <v>0</v>
      </c>
      <c r="Z137" s="60">
        <f t="shared" si="29"/>
        <v>0.5894039735099338</v>
      </c>
      <c r="AA137" s="60">
        <f t="shared" si="30"/>
        <v>0.4105960264900662</v>
      </c>
      <c r="AB137" s="60">
        <f t="shared" si="31"/>
        <v>0</v>
      </c>
      <c r="AC137" s="47"/>
    </row>
    <row r="138" spans="2:29" ht="15">
      <c r="B138">
        <f t="shared" si="23"/>
      </c>
      <c r="C138">
        <f t="shared" si="24"/>
      </c>
      <c r="D138" t="s">
        <v>773</v>
      </c>
      <c r="E138" t="s">
        <v>471</v>
      </c>
      <c r="F138" t="s">
        <v>773</v>
      </c>
      <c r="G138" t="s">
        <v>471</v>
      </c>
      <c r="H138" s="47"/>
      <c r="I138" s="23" t="s">
        <v>616</v>
      </c>
      <c r="J138" s="23" t="s">
        <v>603</v>
      </c>
      <c r="K138" s="1" t="str">
        <f t="shared" si="22"/>
        <v>LM</v>
      </c>
      <c r="L138" s="57">
        <f t="shared" si="25"/>
        <v>229</v>
      </c>
      <c r="M138" s="6">
        <f>(VLOOKUP($K138,'Standard Estimate Uncertainty '!$B$10:$D$18,2)*$L138)+$L138</f>
        <v>183.2</v>
      </c>
      <c r="N138" s="6">
        <f>(VLOOKUP($K138,'Standard Estimate Uncertainty '!$B$10:$D$18,3)*$L138)+$L138</f>
        <v>320.6</v>
      </c>
      <c r="O138" s="6"/>
      <c r="P138" s="49"/>
      <c r="Q138" s="58"/>
      <c r="R138" s="407">
        <v>0</v>
      </c>
      <c r="S138" s="407">
        <v>0</v>
      </c>
      <c r="T138" s="407">
        <v>25</v>
      </c>
      <c r="U138" s="407">
        <v>204</v>
      </c>
      <c r="V138" s="407">
        <v>0</v>
      </c>
      <c r="W138" s="60">
        <f t="shared" si="26"/>
        <v>0</v>
      </c>
      <c r="X138" s="60">
        <f t="shared" si="27"/>
        <v>0</v>
      </c>
      <c r="Y138" s="60">
        <f t="shared" si="28"/>
        <v>0</v>
      </c>
      <c r="Z138" s="60">
        <f t="shared" si="29"/>
        <v>0.1091703056768559</v>
      </c>
      <c r="AA138" s="60">
        <f t="shared" si="30"/>
        <v>0.8908296943231441</v>
      </c>
      <c r="AB138" s="60">
        <f t="shared" si="31"/>
        <v>0</v>
      </c>
      <c r="AC138" s="47"/>
    </row>
    <row r="139" spans="2:29" ht="15">
      <c r="B139">
        <f t="shared" si="23"/>
      </c>
      <c r="C139">
        <f t="shared" si="24"/>
      </c>
      <c r="D139" t="s">
        <v>773</v>
      </c>
      <c r="E139" t="s">
        <v>472</v>
      </c>
      <c r="F139" t="s">
        <v>773</v>
      </c>
      <c r="G139" t="s">
        <v>472</v>
      </c>
      <c r="H139" s="47"/>
      <c r="I139" s="23" t="s">
        <v>616</v>
      </c>
      <c r="J139" s="23" t="s">
        <v>603</v>
      </c>
      <c r="K139" s="1" t="str">
        <f t="shared" si="22"/>
        <v>LM</v>
      </c>
      <c r="L139" s="57">
        <f t="shared" si="25"/>
        <v>1</v>
      </c>
      <c r="M139" s="6">
        <f>(VLOOKUP($K139,'Standard Estimate Uncertainty '!$B$10:$D$18,2)*$L139)+$L139</f>
        <v>0.8</v>
      </c>
      <c r="N139" s="6">
        <f>(VLOOKUP($K139,'Standard Estimate Uncertainty '!$B$10:$D$18,3)*$L139)+$L139</f>
        <v>1.4</v>
      </c>
      <c r="O139" s="6"/>
      <c r="P139" s="49"/>
      <c r="Q139" s="58"/>
      <c r="R139" s="407">
        <v>0</v>
      </c>
      <c r="S139" s="407">
        <v>0</v>
      </c>
      <c r="T139" s="407">
        <v>0</v>
      </c>
      <c r="U139" s="407">
        <v>1</v>
      </c>
      <c r="V139" s="407">
        <v>0</v>
      </c>
      <c r="W139" s="60">
        <f t="shared" si="26"/>
        <v>0</v>
      </c>
      <c r="X139" s="60">
        <f t="shared" si="27"/>
        <v>0</v>
      </c>
      <c r="Y139" s="60">
        <f t="shared" si="28"/>
        <v>0</v>
      </c>
      <c r="Z139" s="60">
        <f t="shared" si="29"/>
        <v>0</v>
      </c>
      <c r="AA139" s="60">
        <f t="shared" si="30"/>
        <v>1</v>
      </c>
      <c r="AB139" s="60">
        <f t="shared" si="31"/>
        <v>0</v>
      </c>
      <c r="AC139" s="47"/>
    </row>
    <row r="140" spans="2:29" ht="15">
      <c r="B140">
        <f t="shared" si="23"/>
      </c>
      <c r="C140">
        <f t="shared" si="24"/>
      </c>
      <c r="D140" t="s">
        <v>773</v>
      </c>
      <c r="E140" t="s">
        <v>473</v>
      </c>
      <c r="F140" t="s">
        <v>773</v>
      </c>
      <c r="G140" t="s">
        <v>473</v>
      </c>
      <c r="H140" s="47"/>
      <c r="I140" s="23" t="s">
        <v>616</v>
      </c>
      <c r="J140" s="23" t="s">
        <v>603</v>
      </c>
      <c r="K140" s="1" t="str">
        <f t="shared" si="22"/>
        <v>LM</v>
      </c>
      <c r="L140" s="57">
        <f t="shared" si="25"/>
        <v>510</v>
      </c>
      <c r="M140" s="6">
        <f>(VLOOKUP($K140,'Standard Estimate Uncertainty '!$B$10:$D$18,2)*$L140)+$L140</f>
        <v>408</v>
      </c>
      <c r="N140" s="6">
        <f>(VLOOKUP($K140,'Standard Estimate Uncertainty '!$B$10:$D$18,3)*$L140)+$L140</f>
        <v>714</v>
      </c>
      <c r="O140" s="6"/>
      <c r="P140" s="49"/>
      <c r="Q140" s="58"/>
      <c r="R140" s="407">
        <v>0</v>
      </c>
      <c r="S140" s="407">
        <v>0</v>
      </c>
      <c r="T140" s="407">
        <v>10</v>
      </c>
      <c r="U140" s="407">
        <v>500</v>
      </c>
      <c r="V140" s="407">
        <v>0</v>
      </c>
      <c r="W140" s="60">
        <f t="shared" si="26"/>
        <v>0</v>
      </c>
      <c r="X140" s="60">
        <f t="shared" si="27"/>
        <v>0</v>
      </c>
      <c r="Y140" s="60">
        <f t="shared" si="28"/>
        <v>0</v>
      </c>
      <c r="Z140" s="60">
        <f t="shared" si="29"/>
        <v>0.0196078431372549</v>
      </c>
      <c r="AA140" s="60">
        <f t="shared" si="30"/>
        <v>0.9803921568627451</v>
      </c>
      <c r="AB140" s="60">
        <f t="shared" si="31"/>
        <v>0</v>
      </c>
      <c r="AC140" s="47"/>
    </row>
    <row r="141" spans="2:29" ht="15">
      <c r="B141">
        <f t="shared" si="23"/>
      </c>
      <c r="C141">
        <f t="shared" si="24"/>
      </c>
      <c r="D141" t="s">
        <v>773</v>
      </c>
      <c r="E141" t="s">
        <v>474</v>
      </c>
      <c r="F141" t="s">
        <v>773</v>
      </c>
      <c r="G141" t="s">
        <v>474</v>
      </c>
      <c r="H141" s="47"/>
      <c r="I141" s="23" t="s">
        <v>616</v>
      </c>
      <c r="J141" s="23" t="s">
        <v>603</v>
      </c>
      <c r="K141" s="1" t="str">
        <f t="shared" si="22"/>
        <v>LM</v>
      </c>
      <c r="L141" s="57">
        <f t="shared" si="25"/>
        <v>482</v>
      </c>
      <c r="M141" s="6">
        <f>(VLOOKUP($K141,'Standard Estimate Uncertainty '!$B$10:$D$18,2)*$L141)+$L141</f>
        <v>385.6</v>
      </c>
      <c r="N141" s="6">
        <f>(VLOOKUP($K141,'Standard Estimate Uncertainty '!$B$10:$D$18,3)*$L141)+$L141</f>
        <v>674.8</v>
      </c>
      <c r="O141" s="6"/>
      <c r="P141" s="49"/>
      <c r="Q141" s="58"/>
      <c r="R141" s="407">
        <v>0</v>
      </c>
      <c r="S141" s="407">
        <v>0</v>
      </c>
      <c r="T141" s="407">
        <v>0</v>
      </c>
      <c r="U141" s="407">
        <v>482</v>
      </c>
      <c r="V141" s="407">
        <v>0</v>
      </c>
      <c r="W141" s="60">
        <f t="shared" si="26"/>
        <v>0</v>
      </c>
      <c r="X141" s="60">
        <f t="shared" si="27"/>
        <v>0</v>
      </c>
      <c r="Y141" s="60">
        <f t="shared" si="28"/>
        <v>0</v>
      </c>
      <c r="Z141" s="60">
        <f t="shared" si="29"/>
        <v>0</v>
      </c>
      <c r="AA141" s="60">
        <f t="shared" si="30"/>
        <v>1</v>
      </c>
      <c r="AB141" s="60">
        <f t="shared" si="31"/>
        <v>0</v>
      </c>
      <c r="AC141" s="47"/>
    </row>
    <row r="142" spans="2:29" ht="15">
      <c r="B142">
        <f t="shared" si="23"/>
      </c>
      <c r="C142">
        <f t="shared" si="24"/>
      </c>
      <c r="D142" t="s">
        <v>773</v>
      </c>
      <c r="E142" t="s">
        <v>475</v>
      </c>
      <c r="F142" t="s">
        <v>773</v>
      </c>
      <c r="G142" t="s">
        <v>475</v>
      </c>
      <c r="H142" s="47"/>
      <c r="I142" s="23" t="s">
        <v>616</v>
      </c>
      <c r="J142" s="23" t="s">
        <v>603</v>
      </c>
      <c r="K142" s="1" t="str">
        <f t="shared" si="22"/>
        <v>LM</v>
      </c>
      <c r="L142" s="57">
        <f t="shared" si="25"/>
        <v>37</v>
      </c>
      <c r="M142" s="6">
        <f>(VLOOKUP($K142,'Standard Estimate Uncertainty '!$B$10:$D$18,2)*$L142)+$L142</f>
        <v>29.6</v>
      </c>
      <c r="N142" s="6">
        <f>(VLOOKUP($K142,'Standard Estimate Uncertainty '!$B$10:$D$18,3)*$L142)+$L142</f>
        <v>51.8</v>
      </c>
      <c r="O142" s="6"/>
      <c r="P142" s="49"/>
      <c r="Q142" s="58"/>
      <c r="R142" s="407">
        <v>0</v>
      </c>
      <c r="S142" s="407">
        <v>0</v>
      </c>
      <c r="T142" s="407">
        <v>0</v>
      </c>
      <c r="U142" s="407">
        <v>37</v>
      </c>
      <c r="V142" s="407">
        <v>0</v>
      </c>
      <c r="W142" s="60">
        <f t="shared" si="26"/>
        <v>0</v>
      </c>
      <c r="X142" s="60">
        <f t="shared" si="27"/>
        <v>0</v>
      </c>
      <c r="Y142" s="60">
        <f t="shared" si="28"/>
        <v>0</v>
      </c>
      <c r="Z142" s="60">
        <f t="shared" si="29"/>
        <v>0</v>
      </c>
      <c r="AA142" s="60">
        <f t="shared" si="30"/>
        <v>1</v>
      </c>
      <c r="AB142" s="60">
        <f t="shared" si="31"/>
        <v>0</v>
      </c>
      <c r="AC142" s="47"/>
    </row>
    <row r="143" spans="2:29" ht="15">
      <c r="B143">
        <f t="shared" si="23"/>
      </c>
      <c r="C143">
        <f t="shared" si="24"/>
      </c>
      <c r="D143" t="s">
        <v>773</v>
      </c>
      <c r="E143" t="s">
        <v>476</v>
      </c>
      <c r="F143" t="s">
        <v>773</v>
      </c>
      <c r="G143" t="s">
        <v>476</v>
      </c>
      <c r="H143" s="47"/>
      <c r="I143" s="23" t="s">
        <v>616</v>
      </c>
      <c r="J143" s="23" t="s">
        <v>603</v>
      </c>
      <c r="K143" s="1" t="str">
        <f t="shared" si="22"/>
        <v>LM</v>
      </c>
      <c r="L143" s="57">
        <f t="shared" si="25"/>
        <v>7</v>
      </c>
      <c r="M143" s="6">
        <f>(VLOOKUP($K143,'Standard Estimate Uncertainty '!$B$10:$D$18,2)*$L143)+$L143</f>
        <v>5.6</v>
      </c>
      <c r="N143" s="6">
        <f>(VLOOKUP($K143,'Standard Estimate Uncertainty '!$B$10:$D$18,3)*$L143)+$L143</f>
        <v>9.8</v>
      </c>
      <c r="O143" s="6"/>
      <c r="P143" s="49"/>
      <c r="Q143" s="58"/>
      <c r="R143" s="407">
        <v>0</v>
      </c>
      <c r="S143" s="407">
        <v>0</v>
      </c>
      <c r="T143" s="407">
        <v>0</v>
      </c>
      <c r="U143" s="407">
        <v>7</v>
      </c>
      <c r="V143" s="407">
        <v>0</v>
      </c>
      <c r="W143" s="60">
        <f t="shared" si="26"/>
        <v>0</v>
      </c>
      <c r="X143" s="60">
        <f t="shared" si="27"/>
        <v>0</v>
      </c>
      <c r="Y143" s="60">
        <f t="shared" si="28"/>
        <v>0</v>
      </c>
      <c r="Z143" s="60">
        <f t="shared" si="29"/>
        <v>0</v>
      </c>
      <c r="AA143" s="60">
        <f t="shared" si="30"/>
        <v>1</v>
      </c>
      <c r="AB143" s="60">
        <f t="shared" si="31"/>
        <v>0</v>
      </c>
      <c r="AC143" s="47"/>
    </row>
    <row r="144" spans="2:29" ht="15">
      <c r="B144">
        <f t="shared" si="23"/>
      </c>
      <c r="C144">
        <f t="shared" si="24"/>
      </c>
      <c r="D144" t="s">
        <v>773</v>
      </c>
      <c r="E144" t="s">
        <v>477</v>
      </c>
      <c r="F144" t="s">
        <v>773</v>
      </c>
      <c r="G144" t="s">
        <v>477</v>
      </c>
      <c r="H144" s="47"/>
      <c r="I144" s="23" t="s">
        <v>616</v>
      </c>
      <c r="J144" s="23" t="s">
        <v>603</v>
      </c>
      <c r="K144" s="1" t="str">
        <f t="shared" si="22"/>
        <v>LM</v>
      </c>
      <c r="L144" s="57">
        <f t="shared" si="25"/>
        <v>56</v>
      </c>
      <c r="M144" s="6">
        <f>(VLOOKUP($K144,'Standard Estimate Uncertainty '!$B$10:$D$18,2)*$L144)+$L144</f>
        <v>44.8</v>
      </c>
      <c r="N144" s="6">
        <f>(VLOOKUP($K144,'Standard Estimate Uncertainty '!$B$10:$D$18,3)*$L144)+$L144</f>
        <v>78.4</v>
      </c>
      <c r="O144" s="6"/>
      <c r="P144" s="49"/>
      <c r="Q144" s="58"/>
      <c r="R144" s="407">
        <v>0</v>
      </c>
      <c r="S144" s="407">
        <v>0</v>
      </c>
      <c r="T144" s="407">
        <v>0</v>
      </c>
      <c r="U144" s="407">
        <v>56</v>
      </c>
      <c r="V144" s="407">
        <v>0</v>
      </c>
      <c r="W144" s="60">
        <f t="shared" si="26"/>
        <v>0</v>
      </c>
      <c r="X144" s="60">
        <f t="shared" si="27"/>
        <v>0</v>
      </c>
      <c r="Y144" s="60">
        <f t="shared" si="28"/>
        <v>0</v>
      </c>
      <c r="Z144" s="60">
        <f t="shared" si="29"/>
        <v>0</v>
      </c>
      <c r="AA144" s="60">
        <f t="shared" si="30"/>
        <v>1</v>
      </c>
      <c r="AB144" s="60">
        <f t="shared" si="31"/>
        <v>0</v>
      </c>
      <c r="AC144" s="47"/>
    </row>
    <row r="145" spans="2:29" ht="15">
      <c r="B145">
        <f t="shared" si="23"/>
      </c>
      <c r="C145">
        <f t="shared" si="24"/>
      </c>
      <c r="D145" t="s">
        <v>773</v>
      </c>
      <c r="E145" t="s">
        <v>478</v>
      </c>
      <c r="F145" t="s">
        <v>773</v>
      </c>
      <c r="G145" t="s">
        <v>478</v>
      </c>
      <c r="H145" s="47"/>
      <c r="I145" s="23" t="s">
        <v>616</v>
      </c>
      <c r="J145" s="23" t="s">
        <v>603</v>
      </c>
      <c r="K145" s="1" t="str">
        <f t="shared" si="22"/>
        <v>LM</v>
      </c>
      <c r="L145" s="57">
        <f t="shared" si="25"/>
        <v>145</v>
      </c>
      <c r="M145" s="6">
        <f>(VLOOKUP($K145,'Standard Estimate Uncertainty '!$B$10:$D$18,2)*$L145)+$L145</f>
        <v>116</v>
      </c>
      <c r="N145" s="6">
        <f>(VLOOKUP($K145,'Standard Estimate Uncertainty '!$B$10:$D$18,3)*$L145)+$L145</f>
        <v>203</v>
      </c>
      <c r="O145" s="6"/>
      <c r="P145" s="49"/>
      <c r="Q145" s="58"/>
      <c r="R145" s="407">
        <v>0</v>
      </c>
      <c r="S145" s="407">
        <v>0</v>
      </c>
      <c r="T145" s="407">
        <v>0</v>
      </c>
      <c r="U145" s="407">
        <v>145</v>
      </c>
      <c r="V145" s="407">
        <v>0</v>
      </c>
      <c r="W145" s="60">
        <f t="shared" si="26"/>
        <v>0</v>
      </c>
      <c r="X145" s="60">
        <f t="shared" si="27"/>
        <v>0</v>
      </c>
      <c r="Y145" s="60">
        <f t="shared" si="28"/>
        <v>0</v>
      </c>
      <c r="Z145" s="60">
        <f t="shared" si="29"/>
        <v>0</v>
      </c>
      <c r="AA145" s="60">
        <f t="shared" si="30"/>
        <v>1</v>
      </c>
      <c r="AB145" s="60">
        <f t="shared" si="31"/>
        <v>0</v>
      </c>
      <c r="AC145" s="47"/>
    </row>
    <row r="146" spans="2:29" ht="15">
      <c r="B146">
        <f t="shared" si="23"/>
      </c>
      <c r="C146">
        <f t="shared" si="24"/>
      </c>
      <c r="D146" t="s">
        <v>773</v>
      </c>
      <c r="E146" t="s">
        <v>461</v>
      </c>
      <c r="F146" t="s">
        <v>773</v>
      </c>
      <c r="G146" t="s">
        <v>461</v>
      </c>
      <c r="H146" s="47"/>
      <c r="I146" s="23" t="s">
        <v>616</v>
      </c>
      <c r="J146" s="23" t="s">
        <v>603</v>
      </c>
      <c r="K146" s="1" t="str">
        <f t="shared" si="22"/>
        <v>LM</v>
      </c>
      <c r="L146" s="57">
        <f t="shared" si="25"/>
        <v>203</v>
      </c>
      <c r="M146" s="6">
        <f>(VLOOKUP($K146,'Standard Estimate Uncertainty '!$B$10:$D$18,2)*$L146)+$L146</f>
        <v>162.4</v>
      </c>
      <c r="N146" s="6">
        <f>(VLOOKUP($K146,'Standard Estimate Uncertainty '!$B$10:$D$18,3)*$L146)+$L146</f>
        <v>284.2</v>
      </c>
      <c r="O146" s="6"/>
      <c r="P146" s="49"/>
      <c r="Q146" s="58"/>
      <c r="R146" s="407">
        <v>0</v>
      </c>
      <c r="S146" s="407">
        <v>0</v>
      </c>
      <c r="T146" s="407">
        <v>203</v>
      </c>
      <c r="U146" s="407">
        <v>0</v>
      </c>
      <c r="V146" s="407">
        <v>0</v>
      </c>
      <c r="W146" s="60">
        <f t="shared" si="26"/>
        <v>0</v>
      </c>
      <c r="X146" s="60">
        <f t="shared" si="27"/>
        <v>0</v>
      </c>
      <c r="Y146" s="60">
        <f t="shared" si="28"/>
        <v>0</v>
      </c>
      <c r="Z146" s="60">
        <f t="shared" si="29"/>
        <v>1</v>
      </c>
      <c r="AA146" s="60">
        <f t="shared" si="30"/>
        <v>0</v>
      </c>
      <c r="AB146" s="60">
        <f t="shared" si="31"/>
        <v>0</v>
      </c>
      <c r="AC146" s="47"/>
    </row>
    <row r="147" spans="2:29" ht="15">
      <c r="B147">
        <f t="shared" si="23"/>
      </c>
      <c r="C147">
        <f t="shared" si="24"/>
      </c>
      <c r="D147" t="s">
        <v>773</v>
      </c>
      <c r="E147" t="s">
        <v>479</v>
      </c>
      <c r="F147" t="s">
        <v>773</v>
      </c>
      <c r="G147" t="s">
        <v>479</v>
      </c>
      <c r="H147" s="47"/>
      <c r="I147" s="23" t="s">
        <v>616</v>
      </c>
      <c r="J147" s="23" t="s">
        <v>603</v>
      </c>
      <c r="K147" s="1" t="str">
        <f t="shared" si="22"/>
        <v>LM</v>
      </c>
      <c r="L147" s="57">
        <f t="shared" si="25"/>
        <v>109</v>
      </c>
      <c r="M147" s="6">
        <f>(VLOOKUP($K147,'Standard Estimate Uncertainty '!$B$10:$D$18,2)*$L147)+$L147</f>
        <v>87.2</v>
      </c>
      <c r="N147" s="6">
        <f>(VLOOKUP($K147,'Standard Estimate Uncertainty '!$B$10:$D$18,3)*$L147)+$L147</f>
        <v>152.6</v>
      </c>
      <c r="O147" s="6"/>
      <c r="P147" s="49"/>
      <c r="Q147" s="58"/>
      <c r="R147" s="407">
        <v>0</v>
      </c>
      <c r="S147" s="407">
        <v>0</v>
      </c>
      <c r="T147" s="407">
        <v>0</v>
      </c>
      <c r="U147" s="407">
        <v>109</v>
      </c>
      <c r="V147" s="407">
        <v>0</v>
      </c>
      <c r="W147" s="60">
        <f t="shared" si="26"/>
        <v>0</v>
      </c>
      <c r="X147" s="60">
        <f t="shared" si="27"/>
        <v>0</v>
      </c>
      <c r="Y147" s="60">
        <f t="shared" si="28"/>
        <v>0</v>
      </c>
      <c r="Z147" s="60">
        <f t="shared" si="29"/>
        <v>0</v>
      </c>
      <c r="AA147" s="60">
        <f t="shared" si="30"/>
        <v>1</v>
      </c>
      <c r="AB147" s="60">
        <f t="shared" si="31"/>
        <v>0</v>
      </c>
      <c r="AC147" s="47"/>
    </row>
    <row r="148" spans="2:29" ht="15">
      <c r="B148">
        <f t="shared" si="23"/>
      </c>
      <c r="C148">
        <f t="shared" si="24"/>
      </c>
      <c r="D148" t="s">
        <v>773</v>
      </c>
      <c r="E148" t="s">
        <v>480</v>
      </c>
      <c r="F148" t="s">
        <v>773</v>
      </c>
      <c r="G148" t="s">
        <v>480</v>
      </c>
      <c r="H148" s="47"/>
      <c r="I148" s="23" t="s">
        <v>616</v>
      </c>
      <c r="J148" s="23" t="s">
        <v>603</v>
      </c>
      <c r="K148" s="1" t="str">
        <f t="shared" si="22"/>
        <v>LM</v>
      </c>
      <c r="L148" s="57">
        <f t="shared" si="25"/>
        <v>37</v>
      </c>
      <c r="M148" s="6">
        <f>(VLOOKUP($K148,'Standard Estimate Uncertainty '!$B$10:$D$18,2)*$L148)+$L148</f>
        <v>29.6</v>
      </c>
      <c r="N148" s="6">
        <f>(VLOOKUP($K148,'Standard Estimate Uncertainty '!$B$10:$D$18,3)*$L148)+$L148</f>
        <v>51.8</v>
      </c>
      <c r="O148" s="6"/>
      <c r="P148" s="49"/>
      <c r="Q148" s="58"/>
      <c r="R148" s="407">
        <v>0</v>
      </c>
      <c r="S148" s="407">
        <v>0</v>
      </c>
      <c r="T148" s="407">
        <v>0</v>
      </c>
      <c r="U148" s="407">
        <v>37</v>
      </c>
      <c r="V148" s="407">
        <v>0</v>
      </c>
      <c r="W148" s="60">
        <f t="shared" si="26"/>
        <v>0</v>
      </c>
      <c r="X148" s="60">
        <f t="shared" si="27"/>
        <v>0</v>
      </c>
      <c r="Y148" s="60">
        <f t="shared" si="28"/>
        <v>0</v>
      </c>
      <c r="Z148" s="60">
        <f t="shared" si="29"/>
        <v>0</v>
      </c>
      <c r="AA148" s="60">
        <f t="shared" si="30"/>
        <v>1</v>
      </c>
      <c r="AB148" s="60">
        <f t="shared" si="31"/>
        <v>0</v>
      </c>
      <c r="AC148" s="47"/>
    </row>
    <row r="149" spans="2:29" ht="15">
      <c r="B149">
        <f t="shared" si="23"/>
      </c>
      <c r="C149">
        <f t="shared" si="24"/>
      </c>
      <c r="D149" t="s">
        <v>773</v>
      </c>
      <c r="E149" t="s">
        <v>481</v>
      </c>
      <c r="F149" t="s">
        <v>773</v>
      </c>
      <c r="G149" t="s">
        <v>481</v>
      </c>
      <c r="H149" s="47"/>
      <c r="I149" s="23" t="s">
        <v>616</v>
      </c>
      <c r="J149" s="23" t="s">
        <v>603</v>
      </c>
      <c r="K149" s="1" t="str">
        <f t="shared" si="22"/>
        <v>LM</v>
      </c>
      <c r="L149" s="57">
        <f t="shared" si="25"/>
        <v>66</v>
      </c>
      <c r="M149" s="6">
        <f>(VLOOKUP($K149,'Standard Estimate Uncertainty '!$B$10:$D$18,2)*$L149)+$L149</f>
        <v>52.8</v>
      </c>
      <c r="N149" s="6">
        <f>(VLOOKUP($K149,'Standard Estimate Uncertainty '!$B$10:$D$18,3)*$L149)+$L149</f>
        <v>92.4</v>
      </c>
      <c r="O149" s="6"/>
      <c r="P149" s="49"/>
      <c r="Q149" s="58"/>
      <c r="R149" s="407">
        <v>0</v>
      </c>
      <c r="S149" s="407">
        <v>0</v>
      </c>
      <c r="T149" s="407">
        <v>0</v>
      </c>
      <c r="U149" s="407">
        <v>66</v>
      </c>
      <c r="V149" s="407">
        <v>0</v>
      </c>
      <c r="W149" s="60">
        <f t="shared" si="26"/>
        <v>0</v>
      </c>
      <c r="X149" s="60">
        <f t="shared" si="27"/>
        <v>0</v>
      </c>
      <c r="Y149" s="60">
        <f t="shared" si="28"/>
        <v>0</v>
      </c>
      <c r="Z149" s="60">
        <f t="shared" si="29"/>
        <v>0</v>
      </c>
      <c r="AA149" s="60">
        <f t="shared" si="30"/>
        <v>1</v>
      </c>
      <c r="AB149" s="60">
        <f t="shared" si="31"/>
        <v>0</v>
      </c>
      <c r="AC149" s="47"/>
    </row>
    <row r="150" spans="2:29" ht="15">
      <c r="B150">
        <f t="shared" si="23"/>
      </c>
      <c r="C150">
        <f t="shared" si="24"/>
      </c>
      <c r="D150" t="s">
        <v>773</v>
      </c>
      <c r="E150" t="s">
        <v>482</v>
      </c>
      <c r="F150" t="s">
        <v>773</v>
      </c>
      <c r="G150" t="s">
        <v>482</v>
      </c>
      <c r="H150" s="47"/>
      <c r="I150" s="23" t="s">
        <v>616</v>
      </c>
      <c r="J150" s="23" t="s">
        <v>603</v>
      </c>
      <c r="K150" s="1" t="str">
        <f t="shared" si="22"/>
        <v>LM</v>
      </c>
      <c r="L150" s="57">
        <f t="shared" si="25"/>
        <v>283</v>
      </c>
      <c r="M150" s="6">
        <f>(VLOOKUP($K150,'Standard Estimate Uncertainty '!$B$10:$D$18,2)*$L150)+$L150</f>
        <v>226.4</v>
      </c>
      <c r="N150" s="6">
        <f>(VLOOKUP($K150,'Standard Estimate Uncertainty '!$B$10:$D$18,3)*$L150)+$L150</f>
        <v>396.2</v>
      </c>
      <c r="O150" s="6"/>
      <c r="P150" s="49"/>
      <c r="Q150" s="58"/>
      <c r="R150" s="407">
        <v>0</v>
      </c>
      <c r="S150" s="407">
        <v>0</v>
      </c>
      <c r="T150" s="407">
        <v>0</v>
      </c>
      <c r="U150" s="407">
        <v>283</v>
      </c>
      <c r="V150" s="407">
        <v>0</v>
      </c>
      <c r="W150" s="60">
        <f t="shared" si="26"/>
        <v>0</v>
      </c>
      <c r="X150" s="60">
        <f t="shared" si="27"/>
        <v>0</v>
      </c>
      <c r="Y150" s="60">
        <f t="shared" si="28"/>
        <v>0</v>
      </c>
      <c r="Z150" s="60">
        <f t="shared" si="29"/>
        <v>0</v>
      </c>
      <c r="AA150" s="60">
        <f t="shared" si="30"/>
        <v>1</v>
      </c>
      <c r="AB150" s="60">
        <f t="shared" si="31"/>
        <v>0</v>
      </c>
      <c r="AC150" s="47"/>
    </row>
    <row r="151" spans="2:29" ht="15">
      <c r="B151">
        <f t="shared" si="23"/>
      </c>
      <c r="C151">
        <f t="shared" si="24"/>
      </c>
      <c r="D151" t="s">
        <v>773</v>
      </c>
      <c r="E151" t="s">
        <v>483</v>
      </c>
      <c r="F151" t="s">
        <v>773</v>
      </c>
      <c r="G151" t="s">
        <v>483</v>
      </c>
      <c r="H151" s="47"/>
      <c r="I151" s="23" t="s">
        <v>616</v>
      </c>
      <c r="J151" s="23" t="s">
        <v>603</v>
      </c>
      <c r="K151" s="1" t="str">
        <f t="shared" si="22"/>
        <v>LM</v>
      </c>
      <c r="L151" s="57">
        <f t="shared" si="25"/>
        <v>279</v>
      </c>
      <c r="M151" s="6">
        <f>(VLOOKUP($K151,'Standard Estimate Uncertainty '!$B$10:$D$18,2)*$L151)+$L151</f>
        <v>223.2</v>
      </c>
      <c r="N151" s="6">
        <f>(VLOOKUP($K151,'Standard Estimate Uncertainty '!$B$10:$D$18,3)*$L151)+$L151</f>
        <v>390.6</v>
      </c>
      <c r="O151" s="6"/>
      <c r="P151" s="49"/>
      <c r="Q151" s="58"/>
      <c r="R151" s="407">
        <v>0</v>
      </c>
      <c r="S151" s="407">
        <v>0</v>
      </c>
      <c r="T151" s="407">
        <v>0</v>
      </c>
      <c r="U151" s="407">
        <v>123</v>
      </c>
      <c r="V151" s="407">
        <v>156</v>
      </c>
      <c r="W151" s="60">
        <f t="shared" si="26"/>
        <v>0</v>
      </c>
      <c r="X151" s="60">
        <f t="shared" si="27"/>
        <v>0</v>
      </c>
      <c r="Y151" s="60">
        <f t="shared" si="28"/>
        <v>0</v>
      </c>
      <c r="Z151" s="60">
        <f t="shared" si="29"/>
        <v>0</v>
      </c>
      <c r="AA151" s="60">
        <f t="shared" si="30"/>
        <v>0.44086021505376344</v>
      </c>
      <c r="AB151" s="60">
        <f t="shared" si="31"/>
        <v>0.5591397849462365</v>
      </c>
      <c r="AC151" s="47"/>
    </row>
    <row r="152" spans="2:29" ht="15">
      <c r="B152">
        <f t="shared" si="23"/>
      </c>
      <c r="C152">
        <f t="shared" si="24"/>
      </c>
      <c r="D152" t="s">
        <v>773</v>
      </c>
      <c r="E152" t="s">
        <v>484</v>
      </c>
      <c r="F152" t="s">
        <v>773</v>
      </c>
      <c r="G152" t="s">
        <v>484</v>
      </c>
      <c r="H152" s="47"/>
      <c r="I152" s="23" t="s">
        <v>616</v>
      </c>
      <c r="J152" s="23" t="s">
        <v>603</v>
      </c>
      <c r="K152" s="1" t="str">
        <f t="shared" si="22"/>
        <v>LM</v>
      </c>
      <c r="L152" s="57">
        <f t="shared" si="25"/>
        <v>551</v>
      </c>
      <c r="M152" s="6">
        <f>(VLOOKUP($K152,'Standard Estimate Uncertainty '!$B$10:$D$18,2)*$L152)+$L152</f>
        <v>440.8</v>
      </c>
      <c r="N152" s="6">
        <f>(VLOOKUP($K152,'Standard Estimate Uncertainty '!$B$10:$D$18,3)*$L152)+$L152</f>
        <v>771.4</v>
      </c>
      <c r="O152" s="6"/>
      <c r="P152" s="49"/>
      <c r="Q152" s="58"/>
      <c r="R152" s="407">
        <v>0</v>
      </c>
      <c r="S152" s="407">
        <v>0</v>
      </c>
      <c r="T152" s="407">
        <v>0</v>
      </c>
      <c r="U152" s="407">
        <v>94</v>
      </c>
      <c r="V152" s="407">
        <v>457</v>
      </c>
      <c r="W152" s="60">
        <f t="shared" si="26"/>
        <v>0</v>
      </c>
      <c r="X152" s="60">
        <f t="shared" si="27"/>
        <v>0</v>
      </c>
      <c r="Y152" s="60">
        <f t="shared" si="28"/>
        <v>0</v>
      </c>
      <c r="Z152" s="60">
        <f t="shared" si="29"/>
        <v>0</v>
      </c>
      <c r="AA152" s="60">
        <f t="shared" si="30"/>
        <v>0.1705989110707804</v>
      </c>
      <c r="AB152" s="60">
        <f t="shared" si="31"/>
        <v>0.8294010889292196</v>
      </c>
      <c r="AC152" s="47"/>
    </row>
    <row r="153" spans="2:29" ht="15">
      <c r="B153">
        <f t="shared" si="23"/>
      </c>
      <c r="C153">
        <f t="shared" si="24"/>
      </c>
      <c r="D153" t="s">
        <v>773</v>
      </c>
      <c r="E153" t="s">
        <v>462</v>
      </c>
      <c r="F153" t="s">
        <v>773</v>
      </c>
      <c r="G153" t="s">
        <v>462</v>
      </c>
      <c r="H153" s="47"/>
      <c r="I153" s="23" t="s">
        <v>616</v>
      </c>
      <c r="J153" s="23" t="s">
        <v>603</v>
      </c>
      <c r="K153" s="1" t="str">
        <f t="shared" si="22"/>
        <v>LM</v>
      </c>
      <c r="L153" s="57">
        <f t="shared" si="25"/>
        <v>110</v>
      </c>
      <c r="M153" s="6">
        <f>(VLOOKUP($K153,'Standard Estimate Uncertainty '!$B$10:$D$18,2)*$L153)+$L153</f>
        <v>88</v>
      </c>
      <c r="N153" s="6">
        <f>(VLOOKUP($K153,'Standard Estimate Uncertainty '!$B$10:$D$18,3)*$L153)+$L153</f>
        <v>154</v>
      </c>
      <c r="O153" s="6"/>
      <c r="P153" s="49"/>
      <c r="Q153" s="58"/>
      <c r="R153" s="407">
        <v>0</v>
      </c>
      <c r="S153" s="407">
        <v>0</v>
      </c>
      <c r="T153" s="407">
        <v>110</v>
      </c>
      <c r="U153" s="407">
        <v>0</v>
      </c>
      <c r="V153" s="407">
        <v>0</v>
      </c>
      <c r="W153" s="60">
        <f t="shared" si="26"/>
        <v>0</v>
      </c>
      <c r="X153" s="60">
        <f t="shared" si="27"/>
        <v>0</v>
      </c>
      <c r="Y153" s="60">
        <f t="shared" si="28"/>
        <v>0</v>
      </c>
      <c r="Z153" s="60">
        <f t="shared" si="29"/>
        <v>1</v>
      </c>
      <c r="AA153" s="60">
        <f t="shared" si="30"/>
        <v>0</v>
      </c>
      <c r="AB153" s="60">
        <f t="shared" si="31"/>
        <v>0</v>
      </c>
      <c r="AC153" s="47"/>
    </row>
    <row r="154" spans="2:29" ht="15">
      <c r="B154">
        <f t="shared" si="23"/>
      </c>
      <c r="C154">
        <f t="shared" si="24"/>
      </c>
      <c r="D154" t="s">
        <v>773</v>
      </c>
      <c r="E154" t="s">
        <v>463</v>
      </c>
      <c r="F154" t="s">
        <v>773</v>
      </c>
      <c r="G154" t="s">
        <v>463</v>
      </c>
      <c r="H154" s="47"/>
      <c r="I154" s="23" t="s">
        <v>616</v>
      </c>
      <c r="J154" s="23" t="s">
        <v>603</v>
      </c>
      <c r="K154" s="1" t="str">
        <f t="shared" si="22"/>
        <v>LM</v>
      </c>
      <c r="L154" s="57">
        <f t="shared" si="25"/>
        <v>206</v>
      </c>
      <c r="M154" s="6">
        <f>(VLOOKUP($K154,'Standard Estimate Uncertainty '!$B$10:$D$18,2)*$L154)+$L154</f>
        <v>164.8</v>
      </c>
      <c r="N154" s="6">
        <f>(VLOOKUP($K154,'Standard Estimate Uncertainty '!$B$10:$D$18,3)*$L154)+$L154</f>
        <v>288.4</v>
      </c>
      <c r="O154" s="6"/>
      <c r="P154" s="49"/>
      <c r="Q154" s="58"/>
      <c r="R154" s="407">
        <v>0</v>
      </c>
      <c r="S154" s="407">
        <v>0</v>
      </c>
      <c r="T154" s="407">
        <v>206</v>
      </c>
      <c r="U154" s="407">
        <v>0</v>
      </c>
      <c r="V154" s="407">
        <v>0</v>
      </c>
      <c r="W154" s="60">
        <f t="shared" si="26"/>
        <v>0</v>
      </c>
      <c r="X154" s="60">
        <f t="shared" si="27"/>
        <v>0</v>
      </c>
      <c r="Y154" s="60">
        <f t="shared" si="28"/>
        <v>0</v>
      </c>
      <c r="Z154" s="60">
        <f t="shared" si="29"/>
        <v>1</v>
      </c>
      <c r="AA154" s="60">
        <f t="shared" si="30"/>
        <v>0</v>
      </c>
      <c r="AB154" s="60">
        <f t="shared" si="31"/>
        <v>0</v>
      </c>
      <c r="AC154" s="47"/>
    </row>
    <row r="155" spans="2:29" ht="15">
      <c r="B155">
        <f t="shared" si="23"/>
      </c>
      <c r="C155">
        <f t="shared" si="24"/>
      </c>
      <c r="D155" t="s">
        <v>773</v>
      </c>
      <c r="E155" t="s">
        <v>464</v>
      </c>
      <c r="F155" t="s">
        <v>773</v>
      </c>
      <c r="G155" t="s">
        <v>464</v>
      </c>
      <c r="H155" s="47"/>
      <c r="I155" s="23" t="s">
        <v>616</v>
      </c>
      <c r="J155" s="23" t="s">
        <v>603</v>
      </c>
      <c r="K155" s="1" t="str">
        <f t="shared" si="22"/>
        <v>LM</v>
      </c>
      <c r="L155" s="57">
        <f t="shared" si="25"/>
        <v>68</v>
      </c>
      <c r="M155" s="6">
        <f>(VLOOKUP($K155,'Standard Estimate Uncertainty '!$B$10:$D$18,2)*$L155)+$L155</f>
        <v>54.4</v>
      </c>
      <c r="N155" s="6">
        <f>(VLOOKUP($K155,'Standard Estimate Uncertainty '!$B$10:$D$18,3)*$L155)+$L155</f>
        <v>95.2</v>
      </c>
      <c r="O155" s="6"/>
      <c r="P155" s="49"/>
      <c r="Q155" s="58"/>
      <c r="R155" s="407">
        <v>0</v>
      </c>
      <c r="S155" s="407">
        <v>0</v>
      </c>
      <c r="T155" s="407">
        <v>68</v>
      </c>
      <c r="U155" s="407">
        <v>0</v>
      </c>
      <c r="V155" s="407">
        <v>0</v>
      </c>
      <c r="W155" s="60">
        <f t="shared" si="26"/>
        <v>0</v>
      </c>
      <c r="X155" s="60">
        <f t="shared" si="27"/>
        <v>0</v>
      </c>
      <c r="Y155" s="60">
        <f t="shared" si="28"/>
        <v>0</v>
      </c>
      <c r="Z155" s="60">
        <f t="shared" si="29"/>
        <v>1</v>
      </c>
      <c r="AA155" s="60">
        <f t="shared" si="30"/>
        <v>0</v>
      </c>
      <c r="AB155" s="60">
        <f t="shared" si="31"/>
        <v>0</v>
      </c>
      <c r="AC155" s="47"/>
    </row>
    <row r="156" spans="2:29" ht="15">
      <c r="B156">
        <f t="shared" si="23"/>
      </c>
      <c r="C156">
        <f t="shared" si="24"/>
      </c>
      <c r="D156" t="s">
        <v>773</v>
      </c>
      <c r="E156" t="s">
        <v>465</v>
      </c>
      <c r="F156" t="s">
        <v>773</v>
      </c>
      <c r="G156" t="s">
        <v>465</v>
      </c>
      <c r="H156" s="47"/>
      <c r="I156" s="23" t="s">
        <v>616</v>
      </c>
      <c r="J156" s="23" t="s">
        <v>603</v>
      </c>
      <c r="K156" s="1" t="str">
        <f t="shared" si="22"/>
        <v>LM</v>
      </c>
      <c r="L156" s="57">
        <f t="shared" si="25"/>
        <v>160</v>
      </c>
      <c r="M156" s="6">
        <f>(VLOOKUP($K156,'Standard Estimate Uncertainty '!$B$10:$D$18,2)*$L156)+$L156</f>
        <v>128</v>
      </c>
      <c r="N156" s="6">
        <f>(VLOOKUP($K156,'Standard Estimate Uncertainty '!$B$10:$D$18,3)*$L156)+$L156</f>
        <v>224</v>
      </c>
      <c r="O156" s="6"/>
      <c r="P156" s="49"/>
      <c r="Q156" s="58"/>
      <c r="R156" s="407">
        <v>0</v>
      </c>
      <c r="S156" s="407">
        <v>0</v>
      </c>
      <c r="T156" s="407">
        <v>112</v>
      </c>
      <c r="U156" s="407">
        <v>48</v>
      </c>
      <c r="V156" s="407">
        <v>0</v>
      </c>
      <c r="W156" s="60">
        <f t="shared" si="26"/>
        <v>0</v>
      </c>
      <c r="X156" s="60">
        <f t="shared" si="27"/>
        <v>0</v>
      </c>
      <c r="Y156" s="60">
        <f t="shared" si="28"/>
        <v>0</v>
      </c>
      <c r="Z156" s="60">
        <f t="shared" si="29"/>
        <v>0.7</v>
      </c>
      <c r="AA156" s="60">
        <f t="shared" si="30"/>
        <v>0.3</v>
      </c>
      <c r="AB156" s="60">
        <f t="shared" si="31"/>
        <v>0</v>
      </c>
      <c r="AC156" s="47"/>
    </row>
    <row r="157" spans="2:29" ht="15">
      <c r="B157">
        <f t="shared" si="23"/>
      </c>
      <c r="C157">
        <f t="shared" si="24"/>
      </c>
      <c r="D157" t="s">
        <v>773</v>
      </c>
      <c r="E157" t="s">
        <v>466</v>
      </c>
      <c r="F157" t="s">
        <v>773</v>
      </c>
      <c r="G157" t="s">
        <v>466</v>
      </c>
      <c r="H157" s="47"/>
      <c r="I157" s="23" t="s">
        <v>616</v>
      </c>
      <c r="J157" s="23" t="s">
        <v>603</v>
      </c>
      <c r="K157" s="1" t="str">
        <f t="shared" si="22"/>
        <v>LM</v>
      </c>
      <c r="L157" s="57">
        <f t="shared" si="25"/>
        <v>67</v>
      </c>
      <c r="M157" s="6">
        <f>(VLOOKUP($K157,'Standard Estimate Uncertainty '!$B$10:$D$18,2)*$L157)+$L157</f>
        <v>53.6</v>
      </c>
      <c r="N157" s="6">
        <f>(VLOOKUP($K157,'Standard Estimate Uncertainty '!$B$10:$D$18,3)*$L157)+$L157</f>
        <v>93.8</v>
      </c>
      <c r="O157" s="6"/>
      <c r="P157" s="49"/>
      <c r="Q157" s="58"/>
      <c r="R157" s="407">
        <v>0</v>
      </c>
      <c r="S157" s="407">
        <v>0</v>
      </c>
      <c r="T157" s="407">
        <v>67</v>
      </c>
      <c r="U157" s="407">
        <v>0</v>
      </c>
      <c r="V157" s="407">
        <v>0</v>
      </c>
      <c r="W157" s="60">
        <f t="shared" si="26"/>
        <v>0</v>
      </c>
      <c r="X157" s="60">
        <f t="shared" si="27"/>
        <v>0</v>
      </c>
      <c r="Y157" s="60">
        <f t="shared" si="28"/>
        <v>0</v>
      </c>
      <c r="Z157" s="60">
        <f t="shared" si="29"/>
        <v>1</v>
      </c>
      <c r="AA157" s="60">
        <f t="shared" si="30"/>
        <v>0</v>
      </c>
      <c r="AB157" s="60">
        <f t="shared" si="31"/>
        <v>0</v>
      </c>
      <c r="AC157" s="47"/>
    </row>
    <row r="158" spans="2:29" ht="15">
      <c r="B158">
        <f t="shared" si="23"/>
      </c>
      <c r="C158">
        <f t="shared" si="24"/>
      </c>
      <c r="D158" t="s">
        <v>773</v>
      </c>
      <c r="E158" t="s">
        <v>467</v>
      </c>
      <c r="F158" t="s">
        <v>773</v>
      </c>
      <c r="G158" t="s">
        <v>467</v>
      </c>
      <c r="H158" s="47"/>
      <c r="I158" s="23" t="s">
        <v>616</v>
      </c>
      <c r="J158" s="23" t="s">
        <v>603</v>
      </c>
      <c r="K158" s="1" t="str">
        <f t="shared" si="22"/>
        <v>LM</v>
      </c>
      <c r="L158" s="57">
        <f t="shared" si="25"/>
        <v>66</v>
      </c>
      <c r="M158" s="6">
        <f>(VLOOKUP($K158,'Standard Estimate Uncertainty '!$B$10:$D$18,2)*$L158)+$L158</f>
        <v>52.8</v>
      </c>
      <c r="N158" s="6">
        <f>(VLOOKUP($K158,'Standard Estimate Uncertainty '!$B$10:$D$18,3)*$L158)+$L158</f>
        <v>92.4</v>
      </c>
      <c r="O158" s="6"/>
      <c r="P158" s="49"/>
      <c r="Q158" s="58"/>
      <c r="R158" s="407">
        <v>0</v>
      </c>
      <c r="S158" s="407">
        <v>0</v>
      </c>
      <c r="T158" s="407">
        <v>66</v>
      </c>
      <c r="U158" s="407">
        <v>0</v>
      </c>
      <c r="V158" s="407">
        <v>0</v>
      </c>
      <c r="W158" s="60">
        <f t="shared" si="26"/>
        <v>0</v>
      </c>
      <c r="X158" s="60">
        <f t="shared" si="27"/>
        <v>0</v>
      </c>
      <c r="Y158" s="60">
        <f t="shared" si="28"/>
        <v>0</v>
      </c>
      <c r="Z158" s="60">
        <f t="shared" si="29"/>
        <v>1</v>
      </c>
      <c r="AA158" s="60">
        <f t="shared" si="30"/>
        <v>0</v>
      </c>
      <c r="AB158" s="60">
        <f t="shared" si="31"/>
        <v>0</v>
      </c>
      <c r="AC158" s="47"/>
    </row>
    <row r="159" spans="2:29" ht="15">
      <c r="B159">
        <f t="shared" si="23"/>
      </c>
      <c r="C159">
        <f t="shared" si="24"/>
      </c>
      <c r="D159" t="s">
        <v>773</v>
      </c>
      <c r="E159" t="s">
        <v>468</v>
      </c>
      <c r="F159" t="s">
        <v>773</v>
      </c>
      <c r="G159" t="s">
        <v>468</v>
      </c>
      <c r="H159" s="47"/>
      <c r="I159" s="23" t="s">
        <v>616</v>
      </c>
      <c r="J159" s="23" t="s">
        <v>603</v>
      </c>
      <c r="K159" s="1" t="str">
        <f t="shared" si="22"/>
        <v>LM</v>
      </c>
      <c r="L159" s="57">
        <f t="shared" si="25"/>
        <v>11</v>
      </c>
      <c r="M159" s="6">
        <f>(VLOOKUP($K159,'Standard Estimate Uncertainty '!$B$10:$D$18,2)*$L159)+$L159</f>
        <v>8.8</v>
      </c>
      <c r="N159" s="6">
        <f>(VLOOKUP($K159,'Standard Estimate Uncertainty '!$B$10:$D$18,3)*$L159)+$L159</f>
        <v>15.4</v>
      </c>
      <c r="O159" s="6"/>
      <c r="P159" s="49"/>
      <c r="Q159" s="58"/>
      <c r="R159" s="407">
        <v>0</v>
      </c>
      <c r="S159" s="407">
        <v>0</v>
      </c>
      <c r="T159" s="407">
        <v>11</v>
      </c>
      <c r="U159" s="407">
        <v>0</v>
      </c>
      <c r="V159" s="407">
        <v>0</v>
      </c>
      <c r="W159" s="60">
        <f t="shared" si="26"/>
        <v>0</v>
      </c>
      <c r="X159" s="60">
        <f t="shared" si="27"/>
        <v>0</v>
      </c>
      <c r="Y159" s="60">
        <f t="shared" si="28"/>
        <v>0</v>
      </c>
      <c r="Z159" s="60">
        <f t="shared" si="29"/>
        <v>1</v>
      </c>
      <c r="AA159" s="60">
        <f t="shared" si="30"/>
        <v>0</v>
      </c>
      <c r="AB159" s="60">
        <f t="shared" si="31"/>
        <v>0</v>
      </c>
      <c r="AC159" s="47"/>
    </row>
    <row r="160" spans="1:29" ht="15">
      <c r="A160">
        <v>76</v>
      </c>
      <c r="B160">
        <f t="shared" si="23"/>
      </c>
      <c r="C160">
        <f t="shared" si="24"/>
      </c>
      <c r="D160" t="s">
        <v>774</v>
      </c>
      <c r="E160" t="s">
        <v>647</v>
      </c>
      <c r="F160" t="s">
        <v>774</v>
      </c>
      <c r="G160" t="s">
        <v>647</v>
      </c>
      <c r="H160" s="47"/>
      <c r="I160" s="23" t="s">
        <v>602</v>
      </c>
      <c r="J160" s="23" t="s">
        <v>616</v>
      </c>
      <c r="K160" s="1" t="str">
        <f aca="true" t="shared" si="32" ref="K160:K172">CONCATENATE(I160,J160)</f>
        <v>HL</v>
      </c>
      <c r="L160" s="57">
        <f t="shared" si="25"/>
        <v>406</v>
      </c>
      <c r="M160" s="6">
        <f>(VLOOKUP($K160,'Standard Estimate Uncertainty '!$B$10:$D$18,2)*$L160)+$L160</f>
        <v>385.7</v>
      </c>
      <c r="N160" s="6">
        <f>(VLOOKUP($K160,'Standard Estimate Uncertainty '!$B$10:$D$18,3)*$L160)+$L160</f>
        <v>446.6</v>
      </c>
      <c r="O160" s="6"/>
      <c r="P160" s="49"/>
      <c r="Q160" s="58"/>
      <c r="R160" s="407">
        <v>0</v>
      </c>
      <c r="S160" s="407">
        <v>0</v>
      </c>
      <c r="T160" s="407">
        <v>168</v>
      </c>
      <c r="U160" s="407">
        <v>238</v>
      </c>
      <c r="V160" s="407">
        <v>0</v>
      </c>
      <c r="W160" s="60">
        <f t="shared" si="26"/>
        <v>0</v>
      </c>
      <c r="X160" s="60">
        <f t="shared" si="27"/>
        <v>0</v>
      </c>
      <c r="Y160" s="60">
        <f t="shared" si="28"/>
        <v>0</v>
      </c>
      <c r="Z160" s="60">
        <f t="shared" si="29"/>
        <v>0.41379310344827586</v>
      </c>
      <c r="AA160" s="60">
        <f t="shared" si="30"/>
        <v>0.5862068965517241</v>
      </c>
      <c r="AB160" s="60">
        <f t="shared" si="31"/>
        <v>0</v>
      </c>
      <c r="AC160" s="47"/>
    </row>
    <row r="161" spans="1:29" ht="15">
      <c r="A161">
        <v>81</v>
      </c>
      <c r="B161">
        <f t="shared" si="23"/>
      </c>
      <c r="C161">
        <f t="shared" si="24"/>
      </c>
      <c r="D161" t="s">
        <v>485</v>
      </c>
      <c r="E161" t="s">
        <v>647</v>
      </c>
      <c r="F161" t="s">
        <v>485</v>
      </c>
      <c r="G161" t="s">
        <v>647</v>
      </c>
      <c r="H161" s="47"/>
      <c r="I161" s="23" t="s">
        <v>602</v>
      </c>
      <c r="J161" s="23" t="s">
        <v>616</v>
      </c>
      <c r="K161" s="1" t="str">
        <f t="shared" si="32"/>
        <v>HL</v>
      </c>
      <c r="L161" s="57">
        <f t="shared" si="25"/>
        <v>4156</v>
      </c>
      <c r="M161" s="6">
        <f>(VLOOKUP($K161,'Standard Estimate Uncertainty '!$B$10:$D$18,2)*$L161)+$L161</f>
        <v>3948.2</v>
      </c>
      <c r="N161" s="6">
        <f>(VLOOKUP($K161,'Standard Estimate Uncertainty '!$B$10:$D$18,3)*$L161)+$L161</f>
        <v>4571.6</v>
      </c>
      <c r="O161" s="6"/>
      <c r="P161" s="49"/>
      <c r="Q161" s="58"/>
      <c r="R161" s="407">
        <v>813</v>
      </c>
      <c r="S161" s="407">
        <v>1313</v>
      </c>
      <c r="T161" s="407">
        <v>1176</v>
      </c>
      <c r="U161" s="407">
        <v>736</v>
      </c>
      <c r="V161" s="407">
        <v>118</v>
      </c>
      <c r="W161" s="60">
        <f t="shared" si="26"/>
        <v>0</v>
      </c>
      <c r="X161" s="60">
        <f t="shared" si="27"/>
        <v>0.19562078922040424</v>
      </c>
      <c r="Y161" s="60">
        <f t="shared" si="28"/>
        <v>0.3159287776708373</v>
      </c>
      <c r="Z161" s="60">
        <f t="shared" si="29"/>
        <v>0.2829643888354187</v>
      </c>
      <c r="AA161" s="60">
        <f t="shared" si="30"/>
        <v>0.17709335899903753</v>
      </c>
      <c r="AB161" s="60">
        <f t="shared" si="31"/>
        <v>0.028392685274302214</v>
      </c>
      <c r="AC161" s="47"/>
    </row>
    <row r="162" spans="2:29" ht="15">
      <c r="B162">
        <f t="shared" si="23"/>
      </c>
      <c r="C162">
        <f t="shared" si="24"/>
      </c>
      <c r="D162" t="s">
        <v>485</v>
      </c>
      <c r="E162" t="s">
        <v>664</v>
      </c>
      <c r="F162" t="s">
        <v>485</v>
      </c>
      <c r="G162" t="s">
        <v>664</v>
      </c>
      <c r="H162" s="47"/>
      <c r="I162" s="23" t="s">
        <v>784</v>
      </c>
      <c r="J162" s="64"/>
      <c r="K162" s="1" t="str">
        <f t="shared" si="32"/>
        <v>FROZEN</v>
      </c>
      <c r="L162" s="57">
        <f t="shared" si="25"/>
        <v>0</v>
      </c>
      <c r="M162" s="392" t="s">
        <v>784</v>
      </c>
      <c r="N162" s="392"/>
      <c r="O162" s="6"/>
      <c r="P162" s="49"/>
      <c r="Q162" s="58"/>
      <c r="R162" s="407">
        <v>0</v>
      </c>
      <c r="S162" s="407">
        <v>0</v>
      </c>
      <c r="T162" s="407">
        <v>0</v>
      </c>
      <c r="U162" s="407">
        <v>0</v>
      </c>
      <c r="V162" s="407">
        <v>0</v>
      </c>
      <c r="W162" s="60" t="e">
        <f t="shared" si="26"/>
        <v>#DIV/0!</v>
      </c>
      <c r="X162" s="60" t="e">
        <f t="shared" si="27"/>
        <v>#DIV/0!</v>
      </c>
      <c r="Y162" s="60" t="e">
        <f t="shared" si="28"/>
        <v>#DIV/0!</v>
      </c>
      <c r="Z162" s="60" t="e">
        <f t="shared" si="29"/>
        <v>#DIV/0!</v>
      </c>
      <c r="AA162" s="60" t="e">
        <f t="shared" si="30"/>
        <v>#DIV/0!</v>
      </c>
      <c r="AB162" s="60" t="e">
        <f t="shared" si="31"/>
        <v>#DIV/0!</v>
      </c>
      <c r="AC162" s="47"/>
    </row>
    <row r="163" spans="2:29" ht="15">
      <c r="B163">
        <f t="shared" si="23"/>
      </c>
      <c r="C163">
        <f t="shared" si="24"/>
      </c>
      <c r="D163" t="s">
        <v>775</v>
      </c>
      <c r="E163" t="s">
        <v>647</v>
      </c>
      <c r="F163" t="s">
        <v>775</v>
      </c>
      <c r="G163" t="s">
        <v>647</v>
      </c>
      <c r="H163" s="47"/>
      <c r="I163" s="23" t="s">
        <v>602</v>
      </c>
      <c r="J163" s="23" t="s">
        <v>616</v>
      </c>
      <c r="K163" s="1" t="str">
        <f t="shared" si="32"/>
        <v>HL</v>
      </c>
      <c r="L163" s="57">
        <f t="shared" si="25"/>
        <v>661</v>
      </c>
      <c r="M163" s="6">
        <f>(VLOOKUP($K163,'Standard Estimate Uncertainty '!$B$10:$D$18,2)*$L163)+$L163</f>
        <v>627.95</v>
      </c>
      <c r="N163" s="6">
        <f>(VLOOKUP($K163,'Standard Estimate Uncertainty '!$B$10:$D$18,3)*$L163)+$L163</f>
        <v>727.1</v>
      </c>
      <c r="O163" s="6"/>
      <c r="P163" s="49"/>
      <c r="Q163" s="58"/>
      <c r="R163" s="407">
        <v>217</v>
      </c>
      <c r="S163" s="407">
        <v>199</v>
      </c>
      <c r="T163" s="407">
        <v>144</v>
      </c>
      <c r="U163" s="407">
        <v>84</v>
      </c>
      <c r="V163" s="407">
        <v>17</v>
      </c>
      <c r="W163" s="60">
        <f t="shared" si="26"/>
        <v>0</v>
      </c>
      <c r="X163" s="60">
        <f t="shared" si="27"/>
        <v>0.32829046898638425</v>
      </c>
      <c r="Y163" s="60">
        <f t="shared" si="28"/>
        <v>0.3010590015128593</v>
      </c>
      <c r="Z163" s="60">
        <f t="shared" si="29"/>
        <v>0.2178517397881997</v>
      </c>
      <c r="AA163" s="60">
        <f t="shared" si="30"/>
        <v>0.12708018154311648</v>
      </c>
      <c r="AB163" s="60">
        <f t="shared" si="31"/>
        <v>0.025718608169440244</v>
      </c>
      <c r="AC163" s="47"/>
    </row>
    <row r="164" spans="1:29" ht="15">
      <c r="A164">
        <v>82</v>
      </c>
      <c r="B164">
        <f t="shared" si="23"/>
      </c>
      <c r="C164">
        <f t="shared" si="24"/>
      </c>
      <c r="D164" t="s">
        <v>486</v>
      </c>
      <c r="E164" t="s">
        <v>647</v>
      </c>
      <c r="F164" t="s">
        <v>486</v>
      </c>
      <c r="G164" t="s">
        <v>647</v>
      </c>
      <c r="H164" s="47"/>
      <c r="I164" s="23" t="s">
        <v>602</v>
      </c>
      <c r="J164" s="23" t="s">
        <v>616</v>
      </c>
      <c r="K164" s="1" t="str">
        <f t="shared" si="32"/>
        <v>HL</v>
      </c>
      <c r="L164" s="57">
        <f t="shared" si="25"/>
        <v>3253</v>
      </c>
      <c r="M164" s="6">
        <f>(VLOOKUP($K164,'Standard Estimate Uncertainty '!$B$10:$D$18,2)*$L164)+$L164</f>
        <v>3090.35</v>
      </c>
      <c r="N164" s="6">
        <f>(VLOOKUP($K164,'Standard Estimate Uncertainty '!$B$10:$D$18,3)*$L164)+$L164</f>
        <v>3578.3</v>
      </c>
      <c r="O164" s="6"/>
      <c r="P164" s="49"/>
      <c r="Q164" s="58"/>
      <c r="R164" s="407">
        <v>552</v>
      </c>
      <c r="S164" s="407">
        <v>880</v>
      </c>
      <c r="T164" s="407">
        <v>898</v>
      </c>
      <c r="U164" s="407">
        <v>823</v>
      </c>
      <c r="V164" s="407">
        <v>100</v>
      </c>
      <c r="W164" s="60">
        <f t="shared" si="26"/>
        <v>0</v>
      </c>
      <c r="X164" s="60">
        <f t="shared" si="27"/>
        <v>0.16968951736858284</v>
      </c>
      <c r="Y164" s="60">
        <f t="shared" si="28"/>
        <v>0.2705195204426683</v>
      </c>
      <c r="Z164" s="60">
        <f t="shared" si="29"/>
        <v>0.2760528742699047</v>
      </c>
      <c r="AA164" s="60">
        <f t="shared" si="30"/>
        <v>0.2529972333230864</v>
      </c>
      <c r="AB164" s="60">
        <f t="shared" si="31"/>
        <v>0.03074085459575776</v>
      </c>
      <c r="AC164" s="47"/>
    </row>
    <row r="165" spans="2:29" ht="15">
      <c r="B165">
        <f t="shared" si="23"/>
      </c>
      <c r="C165">
        <f t="shared" si="24"/>
      </c>
      <c r="D165" t="s">
        <v>776</v>
      </c>
      <c r="E165" t="s">
        <v>647</v>
      </c>
      <c r="F165" t="s">
        <v>776</v>
      </c>
      <c r="G165" t="s">
        <v>647</v>
      </c>
      <c r="H165" s="47"/>
      <c r="I165" s="23" t="s">
        <v>603</v>
      </c>
      <c r="J165" s="23" t="s">
        <v>603</v>
      </c>
      <c r="K165" s="1" t="str">
        <f t="shared" si="32"/>
        <v>MM</v>
      </c>
      <c r="L165" s="57">
        <f t="shared" si="25"/>
        <v>2583</v>
      </c>
      <c r="M165" s="6">
        <f>(VLOOKUP($K165,'Standard Estimate Uncertainty '!$B$10:$D$18,2)*$L165)+$L165</f>
        <v>2195.55</v>
      </c>
      <c r="N165" s="6">
        <f>(VLOOKUP($K165,'Standard Estimate Uncertainty '!$B$10:$D$18,3)*$L165)+$L165</f>
        <v>3228.75</v>
      </c>
      <c r="O165" s="6"/>
      <c r="P165" s="49"/>
      <c r="Q165" s="58"/>
      <c r="R165" s="407">
        <v>225</v>
      </c>
      <c r="S165" s="407">
        <v>769</v>
      </c>
      <c r="T165" s="407">
        <v>791</v>
      </c>
      <c r="U165" s="407">
        <v>657</v>
      </c>
      <c r="V165" s="407">
        <v>141</v>
      </c>
      <c r="W165" s="60">
        <f t="shared" si="26"/>
        <v>0</v>
      </c>
      <c r="X165" s="60">
        <f t="shared" si="27"/>
        <v>0.08710801393728224</v>
      </c>
      <c r="Y165" s="60">
        <f t="shared" si="28"/>
        <v>0.29771583430120013</v>
      </c>
      <c r="Z165" s="60">
        <f t="shared" si="29"/>
        <v>0.3062330623306233</v>
      </c>
      <c r="AA165" s="60">
        <f t="shared" si="30"/>
        <v>0.25435540069686413</v>
      </c>
      <c r="AB165" s="60">
        <f t="shared" si="31"/>
        <v>0.0545876887340302</v>
      </c>
      <c r="AC165" s="47"/>
    </row>
    <row r="166" spans="2:29" ht="15">
      <c r="B166">
        <f t="shared" si="23"/>
      </c>
      <c r="C166">
        <f t="shared" si="24"/>
      </c>
      <c r="D166" t="s">
        <v>777</v>
      </c>
      <c r="E166" t="s">
        <v>647</v>
      </c>
      <c r="F166" t="s">
        <v>777</v>
      </c>
      <c r="G166" t="s">
        <v>647</v>
      </c>
      <c r="H166" s="47"/>
      <c r="I166" s="23" t="s">
        <v>603</v>
      </c>
      <c r="J166" s="23" t="s">
        <v>603</v>
      </c>
      <c r="K166" s="1" t="str">
        <f t="shared" si="32"/>
        <v>MM</v>
      </c>
      <c r="L166" s="57">
        <f t="shared" si="25"/>
        <v>1034</v>
      </c>
      <c r="M166" s="6">
        <f>(VLOOKUP($K166,'Standard Estimate Uncertainty '!$B$10:$D$18,2)*$L166)+$L166</f>
        <v>878.9</v>
      </c>
      <c r="N166" s="6">
        <f>(VLOOKUP($K166,'Standard Estimate Uncertainty '!$B$10:$D$18,3)*$L166)+$L166</f>
        <v>1292.5</v>
      </c>
      <c r="O166" s="6"/>
      <c r="P166" s="49"/>
      <c r="Q166" s="58"/>
      <c r="R166" s="407">
        <v>364</v>
      </c>
      <c r="S166" s="407">
        <v>411</v>
      </c>
      <c r="T166" s="407">
        <v>157</v>
      </c>
      <c r="U166" s="407">
        <v>85</v>
      </c>
      <c r="V166" s="407">
        <v>17</v>
      </c>
      <c r="W166" s="60">
        <f t="shared" si="26"/>
        <v>0</v>
      </c>
      <c r="X166" s="60">
        <f t="shared" si="27"/>
        <v>0.3520309477756286</v>
      </c>
      <c r="Y166" s="60">
        <f t="shared" si="28"/>
        <v>0.39748549323017407</v>
      </c>
      <c r="Z166" s="60">
        <f t="shared" si="29"/>
        <v>0.1518375241779497</v>
      </c>
      <c r="AA166" s="60">
        <f t="shared" si="30"/>
        <v>0.08220502901353965</v>
      </c>
      <c r="AB166" s="60">
        <f t="shared" si="31"/>
        <v>0.01644100580270793</v>
      </c>
      <c r="AC166" s="47"/>
    </row>
    <row r="167" spans="2:29" ht="15">
      <c r="B167">
        <f t="shared" si="23"/>
      </c>
      <c r="C167">
        <f t="shared" si="24"/>
      </c>
      <c r="D167" t="s">
        <v>903</v>
      </c>
      <c r="E167" t="s">
        <v>647</v>
      </c>
      <c r="F167" t="s">
        <v>903</v>
      </c>
      <c r="G167" t="s">
        <v>647</v>
      </c>
      <c r="H167" s="47"/>
      <c r="I167" s="23" t="s">
        <v>603</v>
      </c>
      <c r="J167" s="23" t="s">
        <v>602</v>
      </c>
      <c r="K167" s="1" t="str">
        <f t="shared" si="32"/>
        <v>MH</v>
      </c>
      <c r="L167" s="57">
        <f t="shared" si="25"/>
        <v>541</v>
      </c>
      <c r="M167" s="6">
        <f>(VLOOKUP($K167,'Standard Estimate Uncertainty '!$B$10:$D$18,2)*$L167)+$L167</f>
        <v>432.8</v>
      </c>
      <c r="N167" s="6">
        <f>(VLOOKUP($K167,'Standard Estimate Uncertainty '!$B$10:$D$18,3)*$L167)+$L167</f>
        <v>757.4</v>
      </c>
      <c r="O167" s="6"/>
      <c r="P167" s="49"/>
      <c r="Q167" s="58"/>
      <c r="R167" s="407">
        <v>84</v>
      </c>
      <c r="S167" s="407">
        <v>237</v>
      </c>
      <c r="T167" s="407">
        <v>168</v>
      </c>
      <c r="U167" s="407">
        <v>47</v>
      </c>
      <c r="V167" s="407">
        <v>5</v>
      </c>
      <c r="W167" s="60">
        <f t="shared" si="26"/>
        <v>0</v>
      </c>
      <c r="X167" s="60">
        <f t="shared" si="27"/>
        <v>0.15526802218114602</v>
      </c>
      <c r="Y167" s="60">
        <f t="shared" si="28"/>
        <v>0.43807763401109057</v>
      </c>
      <c r="Z167" s="60">
        <f t="shared" si="29"/>
        <v>0.31053604436229204</v>
      </c>
      <c r="AA167" s="60">
        <f t="shared" si="30"/>
        <v>0.08687615526802218</v>
      </c>
      <c r="AB167" s="60">
        <f t="shared" si="31"/>
        <v>0.009242144177449169</v>
      </c>
      <c r="AC167" s="47"/>
    </row>
    <row r="168" spans="2:29" ht="15">
      <c r="B168">
        <f t="shared" si="23"/>
      </c>
      <c r="C168">
        <f t="shared" si="24"/>
      </c>
      <c r="D168" t="s">
        <v>778</v>
      </c>
      <c r="E168" t="s">
        <v>664</v>
      </c>
      <c r="F168" t="s">
        <v>778</v>
      </c>
      <c r="G168" t="s">
        <v>664</v>
      </c>
      <c r="H168" s="47"/>
      <c r="I168" s="23" t="s">
        <v>784</v>
      </c>
      <c r="J168" s="64"/>
      <c r="K168" s="1" t="str">
        <f t="shared" si="32"/>
        <v>FROZEN</v>
      </c>
      <c r="L168" s="57">
        <f t="shared" si="25"/>
        <v>0</v>
      </c>
      <c r="M168" s="392" t="s">
        <v>784</v>
      </c>
      <c r="N168" s="392"/>
      <c r="O168" s="6"/>
      <c r="P168" s="49"/>
      <c r="Q168" s="58"/>
      <c r="R168" s="407">
        <v>0</v>
      </c>
      <c r="S168" s="407">
        <v>0</v>
      </c>
      <c r="T168" s="407">
        <v>0</v>
      </c>
      <c r="U168" s="407">
        <v>0</v>
      </c>
      <c r="V168" s="407">
        <v>0</v>
      </c>
      <c r="W168" s="60" t="e">
        <f t="shared" si="26"/>
        <v>#DIV/0!</v>
      </c>
      <c r="X168" s="60" t="e">
        <f t="shared" si="27"/>
        <v>#DIV/0!</v>
      </c>
      <c r="Y168" s="60" t="e">
        <f t="shared" si="28"/>
        <v>#DIV/0!</v>
      </c>
      <c r="Z168" s="60" t="e">
        <f t="shared" si="29"/>
        <v>#DIV/0!</v>
      </c>
      <c r="AA168" s="60" t="e">
        <f t="shared" si="30"/>
        <v>#DIV/0!</v>
      </c>
      <c r="AB168" s="60" t="e">
        <f t="shared" si="31"/>
        <v>#DIV/0!</v>
      </c>
      <c r="AC168" s="47"/>
    </row>
    <row r="169" spans="2:29" ht="15">
      <c r="B169">
        <f t="shared" si="23"/>
      </c>
      <c r="C169">
        <f t="shared" si="24"/>
      </c>
      <c r="D169" t="s">
        <v>779</v>
      </c>
      <c r="E169" t="s">
        <v>664</v>
      </c>
      <c r="F169" t="s">
        <v>779</v>
      </c>
      <c r="G169" t="s">
        <v>664</v>
      </c>
      <c r="H169" s="47"/>
      <c r="I169" s="23" t="s">
        <v>784</v>
      </c>
      <c r="J169" s="64"/>
      <c r="K169" s="1" t="str">
        <f t="shared" si="32"/>
        <v>FROZEN</v>
      </c>
      <c r="L169" s="57">
        <f t="shared" si="25"/>
        <v>193</v>
      </c>
      <c r="M169" s="392" t="s">
        <v>784</v>
      </c>
      <c r="N169" s="392"/>
      <c r="O169" s="6"/>
      <c r="P169" s="49"/>
      <c r="Q169" s="58"/>
      <c r="R169" s="407">
        <v>55</v>
      </c>
      <c r="S169" s="407">
        <v>59</v>
      </c>
      <c r="T169" s="407">
        <v>60</v>
      </c>
      <c r="U169" s="407">
        <v>19</v>
      </c>
      <c r="V169" s="407">
        <v>0</v>
      </c>
      <c r="W169" s="60">
        <f t="shared" si="26"/>
        <v>0</v>
      </c>
      <c r="X169" s="60">
        <f t="shared" si="27"/>
        <v>0.2849740932642487</v>
      </c>
      <c r="Y169" s="60">
        <f t="shared" si="28"/>
        <v>0.30569948186528495</v>
      </c>
      <c r="Z169" s="60">
        <f t="shared" si="29"/>
        <v>0.31088082901554404</v>
      </c>
      <c r="AA169" s="60">
        <f t="shared" si="30"/>
        <v>0.09844559585492228</v>
      </c>
      <c r="AB169" s="60">
        <f t="shared" si="31"/>
        <v>0</v>
      </c>
      <c r="AC169" s="47"/>
    </row>
    <row r="170" spans="1:29" ht="15">
      <c r="A170">
        <v>85</v>
      </c>
      <c r="B170">
        <f t="shared" si="23"/>
      </c>
      <c r="C170">
        <f t="shared" si="24"/>
      </c>
      <c r="D170" t="s">
        <v>780</v>
      </c>
      <c r="E170" t="s">
        <v>665</v>
      </c>
      <c r="F170" t="s">
        <v>780</v>
      </c>
      <c r="G170" t="s">
        <v>665</v>
      </c>
      <c r="H170" s="47"/>
      <c r="I170" s="23" t="s">
        <v>602</v>
      </c>
      <c r="J170" s="23" t="s">
        <v>616</v>
      </c>
      <c r="K170" s="1" t="str">
        <f t="shared" si="32"/>
        <v>HL</v>
      </c>
      <c r="L170" s="57">
        <f t="shared" si="25"/>
        <v>343</v>
      </c>
      <c r="M170" s="6">
        <f>(VLOOKUP($K170,'Standard Estimate Uncertainty '!$B$10:$D$18,2)*$L170)+$L170</f>
        <v>325.85</v>
      </c>
      <c r="N170" s="6">
        <f>(VLOOKUP($K170,'Standard Estimate Uncertainty '!$B$10:$D$18,3)*$L170)+$L170</f>
        <v>377.3</v>
      </c>
      <c r="O170" s="6"/>
      <c r="P170" s="49"/>
      <c r="Q170" s="58"/>
      <c r="R170" s="407">
        <v>0</v>
      </c>
      <c r="S170" s="407">
        <v>273</v>
      </c>
      <c r="T170" s="407">
        <v>70</v>
      </c>
      <c r="U170" s="407">
        <v>0</v>
      </c>
      <c r="V170" s="407">
        <v>0</v>
      </c>
      <c r="W170" s="60">
        <f t="shared" si="26"/>
        <v>0</v>
      </c>
      <c r="X170" s="60">
        <f t="shared" si="27"/>
        <v>0</v>
      </c>
      <c r="Y170" s="60">
        <f t="shared" si="28"/>
        <v>0.7959183673469388</v>
      </c>
      <c r="Z170" s="60">
        <f t="shared" si="29"/>
        <v>0.20408163265306123</v>
      </c>
      <c r="AA170" s="60">
        <f t="shared" si="30"/>
        <v>0</v>
      </c>
      <c r="AB170" s="60">
        <f t="shared" si="31"/>
        <v>0</v>
      </c>
      <c r="AC170" s="47"/>
    </row>
    <row r="171" spans="2:29" ht="15">
      <c r="B171">
        <f t="shared" si="23"/>
      </c>
      <c r="C171">
        <f t="shared" si="24"/>
      </c>
      <c r="D171" t="s">
        <v>780</v>
      </c>
      <c r="E171" t="s">
        <v>487</v>
      </c>
      <c r="F171" t="s">
        <v>780</v>
      </c>
      <c r="G171" t="s">
        <v>487</v>
      </c>
      <c r="H171" s="47"/>
      <c r="I171" s="23" t="s">
        <v>602</v>
      </c>
      <c r="J171" s="23" t="s">
        <v>616</v>
      </c>
      <c r="K171" s="1" t="str">
        <f t="shared" si="32"/>
        <v>HL</v>
      </c>
      <c r="L171" s="57">
        <f t="shared" si="25"/>
        <v>450</v>
      </c>
      <c r="M171" s="6">
        <f>(VLOOKUP($K171,'Standard Estimate Uncertainty '!$B$10:$D$18,2)*$L171)+$L171</f>
        <v>427.5</v>
      </c>
      <c r="N171" s="6">
        <f>(VLOOKUP($K171,'Standard Estimate Uncertainty '!$B$10:$D$18,3)*$L171)+$L171</f>
        <v>495</v>
      </c>
      <c r="O171" s="6"/>
      <c r="P171" s="49"/>
      <c r="Q171" s="58"/>
      <c r="R171" s="407">
        <v>0</v>
      </c>
      <c r="S171" s="407">
        <v>0</v>
      </c>
      <c r="T171" s="407">
        <v>0</v>
      </c>
      <c r="U171" s="407">
        <v>0</v>
      </c>
      <c r="V171" s="407">
        <v>450</v>
      </c>
      <c r="W171" s="60">
        <f t="shared" si="26"/>
        <v>0</v>
      </c>
      <c r="X171" s="60">
        <f t="shared" si="27"/>
        <v>0</v>
      </c>
      <c r="Y171" s="60">
        <f t="shared" si="28"/>
        <v>0</v>
      </c>
      <c r="Z171" s="60">
        <f t="shared" si="29"/>
        <v>0</v>
      </c>
      <c r="AA171" s="60">
        <f t="shared" si="30"/>
        <v>0</v>
      </c>
      <c r="AB171" s="60">
        <f t="shared" si="31"/>
        <v>1</v>
      </c>
      <c r="AC171" s="47"/>
    </row>
    <row r="172" spans="1:29" ht="15">
      <c r="A172">
        <v>89</v>
      </c>
      <c r="B172">
        <f t="shared" si="23"/>
      </c>
      <c r="C172">
        <f t="shared" si="24"/>
      </c>
      <c r="D172" t="s">
        <v>781</v>
      </c>
      <c r="E172" t="s">
        <v>647</v>
      </c>
      <c r="F172" t="s">
        <v>781</v>
      </c>
      <c r="G172" t="s">
        <v>647</v>
      </c>
      <c r="H172" s="47"/>
      <c r="I172" s="23" t="s">
        <v>602</v>
      </c>
      <c r="J172" s="23" t="s">
        <v>616</v>
      </c>
      <c r="K172" s="1" t="str">
        <f t="shared" si="32"/>
        <v>HL</v>
      </c>
      <c r="L172" s="57">
        <f t="shared" si="25"/>
        <v>1923</v>
      </c>
      <c r="M172" s="6">
        <f>(VLOOKUP($K172,'Standard Estimate Uncertainty '!$B$10:$D$18,2)*$L172)+$L172</f>
        <v>1826.85</v>
      </c>
      <c r="N172" s="6">
        <f>(VLOOKUP($K172,'Standard Estimate Uncertainty '!$B$10:$D$18,3)*$L172)+$L172</f>
        <v>2115.3</v>
      </c>
      <c r="O172" s="6"/>
      <c r="P172" s="49"/>
      <c r="Q172" s="58"/>
      <c r="R172" s="407">
        <v>288</v>
      </c>
      <c r="S172" s="407">
        <v>460</v>
      </c>
      <c r="T172" s="407">
        <v>485</v>
      </c>
      <c r="U172" s="407">
        <v>512</v>
      </c>
      <c r="V172" s="407">
        <v>178</v>
      </c>
      <c r="W172" s="60">
        <f t="shared" si="26"/>
        <v>0</v>
      </c>
      <c r="X172" s="60">
        <f t="shared" si="27"/>
        <v>0.1497659906396256</v>
      </c>
      <c r="Y172" s="60">
        <f t="shared" si="28"/>
        <v>0.2392095683827353</v>
      </c>
      <c r="Z172" s="60">
        <f t="shared" si="29"/>
        <v>0.25221008840353615</v>
      </c>
      <c r="AA172" s="60">
        <f t="shared" si="30"/>
        <v>0.26625065002600107</v>
      </c>
      <c r="AB172" s="60">
        <f t="shared" si="31"/>
        <v>0.09256370254810192</v>
      </c>
      <c r="AC172" s="47"/>
    </row>
    <row r="173" spans="6:29" ht="15">
      <c r="F173"/>
      <c r="G173"/>
      <c r="H173" s="47"/>
      <c r="I173" s="23"/>
      <c r="J173" s="23"/>
      <c r="K173" s="1"/>
      <c r="L173" s="57"/>
      <c r="M173" s="6"/>
      <c r="N173" s="6"/>
      <c r="O173" s="6"/>
      <c r="P173" s="49"/>
      <c r="Q173" s="58"/>
      <c r="R173" s="408"/>
      <c r="S173" s="408"/>
      <c r="T173" s="408"/>
      <c r="U173" s="408"/>
      <c r="V173" s="409"/>
      <c r="W173" s="60"/>
      <c r="X173" s="60"/>
      <c r="Y173" s="60"/>
      <c r="Z173" s="60"/>
      <c r="AA173" s="60"/>
      <c r="AB173" s="60"/>
      <c r="AC173" s="47"/>
    </row>
    <row r="174" spans="6:29" ht="15">
      <c r="F174"/>
      <c r="G174"/>
      <c r="H174" s="47"/>
      <c r="I174" s="23"/>
      <c r="J174" s="23"/>
      <c r="K174" s="1"/>
      <c r="L174" s="57"/>
      <c r="M174" s="6">
        <f>SUM(M3:M172)</f>
        <v>54040.550000000025</v>
      </c>
      <c r="N174" s="6">
        <f>SUM(N3:N172)</f>
        <v>75490.04999999999</v>
      </c>
      <c r="O174" s="6"/>
      <c r="P174" s="49"/>
      <c r="Q174" s="58"/>
      <c r="R174" s="408"/>
      <c r="S174" s="408"/>
      <c r="T174" s="408"/>
      <c r="U174" s="408"/>
      <c r="V174" s="409"/>
      <c r="W174" s="60"/>
      <c r="X174" s="60"/>
      <c r="Y174" s="60"/>
      <c r="Z174" s="60"/>
      <c r="AA174" s="60"/>
      <c r="AB174" s="60"/>
      <c r="AC174" s="47"/>
    </row>
    <row r="175" spans="6:29" ht="15">
      <c r="F175"/>
      <c r="G175"/>
      <c r="H175" s="47"/>
      <c r="I175" s="23"/>
      <c r="J175" s="23"/>
      <c r="K175" s="1"/>
      <c r="L175" s="57"/>
      <c r="M175" s="6"/>
      <c r="N175" s="6"/>
      <c r="O175" s="6"/>
      <c r="P175" s="49"/>
      <c r="Q175" s="58"/>
      <c r="R175" s="408"/>
      <c r="S175" s="408"/>
      <c r="T175" s="408"/>
      <c r="U175" s="408"/>
      <c r="V175" s="409"/>
      <c r="W175" s="60"/>
      <c r="X175" s="60"/>
      <c r="Y175" s="60"/>
      <c r="Z175" s="60"/>
      <c r="AA175" s="60"/>
      <c r="AB175" s="60"/>
      <c r="AC175" s="47"/>
    </row>
    <row r="176" spans="6:29" ht="15">
      <c r="F176"/>
      <c r="G176"/>
      <c r="H176" s="47"/>
      <c r="I176" s="78"/>
      <c r="K176" s="1"/>
      <c r="L176" s="57"/>
      <c r="M176" s="79"/>
      <c r="N176" s="79"/>
      <c r="O176" s="79"/>
      <c r="P176" s="49"/>
      <c r="Q176" s="58"/>
      <c r="R176" s="408"/>
      <c r="S176" s="408"/>
      <c r="T176" s="408"/>
      <c r="U176" s="408"/>
      <c r="V176" s="409"/>
      <c r="W176" s="60"/>
      <c r="X176" s="60"/>
      <c r="Y176" s="60"/>
      <c r="Z176" s="60"/>
      <c r="AA176" s="60"/>
      <c r="AB176" s="60"/>
      <c r="AC176" s="47"/>
    </row>
    <row r="177" spans="6:29" ht="15">
      <c r="F177"/>
      <c r="G177"/>
      <c r="H177" s="47"/>
      <c r="I177" s="23"/>
      <c r="J177" s="23"/>
      <c r="K177" s="1"/>
      <c r="L177" s="57"/>
      <c r="M177" s="6"/>
      <c r="N177" s="6"/>
      <c r="O177" s="6"/>
      <c r="P177" s="49"/>
      <c r="Q177" s="58"/>
      <c r="R177" s="408"/>
      <c r="S177" s="408"/>
      <c r="T177" s="408"/>
      <c r="U177" s="408"/>
      <c r="V177" s="409"/>
      <c r="W177" s="60"/>
      <c r="X177" s="60"/>
      <c r="Y177" s="60"/>
      <c r="Z177" s="60"/>
      <c r="AA177" s="60"/>
      <c r="AB177" s="60"/>
      <c r="AC177" s="47"/>
    </row>
    <row r="178" spans="6:28" ht="15">
      <c r="F178" s="47"/>
      <c r="G178" s="47"/>
      <c r="H178" s="47"/>
      <c r="I178" s="4"/>
      <c r="J178" s="23" t="s">
        <v>782</v>
      </c>
      <c r="K178" s="4"/>
      <c r="L178" s="6">
        <f>SUM(L3:L172)</f>
        <v>61794</v>
      </c>
      <c r="M178" s="6">
        <f>M174*(1+M176)</f>
        <v>54040.550000000025</v>
      </c>
      <c r="N178" s="6">
        <f>N174*(1+N176)</f>
        <v>75490.04999999999</v>
      </c>
      <c r="O178" s="6"/>
      <c r="P178" s="49"/>
      <c r="Q178" s="48">
        <f aca="true" t="shared" si="33" ref="Q178:V178">SUM(Q3:Q172)</f>
        <v>0</v>
      </c>
      <c r="R178" s="410">
        <f t="shared" si="33"/>
        <v>14072</v>
      </c>
      <c r="S178" s="410">
        <f t="shared" si="33"/>
        <v>16629</v>
      </c>
      <c r="T178" s="410">
        <f t="shared" si="33"/>
        <v>17064</v>
      </c>
      <c r="U178" s="410">
        <f t="shared" si="33"/>
        <v>11984</v>
      </c>
      <c r="V178" s="410">
        <f t="shared" si="33"/>
        <v>2045</v>
      </c>
      <c r="W178" s="60">
        <f t="shared" si="26"/>
        <v>0</v>
      </c>
      <c r="X178" s="60">
        <f t="shared" si="27"/>
        <v>0.22772437453474448</v>
      </c>
      <c r="Y178" s="60">
        <f t="shared" si="28"/>
        <v>0.26910379648509564</v>
      </c>
      <c r="Z178" s="60">
        <f t="shared" si="29"/>
        <v>0.27614331488494026</v>
      </c>
      <c r="AA178" s="60">
        <f t="shared" si="30"/>
        <v>0.19393468621549018</v>
      </c>
      <c r="AB178" s="60">
        <f t="shared" si="31"/>
        <v>0.03309382787972942</v>
      </c>
    </row>
    <row r="179" spans="6:21" ht="15">
      <c r="F179" s="4"/>
      <c r="G179" s="4"/>
      <c r="H179" s="4"/>
      <c r="J179" s="24" t="s">
        <v>456</v>
      </c>
      <c r="L179" s="6">
        <f>67178+9187</f>
        <v>76365</v>
      </c>
      <c r="M179" s="50">
        <f>(M178/L178)-1</f>
        <v>-0.12547253778683976</v>
      </c>
      <c r="N179" s="50">
        <f>(N178/L178)-1</f>
        <v>0.22164045052917736</v>
      </c>
      <c r="Q179" s="51">
        <f>SUM(Q178:U178)</f>
        <v>59749</v>
      </c>
      <c r="R179" s="4"/>
      <c r="S179" s="4"/>
      <c r="T179" s="4"/>
      <c r="U179" s="4"/>
    </row>
    <row r="180" spans="10:16" ht="15">
      <c r="J180" s="23" t="s">
        <v>783</v>
      </c>
      <c r="L180" s="6">
        <f>SUM(L178:L179)</f>
        <v>138159</v>
      </c>
      <c r="M180" s="52"/>
      <c r="N180" s="52"/>
      <c r="O180" s="52"/>
      <c r="P180" s="52"/>
    </row>
    <row r="181" ht="15">
      <c r="S181" s="46">
        <f>SUM(R3:V172)</f>
        <v>61794</v>
      </c>
    </row>
    <row r="182" spans="13:18" ht="15">
      <c r="M182" s="54"/>
      <c r="N182" s="54"/>
      <c r="O182" s="54"/>
      <c r="P182" s="54"/>
      <c r="R182" s="46">
        <f>SUM(R177)</f>
        <v>0</v>
      </c>
    </row>
    <row r="183" spans="6:18" ht="15">
      <c r="F183" s="53"/>
      <c r="G183" s="53"/>
      <c r="H183" s="53"/>
      <c r="M183" s="54"/>
      <c r="N183" s="54"/>
      <c r="O183" s="54"/>
      <c r="P183" s="54"/>
      <c r="R183" s="46">
        <f>SUM(R178)</f>
        <v>14072</v>
      </c>
    </row>
    <row r="184" spans="6:8" ht="15">
      <c r="F184" s="53"/>
      <c r="G184" s="53"/>
      <c r="H184" s="53"/>
    </row>
    <row r="185" spans="6:8" ht="15">
      <c r="F185" s="53"/>
      <c r="G185" s="53"/>
      <c r="H185" s="53"/>
    </row>
  </sheetData>
  <sheetProtection/>
  <mergeCells count="13">
    <mergeCell ref="W1:AA1"/>
    <mergeCell ref="M1:N1"/>
    <mergeCell ref="M8:N8"/>
    <mergeCell ref="M12:N12"/>
    <mergeCell ref="M17:N17"/>
    <mergeCell ref="M20:N20"/>
    <mergeCell ref="M169:N169"/>
    <mergeCell ref="M21:N21"/>
    <mergeCell ref="M23:N23"/>
    <mergeCell ref="M36:N36"/>
    <mergeCell ref="M108:N108"/>
    <mergeCell ref="M162:N162"/>
    <mergeCell ref="M168:N168"/>
  </mergeCells>
  <printOptions gridLines="1"/>
  <pageMargins left="0.38" right="0.13" top="0.2" bottom="0.43" header="0.17" footer="0.14"/>
  <pageSetup fitToHeight="3" fitToWidth="1" horizontalDpi="600" verticalDpi="600" orientation="portrait" scale="82" r:id="rId4"/>
  <headerFooter alignWithMargins="0">
    <oddFooter>&amp;L&amp;F&amp;Cpage &amp;P of  &amp;N&amp;R&amp;D   &amp;T</oddFooter>
  </headerFooter>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C226"/>
  <sheetViews>
    <sheetView zoomScale="70" zoomScaleNormal="70" zoomScalePageLayoutView="0" workbookViewId="0" topLeftCell="A1">
      <pane xSplit="1" ySplit="2" topLeftCell="B141" activePane="bottomRight" state="frozen"/>
      <selection pane="topLeft" activeCell="A1" sqref="A1"/>
      <selection pane="topRight" activeCell="D1" sqref="D1"/>
      <selection pane="bottomLeft" activeCell="A3" sqref="A3"/>
      <selection pane="bottomRight" activeCell="Q3" sqref="Q3:U172"/>
    </sheetView>
  </sheetViews>
  <sheetFormatPr defaultColWidth="9.140625" defaultRowHeight="12.75"/>
  <cols>
    <col min="1" max="2" width="8.00390625" style="0" customWidth="1"/>
    <col min="3" max="4" width="29.57421875" style="0" customWidth="1"/>
    <col min="5" max="5" width="66.00390625" style="3" customWidth="1"/>
    <col min="6" max="6" width="46.8515625" style="3" customWidth="1"/>
    <col min="7" max="7" width="37.8515625" style="3" hidden="1" customWidth="1"/>
    <col min="8" max="8" width="20.421875" style="3" customWidth="1"/>
    <col min="9" max="9" width="15.28125" style="3" customWidth="1"/>
    <col min="10" max="10" width="10.57421875" style="3" hidden="1" customWidth="1"/>
    <col min="11" max="11" width="10.8515625" style="6" bestFit="1" customWidth="1"/>
    <col min="12" max="13" width="10.8515625" style="46" bestFit="1" customWidth="1"/>
    <col min="14" max="14" width="8.57421875" style="46" bestFit="1" customWidth="1"/>
    <col min="15" max="15" width="4.7109375" style="46" customWidth="1"/>
    <col min="16" max="16" width="9.7109375" style="46" bestFit="1" customWidth="1"/>
    <col min="17" max="20" width="10.8515625" style="46" bestFit="1" customWidth="1"/>
    <col min="21" max="21" width="11.140625" style="3" customWidth="1"/>
    <col min="22" max="26" width="9.7109375" style="3" bestFit="1" customWidth="1"/>
    <col min="27" max="27" width="11.140625" style="3" customWidth="1"/>
    <col min="28" max="16384" width="9.140625" style="3" customWidth="1"/>
  </cols>
  <sheetData>
    <row r="1" spans="11:26" ht="30.75" customHeight="1">
      <c r="K1" s="43" t="s">
        <v>899</v>
      </c>
      <c r="L1" s="394" t="s">
        <v>786</v>
      </c>
      <c r="M1" s="394"/>
      <c r="N1" s="44"/>
      <c r="O1" s="45"/>
      <c r="Q1" s="43" t="s">
        <v>899</v>
      </c>
      <c r="R1" s="43" t="s">
        <v>899</v>
      </c>
      <c r="S1" s="43" t="s">
        <v>899</v>
      </c>
      <c r="T1" s="43" t="s">
        <v>899</v>
      </c>
      <c r="U1" s="43" t="s">
        <v>899</v>
      </c>
      <c r="V1" s="393" t="s">
        <v>787</v>
      </c>
      <c r="W1" s="393"/>
      <c r="X1" s="393"/>
      <c r="Y1" s="393"/>
      <c r="Z1" s="393"/>
    </row>
    <row r="2" spans="1:27" ht="15.75">
      <c r="A2" t="s">
        <v>710</v>
      </c>
      <c r="E2" s="2" t="s">
        <v>590</v>
      </c>
      <c r="F2" s="2" t="s">
        <v>646</v>
      </c>
      <c r="G2" s="2"/>
      <c r="H2" s="2" t="s">
        <v>591</v>
      </c>
      <c r="I2" s="2" t="s">
        <v>592</v>
      </c>
      <c r="J2" s="2" t="s">
        <v>785</v>
      </c>
      <c r="K2" s="6" t="s">
        <v>711</v>
      </c>
      <c r="L2" s="2" t="s">
        <v>586</v>
      </c>
      <c r="M2" s="2" t="s">
        <v>588</v>
      </c>
      <c r="N2" s="2" t="s">
        <v>788</v>
      </c>
      <c r="O2" s="2"/>
      <c r="P2" s="2" t="s">
        <v>712</v>
      </c>
      <c r="Q2" s="2" t="s">
        <v>713</v>
      </c>
      <c r="R2" s="2" t="s">
        <v>714</v>
      </c>
      <c r="S2" s="2" t="s">
        <v>715</v>
      </c>
      <c r="T2" s="2" t="s">
        <v>716</v>
      </c>
      <c r="U2" s="2" t="s">
        <v>455</v>
      </c>
      <c r="V2" s="2" t="s">
        <v>712</v>
      </c>
      <c r="W2" s="2" t="s">
        <v>713</v>
      </c>
      <c r="X2" s="2" t="s">
        <v>714</v>
      </c>
      <c r="Y2" s="2" t="s">
        <v>715</v>
      </c>
      <c r="Z2" s="2" t="s">
        <v>716</v>
      </c>
      <c r="AA2" s="2" t="s">
        <v>455</v>
      </c>
    </row>
    <row r="3" spans="1:29" ht="15">
      <c r="A3">
        <v>12</v>
      </c>
      <c r="B3">
        <f>IF(C3=E3,"","X")</f>
      </c>
      <c r="C3" t="s">
        <v>717</v>
      </c>
      <c r="D3" t="s">
        <v>666</v>
      </c>
      <c r="E3" t="s">
        <v>717</v>
      </c>
      <c r="F3" t="s">
        <v>666</v>
      </c>
      <c r="G3" s="47"/>
      <c r="H3" s="23" t="str">
        <f>'Estimate Data'!I3</f>
        <v>H</v>
      </c>
      <c r="I3" s="23" t="str">
        <f>'Estimate Data'!J3</f>
        <v>L</v>
      </c>
      <c r="J3" s="1" t="str">
        <f aca="true" t="shared" si="0" ref="J3:J66">CONCATENATE(H3,I3)</f>
        <v>HL</v>
      </c>
      <c r="K3" s="57">
        <f>'Estimate Data'!L3</f>
        <v>220</v>
      </c>
      <c r="L3" s="6">
        <f>(VLOOKUP($J3,'Standard Estimate Uncertainty '!$B$10:$D$18,2)*$K3)+$K3</f>
        <v>209</v>
      </c>
      <c r="M3" s="6">
        <f>(VLOOKUP($J3,'Standard Estimate Uncertainty '!$B$10:$D$18,3)*$K3)+$K3</f>
        <v>242</v>
      </c>
      <c r="N3" s="76">
        <v>226.7999282352275</v>
      </c>
      <c r="O3" s="49"/>
      <c r="P3" s="58"/>
      <c r="Q3" s="58">
        <f>SUM('Estimate Data'!R3)</f>
        <v>44</v>
      </c>
      <c r="R3" s="58">
        <f>SUM('Estimate Data'!S3)</f>
        <v>39</v>
      </c>
      <c r="S3" s="58">
        <f>SUM('Estimate Data'!T3)</f>
        <v>0</v>
      </c>
      <c r="T3" s="58">
        <f>SUM('Estimate Data'!U3)</f>
        <v>137</v>
      </c>
      <c r="U3" s="58">
        <f>SUM('Estimate Data'!V3)</f>
        <v>0</v>
      </c>
      <c r="V3" s="60">
        <f aca="true" t="shared" si="1" ref="V3:AA18">P3/$K3</f>
        <v>0</v>
      </c>
      <c r="W3" s="60">
        <f t="shared" si="1"/>
        <v>0.2</v>
      </c>
      <c r="X3" s="60">
        <f t="shared" si="1"/>
        <v>0.17727272727272728</v>
      </c>
      <c r="Y3" s="60">
        <f t="shared" si="1"/>
        <v>0</v>
      </c>
      <c r="Z3" s="60">
        <f t="shared" si="1"/>
        <v>0.6227272727272727</v>
      </c>
      <c r="AA3" s="60">
        <f t="shared" si="1"/>
        <v>0</v>
      </c>
      <c r="AB3" s="47"/>
      <c r="AC3" s="48">
        <f>SUM(Q3:U3)</f>
        <v>220</v>
      </c>
    </row>
    <row r="4" spans="2:28" ht="15.75">
      <c r="B4">
        <f aca="true" t="shared" si="2" ref="B4:B67">IF(C4=E4,"","X")</f>
      </c>
      <c r="C4" t="s">
        <v>717</v>
      </c>
      <c r="D4" t="s">
        <v>667</v>
      </c>
      <c r="E4" t="s">
        <v>717</v>
      </c>
      <c r="F4" t="s">
        <v>667</v>
      </c>
      <c r="G4" s="47"/>
      <c r="H4" s="23" t="s">
        <v>602</v>
      </c>
      <c r="I4" s="23" t="s">
        <v>616</v>
      </c>
      <c r="J4" s="1" t="str">
        <f t="shared" si="0"/>
        <v>HL</v>
      </c>
      <c r="K4" s="81"/>
      <c r="L4" s="82"/>
      <c r="M4" s="82"/>
      <c r="N4" s="82"/>
      <c r="O4" s="49"/>
      <c r="P4" s="58"/>
      <c r="Q4" s="58">
        <f>SUM('Estimate Data'!R4)</f>
        <v>0</v>
      </c>
      <c r="R4" s="58">
        <f>SUM('Estimate Data'!S4)</f>
        <v>0</v>
      </c>
      <c r="S4" s="58">
        <f>SUM('Estimate Data'!T4)</f>
        <v>0</v>
      </c>
      <c r="T4" s="58">
        <f>SUM('Estimate Data'!U4)</f>
        <v>0</v>
      </c>
      <c r="U4" s="58">
        <f>SUM('Estimate Data'!V4)</f>
        <v>0</v>
      </c>
      <c r="V4" s="60"/>
      <c r="W4" s="60"/>
      <c r="X4" s="60"/>
      <c r="Y4" s="60"/>
      <c r="Z4" s="60"/>
      <c r="AA4" s="60"/>
      <c r="AB4" s="47"/>
    </row>
    <row r="5" spans="2:28" ht="15.75">
      <c r="B5">
        <f t="shared" si="2"/>
      </c>
      <c r="C5" t="s">
        <v>717</v>
      </c>
      <c r="D5" t="s">
        <v>648</v>
      </c>
      <c r="E5" t="s">
        <v>717</v>
      </c>
      <c r="F5" t="s">
        <v>648</v>
      </c>
      <c r="G5" s="47"/>
      <c r="H5" s="23" t="s">
        <v>602</v>
      </c>
      <c r="I5" s="23" t="s">
        <v>616</v>
      </c>
      <c r="J5" s="1" t="str">
        <f t="shared" si="0"/>
        <v>HL</v>
      </c>
      <c r="K5" s="81"/>
      <c r="L5" s="82"/>
      <c r="M5" s="82"/>
      <c r="N5" s="82"/>
      <c r="O5" s="49"/>
      <c r="P5" s="58"/>
      <c r="Q5" s="58">
        <f>SUM('Estimate Data'!R5)</f>
        <v>0</v>
      </c>
      <c r="R5" s="58">
        <f>SUM('Estimate Data'!S5)</f>
        <v>0</v>
      </c>
      <c r="S5" s="58">
        <f>SUM('Estimate Data'!T5)</f>
        <v>0</v>
      </c>
      <c r="T5" s="58">
        <f>SUM('Estimate Data'!U5)</f>
        <v>0</v>
      </c>
      <c r="U5" s="58">
        <f>SUM('Estimate Data'!V5)</f>
        <v>0</v>
      </c>
      <c r="V5" s="60"/>
      <c r="W5" s="60"/>
      <c r="X5" s="60"/>
      <c r="Y5" s="60"/>
      <c r="Z5" s="60"/>
      <c r="AA5" s="60"/>
      <c r="AB5" s="47"/>
    </row>
    <row r="6" spans="2:28" ht="15.75">
      <c r="B6">
        <f t="shared" si="2"/>
      </c>
      <c r="C6" t="s">
        <v>717</v>
      </c>
      <c r="D6" t="s">
        <v>905</v>
      </c>
      <c r="E6" t="s">
        <v>717</v>
      </c>
      <c r="F6" t="s">
        <v>905</v>
      </c>
      <c r="G6" s="47"/>
      <c r="H6" s="23" t="s">
        <v>602</v>
      </c>
      <c r="I6" s="23" t="s">
        <v>616</v>
      </c>
      <c r="J6" s="1" t="str">
        <f t="shared" si="0"/>
        <v>HL</v>
      </c>
      <c r="K6" s="81"/>
      <c r="L6" s="82"/>
      <c r="M6" s="82"/>
      <c r="N6" s="82"/>
      <c r="O6" s="49"/>
      <c r="P6" s="58"/>
      <c r="Q6" s="58">
        <f>SUM('Estimate Data'!R6)</f>
        <v>0</v>
      </c>
      <c r="R6" s="58">
        <f>SUM('Estimate Data'!S6)</f>
        <v>0</v>
      </c>
      <c r="S6" s="58">
        <f>SUM('Estimate Data'!T6)</f>
        <v>0</v>
      </c>
      <c r="T6" s="58">
        <f>SUM('Estimate Data'!U6)</f>
        <v>0</v>
      </c>
      <c r="U6" s="58">
        <f>SUM('Estimate Data'!V6)</f>
        <v>0</v>
      </c>
      <c r="V6" s="60"/>
      <c r="W6" s="60"/>
      <c r="X6" s="60"/>
      <c r="Y6" s="60"/>
      <c r="Z6" s="60"/>
      <c r="AA6" s="60"/>
      <c r="AB6" s="47"/>
    </row>
    <row r="7" spans="2:28" ht="15.75">
      <c r="B7">
        <f t="shared" si="2"/>
      </c>
      <c r="C7" t="s">
        <v>717</v>
      </c>
      <c r="D7" t="s">
        <v>668</v>
      </c>
      <c r="E7" t="s">
        <v>717</v>
      </c>
      <c r="F7" t="s">
        <v>668</v>
      </c>
      <c r="G7" s="47"/>
      <c r="H7" s="23" t="s">
        <v>602</v>
      </c>
      <c r="I7" s="23" t="s">
        <v>616</v>
      </c>
      <c r="J7" s="1" t="str">
        <f t="shared" si="0"/>
        <v>HL</v>
      </c>
      <c r="K7" s="81"/>
      <c r="L7" s="82"/>
      <c r="M7" s="82"/>
      <c r="N7" s="82"/>
      <c r="O7" s="49"/>
      <c r="P7" s="58"/>
      <c r="Q7" s="58">
        <f>SUM('Estimate Data'!R7)</f>
        <v>0</v>
      </c>
      <c r="R7" s="58">
        <f>SUM('Estimate Data'!S7)</f>
        <v>0</v>
      </c>
      <c r="S7" s="58">
        <f>SUM('Estimate Data'!T7)</f>
        <v>0</v>
      </c>
      <c r="T7" s="58">
        <f>SUM('Estimate Data'!U7)</f>
        <v>0</v>
      </c>
      <c r="U7" s="58">
        <f>SUM('Estimate Data'!V7)</f>
        <v>0</v>
      </c>
      <c r="V7" s="60"/>
      <c r="W7" s="60"/>
      <c r="X7" s="60"/>
      <c r="Y7" s="60"/>
      <c r="Z7" s="60"/>
      <c r="AA7" s="60"/>
      <c r="AB7" s="47"/>
    </row>
    <row r="8" spans="2:28" ht="15.75">
      <c r="B8">
        <f t="shared" si="2"/>
      </c>
      <c r="C8" t="s">
        <v>718</v>
      </c>
      <c r="D8" t="s">
        <v>647</v>
      </c>
      <c r="E8" t="s">
        <v>718</v>
      </c>
      <c r="F8" t="s">
        <v>647</v>
      </c>
      <c r="G8" s="47"/>
      <c r="H8" s="23" t="s">
        <v>784</v>
      </c>
      <c r="I8" s="64"/>
      <c r="J8" s="1" t="str">
        <f t="shared" si="0"/>
        <v>FROZEN</v>
      </c>
      <c r="K8" s="81"/>
      <c r="L8" s="395"/>
      <c r="M8" s="395"/>
      <c r="N8" s="82"/>
      <c r="O8" s="49"/>
      <c r="P8" s="58"/>
      <c r="Q8" s="58">
        <f>SUM('Estimate Data'!R8)</f>
        <v>0</v>
      </c>
      <c r="R8" s="58">
        <f>SUM('Estimate Data'!S8)</f>
        <v>0</v>
      </c>
      <c r="S8" s="58">
        <f>SUM('Estimate Data'!T8)</f>
        <v>0</v>
      </c>
      <c r="T8" s="58">
        <f>SUM('Estimate Data'!U8)</f>
        <v>0</v>
      </c>
      <c r="U8" s="58">
        <f>SUM('Estimate Data'!V8)</f>
        <v>0</v>
      </c>
      <c r="V8" s="60"/>
      <c r="W8" s="60"/>
      <c r="X8" s="60"/>
      <c r="Y8" s="60"/>
      <c r="Z8" s="60"/>
      <c r="AA8" s="60"/>
      <c r="AB8" s="47"/>
    </row>
    <row r="9" spans="2:28" ht="15">
      <c r="B9">
        <f t="shared" si="2"/>
      </c>
      <c r="C9" t="s">
        <v>921</v>
      </c>
      <c r="D9" t="s">
        <v>647</v>
      </c>
      <c r="E9" t="s">
        <v>921</v>
      </c>
      <c r="F9" t="s">
        <v>647</v>
      </c>
      <c r="G9" s="55"/>
      <c r="H9" s="23" t="str">
        <f>'Estimate Data'!I9</f>
        <v>M</v>
      </c>
      <c r="I9" s="23" t="str">
        <f>'Estimate Data'!J9</f>
        <v>L</v>
      </c>
      <c r="J9" s="1" t="str">
        <f>CONCATENATE(H9,I9)</f>
        <v>ML</v>
      </c>
      <c r="K9" s="57">
        <f>'Estimate Data'!L9</f>
        <v>566</v>
      </c>
      <c r="L9" s="6">
        <f>(VLOOKUP($J9,'Standard Estimate Uncertainty '!$B$10:$D$18,2)*$K9)+$K9</f>
        <v>509.4</v>
      </c>
      <c r="M9" s="6">
        <f>(VLOOKUP($J9,'Standard Estimate Uncertainty '!$B$10:$D$18,3)*$K9)+$K9</f>
        <v>650.9</v>
      </c>
      <c r="N9" s="76">
        <v>543.3859126946232</v>
      </c>
      <c r="O9" s="49"/>
      <c r="P9" s="58"/>
      <c r="Q9" s="58">
        <f>SUM('Estimate Data'!R9)</f>
        <v>30</v>
      </c>
      <c r="R9" s="58">
        <f>SUM('Estimate Data'!S9)</f>
        <v>108</v>
      </c>
      <c r="S9" s="58">
        <f>SUM('Estimate Data'!T9)</f>
        <v>409</v>
      </c>
      <c r="T9" s="58">
        <f>SUM('Estimate Data'!U9)</f>
        <v>19</v>
      </c>
      <c r="U9" s="58">
        <f>SUM('Estimate Data'!V9)</f>
        <v>0</v>
      </c>
      <c r="V9" s="60">
        <f t="shared" si="1"/>
        <v>0</v>
      </c>
      <c r="W9" s="60">
        <f t="shared" si="1"/>
        <v>0.053003533568904596</v>
      </c>
      <c r="X9" s="60">
        <f t="shared" si="1"/>
        <v>0.19081272084805653</v>
      </c>
      <c r="Y9" s="60">
        <f t="shared" si="1"/>
        <v>0.7226148409893993</v>
      </c>
      <c r="Z9" s="60">
        <f t="shared" si="1"/>
        <v>0.03356890459363958</v>
      </c>
      <c r="AA9" s="60">
        <f t="shared" si="1"/>
        <v>0</v>
      </c>
      <c r="AB9" s="47"/>
    </row>
    <row r="10" spans="2:28" ht="15">
      <c r="B10">
        <f t="shared" si="2"/>
      </c>
      <c r="C10" t="s">
        <v>307</v>
      </c>
      <c r="D10" t="s">
        <v>647</v>
      </c>
      <c r="E10" t="s">
        <v>307</v>
      </c>
      <c r="F10" t="s">
        <v>647</v>
      </c>
      <c r="G10" s="55"/>
      <c r="H10" s="23" t="str">
        <f>'Estimate Data'!I10</f>
        <v>M</v>
      </c>
      <c r="I10" s="23" t="str">
        <f>'Estimate Data'!J10</f>
        <v>L</v>
      </c>
      <c r="J10" s="1" t="str">
        <f>CONCATENATE(H10,I10)</f>
        <v>ML</v>
      </c>
      <c r="K10" s="57">
        <f>'Estimate Data'!L10</f>
        <v>642</v>
      </c>
      <c r="L10" s="6">
        <f>(VLOOKUP($J10,'Standard Estimate Uncertainty '!$B$10:$D$18,2)*$K10)+$K10</f>
        <v>577.8</v>
      </c>
      <c r="M10" s="6">
        <f>(VLOOKUP($J10,'Standard Estimate Uncertainty '!$B$10:$D$18,3)*$K10)+$K10</f>
        <v>738.3</v>
      </c>
      <c r="N10" s="76">
        <v>669.6054750921932</v>
      </c>
      <c r="O10" s="49"/>
      <c r="P10" s="58"/>
      <c r="Q10" s="58">
        <f>SUM('Estimate Data'!R10)</f>
        <v>0</v>
      </c>
      <c r="R10" s="58">
        <f>SUM('Estimate Data'!S10)</f>
        <v>93</v>
      </c>
      <c r="S10" s="58">
        <f>SUM('Estimate Data'!T10)</f>
        <v>361</v>
      </c>
      <c r="T10" s="58">
        <f>SUM('Estimate Data'!U10)</f>
        <v>188</v>
      </c>
      <c r="U10" s="58">
        <f>SUM('Estimate Data'!V10)</f>
        <v>0</v>
      </c>
      <c r="V10" s="60">
        <f t="shared" si="1"/>
        <v>0</v>
      </c>
      <c r="W10" s="60">
        <f t="shared" si="1"/>
        <v>0</v>
      </c>
      <c r="X10" s="60">
        <f t="shared" si="1"/>
        <v>0.14485981308411214</v>
      </c>
      <c r="Y10" s="60">
        <f t="shared" si="1"/>
        <v>0.5623052959501558</v>
      </c>
      <c r="Z10" s="60">
        <f t="shared" si="1"/>
        <v>0.29283489096573206</v>
      </c>
      <c r="AA10" s="60">
        <f t="shared" si="1"/>
        <v>0</v>
      </c>
      <c r="AB10" s="47"/>
    </row>
    <row r="11" spans="1:28" ht="15">
      <c r="A11">
        <v>13</v>
      </c>
      <c r="B11">
        <f t="shared" si="2"/>
      </c>
      <c r="C11" t="s">
        <v>303</v>
      </c>
      <c r="D11" t="s">
        <v>647</v>
      </c>
      <c r="E11" t="s">
        <v>303</v>
      </c>
      <c r="F11" t="s">
        <v>647</v>
      </c>
      <c r="G11" s="47"/>
      <c r="H11" s="23" t="str">
        <f>'Estimate Data'!I11</f>
        <v>H</v>
      </c>
      <c r="I11" s="23" t="str">
        <f>'Estimate Data'!J11</f>
        <v>L</v>
      </c>
      <c r="J11" s="1" t="str">
        <f>CONCATENATE(H11,I11)</f>
        <v>HL</v>
      </c>
      <c r="K11" s="57">
        <f>'Estimate Data'!L11</f>
        <v>91</v>
      </c>
      <c r="L11" s="6">
        <f>(VLOOKUP($J11,'Standard Estimate Uncertainty '!$B$10:$D$18,2)*$K11)+$K11</f>
        <v>86.45</v>
      </c>
      <c r="M11" s="6">
        <f>(VLOOKUP($J11,'Standard Estimate Uncertainty '!$B$10:$D$18,3)*$K11)+$K11</f>
        <v>100.1</v>
      </c>
      <c r="N11" s="76">
        <v>92.39997076250009</v>
      </c>
      <c r="O11" s="49"/>
      <c r="P11" s="58"/>
      <c r="Q11" s="58">
        <f>SUM('Estimate Data'!R11)</f>
        <v>91</v>
      </c>
      <c r="R11" s="58">
        <f>SUM('Estimate Data'!S11)</f>
        <v>0</v>
      </c>
      <c r="S11" s="58">
        <f>SUM('Estimate Data'!T11)</f>
        <v>0</v>
      </c>
      <c r="T11" s="58">
        <f>SUM('Estimate Data'!U11)</f>
        <v>0</v>
      </c>
      <c r="U11" s="58">
        <f>SUM('Estimate Data'!V11)</f>
        <v>0</v>
      </c>
      <c r="V11" s="60">
        <f t="shared" si="1"/>
        <v>0</v>
      </c>
      <c r="W11" s="60">
        <f t="shared" si="1"/>
        <v>1</v>
      </c>
      <c r="X11" s="60">
        <f t="shared" si="1"/>
        <v>0</v>
      </c>
      <c r="Y11" s="60">
        <f t="shared" si="1"/>
        <v>0</v>
      </c>
      <c r="Z11" s="60">
        <f t="shared" si="1"/>
        <v>0</v>
      </c>
      <c r="AA11" s="60">
        <f t="shared" si="1"/>
        <v>0</v>
      </c>
      <c r="AB11" s="47"/>
    </row>
    <row r="12" spans="2:28" ht="15.75">
      <c r="B12">
        <f t="shared" si="2"/>
      </c>
      <c r="C12" t="s">
        <v>303</v>
      </c>
      <c r="D12" t="s">
        <v>664</v>
      </c>
      <c r="E12" t="s">
        <v>303</v>
      </c>
      <c r="F12" t="s">
        <v>664</v>
      </c>
      <c r="G12" s="47"/>
      <c r="H12" s="23" t="s">
        <v>784</v>
      </c>
      <c r="I12" s="64"/>
      <c r="J12" s="1" t="str">
        <f t="shared" si="0"/>
        <v>FROZEN</v>
      </c>
      <c r="K12" s="81"/>
      <c r="L12" s="395"/>
      <c r="M12" s="395"/>
      <c r="N12" s="82"/>
      <c r="O12" s="49"/>
      <c r="P12" s="58"/>
      <c r="Q12" s="58">
        <f>SUM('Estimate Data'!R12)</f>
        <v>0</v>
      </c>
      <c r="R12" s="58">
        <f>SUM('Estimate Data'!S12)</f>
        <v>0</v>
      </c>
      <c r="S12" s="58">
        <f>SUM('Estimate Data'!T12)</f>
        <v>0</v>
      </c>
      <c r="T12" s="58">
        <f>SUM('Estimate Data'!U12)</f>
        <v>0</v>
      </c>
      <c r="U12" s="58">
        <f>SUM('Estimate Data'!V12)</f>
        <v>0</v>
      </c>
      <c r="V12" s="60"/>
      <c r="W12" s="60"/>
      <c r="X12" s="60"/>
      <c r="Y12" s="60"/>
      <c r="Z12" s="60"/>
      <c r="AA12" s="60"/>
      <c r="AB12" s="47"/>
    </row>
    <row r="13" spans="2:28" ht="15">
      <c r="B13">
        <f t="shared" si="2"/>
      </c>
      <c r="C13" t="s">
        <v>906</v>
      </c>
      <c r="D13" t="s">
        <v>669</v>
      </c>
      <c r="E13" t="s">
        <v>906</v>
      </c>
      <c r="F13" t="s">
        <v>669</v>
      </c>
      <c r="G13" s="47"/>
      <c r="H13" s="23" t="str">
        <f>'Estimate Data'!I13</f>
        <v>H</v>
      </c>
      <c r="I13" s="23" t="str">
        <f>'Estimate Data'!J13</f>
        <v>L</v>
      </c>
      <c r="J13" s="1" t="str">
        <f t="shared" si="0"/>
        <v>HL</v>
      </c>
      <c r="K13" s="57">
        <f>'Estimate Data'!L13</f>
        <v>1638</v>
      </c>
      <c r="L13" s="6">
        <f>(VLOOKUP($J13,'Standard Estimate Uncertainty '!$B$10:$D$18,2)*$K13)+$K13</f>
        <v>1556.1</v>
      </c>
      <c r="M13" s="6">
        <f>(VLOOKUP($J13,'Standard Estimate Uncertainty '!$B$10:$D$18,3)*$K13)+$K13</f>
        <v>1801.8</v>
      </c>
      <c r="N13" s="76">
        <v>1727.2494534580983</v>
      </c>
      <c r="O13" s="49"/>
      <c r="P13" s="58"/>
      <c r="Q13" s="58">
        <f>SUM('Estimate Data'!R13)</f>
        <v>1054</v>
      </c>
      <c r="R13" s="58">
        <f>SUM('Estimate Data'!S13)</f>
        <v>533</v>
      </c>
      <c r="S13" s="58">
        <f>SUM('Estimate Data'!T13)</f>
        <v>21</v>
      </c>
      <c r="T13" s="58">
        <f>SUM('Estimate Data'!U13)</f>
        <v>30</v>
      </c>
      <c r="U13" s="58">
        <f>SUM('Estimate Data'!V13)</f>
        <v>0</v>
      </c>
      <c r="V13" s="60">
        <f t="shared" si="1"/>
        <v>0</v>
      </c>
      <c r="W13" s="60">
        <f t="shared" si="1"/>
        <v>0.6434676434676435</v>
      </c>
      <c r="X13" s="60">
        <f t="shared" si="1"/>
        <v>0.3253968253968254</v>
      </c>
      <c r="Y13" s="60">
        <f t="shared" si="1"/>
        <v>0.01282051282051282</v>
      </c>
      <c r="Z13" s="60">
        <f t="shared" si="1"/>
        <v>0.018315018315018316</v>
      </c>
      <c r="AA13" s="60">
        <f t="shared" si="1"/>
        <v>0</v>
      </c>
      <c r="AB13" s="47"/>
    </row>
    <row r="14" spans="2:28" ht="15">
      <c r="B14">
        <f t="shared" si="2"/>
      </c>
      <c r="C14" t="s">
        <v>304</v>
      </c>
      <c r="D14" t="s">
        <v>670</v>
      </c>
      <c r="E14" t="s">
        <v>304</v>
      </c>
      <c r="F14" t="s">
        <v>670</v>
      </c>
      <c r="G14" s="47"/>
      <c r="H14" s="23" t="str">
        <f>'Estimate Data'!I14</f>
        <v>H</v>
      </c>
      <c r="I14" s="23" t="str">
        <f>'Estimate Data'!J14</f>
        <v>L</v>
      </c>
      <c r="J14" s="1" t="str">
        <f t="shared" si="0"/>
        <v>HL</v>
      </c>
      <c r="K14" s="57">
        <f>'Estimate Data'!L14</f>
        <v>358</v>
      </c>
      <c r="L14" s="6">
        <f>(VLOOKUP($J14,'Standard Estimate Uncertainty '!$B$10:$D$18,2)*$K14)+$K14</f>
        <v>340.1</v>
      </c>
      <c r="M14" s="6">
        <f>(VLOOKUP($J14,'Standard Estimate Uncertainty '!$B$10:$D$18,3)*$K14)+$K14</f>
        <v>393.8</v>
      </c>
      <c r="N14" s="76">
        <v>373.7998817210231</v>
      </c>
      <c r="O14" s="49"/>
      <c r="P14" s="58"/>
      <c r="Q14" s="58">
        <f>SUM('Estimate Data'!R14)</f>
        <v>34</v>
      </c>
      <c r="R14" s="58">
        <f>SUM('Estimate Data'!S14)</f>
        <v>0</v>
      </c>
      <c r="S14" s="58">
        <f>SUM('Estimate Data'!T14)</f>
        <v>254</v>
      </c>
      <c r="T14" s="58">
        <f>SUM('Estimate Data'!U14)</f>
        <v>70</v>
      </c>
      <c r="U14" s="58">
        <f>SUM('Estimate Data'!V14)</f>
        <v>0</v>
      </c>
      <c r="V14" s="60">
        <f t="shared" si="1"/>
        <v>0</v>
      </c>
      <c r="W14" s="60">
        <f t="shared" si="1"/>
        <v>0.09497206703910614</v>
      </c>
      <c r="X14" s="60">
        <f t="shared" si="1"/>
        <v>0</v>
      </c>
      <c r="Y14" s="60">
        <f t="shared" si="1"/>
        <v>0.7094972067039106</v>
      </c>
      <c r="Z14" s="60">
        <f t="shared" si="1"/>
        <v>0.19553072625698323</v>
      </c>
      <c r="AA14" s="60">
        <f t="shared" si="1"/>
        <v>0</v>
      </c>
      <c r="AB14" s="47"/>
    </row>
    <row r="15" spans="2:28" ht="15">
      <c r="B15">
        <f t="shared" si="2"/>
      </c>
      <c r="C15" t="s">
        <v>720</v>
      </c>
      <c r="D15" t="s">
        <v>907</v>
      </c>
      <c r="E15" t="s">
        <v>720</v>
      </c>
      <c r="F15" t="s">
        <v>907</v>
      </c>
      <c r="G15" s="47"/>
      <c r="H15" s="23" t="str">
        <f>'Estimate Data'!I15</f>
        <v>M</v>
      </c>
      <c r="I15" s="23" t="str">
        <f>'Estimate Data'!J15</f>
        <v>L</v>
      </c>
      <c r="J15" s="1" t="str">
        <f t="shared" si="0"/>
        <v>ML</v>
      </c>
      <c r="K15" s="57">
        <f>'Estimate Data'!L15</f>
        <v>1433</v>
      </c>
      <c r="L15" s="6">
        <f>(VLOOKUP($J15,'Standard Estimate Uncertainty '!$B$10:$D$18,2)*$K15)+$K15</f>
        <v>1289.7</v>
      </c>
      <c r="M15" s="6">
        <f>(VLOOKUP($J15,'Standard Estimate Uncertainty '!$B$10:$D$18,3)*$K15)+$K15</f>
        <v>1647.95</v>
      </c>
      <c r="N15" s="76">
        <v>1757.4469577898935</v>
      </c>
      <c r="O15" s="49"/>
      <c r="P15" s="58"/>
      <c r="Q15" s="58">
        <f>SUM('Estimate Data'!R15)</f>
        <v>858</v>
      </c>
      <c r="R15" s="58">
        <f>SUM('Estimate Data'!S15)</f>
        <v>575</v>
      </c>
      <c r="S15" s="58">
        <f>SUM('Estimate Data'!T15)</f>
        <v>0</v>
      </c>
      <c r="T15" s="58">
        <f>SUM('Estimate Data'!U15)</f>
        <v>0</v>
      </c>
      <c r="U15" s="58">
        <f>SUM('Estimate Data'!V15)</f>
        <v>0</v>
      </c>
      <c r="V15" s="60">
        <f t="shared" si="1"/>
        <v>0</v>
      </c>
      <c r="W15" s="60">
        <f t="shared" si="1"/>
        <v>0.5987438939288207</v>
      </c>
      <c r="X15" s="60">
        <f t="shared" si="1"/>
        <v>0.40125610607117934</v>
      </c>
      <c r="Y15" s="60">
        <f t="shared" si="1"/>
        <v>0</v>
      </c>
      <c r="Z15" s="60">
        <f t="shared" si="1"/>
        <v>0</v>
      </c>
      <c r="AA15" s="60">
        <f t="shared" si="1"/>
        <v>0</v>
      </c>
      <c r="AB15" s="47"/>
    </row>
    <row r="16" spans="2:28" ht="15">
      <c r="B16">
        <f t="shared" si="2"/>
      </c>
      <c r="C16" t="s">
        <v>908</v>
      </c>
      <c r="D16" t="s">
        <v>671</v>
      </c>
      <c r="E16" t="s">
        <v>908</v>
      </c>
      <c r="F16" t="s">
        <v>671</v>
      </c>
      <c r="G16" s="47"/>
      <c r="H16" s="23" t="str">
        <f>'Estimate Data'!I16</f>
        <v>M</v>
      </c>
      <c r="I16" s="23" t="str">
        <f>'Estimate Data'!J16</f>
        <v>L</v>
      </c>
      <c r="J16" s="1" t="str">
        <f t="shared" si="0"/>
        <v>ML</v>
      </c>
      <c r="K16" s="57">
        <f>'Estimate Data'!L16</f>
        <v>109</v>
      </c>
      <c r="L16" s="6">
        <f>(VLOOKUP($J16,'Standard Estimate Uncertainty '!$B$10:$D$18,2)*$K16)+$K16</f>
        <v>98.1</v>
      </c>
      <c r="M16" s="6">
        <f>(VLOOKUP($J16,'Standard Estimate Uncertainty '!$B$10:$D$18,3)*$K16)+$K16</f>
        <v>125.35</v>
      </c>
      <c r="N16" s="76">
        <v>117.66230392993809</v>
      </c>
      <c r="O16" s="49"/>
      <c r="P16" s="58"/>
      <c r="Q16" s="58">
        <f>SUM('Estimate Data'!R16)</f>
        <v>57</v>
      </c>
      <c r="R16" s="58">
        <f>SUM('Estimate Data'!S16)</f>
        <v>50</v>
      </c>
      <c r="S16" s="58">
        <f>SUM('Estimate Data'!T16)</f>
        <v>0</v>
      </c>
      <c r="T16" s="58">
        <f>SUM('Estimate Data'!U16)</f>
        <v>2</v>
      </c>
      <c r="U16" s="58">
        <f>SUM('Estimate Data'!V16)</f>
        <v>0</v>
      </c>
      <c r="V16" s="60">
        <f t="shared" si="1"/>
        <v>0</v>
      </c>
      <c r="W16" s="60">
        <f t="shared" si="1"/>
        <v>0.5229357798165137</v>
      </c>
      <c r="X16" s="60">
        <f t="shared" si="1"/>
        <v>0.45871559633027525</v>
      </c>
      <c r="Y16" s="60">
        <f t="shared" si="1"/>
        <v>0</v>
      </c>
      <c r="Z16" s="60">
        <f t="shared" si="1"/>
        <v>0.01834862385321101</v>
      </c>
      <c r="AA16" s="60">
        <f t="shared" si="1"/>
        <v>0</v>
      </c>
      <c r="AB16" s="47"/>
    </row>
    <row r="17" spans="2:28" ht="15.75">
      <c r="B17">
        <f t="shared" si="2"/>
      </c>
      <c r="C17" t="s">
        <v>721</v>
      </c>
      <c r="D17" t="s">
        <v>647</v>
      </c>
      <c r="E17" t="s">
        <v>721</v>
      </c>
      <c r="F17" t="s">
        <v>647</v>
      </c>
      <c r="G17" s="47"/>
      <c r="H17" s="23" t="s">
        <v>784</v>
      </c>
      <c r="I17" s="64"/>
      <c r="J17" s="1" t="str">
        <f t="shared" si="0"/>
        <v>FROZEN</v>
      </c>
      <c r="K17" s="81"/>
      <c r="L17" s="395"/>
      <c r="M17" s="395"/>
      <c r="N17" s="82"/>
      <c r="O17" s="49"/>
      <c r="P17" s="58"/>
      <c r="Q17" s="58">
        <f>SUM('Estimate Data'!R17)</f>
        <v>0</v>
      </c>
      <c r="R17" s="58">
        <f>SUM('Estimate Data'!S17)</f>
        <v>0</v>
      </c>
      <c r="S17" s="58">
        <f>SUM('Estimate Data'!T17)</f>
        <v>0</v>
      </c>
      <c r="T17" s="58">
        <f>SUM('Estimate Data'!U17)</f>
        <v>0</v>
      </c>
      <c r="U17" s="58">
        <f>SUM('Estimate Data'!V17)</f>
        <v>0</v>
      </c>
      <c r="V17" s="60"/>
      <c r="W17" s="60"/>
      <c r="X17" s="60"/>
      <c r="Y17" s="60"/>
      <c r="Z17" s="60"/>
      <c r="AA17" s="60"/>
      <c r="AB17" s="47"/>
    </row>
    <row r="18" spans="2:28" ht="15">
      <c r="B18">
        <f t="shared" si="2"/>
      </c>
      <c r="C18" t="s">
        <v>721</v>
      </c>
      <c r="D18" t="s">
        <v>672</v>
      </c>
      <c r="E18" t="s">
        <v>721</v>
      </c>
      <c r="F18" t="s">
        <v>672</v>
      </c>
      <c r="G18" s="47"/>
      <c r="H18" s="23" t="str">
        <f>'Estimate Data'!I18</f>
        <v>H</v>
      </c>
      <c r="I18" s="23" t="str">
        <f>'Estimate Data'!J18</f>
        <v>M</v>
      </c>
      <c r="J18" s="1" t="str">
        <f>CONCATENATE(H18,I18)</f>
        <v>HM</v>
      </c>
      <c r="K18" s="57">
        <f>'Estimate Data'!L18</f>
        <v>153</v>
      </c>
      <c r="L18" s="6">
        <f>(VLOOKUP($J18,'Standard Estimate Uncertainty '!$B$10:$D$18,2)*$K18)+$K18</f>
        <v>137.7</v>
      </c>
      <c r="M18" s="6">
        <f>(VLOOKUP($J18,'Standard Estimate Uncertainty '!$B$10:$D$18,3)*$K18)+$K18</f>
        <v>175.95</v>
      </c>
      <c r="N18" s="76">
        <v>166.8665401188213</v>
      </c>
      <c r="O18" s="49"/>
      <c r="P18" s="58"/>
      <c r="Q18" s="58">
        <f>SUM('Estimate Data'!R18)</f>
        <v>136</v>
      </c>
      <c r="R18" s="58">
        <f>SUM('Estimate Data'!S18)</f>
        <v>17</v>
      </c>
      <c r="S18" s="58">
        <f>SUM('Estimate Data'!T18)</f>
        <v>0</v>
      </c>
      <c r="T18" s="58">
        <f>SUM('Estimate Data'!U18)</f>
        <v>0</v>
      </c>
      <c r="U18" s="58">
        <f>SUM('Estimate Data'!V18)</f>
        <v>0</v>
      </c>
      <c r="V18" s="60">
        <f t="shared" si="1"/>
        <v>0</v>
      </c>
      <c r="W18" s="60">
        <f t="shared" si="1"/>
        <v>0.8888888888888888</v>
      </c>
      <c r="X18" s="60">
        <f t="shared" si="1"/>
        <v>0.1111111111111111</v>
      </c>
      <c r="Y18" s="60">
        <f t="shared" si="1"/>
        <v>0</v>
      </c>
      <c r="Z18" s="60">
        <f t="shared" si="1"/>
        <v>0</v>
      </c>
      <c r="AA18" s="60">
        <f t="shared" si="1"/>
        <v>0</v>
      </c>
      <c r="AB18" s="47"/>
    </row>
    <row r="19" spans="2:28" ht="15">
      <c r="B19">
        <f t="shared" si="2"/>
      </c>
      <c r="C19" t="s">
        <v>721</v>
      </c>
      <c r="D19" t="s">
        <v>673</v>
      </c>
      <c r="E19" t="s">
        <v>721</v>
      </c>
      <c r="F19" t="s">
        <v>673</v>
      </c>
      <c r="G19" s="47"/>
      <c r="H19" s="23" t="str">
        <f>'Estimate Data'!I19</f>
        <v>H</v>
      </c>
      <c r="I19" s="23" t="str">
        <f>'Estimate Data'!J19</f>
        <v>M</v>
      </c>
      <c r="J19" s="1" t="str">
        <f>CONCATENATE(H19,I19)</f>
        <v>HM</v>
      </c>
      <c r="K19" s="57">
        <f>'Estimate Data'!L19</f>
        <v>474</v>
      </c>
      <c r="L19" s="6">
        <f>(VLOOKUP($J19,'Standard Estimate Uncertainty '!$B$10:$D$18,2)*$K19)+$K19</f>
        <v>426.6</v>
      </c>
      <c r="M19" s="6">
        <f>(VLOOKUP($J19,'Standard Estimate Uncertainty '!$B$10:$D$18,3)*$K19)+$K19</f>
        <v>545.1</v>
      </c>
      <c r="N19" s="76">
        <v>507.01756420718783</v>
      </c>
      <c r="O19" s="49"/>
      <c r="P19" s="58"/>
      <c r="Q19" s="58">
        <f>SUM('Estimate Data'!R19)</f>
        <v>427</v>
      </c>
      <c r="R19" s="58">
        <f>SUM('Estimate Data'!S19)</f>
        <v>47</v>
      </c>
      <c r="S19" s="58">
        <f>SUM('Estimate Data'!T19)</f>
        <v>0</v>
      </c>
      <c r="T19" s="58">
        <f>SUM('Estimate Data'!U19)</f>
        <v>0</v>
      </c>
      <c r="U19" s="58">
        <f>SUM('Estimate Data'!V19)</f>
        <v>0</v>
      </c>
      <c r="V19" s="60">
        <f aca="true" t="shared" si="3" ref="V19:AA61">P19/$K19</f>
        <v>0</v>
      </c>
      <c r="W19" s="60">
        <f t="shared" si="3"/>
        <v>0.9008438818565401</v>
      </c>
      <c r="X19" s="60">
        <f t="shared" si="3"/>
        <v>0.09915611814345991</v>
      </c>
      <c r="Y19" s="60">
        <f t="shared" si="3"/>
        <v>0</v>
      </c>
      <c r="Z19" s="60">
        <f t="shared" si="3"/>
        <v>0</v>
      </c>
      <c r="AA19" s="60">
        <f t="shared" si="3"/>
        <v>0</v>
      </c>
      <c r="AB19" s="47"/>
    </row>
    <row r="20" spans="2:28" ht="15.75">
      <c r="B20">
        <f t="shared" si="2"/>
      </c>
      <c r="C20" t="s">
        <v>721</v>
      </c>
      <c r="D20" t="s">
        <v>664</v>
      </c>
      <c r="E20" t="s">
        <v>721</v>
      </c>
      <c r="F20" t="s">
        <v>664</v>
      </c>
      <c r="G20" s="47"/>
      <c r="H20" s="23" t="s">
        <v>784</v>
      </c>
      <c r="I20" s="64"/>
      <c r="J20" s="1" t="str">
        <f t="shared" si="0"/>
        <v>FROZEN</v>
      </c>
      <c r="K20" s="81"/>
      <c r="L20" s="395"/>
      <c r="M20" s="395"/>
      <c r="N20" s="82"/>
      <c r="O20" s="49"/>
      <c r="P20" s="58"/>
      <c r="Q20" s="58">
        <f>SUM('Estimate Data'!R20)</f>
        <v>0</v>
      </c>
      <c r="R20" s="58">
        <f>SUM('Estimate Data'!S20)</f>
        <v>0</v>
      </c>
      <c r="S20" s="58">
        <f>SUM('Estimate Data'!T20)</f>
        <v>0</v>
      </c>
      <c r="T20" s="58">
        <f>SUM('Estimate Data'!U20)</f>
        <v>0</v>
      </c>
      <c r="U20" s="58">
        <f>SUM('Estimate Data'!V20)</f>
        <v>0</v>
      </c>
      <c r="V20" s="60"/>
      <c r="W20" s="60"/>
      <c r="X20" s="60"/>
      <c r="Y20" s="60"/>
      <c r="Z20" s="60"/>
      <c r="AA20" s="60"/>
      <c r="AB20" s="47"/>
    </row>
    <row r="21" spans="1:28" ht="15.75">
      <c r="A21">
        <v>14</v>
      </c>
      <c r="B21">
        <f t="shared" si="2"/>
      </c>
      <c r="C21" t="s">
        <v>722</v>
      </c>
      <c r="D21" t="s">
        <v>647</v>
      </c>
      <c r="E21" t="s">
        <v>722</v>
      </c>
      <c r="F21" t="s">
        <v>647</v>
      </c>
      <c r="G21" s="47"/>
      <c r="H21" s="23" t="s">
        <v>784</v>
      </c>
      <c r="I21" s="64"/>
      <c r="J21" s="1" t="str">
        <f t="shared" si="0"/>
        <v>FROZEN</v>
      </c>
      <c r="K21" s="81"/>
      <c r="L21" s="395"/>
      <c r="M21" s="395"/>
      <c r="N21" s="82"/>
      <c r="O21" s="49"/>
      <c r="P21" s="58"/>
      <c r="Q21" s="58">
        <f>SUM('Estimate Data'!R21)</f>
        <v>0</v>
      </c>
      <c r="R21" s="58">
        <f>SUM('Estimate Data'!S21)</f>
        <v>0</v>
      </c>
      <c r="S21" s="58">
        <f>SUM('Estimate Data'!T21)</f>
        <v>0</v>
      </c>
      <c r="T21" s="58">
        <f>SUM('Estimate Data'!U21)</f>
        <v>0</v>
      </c>
      <c r="U21" s="58">
        <f>SUM('Estimate Data'!V21)</f>
        <v>0</v>
      </c>
      <c r="V21" s="60"/>
      <c r="W21" s="60"/>
      <c r="X21" s="60"/>
      <c r="Y21" s="60"/>
      <c r="Z21" s="60"/>
      <c r="AA21" s="60"/>
      <c r="AB21" s="47"/>
    </row>
    <row r="22" spans="2:28" ht="15">
      <c r="B22">
        <f t="shared" si="2"/>
      </c>
      <c r="C22" t="s">
        <v>723</v>
      </c>
      <c r="D22" t="s">
        <v>647</v>
      </c>
      <c r="E22" t="s">
        <v>723</v>
      </c>
      <c r="F22" t="s">
        <v>647</v>
      </c>
      <c r="G22" s="47"/>
      <c r="H22" s="23" t="str">
        <f>'Estimate Data'!I22</f>
        <v>L</v>
      </c>
      <c r="I22" s="23" t="str">
        <f>'Estimate Data'!J22</f>
        <v>L</v>
      </c>
      <c r="J22" s="1" t="str">
        <f t="shared" si="0"/>
        <v>LL</v>
      </c>
      <c r="K22" s="57">
        <f>'Estimate Data'!L22</f>
        <v>123</v>
      </c>
      <c r="L22" s="6">
        <f>(VLOOKUP($J22,'Standard Estimate Uncertainty '!$B$10:$D$18,2)*$K22)+$K22</f>
        <v>104.55</v>
      </c>
      <c r="M22" s="6">
        <f>(VLOOKUP($J22,'Standard Estimate Uncertainty '!$B$10:$D$18,3)*$K22)+$K22</f>
        <v>153.75</v>
      </c>
      <c r="N22" s="76">
        <v>142.19849627920402</v>
      </c>
      <c r="O22" s="49"/>
      <c r="P22" s="58"/>
      <c r="Q22" s="58">
        <f>SUM('Estimate Data'!R22)</f>
        <v>123</v>
      </c>
      <c r="R22" s="58">
        <f>SUM('Estimate Data'!S22)</f>
        <v>0</v>
      </c>
      <c r="S22" s="58">
        <f>SUM('Estimate Data'!T22)</f>
        <v>0</v>
      </c>
      <c r="T22" s="58">
        <f>SUM('Estimate Data'!U22)</f>
        <v>0</v>
      </c>
      <c r="U22" s="58">
        <f>SUM('Estimate Data'!V22)</f>
        <v>0</v>
      </c>
      <c r="V22" s="60">
        <f t="shared" si="3"/>
        <v>0</v>
      </c>
      <c r="W22" s="60">
        <f t="shared" si="3"/>
        <v>1</v>
      </c>
      <c r="X22" s="60">
        <f t="shared" si="3"/>
        <v>0</v>
      </c>
      <c r="Y22" s="60">
        <f t="shared" si="3"/>
        <v>0</v>
      </c>
      <c r="Z22" s="60">
        <f t="shared" si="3"/>
        <v>0</v>
      </c>
      <c r="AA22" s="60">
        <f t="shared" si="3"/>
        <v>0</v>
      </c>
      <c r="AB22" s="47"/>
    </row>
    <row r="23" spans="2:28" ht="15.75">
      <c r="B23">
        <f t="shared" si="2"/>
      </c>
      <c r="C23" t="s">
        <v>724</v>
      </c>
      <c r="D23" t="s">
        <v>647</v>
      </c>
      <c r="E23" t="s">
        <v>724</v>
      </c>
      <c r="F23" t="s">
        <v>647</v>
      </c>
      <c r="G23" s="61"/>
      <c r="H23" s="23" t="s">
        <v>904</v>
      </c>
      <c r="I23" s="64"/>
      <c r="J23" s="1" t="str">
        <f t="shared" si="0"/>
        <v>Closed</v>
      </c>
      <c r="K23" s="81"/>
      <c r="L23" s="395"/>
      <c r="M23" s="395"/>
      <c r="N23" s="82"/>
      <c r="O23" s="49"/>
      <c r="P23" s="58"/>
      <c r="Q23" s="58">
        <f>SUM('Estimate Data'!R23)</f>
        <v>0</v>
      </c>
      <c r="R23" s="58">
        <f>SUM('Estimate Data'!S23)</f>
        <v>0</v>
      </c>
      <c r="S23" s="58">
        <f>SUM('Estimate Data'!T23)</f>
        <v>0</v>
      </c>
      <c r="T23" s="58">
        <f>SUM('Estimate Data'!U23)</f>
        <v>0</v>
      </c>
      <c r="U23" s="58">
        <f>SUM('Estimate Data'!V23)</f>
        <v>0</v>
      </c>
      <c r="V23" s="60"/>
      <c r="W23" s="60"/>
      <c r="X23" s="60"/>
      <c r="Y23" s="60"/>
      <c r="Z23" s="60"/>
      <c r="AA23" s="60"/>
      <c r="AB23" s="47"/>
    </row>
    <row r="24" spans="2:28" ht="15.75">
      <c r="B24">
        <f t="shared" si="2"/>
      </c>
      <c r="C24" t="s">
        <v>725</v>
      </c>
      <c r="D24" t="s">
        <v>674</v>
      </c>
      <c r="E24" t="s">
        <v>725</v>
      </c>
      <c r="F24" t="s">
        <v>674</v>
      </c>
      <c r="G24" s="47"/>
      <c r="H24" s="23" t="s">
        <v>602</v>
      </c>
      <c r="I24" s="23" t="s">
        <v>616</v>
      </c>
      <c r="J24" s="1" t="str">
        <f t="shared" si="0"/>
        <v>HL</v>
      </c>
      <c r="K24" s="81"/>
      <c r="L24" s="82"/>
      <c r="M24" s="82"/>
      <c r="N24" s="82"/>
      <c r="O24" s="49"/>
      <c r="P24" s="58"/>
      <c r="Q24" s="58">
        <f>SUM('Estimate Data'!R24)</f>
        <v>0</v>
      </c>
      <c r="R24" s="58">
        <f>SUM('Estimate Data'!S24)</f>
        <v>0</v>
      </c>
      <c r="S24" s="58">
        <f>SUM('Estimate Data'!T24)</f>
        <v>0</v>
      </c>
      <c r="T24" s="58">
        <f>SUM('Estimate Data'!U24)</f>
        <v>0</v>
      </c>
      <c r="U24" s="58">
        <f>SUM('Estimate Data'!V24)</f>
        <v>0</v>
      </c>
      <c r="V24" s="60"/>
      <c r="W24" s="60"/>
      <c r="X24" s="60"/>
      <c r="Y24" s="60"/>
      <c r="Z24" s="60"/>
      <c r="AA24" s="60"/>
      <c r="AB24" s="47"/>
    </row>
    <row r="25" spans="2:28" ht="15.75">
      <c r="B25">
        <f t="shared" si="2"/>
      </c>
      <c r="C25" t="s">
        <v>725</v>
      </c>
      <c r="D25" t="s">
        <v>675</v>
      </c>
      <c r="E25" t="s">
        <v>725</v>
      </c>
      <c r="F25" t="s">
        <v>675</v>
      </c>
      <c r="G25" s="47"/>
      <c r="H25" s="23" t="s">
        <v>602</v>
      </c>
      <c r="I25" s="23" t="s">
        <v>616</v>
      </c>
      <c r="J25" s="1" t="str">
        <f t="shared" si="0"/>
        <v>HL</v>
      </c>
      <c r="K25" s="81"/>
      <c r="L25" s="82"/>
      <c r="M25" s="82"/>
      <c r="N25" s="82"/>
      <c r="O25" s="49"/>
      <c r="P25" s="58"/>
      <c r="Q25" s="58">
        <f>SUM('Estimate Data'!R25)</f>
        <v>0</v>
      </c>
      <c r="R25" s="58">
        <f>SUM('Estimate Data'!S25)</f>
        <v>0</v>
      </c>
      <c r="S25" s="58">
        <f>SUM('Estimate Data'!T25)</f>
        <v>0</v>
      </c>
      <c r="T25" s="58">
        <f>SUM('Estimate Data'!U25)</f>
        <v>0</v>
      </c>
      <c r="U25" s="58">
        <f>SUM('Estimate Data'!V25)</f>
        <v>0</v>
      </c>
      <c r="V25" s="60"/>
      <c r="W25" s="60"/>
      <c r="X25" s="60"/>
      <c r="Y25" s="60"/>
      <c r="Z25" s="60"/>
      <c r="AA25" s="60"/>
      <c r="AB25" s="47"/>
    </row>
    <row r="26" spans="2:28" ht="15">
      <c r="B26">
        <f t="shared" si="2"/>
      </c>
      <c r="C26" t="s">
        <v>725</v>
      </c>
      <c r="D26" t="s">
        <v>676</v>
      </c>
      <c r="E26" t="s">
        <v>725</v>
      </c>
      <c r="F26" t="s">
        <v>676</v>
      </c>
      <c r="G26" s="47"/>
      <c r="H26" s="23" t="str">
        <f>'Estimate Data'!I26</f>
        <v>H</v>
      </c>
      <c r="I26" s="23" t="str">
        <f>'Estimate Data'!J26</f>
        <v>L</v>
      </c>
      <c r="J26" s="1" t="str">
        <f>CONCATENATE(H26,I26)</f>
        <v>HL</v>
      </c>
      <c r="K26" s="57">
        <f>'Estimate Data'!L26</f>
        <v>10</v>
      </c>
      <c r="L26" s="6">
        <f>(VLOOKUP($J26,'Standard Estimate Uncertainty '!$B$10:$D$18,2)*$K26)+$K26</f>
        <v>9.5</v>
      </c>
      <c r="M26" s="6">
        <f>(VLOOKUP($J26,'Standard Estimate Uncertainty '!$B$10:$D$18,3)*$K26)+$K26</f>
        <v>11</v>
      </c>
      <c r="N26" s="76">
        <v>10.499996677556828</v>
      </c>
      <c r="O26" s="49"/>
      <c r="P26" s="58"/>
      <c r="Q26" s="58">
        <f>SUM('Estimate Data'!R26)</f>
        <v>10</v>
      </c>
      <c r="R26" s="58">
        <f>SUM('Estimate Data'!S26)</f>
        <v>0</v>
      </c>
      <c r="S26" s="58">
        <f>SUM('Estimate Data'!T26)</f>
        <v>0</v>
      </c>
      <c r="T26" s="58">
        <f>SUM('Estimate Data'!U26)</f>
        <v>0</v>
      </c>
      <c r="U26" s="58">
        <f>SUM('Estimate Data'!V26)</f>
        <v>0</v>
      </c>
      <c r="V26" s="60">
        <f t="shared" si="3"/>
        <v>0</v>
      </c>
      <c r="W26" s="60">
        <f t="shared" si="3"/>
        <v>1</v>
      </c>
      <c r="X26" s="60">
        <f t="shared" si="3"/>
        <v>0</v>
      </c>
      <c r="Y26" s="60">
        <f t="shared" si="3"/>
        <v>0</v>
      </c>
      <c r="Z26" s="60">
        <f t="shared" si="3"/>
        <v>0</v>
      </c>
      <c r="AA26" s="60">
        <f t="shared" si="3"/>
        <v>0</v>
      </c>
      <c r="AB26" s="47"/>
    </row>
    <row r="27" spans="2:28" ht="15">
      <c r="B27">
        <f t="shared" si="2"/>
      </c>
      <c r="C27" t="s">
        <v>725</v>
      </c>
      <c r="D27" t="s">
        <v>677</v>
      </c>
      <c r="E27" t="s">
        <v>725</v>
      </c>
      <c r="F27" t="s">
        <v>677</v>
      </c>
      <c r="G27" s="47"/>
      <c r="H27" s="23" t="str">
        <f>'Estimate Data'!I27</f>
        <v>H</v>
      </c>
      <c r="I27" s="23" t="str">
        <f>'Estimate Data'!J27</f>
        <v>L</v>
      </c>
      <c r="J27" s="1" t="str">
        <f>CONCATENATE(H27,I27)</f>
        <v>HL</v>
      </c>
      <c r="K27" s="57">
        <f>'Estimate Data'!L27</f>
        <v>122</v>
      </c>
      <c r="L27" s="6">
        <f>(VLOOKUP($J27,'Standard Estimate Uncertainty '!$B$10:$D$18,2)*$K27)+$K27</f>
        <v>115.9</v>
      </c>
      <c r="M27" s="6">
        <f>(VLOOKUP($J27,'Standard Estimate Uncertainty '!$B$10:$D$18,3)*$K27)+$K27</f>
        <v>134.2</v>
      </c>
      <c r="N27" s="76">
        <v>128.0999594661933</v>
      </c>
      <c r="O27" s="49"/>
      <c r="P27" s="58"/>
      <c r="Q27" s="58">
        <f>SUM('Estimate Data'!R27)</f>
        <v>122</v>
      </c>
      <c r="R27" s="58">
        <f>SUM('Estimate Data'!S27)</f>
        <v>0</v>
      </c>
      <c r="S27" s="58">
        <f>SUM('Estimate Data'!T27)</f>
        <v>0</v>
      </c>
      <c r="T27" s="58">
        <f>SUM('Estimate Data'!U27)</f>
        <v>0</v>
      </c>
      <c r="U27" s="58">
        <f>SUM('Estimate Data'!V27)</f>
        <v>0</v>
      </c>
      <c r="V27" s="60">
        <f t="shared" si="3"/>
        <v>0</v>
      </c>
      <c r="W27" s="60">
        <f t="shared" si="3"/>
        <v>1</v>
      </c>
      <c r="X27" s="60">
        <f t="shared" si="3"/>
        <v>0</v>
      </c>
      <c r="Y27" s="60">
        <f t="shared" si="3"/>
        <v>0</v>
      </c>
      <c r="Z27" s="60">
        <f t="shared" si="3"/>
        <v>0</v>
      </c>
      <c r="AA27" s="60">
        <f t="shared" si="3"/>
        <v>0</v>
      </c>
      <c r="AB27" s="47"/>
    </row>
    <row r="28" spans="2:28" ht="15">
      <c r="B28">
        <f t="shared" si="2"/>
      </c>
      <c r="C28" t="s">
        <v>725</v>
      </c>
      <c r="D28" t="s">
        <v>678</v>
      </c>
      <c r="E28" t="s">
        <v>725</v>
      </c>
      <c r="F28" t="s">
        <v>678</v>
      </c>
      <c r="G28" s="47"/>
      <c r="H28" s="23" t="str">
        <f>'Estimate Data'!I28</f>
        <v>H</v>
      </c>
      <c r="I28" s="23" t="str">
        <f>'Estimate Data'!J28</f>
        <v>L</v>
      </c>
      <c r="J28" s="1" t="str">
        <f>CONCATENATE(H28,I28)</f>
        <v>HL</v>
      </c>
      <c r="K28" s="57">
        <f>'Estimate Data'!L28</f>
        <v>7</v>
      </c>
      <c r="L28" s="6">
        <f>(VLOOKUP($J28,'Standard Estimate Uncertainty '!$B$10:$D$18,2)*$K28)+$K28</f>
        <v>6.65</v>
      </c>
      <c r="M28" s="6">
        <f>(VLOOKUP($J28,'Standard Estimate Uncertainty '!$B$10:$D$18,3)*$K28)+$K28</f>
        <v>7.7</v>
      </c>
      <c r="N28" s="76">
        <v>7.349997674289781</v>
      </c>
      <c r="O28" s="49"/>
      <c r="P28" s="58"/>
      <c r="Q28" s="58">
        <f>SUM('Estimate Data'!R28)</f>
        <v>0</v>
      </c>
      <c r="R28" s="58">
        <f>SUM('Estimate Data'!S28)</f>
        <v>7</v>
      </c>
      <c r="S28" s="58">
        <f>SUM('Estimate Data'!T28)</f>
        <v>0</v>
      </c>
      <c r="T28" s="58">
        <f>SUM('Estimate Data'!U28)</f>
        <v>0</v>
      </c>
      <c r="U28" s="58">
        <f>SUM('Estimate Data'!V28)</f>
        <v>0</v>
      </c>
      <c r="V28" s="60">
        <f t="shared" si="3"/>
        <v>0</v>
      </c>
      <c r="W28" s="60">
        <f t="shared" si="3"/>
        <v>0</v>
      </c>
      <c r="X28" s="60">
        <f t="shared" si="3"/>
        <v>1</v>
      </c>
      <c r="Y28" s="60">
        <f t="shared" si="3"/>
        <v>0</v>
      </c>
      <c r="Z28" s="60">
        <f t="shared" si="3"/>
        <v>0</v>
      </c>
      <c r="AA28" s="60">
        <f t="shared" si="3"/>
        <v>0</v>
      </c>
      <c r="AB28" s="47"/>
    </row>
    <row r="29" spans="2:28" ht="15">
      <c r="B29">
        <f t="shared" si="2"/>
      </c>
      <c r="C29" t="s">
        <v>726</v>
      </c>
      <c r="D29" t="s">
        <v>647</v>
      </c>
      <c r="E29" t="s">
        <v>726</v>
      </c>
      <c r="F29" t="s">
        <v>647</v>
      </c>
      <c r="G29" s="47"/>
      <c r="H29" s="23" t="str">
        <f>'Estimate Data'!I29</f>
        <v>L</v>
      </c>
      <c r="I29" s="23" t="str">
        <f>'Estimate Data'!J29</f>
        <v>M</v>
      </c>
      <c r="J29" s="1" t="str">
        <f>CONCATENATE(H29,I29)</f>
        <v>LM</v>
      </c>
      <c r="K29" s="57">
        <f>'Estimate Data'!L29</f>
        <v>23</v>
      </c>
      <c r="L29" s="6">
        <f>(VLOOKUP($J29,'Standard Estimate Uncertainty '!$B$10:$D$18,2)*$K29)+$K29</f>
        <v>18.4</v>
      </c>
      <c r="M29" s="6">
        <f>(VLOOKUP($J29,'Standard Estimate Uncertainty '!$B$10:$D$18,3)*$K29)+$K29</f>
        <v>32.2</v>
      </c>
      <c r="N29" s="76">
        <v>27.599998526349946</v>
      </c>
      <c r="O29" s="49"/>
      <c r="P29" s="58"/>
      <c r="Q29" s="58">
        <f>SUM('Estimate Data'!R29)</f>
        <v>23</v>
      </c>
      <c r="R29" s="58">
        <f>SUM('Estimate Data'!S29)</f>
        <v>0</v>
      </c>
      <c r="S29" s="58">
        <f>SUM('Estimate Data'!T29)</f>
        <v>0</v>
      </c>
      <c r="T29" s="58">
        <f>SUM('Estimate Data'!U29)</f>
        <v>0</v>
      </c>
      <c r="U29" s="58">
        <f>SUM('Estimate Data'!V29)</f>
        <v>0</v>
      </c>
      <c r="V29" s="60">
        <f t="shared" si="3"/>
        <v>0</v>
      </c>
      <c r="W29" s="60">
        <f t="shared" si="3"/>
        <v>1</v>
      </c>
      <c r="X29" s="60">
        <f t="shared" si="3"/>
        <v>0</v>
      </c>
      <c r="Y29" s="60">
        <f t="shared" si="3"/>
        <v>0</v>
      </c>
      <c r="Z29" s="60">
        <f t="shared" si="3"/>
        <v>0</v>
      </c>
      <c r="AA29" s="60">
        <f t="shared" si="3"/>
        <v>0</v>
      </c>
      <c r="AB29" s="47"/>
    </row>
    <row r="30" spans="2:28" ht="15.75">
      <c r="B30">
        <f t="shared" si="2"/>
      </c>
      <c r="C30" t="s">
        <v>726</v>
      </c>
      <c r="D30" t="s">
        <v>727</v>
      </c>
      <c r="E30" t="s">
        <v>726</v>
      </c>
      <c r="F30" t="s">
        <v>727</v>
      </c>
      <c r="G30" s="47"/>
      <c r="H30" s="23" t="s">
        <v>616</v>
      </c>
      <c r="I30" s="23" t="s">
        <v>603</v>
      </c>
      <c r="J30" s="1" t="str">
        <f t="shared" si="0"/>
        <v>LM</v>
      </c>
      <c r="K30" s="81"/>
      <c r="L30" s="82"/>
      <c r="M30" s="82"/>
      <c r="N30" s="82"/>
      <c r="O30" s="49"/>
      <c r="P30" s="58"/>
      <c r="Q30" s="58">
        <f>SUM('Estimate Data'!R30)</f>
        <v>2</v>
      </c>
      <c r="R30" s="58">
        <f>SUM('Estimate Data'!S30)</f>
        <v>0</v>
      </c>
      <c r="S30" s="58">
        <f>SUM('Estimate Data'!T30)</f>
        <v>0</v>
      </c>
      <c r="T30" s="58">
        <f>SUM('Estimate Data'!U30)</f>
        <v>0</v>
      </c>
      <c r="U30" s="58">
        <f>SUM('Estimate Data'!V30)</f>
        <v>0</v>
      </c>
      <c r="V30" s="60"/>
      <c r="W30" s="60"/>
      <c r="X30" s="60"/>
      <c r="Y30" s="60"/>
      <c r="Z30" s="60"/>
      <c r="AA30" s="60"/>
      <c r="AB30" s="47"/>
    </row>
    <row r="31" spans="2:28" ht="15.75">
      <c r="B31">
        <f t="shared" si="2"/>
      </c>
      <c r="C31" t="s">
        <v>726</v>
      </c>
      <c r="D31" t="s">
        <v>728</v>
      </c>
      <c r="E31" t="s">
        <v>726</v>
      </c>
      <c r="F31" t="s">
        <v>728</v>
      </c>
      <c r="G31" s="47"/>
      <c r="H31" s="23" t="s">
        <v>616</v>
      </c>
      <c r="I31" s="23" t="s">
        <v>603</v>
      </c>
      <c r="J31" s="1" t="str">
        <f t="shared" si="0"/>
        <v>LM</v>
      </c>
      <c r="K31" s="81"/>
      <c r="L31" s="82"/>
      <c r="M31" s="82"/>
      <c r="N31" s="82"/>
      <c r="O31" s="49"/>
      <c r="P31" s="58"/>
      <c r="Q31" s="58">
        <f>SUM('Estimate Data'!R31)</f>
        <v>0</v>
      </c>
      <c r="R31" s="58">
        <f>SUM('Estimate Data'!S31)</f>
        <v>0</v>
      </c>
      <c r="S31" s="58">
        <f>SUM('Estimate Data'!T31)</f>
        <v>0</v>
      </c>
      <c r="T31" s="58">
        <f>SUM('Estimate Data'!U31)</f>
        <v>0</v>
      </c>
      <c r="U31" s="58">
        <f>SUM('Estimate Data'!V31)</f>
        <v>0</v>
      </c>
      <c r="V31" s="60"/>
      <c r="W31" s="60"/>
      <c r="X31" s="60"/>
      <c r="Y31" s="60"/>
      <c r="Z31" s="60"/>
      <c r="AA31" s="60"/>
      <c r="AB31" s="47"/>
    </row>
    <row r="32" spans="2:28" ht="15">
      <c r="B32">
        <f t="shared" si="2"/>
      </c>
      <c r="C32" t="s">
        <v>726</v>
      </c>
      <c r="D32" t="s">
        <v>730</v>
      </c>
      <c r="E32" t="s">
        <v>726</v>
      </c>
      <c r="F32" t="s">
        <v>730</v>
      </c>
      <c r="G32" s="47"/>
      <c r="H32" s="23" t="str">
        <f>'Estimate Data'!I32</f>
        <v>L</v>
      </c>
      <c r="I32" s="23" t="str">
        <f>'Estimate Data'!J32</f>
        <v>M</v>
      </c>
      <c r="J32" s="1" t="str">
        <f t="shared" si="0"/>
        <v>LM</v>
      </c>
      <c r="K32" s="57">
        <f>'Estimate Data'!L32+'Estimate Data'!L33</f>
        <v>4</v>
      </c>
      <c r="L32" s="6">
        <f>(VLOOKUP($J32,'Standard Estimate Uncertainty '!$B$10:$D$18,2)*$K32)+$K32</f>
        <v>3.2</v>
      </c>
      <c r="M32" s="6">
        <f>(VLOOKUP($J32,'Standard Estimate Uncertainty '!$B$10:$D$18,3)*$K32)+$K32</f>
        <v>5.6</v>
      </c>
      <c r="N32" s="76">
        <v>4.799999743713034</v>
      </c>
      <c r="O32" s="49"/>
      <c r="P32" s="58"/>
      <c r="Q32" s="58">
        <f>SUM('Estimate Data'!R32)</f>
        <v>3</v>
      </c>
      <c r="R32" s="58">
        <f>SUM('Estimate Data'!S32)</f>
        <v>0</v>
      </c>
      <c r="S32" s="58">
        <f>SUM('Estimate Data'!T32)</f>
        <v>0</v>
      </c>
      <c r="T32" s="58">
        <f>SUM('Estimate Data'!U32)</f>
        <v>0</v>
      </c>
      <c r="U32" s="58">
        <f>SUM('Estimate Data'!V32)</f>
        <v>0</v>
      </c>
      <c r="V32" s="60">
        <f t="shared" si="3"/>
        <v>0</v>
      </c>
      <c r="W32" s="60">
        <f t="shared" si="3"/>
        <v>0.75</v>
      </c>
      <c r="X32" s="60">
        <f t="shared" si="3"/>
        <v>0</v>
      </c>
      <c r="Y32" s="60">
        <f t="shared" si="3"/>
        <v>0</v>
      </c>
      <c r="Z32" s="60">
        <f t="shared" si="3"/>
        <v>0</v>
      </c>
      <c r="AA32" s="60">
        <f t="shared" si="3"/>
        <v>0</v>
      </c>
      <c r="AB32" s="47"/>
    </row>
    <row r="33" spans="2:28" ht="15.75">
      <c r="B33">
        <f t="shared" si="2"/>
      </c>
      <c r="C33" t="s">
        <v>726</v>
      </c>
      <c r="D33" t="s">
        <v>731</v>
      </c>
      <c r="E33" t="s">
        <v>726</v>
      </c>
      <c r="F33" t="s">
        <v>731</v>
      </c>
      <c r="G33" s="47"/>
      <c r="H33" s="23" t="s">
        <v>616</v>
      </c>
      <c r="I33" s="23" t="s">
        <v>603</v>
      </c>
      <c r="J33" s="1" t="str">
        <f t="shared" si="0"/>
        <v>LM</v>
      </c>
      <c r="K33" s="396" t="s">
        <v>963</v>
      </c>
      <c r="L33" s="396"/>
      <c r="M33" s="396"/>
      <c r="N33" s="82"/>
      <c r="O33" s="49"/>
      <c r="P33" s="58"/>
      <c r="Q33" s="58">
        <f>SUM('Estimate Data'!R33)</f>
        <v>1</v>
      </c>
      <c r="R33" s="58">
        <f>SUM('Estimate Data'!S33)</f>
        <v>0</v>
      </c>
      <c r="S33" s="58">
        <f>SUM('Estimate Data'!T33)</f>
        <v>0</v>
      </c>
      <c r="T33" s="58">
        <f>SUM('Estimate Data'!U33)</f>
        <v>0</v>
      </c>
      <c r="U33" s="58">
        <f>SUM('Estimate Data'!V33)</f>
        <v>0</v>
      </c>
      <c r="V33" s="60"/>
      <c r="W33" s="60"/>
      <c r="X33" s="60"/>
      <c r="Y33" s="60"/>
      <c r="Z33" s="60"/>
      <c r="AA33" s="60"/>
      <c r="AB33" s="47"/>
    </row>
    <row r="34" spans="2:28" ht="15.75">
      <c r="B34">
        <f t="shared" si="2"/>
      </c>
      <c r="C34" t="s">
        <v>726</v>
      </c>
      <c r="D34" t="s">
        <v>900</v>
      </c>
      <c r="E34" t="s">
        <v>726</v>
      </c>
      <c r="F34" t="s">
        <v>900</v>
      </c>
      <c r="G34" s="47"/>
      <c r="H34" s="23" t="s">
        <v>616</v>
      </c>
      <c r="I34" s="23" t="s">
        <v>603</v>
      </c>
      <c r="J34" s="1" t="str">
        <f t="shared" si="0"/>
        <v>LM</v>
      </c>
      <c r="K34" s="81"/>
      <c r="L34" s="82"/>
      <c r="M34" s="82"/>
      <c r="N34" s="82"/>
      <c r="O34" s="49"/>
      <c r="P34" s="58"/>
      <c r="Q34" s="58">
        <f>SUM('Estimate Data'!R34)</f>
        <v>0</v>
      </c>
      <c r="R34" s="58">
        <f>SUM('Estimate Data'!S34)</f>
        <v>0</v>
      </c>
      <c r="S34" s="58">
        <f>SUM('Estimate Data'!T34)</f>
        <v>0</v>
      </c>
      <c r="T34" s="58">
        <f>SUM('Estimate Data'!U34)</f>
        <v>0</v>
      </c>
      <c r="U34" s="58">
        <f>SUM('Estimate Data'!V34)</f>
        <v>0</v>
      </c>
      <c r="V34" s="60"/>
      <c r="W34" s="60"/>
      <c r="X34" s="60"/>
      <c r="Y34" s="60"/>
      <c r="Z34" s="60"/>
      <c r="AA34" s="60"/>
      <c r="AB34" s="47"/>
    </row>
    <row r="35" spans="2:28" ht="15.75">
      <c r="B35">
        <f t="shared" si="2"/>
      </c>
      <c r="C35" t="s">
        <v>726</v>
      </c>
      <c r="D35" t="s">
        <v>910</v>
      </c>
      <c r="E35" t="s">
        <v>726</v>
      </c>
      <c r="F35" t="s">
        <v>910</v>
      </c>
      <c r="G35" s="47"/>
      <c r="H35" s="23" t="s">
        <v>616</v>
      </c>
      <c r="I35" s="23" t="s">
        <v>603</v>
      </c>
      <c r="J35" s="1" t="str">
        <f t="shared" si="0"/>
        <v>LM</v>
      </c>
      <c r="K35" s="81"/>
      <c r="L35" s="82"/>
      <c r="M35" s="82"/>
      <c r="N35" s="82"/>
      <c r="O35" s="49"/>
      <c r="P35" s="58"/>
      <c r="Q35" s="58">
        <f>SUM('Estimate Data'!R35)</f>
        <v>0</v>
      </c>
      <c r="R35" s="58">
        <f>SUM('Estimate Data'!S35)</f>
        <v>0</v>
      </c>
      <c r="S35" s="58">
        <f>SUM('Estimate Data'!T35)</f>
        <v>0</v>
      </c>
      <c r="T35" s="58">
        <f>SUM('Estimate Data'!U35)</f>
        <v>0</v>
      </c>
      <c r="U35" s="58">
        <f>SUM('Estimate Data'!V35)</f>
        <v>0</v>
      </c>
      <c r="V35" s="60"/>
      <c r="W35" s="60"/>
      <c r="X35" s="60"/>
      <c r="Y35" s="60"/>
      <c r="Z35" s="60"/>
      <c r="AA35" s="60"/>
      <c r="AB35" s="47"/>
    </row>
    <row r="36" spans="2:28" ht="15.75">
      <c r="B36">
        <f t="shared" si="2"/>
      </c>
      <c r="C36" t="s">
        <v>911</v>
      </c>
      <c r="D36" t="s">
        <v>729</v>
      </c>
      <c r="E36" t="s">
        <v>911</v>
      </c>
      <c r="F36" t="s">
        <v>729</v>
      </c>
      <c r="G36" s="61"/>
      <c r="H36" s="23" t="s">
        <v>904</v>
      </c>
      <c r="I36" s="64"/>
      <c r="J36" s="1" t="str">
        <f t="shared" si="0"/>
        <v>Closed</v>
      </c>
      <c r="K36" s="83">
        <f>SUM(P36:U36)</f>
        <v>4</v>
      </c>
      <c r="L36" s="397" t="s">
        <v>784</v>
      </c>
      <c r="M36" s="397"/>
      <c r="N36" s="84">
        <f>K36</f>
        <v>4</v>
      </c>
      <c r="O36" s="49"/>
      <c r="P36" s="58"/>
      <c r="Q36" s="58">
        <f>SUM('Estimate Data'!R36)</f>
        <v>4</v>
      </c>
      <c r="R36" s="58">
        <f>SUM('Estimate Data'!S36)</f>
        <v>0</v>
      </c>
      <c r="S36" s="58">
        <f>SUM('Estimate Data'!T36)</f>
        <v>0</v>
      </c>
      <c r="T36" s="58">
        <f>SUM('Estimate Data'!U36)</f>
        <v>0</v>
      </c>
      <c r="U36" s="58">
        <f>SUM('Estimate Data'!V36)</f>
        <v>0</v>
      </c>
      <c r="V36" s="60">
        <f t="shared" si="3"/>
        <v>0</v>
      </c>
      <c r="W36" s="60">
        <f t="shared" si="3"/>
        <v>1</v>
      </c>
      <c r="X36" s="60">
        <f t="shared" si="3"/>
        <v>0</v>
      </c>
      <c r="Y36" s="60">
        <f t="shared" si="3"/>
        <v>0</v>
      </c>
      <c r="Z36" s="60">
        <f t="shared" si="3"/>
        <v>0</v>
      </c>
      <c r="AA36" s="60">
        <f t="shared" si="3"/>
        <v>0</v>
      </c>
      <c r="AB36" s="47"/>
    </row>
    <row r="37" spans="2:28" ht="15">
      <c r="B37">
        <f t="shared" si="2"/>
      </c>
      <c r="C37" t="s">
        <v>732</v>
      </c>
      <c r="D37" t="s">
        <v>679</v>
      </c>
      <c r="E37" t="s">
        <v>732</v>
      </c>
      <c r="F37" t="s">
        <v>679</v>
      </c>
      <c r="G37" s="47"/>
      <c r="H37" s="23" t="str">
        <f>'Estimate Data'!I37</f>
        <v>H</v>
      </c>
      <c r="I37" s="23" t="str">
        <f>'Estimate Data'!J37</f>
        <v>M</v>
      </c>
      <c r="J37" s="1" t="str">
        <f t="shared" si="0"/>
        <v>HM</v>
      </c>
      <c r="K37" s="57">
        <f>'Estimate Data'!L37</f>
        <v>5</v>
      </c>
      <c r="L37" s="6">
        <f>(VLOOKUP($J37,'Standard Estimate Uncertainty '!$B$10:$D$18,2)*$K37)+$K37</f>
        <v>4.5</v>
      </c>
      <c r="M37" s="6">
        <f>(VLOOKUP($J37,'Standard Estimate Uncertainty '!$B$10:$D$18,3)*$K37)+$K37</f>
        <v>5.75</v>
      </c>
      <c r="N37" s="76">
        <v>5.348286542269913</v>
      </c>
      <c r="O37" s="49"/>
      <c r="P37" s="58"/>
      <c r="Q37" s="58">
        <f>SUM('Estimate Data'!R37)</f>
        <v>5</v>
      </c>
      <c r="R37" s="58">
        <f>SUM('Estimate Data'!S37)</f>
        <v>0</v>
      </c>
      <c r="S37" s="58">
        <f>SUM('Estimate Data'!T37)</f>
        <v>0</v>
      </c>
      <c r="T37" s="58">
        <f>SUM('Estimate Data'!U37)</f>
        <v>0</v>
      </c>
      <c r="U37" s="58">
        <f>SUM('Estimate Data'!V37)</f>
        <v>0</v>
      </c>
      <c r="V37" s="60">
        <f t="shared" si="3"/>
        <v>0</v>
      </c>
      <c r="W37" s="60">
        <f t="shared" si="3"/>
        <v>1</v>
      </c>
      <c r="X37" s="60">
        <f t="shared" si="3"/>
        <v>0</v>
      </c>
      <c r="Y37" s="60">
        <f t="shared" si="3"/>
        <v>0</v>
      </c>
      <c r="Z37" s="60">
        <f t="shared" si="3"/>
        <v>0</v>
      </c>
      <c r="AA37" s="60">
        <f t="shared" si="3"/>
        <v>0</v>
      </c>
      <c r="AB37" s="47"/>
    </row>
    <row r="38" spans="2:28" ht="15">
      <c r="B38">
        <f t="shared" si="2"/>
      </c>
      <c r="C38" t="s">
        <v>732</v>
      </c>
      <c r="D38" t="s">
        <v>680</v>
      </c>
      <c r="E38" t="s">
        <v>732</v>
      </c>
      <c r="F38" t="s">
        <v>680</v>
      </c>
      <c r="G38" s="47"/>
      <c r="H38" s="23" t="str">
        <f>'Estimate Data'!I38</f>
        <v>H</v>
      </c>
      <c r="I38" s="23" t="str">
        <f>'Estimate Data'!J38</f>
        <v>M</v>
      </c>
      <c r="J38" s="1" t="str">
        <f t="shared" si="0"/>
        <v>HM</v>
      </c>
      <c r="K38" s="57">
        <f>'Estimate Data'!L38</f>
        <v>19</v>
      </c>
      <c r="L38" s="6">
        <f>(VLOOKUP($J38,'Standard Estimate Uncertainty '!$B$10:$D$18,2)*$K38)+$K38</f>
        <v>17.1</v>
      </c>
      <c r="M38" s="6">
        <f>(VLOOKUP($J38,'Standard Estimate Uncertainty '!$B$10:$D$18,3)*$K38)+$K38</f>
        <v>21.85</v>
      </c>
      <c r="N38" s="76">
        <v>21.393146169079653</v>
      </c>
      <c r="O38" s="49"/>
      <c r="P38" s="58"/>
      <c r="Q38" s="58">
        <f>SUM('Estimate Data'!R38)</f>
        <v>19</v>
      </c>
      <c r="R38" s="58">
        <f>SUM('Estimate Data'!S38)</f>
        <v>0</v>
      </c>
      <c r="S38" s="58">
        <f>SUM('Estimate Data'!T38)</f>
        <v>0</v>
      </c>
      <c r="T38" s="58">
        <f>SUM('Estimate Data'!U38)</f>
        <v>0</v>
      </c>
      <c r="U38" s="58">
        <f>SUM('Estimate Data'!V38)</f>
        <v>0</v>
      </c>
      <c r="V38" s="60">
        <f t="shared" si="3"/>
        <v>0</v>
      </c>
      <c r="W38" s="60">
        <f t="shared" si="3"/>
        <v>1</v>
      </c>
      <c r="X38" s="60">
        <f t="shared" si="3"/>
        <v>0</v>
      </c>
      <c r="Y38" s="60">
        <f t="shared" si="3"/>
        <v>0</v>
      </c>
      <c r="Z38" s="60">
        <f t="shared" si="3"/>
        <v>0</v>
      </c>
      <c r="AA38" s="60">
        <f t="shared" si="3"/>
        <v>0</v>
      </c>
      <c r="AB38" s="47"/>
    </row>
    <row r="39" spans="2:28" ht="15">
      <c r="B39">
        <f t="shared" si="2"/>
      </c>
      <c r="C39" t="s">
        <v>732</v>
      </c>
      <c r="D39" t="s">
        <v>912</v>
      </c>
      <c r="E39" t="s">
        <v>732</v>
      </c>
      <c r="F39" t="s">
        <v>912</v>
      </c>
      <c r="G39" s="47"/>
      <c r="H39" s="23" t="str">
        <f>'Estimate Data'!I39</f>
        <v>H</v>
      </c>
      <c r="I39" s="23" t="str">
        <f>'Estimate Data'!J39</f>
        <v>M</v>
      </c>
      <c r="J39" s="1" t="str">
        <f t="shared" si="0"/>
        <v>HM</v>
      </c>
      <c r="K39" s="57">
        <f>'Estimate Data'!L39</f>
        <v>36</v>
      </c>
      <c r="L39" s="6">
        <f>(VLOOKUP($J39,'Standard Estimate Uncertainty '!$B$10:$D$18,2)*$K39)+$K39</f>
        <v>32.4</v>
      </c>
      <c r="M39" s="6">
        <f>(VLOOKUP($J39,'Standard Estimate Uncertainty '!$B$10:$D$18,3)*$K39)+$K39</f>
        <v>41.4</v>
      </c>
      <c r="N39" s="76">
        <v>38.50766310434338</v>
      </c>
      <c r="O39" s="49"/>
      <c r="P39" s="58"/>
      <c r="Q39" s="58">
        <f>SUM('Estimate Data'!R39)</f>
        <v>30</v>
      </c>
      <c r="R39" s="58">
        <f>SUM('Estimate Data'!S39)</f>
        <v>6</v>
      </c>
      <c r="S39" s="58">
        <f>SUM('Estimate Data'!T39)</f>
        <v>0</v>
      </c>
      <c r="T39" s="58">
        <f>SUM('Estimate Data'!U39)</f>
        <v>0</v>
      </c>
      <c r="U39" s="58">
        <f>SUM('Estimate Data'!V39)</f>
        <v>0</v>
      </c>
      <c r="V39" s="60">
        <f t="shared" si="3"/>
        <v>0</v>
      </c>
      <c r="W39" s="60">
        <f t="shared" si="3"/>
        <v>0.8333333333333334</v>
      </c>
      <c r="X39" s="60">
        <f t="shared" si="3"/>
        <v>0.16666666666666666</v>
      </c>
      <c r="Y39" s="60">
        <f t="shared" si="3"/>
        <v>0</v>
      </c>
      <c r="Z39" s="60">
        <f t="shared" si="3"/>
        <v>0</v>
      </c>
      <c r="AA39" s="60">
        <f t="shared" si="3"/>
        <v>0</v>
      </c>
      <c r="AB39" s="47"/>
    </row>
    <row r="40" spans="2:28" ht="15">
      <c r="B40">
        <f t="shared" si="2"/>
      </c>
      <c r="C40" t="s">
        <v>732</v>
      </c>
      <c r="D40" t="s">
        <v>884</v>
      </c>
      <c r="E40" t="s">
        <v>732</v>
      </c>
      <c r="F40" t="s">
        <v>884</v>
      </c>
      <c r="G40" s="47"/>
      <c r="H40" s="23" t="str">
        <f>'Estimate Data'!I40</f>
        <v>H</v>
      </c>
      <c r="I40" s="23" t="str">
        <f>'Estimate Data'!J40</f>
        <v>M</v>
      </c>
      <c r="J40" s="1" t="str">
        <f t="shared" si="0"/>
        <v>HM</v>
      </c>
      <c r="K40" s="57">
        <f>'Estimate Data'!L40</f>
        <v>593</v>
      </c>
      <c r="L40" s="6">
        <f>(VLOOKUP($J40,'Standard Estimate Uncertainty '!$B$10:$D$18,2)*$K40)+$K40</f>
        <v>533.7</v>
      </c>
      <c r="M40" s="6">
        <f>(VLOOKUP($J40,'Standard Estimate Uncertainty '!$B$10:$D$18,3)*$K40)+$K40</f>
        <v>681.95</v>
      </c>
      <c r="N40" s="76">
        <v>649.2819862315674</v>
      </c>
      <c r="O40" s="49"/>
      <c r="P40" s="58"/>
      <c r="Q40" s="58">
        <f>SUM('Estimate Data'!R40)</f>
        <v>593</v>
      </c>
      <c r="R40" s="58">
        <f>SUM('Estimate Data'!S40)</f>
        <v>0</v>
      </c>
      <c r="S40" s="58">
        <f>SUM('Estimate Data'!T40)</f>
        <v>0</v>
      </c>
      <c r="T40" s="58">
        <f>SUM('Estimate Data'!U40)</f>
        <v>0</v>
      </c>
      <c r="U40" s="58">
        <f>SUM('Estimate Data'!V40)</f>
        <v>0</v>
      </c>
      <c r="V40" s="60">
        <f t="shared" si="3"/>
        <v>0</v>
      </c>
      <c r="W40" s="60">
        <f t="shared" si="3"/>
        <v>1</v>
      </c>
      <c r="X40" s="60">
        <f t="shared" si="3"/>
        <v>0</v>
      </c>
      <c r="Y40" s="60">
        <f t="shared" si="3"/>
        <v>0</v>
      </c>
      <c r="Z40" s="60">
        <f t="shared" si="3"/>
        <v>0</v>
      </c>
      <c r="AA40" s="60">
        <f t="shared" si="3"/>
        <v>0</v>
      </c>
      <c r="AB40" s="47"/>
    </row>
    <row r="41" spans="2:28" ht="15">
      <c r="B41">
        <f t="shared" si="2"/>
      </c>
      <c r="C41" t="s">
        <v>732</v>
      </c>
      <c r="D41" t="s">
        <v>885</v>
      </c>
      <c r="E41" t="s">
        <v>732</v>
      </c>
      <c r="F41" t="s">
        <v>885</v>
      </c>
      <c r="G41" s="47"/>
      <c r="H41" s="23" t="str">
        <f>'Estimate Data'!I41</f>
        <v>H</v>
      </c>
      <c r="I41" s="23" t="str">
        <f>'Estimate Data'!J41</f>
        <v>M</v>
      </c>
      <c r="J41" s="1" t="str">
        <f t="shared" si="0"/>
        <v>HM</v>
      </c>
      <c r="K41" s="57">
        <f>'Estimate Data'!L41</f>
        <v>131</v>
      </c>
      <c r="L41" s="6">
        <f>(VLOOKUP($J41,'Standard Estimate Uncertainty '!$B$10:$D$18,2)*$K41)+$K41</f>
        <v>117.9</v>
      </c>
      <c r="M41" s="6">
        <f>(VLOOKUP($J41,'Standard Estimate Uncertainty '!$B$10:$D$18,3)*$K41)+$K41</f>
        <v>150.65</v>
      </c>
      <c r="N41" s="76">
        <v>146.54305125819565</v>
      </c>
      <c r="O41" s="49"/>
      <c r="P41" s="58"/>
      <c r="Q41" s="58">
        <f>SUM('Estimate Data'!R41)</f>
        <v>93</v>
      </c>
      <c r="R41" s="58">
        <f>SUM('Estimate Data'!S41)</f>
        <v>38</v>
      </c>
      <c r="S41" s="58">
        <f>SUM('Estimate Data'!T41)</f>
        <v>0</v>
      </c>
      <c r="T41" s="58">
        <f>SUM('Estimate Data'!U41)</f>
        <v>0</v>
      </c>
      <c r="U41" s="58">
        <f>SUM('Estimate Data'!V41)</f>
        <v>0</v>
      </c>
      <c r="V41" s="60">
        <f t="shared" si="3"/>
        <v>0</v>
      </c>
      <c r="W41" s="60">
        <f t="shared" si="3"/>
        <v>0.7099236641221374</v>
      </c>
      <c r="X41" s="60">
        <f t="shared" si="3"/>
        <v>0.2900763358778626</v>
      </c>
      <c r="Y41" s="60">
        <f t="shared" si="3"/>
        <v>0</v>
      </c>
      <c r="Z41" s="60">
        <f t="shared" si="3"/>
        <v>0</v>
      </c>
      <c r="AA41" s="60">
        <f t="shared" si="3"/>
        <v>0</v>
      </c>
      <c r="AB41" s="47"/>
    </row>
    <row r="42" spans="2:28" ht="15">
      <c r="B42">
        <f t="shared" si="2"/>
      </c>
      <c r="C42" t="s">
        <v>732</v>
      </c>
      <c r="D42" t="s">
        <v>886</v>
      </c>
      <c r="E42" t="s">
        <v>732</v>
      </c>
      <c r="F42" t="s">
        <v>886</v>
      </c>
      <c r="G42" s="47"/>
      <c r="H42" s="23" t="str">
        <f>'Estimate Data'!I42</f>
        <v>H</v>
      </c>
      <c r="I42" s="23" t="str">
        <f>'Estimate Data'!J42</f>
        <v>M</v>
      </c>
      <c r="J42" s="1" t="str">
        <f t="shared" si="0"/>
        <v>HM</v>
      </c>
      <c r="K42" s="57">
        <f>'Estimate Data'!L42</f>
        <v>28</v>
      </c>
      <c r="L42" s="6">
        <f>(VLOOKUP($J42,'Standard Estimate Uncertainty '!$B$10:$D$18,2)*$K42)+$K42</f>
        <v>25.2</v>
      </c>
      <c r="M42" s="6">
        <f>(VLOOKUP($J42,'Standard Estimate Uncertainty '!$B$10:$D$18,3)*$K42)+$K42</f>
        <v>32.2</v>
      </c>
      <c r="N42" s="76">
        <v>29.950404636711518</v>
      </c>
      <c r="O42" s="49"/>
      <c r="P42" s="58"/>
      <c r="Q42" s="58">
        <f>SUM('Estimate Data'!R42)</f>
        <v>0</v>
      </c>
      <c r="R42" s="58">
        <f>SUM('Estimate Data'!S42)</f>
        <v>0</v>
      </c>
      <c r="S42" s="58">
        <f>SUM('Estimate Data'!T42)</f>
        <v>28</v>
      </c>
      <c r="T42" s="58">
        <f>SUM('Estimate Data'!U42)</f>
        <v>0</v>
      </c>
      <c r="U42" s="58">
        <f>SUM('Estimate Data'!V42)</f>
        <v>0</v>
      </c>
      <c r="V42" s="60">
        <f t="shared" si="3"/>
        <v>0</v>
      </c>
      <c r="W42" s="60">
        <f t="shared" si="3"/>
        <v>0</v>
      </c>
      <c r="X42" s="60">
        <f t="shared" si="3"/>
        <v>0</v>
      </c>
      <c r="Y42" s="60">
        <f t="shared" si="3"/>
        <v>1</v>
      </c>
      <c r="Z42" s="60">
        <f t="shared" si="3"/>
        <v>0</v>
      </c>
      <c r="AA42" s="60">
        <f t="shared" si="3"/>
        <v>0</v>
      </c>
      <c r="AB42" s="47"/>
    </row>
    <row r="43" spans="2:28" ht="15">
      <c r="B43">
        <f t="shared" si="2"/>
      </c>
      <c r="C43" t="s">
        <v>732</v>
      </c>
      <c r="D43" t="s">
        <v>681</v>
      </c>
      <c r="E43" t="s">
        <v>732</v>
      </c>
      <c r="F43" t="s">
        <v>681</v>
      </c>
      <c r="G43" s="47"/>
      <c r="H43" s="23" t="str">
        <f>'Estimate Data'!I43</f>
        <v>H</v>
      </c>
      <c r="I43" s="23" t="str">
        <f>'Estimate Data'!J43</f>
        <v>M</v>
      </c>
      <c r="J43" s="1" t="str">
        <f t="shared" si="0"/>
        <v>HM</v>
      </c>
      <c r="K43" s="57">
        <f>'Estimate Data'!L43</f>
        <v>143</v>
      </c>
      <c r="L43" s="6">
        <f>(VLOOKUP($J43,'Standard Estimate Uncertainty '!$B$10:$D$18,2)*$K43)+$K43</f>
        <v>128.7</v>
      </c>
      <c r="M43" s="6">
        <f>(VLOOKUP($J43,'Standard Estimate Uncertainty '!$B$10:$D$18,3)*$K43)+$K43</f>
        <v>164.45</v>
      </c>
      <c r="N43" s="76">
        <v>156.16996703428148</v>
      </c>
      <c r="O43" s="49"/>
      <c r="P43" s="58"/>
      <c r="Q43" s="58">
        <f>SUM('Estimate Data'!R43)</f>
        <v>143</v>
      </c>
      <c r="R43" s="58">
        <f>SUM('Estimate Data'!S43)</f>
        <v>0</v>
      </c>
      <c r="S43" s="58">
        <f>SUM('Estimate Data'!T43)</f>
        <v>0</v>
      </c>
      <c r="T43" s="58">
        <f>SUM('Estimate Data'!U43)</f>
        <v>0</v>
      </c>
      <c r="U43" s="58">
        <f>SUM('Estimate Data'!V43)</f>
        <v>0</v>
      </c>
      <c r="V43" s="60">
        <f t="shared" si="3"/>
        <v>0</v>
      </c>
      <c r="W43" s="60">
        <f t="shared" si="3"/>
        <v>1</v>
      </c>
      <c r="X43" s="60">
        <f t="shared" si="3"/>
        <v>0</v>
      </c>
      <c r="Y43" s="60">
        <f t="shared" si="3"/>
        <v>0</v>
      </c>
      <c r="Z43" s="60">
        <f t="shared" si="3"/>
        <v>0</v>
      </c>
      <c r="AA43" s="60">
        <f t="shared" si="3"/>
        <v>0</v>
      </c>
      <c r="AB43" s="47"/>
    </row>
    <row r="44" spans="2:28" ht="15">
      <c r="B44">
        <f t="shared" si="2"/>
      </c>
      <c r="C44" t="s">
        <v>732</v>
      </c>
      <c r="D44" t="s">
        <v>901</v>
      </c>
      <c r="E44" t="s">
        <v>732</v>
      </c>
      <c r="F44" t="s">
        <v>901</v>
      </c>
      <c r="G44" s="56">
        <v>20</v>
      </c>
      <c r="H44" s="23" t="str">
        <f>'Estimate Data'!I44</f>
        <v>H</v>
      </c>
      <c r="I44" s="23" t="str">
        <f>'Estimate Data'!J44</f>
        <v>M</v>
      </c>
      <c r="J44" s="1" t="str">
        <f t="shared" si="0"/>
        <v>HM</v>
      </c>
      <c r="K44" s="57">
        <f>'Estimate Data'!L44</f>
        <v>119</v>
      </c>
      <c r="L44" s="6">
        <f>(VLOOKUP($J44,'Standard Estimate Uncertainty '!$B$10:$D$18,2)*$K44)+$K44</f>
        <v>107.1</v>
      </c>
      <c r="M44" s="6">
        <f>(VLOOKUP($J44,'Standard Estimate Uncertainty '!$B$10:$D$18,3)*$K44)+$K44</f>
        <v>136.85</v>
      </c>
      <c r="N44" s="76">
        <v>127.28921970602393</v>
      </c>
      <c r="O44" s="49"/>
      <c r="P44" s="58"/>
      <c r="Q44" s="58">
        <f>SUM('Estimate Data'!R44)</f>
        <v>48</v>
      </c>
      <c r="R44" s="58">
        <f>SUM('Estimate Data'!S44)</f>
        <v>71</v>
      </c>
      <c r="S44" s="58">
        <f>SUM('Estimate Data'!T44)</f>
        <v>0</v>
      </c>
      <c r="T44" s="58">
        <f>SUM('Estimate Data'!U44)</f>
        <v>0</v>
      </c>
      <c r="U44" s="58">
        <f>SUM('Estimate Data'!V44)</f>
        <v>0</v>
      </c>
      <c r="V44" s="60">
        <f t="shared" si="3"/>
        <v>0</v>
      </c>
      <c r="W44" s="60">
        <f t="shared" si="3"/>
        <v>0.40336134453781514</v>
      </c>
      <c r="X44" s="60">
        <f t="shared" si="3"/>
        <v>0.5966386554621849</v>
      </c>
      <c r="Y44" s="60">
        <f t="shared" si="3"/>
        <v>0</v>
      </c>
      <c r="Z44" s="60">
        <f t="shared" si="3"/>
        <v>0</v>
      </c>
      <c r="AA44" s="60">
        <f t="shared" si="3"/>
        <v>0</v>
      </c>
      <c r="AB44" s="47"/>
    </row>
    <row r="45" spans="2:28" ht="15">
      <c r="B45">
        <f t="shared" si="2"/>
      </c>
      <c r="C45" t="s">
        <v>733</v>
      </c>
      <c r="D45" t="s">
        <v>682</v>
      </c>
      <c r="E45" t="s">
        <v>733</v>
      </c>
      <c r="F45" t="s">
        <v>682</v>
      </c>
      <c r="G45" s="47"/>
      <c r="H45" s="23" t="str">
        <f>'Estimate Data'!I45</f>
        <v>H</v>
      </c>
      <c r="I45" s="23" t="str">
        <f>'Estimate Data'!J45</f>
        <v>H</v>
      </c>
      <c r="J45" s="1" t="str">
        <f t="shared" si="0"/>
        <v>HH</v>
      </c>
      <c r="K45" s="57">
        <f>SUM('Estimate Data'!L45:L50)</f>
        <v>912</v>
      </c>
      <c r="L45" s="6">
        <f>(VLOOKUP($J45,'Standard Estimate Uncertainty '!$B$10:$D$18,2)*$K45)+$K45</f>
        <v>775.2</v>
      </c>
      <c r="M45" s="6">
        <f>(VLOOKUP($J45,'Standard Estimate Uncertainty '!$B$10:$D$18,3)*$K45)+$K45</f>
        <v>1140</v>
      </c>
      <c r="N45" s="76">
        <v>1040.176401916382</v>
      </c>
      <c r="O45" s="49"/>
      <c r="P45" s="58"/>
      <c r="Q45" s="58">
        <f>SUM('Estimate Data'!R45)</f>
        <v>98</v>
      </c>
      <c r="R45" s="58">
        <f>SUM('Estimate Data'!S45)</f>
        <v>0</v>
      </c>
      <c r="S45" s="58">
        <f>SUM('Estimate Data'!T45)</f>
        <v>0</v>
      </c>
      <c r="T45" s="58">
        <f>SUM('Estimate Data'!U45)</f>
        <v>0</v>
      </c>
      <c r="U45" s="58">
        <f>SUM('Estimate Data'!V45)</f>
        <v>0</v>
      </c>
      <c r="V45" s="60">
        <f t="shared" si="3"/>
        <v>0</v>
      </c>
      <c r="W45" s="60">
        <f t="shared" si="3"/>
        <v>0.1074561403508772</v>
      </c>
      <c r="X45" s="60">
        <f t="shared" si="3"/>
        <v>0</v>
      </c>
      <c r="Y45" s="60">
        <f t="shared" si="3"/>
        <v>0</v>
      </c>
      <c r="Z45" s="60">
        <f t="shared" si="3"/>
        <v>0</v>
      </c>
      <c r="AA45" s="60">
        <f t="shared" si="3"/>
        <v>0</v>
      </c>
      <c r="AB45" s="47"/>
    </row>
    <row r="46" spans="2:28" ht="15.75">
      <c r="B46">
        <f t="shared" si="2"/>
      </c>
      <c r="C46" t="s">
        <v>733</v>
      </c>
      <c r="D46" t="s">
        <v>683</v>
      </c>
      <c r="E46" t="s">
        <v>733</v>
      </c>
      <c r="F46" t="s">
        <v>683</v>
      </c>
      <c r="G46" s="47"/>
      <c r="H46" s="23" t="str">
        <f>'Estimate Data'!I46</f>
        <v>H</v>
      </c>
      <c r="I46" s="23" t="str">
        <f>'Estimate Data'!J46</f>
        <v>H</v>
      </c>
      <c r="J46" s="1" t="str">
        <f t="shared" si="0"/>
        <v>HH</v>
      </c>
      <c r="K46" s="396" t="s">
        <v>963</v>
      </c>
      <c r="L46" s="396"/>
      <c r="M46" s="396"/>
      <c r="N46" s="82"/>
      <c r="O46" s="49"/>
      <c r="P46" s="58"/>
      <c r="Q46" s="58">
        <f>SUM('Estimate Data'!R46)</f>
        <v>28</v>
      </c>
      <c r="R46" s="58">
        <f>SUM('Estimate Data'!S46)</f>
        <v>0</v>
      </c>
      <c r="S46" s="58">
        <f>SUM('Estimate Data'!T46)</f>
        <v>0</v>
      </c>
      <c r="T46" s="58">
        <f>SUM('Estimate Data'!U46)</f>
        <v>0</v>
      </c>
      <c r="U46" s="58">
        <f>SUM('Estimate Data'!V46)</f>
        <v>0</v>
      </c>
      <c r="V46" s="60"/>
      <c r="W46" s="60"/>
      <c r="X46" s="60"/>
      <c r="Y46" s="60"/>
      <c r="Z46" s="60"/>
      <c r="AA46" s="60"/>
      <c r="AB46" s="47"/>
    </row>
    <row r="47" spans="2:28" ht="15.75">
      <c r="B47">
        <f t="shared" si="2"/>
      </c>
      <c r="C47" t="s">
        <v>733</v>
      </c>
      <c r="D47" t="s">
        <v>684</v>
      </c>
      <c r="E47" t="s">
        <v>733</v>
      </c>
      <c r="F47" t="s">
        <v>684</v>
      </c>
      <c r="G47" s="47"/>
      <c r="H47" s="23" t="str">
        <f>'Estimate Data'!I47</f>
        <v>H</v>
      </c>
      <c r="I47" s="23" t="str">
        <f>'Estimate Data'!J47</f>
        <v>H</v>
      </c>
      <c r="J47" s="1" t="str">
        <f t="shared" si="0"/>
        <v>HH</v>
      </c>
      <c r="K47" s="396" t="s">
        <v>963</v>
      </c>
      <c r="L47" s="396"/>
      <c r="M47" s="396"/>
      <c r="N47" s="82"/>
      <c r="O47" s="49"/>
      <c r="P47" s="58"/>
      <c r="Q47" s="58">
        <f>SUM('Estimate Data'!R47)</f>
        <v>84</v>
      </c>
      <c r="R47" s="58">
        <f>SUM('Estimate Data'!S47)</f>
        <v>0</v>
      </c>
      <c r="S47" s="58">
        <f>SUM('Estimate Data'!T47)</f>
        <v>0</v>
      </c>
      <c r="T47" s="58">
        <f>SUM('Estimate Data'!U47)</f>
        <v>0</v>
      </c>
      <c r="U47" s="58">
        <f>SUM('Estimate Data'!V47)</f>
        <v>0</v>
      </c>
      <c r="V47" s="60"/>
      <c r="W47" s="60"/>
      <c r="X47" s="60"/>
      <c r="Y47" s="60"/>
      <c r="Z47" s="60"/>
      <c r="AA47" s="60"/>
      <c r="AB47" s="47"/>
    </row>
    <row r="48" spans="2:28" ht="15.75">
      <c r="B48">
        <f t="shared" si="2"/>
      </c>
      <c r="C48" t="s">
        <v>733</v>
      </c>
      <c r="D48" t="s">
        <v>909</v>
      </c>
      <c r="E48" t="s">
        <v>733</v>
      </c>
      <c r="F48" t="s">
        <v>909</v>
      </c>
      <c r="G48" s="47"/>
      <c r="H48" s="23" t="str">
        <f>'Estimate Data'!I48</f>
        <v>H</v>
      </c>
      <c r="I48" s="23" t="str">
        <f>'Estimate Data'!J48</f>
        <v>H</v>
      </c>
      <c r="J48" s="1" t="str">
        <f t="shared" si="0"/>
        <v>HH</v>
      </c>
      <c r="K48" s="396" t="s">
        <v>963</v>
      </c>
      <c r="L48" s="396"/>
      <c r="M48" s="396"/>
      <c r="N48" s="82"/>
      <c r="O48" s="49"/>
      <c r="P48" s="58"/>
      <c r="Q48" s="58">
        <f>SUM('Estimate Data'!R48)</f>
        <v>179</v>
      </c>
      <c r="R48" s="58">
        <f>SUM('Estimate Data'!S48)</f>
        <v>0</v>
      </c>
      <c r="S48" s="58">
        <f>SUM('Estimate Data'!T48)</f>
        <v>0</v>
      </c>
      <c r="T48" s="58">
        <f>SUM('Estimate Data'!U48)</f>
        <v>0</v>
      </c>
      <c r="U48" s="58">
        <f>SUM('Estimate Data'!V48)</f>
        <v>0</v>
      </c>
      <c r="V48" s="60"/>
      <c r="W48" s="60"/>
      <c r="X48" s="60"/>
      <c r="Y48" s="60"/>
      <c r="Z48" s="60"/>
      <c r="AA48" s="60"/>
      <c r="AB48" s="47"/>
    </row>
    <row r="49" spans="2:28" ht="15.75">
      <c r="B49">
        <f t="shared" si="2"/>
      </c>
      <c r="C49" t="s">
        <v>733</v>
      </c>
      <c r="D49" t="s">
        <v>685</v>
      </c>
      <c r="E49" t="s">
        <v>733</v>
      </c>
      <c r="F49" t="s">
        <v>685</v>
      </c>
      <c r="G49" s="47"/>
      <c r="H49" s="23" t="str">
        <f>'Estimate Data'!I49</f>
        <v>H</v>
      </c>
      <c r="I49" s="23" t="str">
        <f>'Estimate Data'!J49</f>
        <v>H</v>
      </c>
      <c r="J49" s="1" t="str">
        <f t="shared" si="0"/>
        <v>HH</v>
      </c>
      <c r="K49" s="396" t="s">
        <v>963</v>
      </c>
      <c r="L49" s="396"/>
      <c r="M49" s="396"/>
      <c r="N49" s="82"/>
      <c r="O49" s="49"/>
      <c r="P49" s="58"/>
      <c r="Q49" s="58">
        <f>SUM('Estimate Data'!R49)</f>
        <v>175</v>
      </c>
      <c r="R49" s="58">
        <f>SUM('Estimate Data'!S49)</f>
        <v>0</v>
      </c>
      <c r="S49" s="58">
        <f>SUM('Estimate Data'!T49)</f>
        <v>0</v>
      </c>
      <c r="T49" s="58">
        <f>SUM('Estimate Data'!U49)</f>
        <v>0</v>
      </c>
      <c r="U49" s="58">
        <f>SUM('Estimate Data'!V49)</f>
        <v>0</v>
      </c>
      <c r="V49" s="60"/>
      <c r="W49" s="60"/>
      <c r="X49" s="60"/>
      <c r="Y49" s="60"/>
      <c r="Z49" s="60"/>
      <c r="AA49" s="60"/>
      <c r="AB49" s="47"/>
    </row>
    <row r="50" spans="2:28" ht="15.75">
      <c r="B50">
        <f t="shared" si="2"/>
      </c>
      <c r="C50" t="s">
        <v>733</v>
      </c>
      <c r="D50" t="s">
        <v>686</v>
      </c>
      <c r="E50" t="s">
        <v>733</v>
      </c>
      <c r="F50" t="s">
        <v>686</v>
      </c>
      <c r="G50" s="47"/>
      <c r="H50" s="23" t="str">
        <f>'Estimate Data'!I50</f>
        <v>H</v>
      </c>
      <c r="I50" s="23" t="str">
        <f>'Estimate Data'!J50</f>
        <v>H</v>
      </c>
      <c r="J50" s="1" t="str">
        <f t="shared" si="0"/>
        <v>HH</v>
      </c>
      <c r="K50" s="396" t="s">
        <v>963</v>
      </c>
      <c r="L50" s="396"/>
      <c r="M50" s="396"/>
      <c r="N50" s="82"/>
      <c r="O50" s="49"/>
      <c r="P50" s="58"/>
      <c r="Q50" s="58">
        <f>SUM('Estimate Data'!R50)</f>
        <v>348</v>
      </c>
      <c r="R50" s="58">
        <f>SUM('Estimate Data'!S50)</f>
        <v>0</v>
      </c>
      <c r="S50" s="58">
        <f>SUM('Estimate Data'!T50)</f>
        <v>0</v>
      </c>
      <c r="T50" s="58">
        <f>SUM('Estimate Data'!U50)</f>
        <v>0</v>
      </c>
      <c r="U50" s="58">
        <f>SUM('Estimate Data'!V50)</f>
        <v>0</v>
      </c>
      <c r="V50" s="60"/>
      <c r="W50" s="60"/>
      <c r="X50" s="60"/>
      <c r="Y50" s="60"/>
      <c r="Z50" s="60"/>
      <c r="AA50" s="60"/>
      <c r="AB50" s="47"/>
    </row>
    <row r="51" spans="2:28" ht="15">
      <c r="B51">
        <f t="shared" si="2"/>
      </c>
      <c r="C51" t="s">
        <v>734</v>
      </c>
      <c r="D51" t="s">
        <v>687</v>
      </c>
      <c r="E51" t="s">
        <v>734</v>
      </c>
      <c r="F51" t="s">
        <v>687</v>
      </c>
      <c r="G51" s="47"/>
      <c r="H51" s="23" t="str">
        <f>'Estimate Data'!I51</f>
        <v>M</v>
      </c>
      <c r="I51" s="23" t="str">
        <f>'Estimate Data'!J51</f>
        <v>L</v>
      </c>
      <c r="J51" s="1" t="str">
        <f t="shared" si="0"/>
        <v>ML</v>
      </c>
      <c r="K51" s="57">
        <f>'Estimate Data'!L51+'Estimate Data'!L52</f>
        <v>282</v>
      </c>
      <c r="L51" s="6">
        <f>(VLOOKUP($J51,'Standard Estimate Uncertainty '!$B$10:$D$18,2)*$K51)+$K51</f>
        <v>253.8</v>
      </c>
      <c r="M51" s="6">
        <f>(VLOOKUP($J51,'Standard Estimate Uncertainty '!$B$10:$D$18,3)*$K51)+$K51</f>
        <v>324.3</v>
      </c>
      <c r="N51" s="76">
        <v>309.13096214320103</v>
      </c>
      <c r="O51" s="49"/>
      <c r="P51" s="58"/>
      <c r="Q51" s="58">
        <f>SUM('Estimate Data'!R51)</f>
        <v>130</v>
      </c>
      <c r="R51" s="58">
        <f>SUM('Estimate Data'!S51)</f>
        <v>13</v>
      </c>
      <c r="S51" s="58">
        <f>SUM('Estimate Data'!T51)</f>
        <v>0</v>
      </c>
      <c r="T51" s="58">
        <f>SUM('Estimate Data'!U51)</f>
        <v>0</v>
      </c>
      <c r="U51" s="58">
        <f>SUM('Estimate Data'!V51)</f>
        <v>0</v>
      </c>
      <c r="V51" s="60">
        <f t="shared" si="3"/>
        <v>0</v>
      </c>
      <c r="W51" s="60">
        <f t="shared" si="3"/>
        <v>0.46099290780141844</v>
      </c>
      <c r="X51" s="60">
        <f t="shared" si="3"/>
        <v>0.04609929078014184</v>
      </c>
      <c r="Y51" s="60">
        <f t="shared" si="3"/>
        <v>0</v>
      </c>
      <c r="Z51" s="60">
        <f t="shared" si="3"/>
        <v>0</v>
      </c>
      <c r="AA51" s="60">
        <f t="shared" si="3"/>
        <v>0</v>
      </c>
      <c r="AB51" s="47"/>
    </row>
    <row r="52" spans="2:28" ht="15.75">
      <c r="B52">
        <f t="shared" si="2"/>
      </c>
      <c r="C52" t="s">
        <v>734</v>
      </c>
      <c r="D52" t="s">
        <v>688</v>
      </c>
      <c r="E52" t="s">
        <v>734</v>
      </c>
      <c r="F52" t="s">
        <v>688</v>
      </c>
      <c r="G52" s="47"/>
      <c r="H52" s="23" t="str">
        <f>'Estimate Data'!I52</f>
        <v>M</v>
      </c>
      <c r="I52" s="23" t="str">
        <f>'Estimate Data'!J52</f>
        <v>L</v>
      </c>
      <c r="J52" s="1" t="str">
        <f t="shared" si="0"/>
        <v>ML</v>
      </c>
      <c r="K52" s="396" t="s">
        <v>963</v>
      </c>
      <c r="L52" s="396"/>
      <c r="M52" s="396"/>
      <c r="N52" s="6"/>
      <c r="O52" s="49"/>
      <c r="P52" s="58"/>
      <c r="Q52" s="58">
        <f>SUM('Estimate Data'!R52)</f>
        <v>139</v>
      </c>
      <c r="R52" s="58">
        <f>SUM('Estimate Data'!S52)</f>
        <v>0</v>
      </c>
      <c r="S52" s="58">
        <f>SUM('Estimate Data'!T52)</f>
        <v>0</v>
      </c>
      <c r="T52" s="58">
        <f>SUM('Estimate Data'!U52)</f>
        <v>0</v>
      </c>
      <c r="U52" s="58">
        <f>SUM('Estimate Data'!V52)</f>
        <v>0</v>
      </c>
      <c r="V52" s="60"/>
      <c r="W52" s="60"/>
      <c r="X52" s="60"/>
      <c r="Y52" s="60"/>
      <c r="Z52" s="60"/>
      <c r="AA52" s="60"/>
      <c r="AB52" s="47"/>
    </row>
    <row r="53" spans="1:28" ht="15">
      <c r="A53">
        <v>15</v>
      </c>
      <c r="B53">
        <f t="shared" si="2"/>
      </c>
      <c r="C53" t="s">
        <v>735</v>
      </c>
      <c r="D53" t="s">
        <v>647</v>
      </c>
      <c r="E53" t="s">
        <v>735</v>
      </c>
      <c r="F53" t="s">
        <v>647</v>
      </c>
      <c r="G53" s="47"/>
      <c r="H53" s="23" t="str">
        <f>'Estimate Data'!I53</f>
        <v>M</v>
      </c>
      <c r="I53" s="23" t="str">
        <f>'Estimate Data'!J53</f>
        <v>L</v>
      </c>
      <c r="J53" s="1" t="str">
        <f t="shared" si="0"/>
        <v>ML</v>
      </c>
      <c r="K53" s="57">
        <f>'Estimate Data'!L53</f>
        <v>90</v>
      </c>
      <c r="L53" s="6">
        <f>(VLOOKUP($J53,'Standard Estimate Uncertainty '!$B$10:$D$18,2)*$K53)+$K53</f>
        <v>81</v>
      </c>
      <c r="M53" s="6">
        <f>(VLOOKUP($J53,'Standard Estimate Uncertainty '!$B$10:$D$18,3)*$K53)+$K53</f>
        <v>103.5</v>
      </c>
      <c r="N53" s="76">
        <v>139.05545009901775</v>
      </c>
      <c r="O53" s="49"/>
      <c r="P53" s="58"/>
      <c r="Q53" s="58">
        <f>SUM('Estimate Data'!R53)</f>
        <v>90</v>
      </c>
      <c r="R53" s="58">
        <f>SUM('Estimate Data'!S53)</f>
        <v>0</v>
      </c>
      <c r="S53" s="58">
        <f>SUM('Estimate Data'!T53)</f>
        <v>0</v>
      </c>
      <c r="T53" s="58">
        <f>SUM('Estimate Data'!U53)</f>
        <v>0</v>
      </c>
      <c r="U53" s="58">
        <f>SUM('Estimate Data'!V53)</f>
        <v>0</v>
      </c>
      <c r="V53" s="60">
        <f t="shared" si="3"/>
        <v>0</v>
      </c>
      <c r="W53" s="60">
        <f t="shared" si="3"/>
        <v>1</v>
      </c>
      <c r="X53" s="60">
        <f t="shared" si="3"/>
        <v>0</v>
      </c>
      <c r="Y53" s="60">
        <f t="shared" si="3"/>
        <v>0</v>
      </c>
      <c r="Z53" s="60">
        <f t="shared" si="3"/>
        <v>0</v>
      </c>
      <c r="AA53" s="60">
        <f t="shared" si="3"/>
        <v>0</v>
      </c>
      <c r="AB53" s="47"/>
    </row>
    <row r="54" spans="2:28" ht="15">
      <c r="B54">
        <f t="shared" si="2"/>
      </c>
      <c r="C54" t="s">
        <v>308</v>
      </c>
      <c r="D54" t="s">
        <v>647</v>
      </c>
      <c r="E54" t="s">
        <v>308</v>
      </c>
      <c r="F54" t="s">
        <v>647</v>
      </c>
      <c r="G54" s="47"/>
      <c r="H54" s="23" t="str">
        <f>'Estimate Data'!I54</f>
        <v>M</v>
      </c>
      <c r="I54" s="23" t="str">
        <f>'Estimate Data'!J54</f>
        <v>L</v>
      </c>
      <c r="J54" s="1" t="str">
        <f t="shared" si="0"/>
        <v>ML</v>
      </c>
      <c r="K54" s="57">
        <f>'Estimate Data'!L54</f>
        <v>1440</v>
      </c>
      <c r="L54" s="6">
        <f>(VLOOKUP($J54,'Standard Estimate Uncertainty '!$B$10:$D$18,2)*$K54)+$K54</f>
        <v>1296</v>
      </c>
      <c r="M54" s="6">
        <f>(VLOOKUP($J54,'Standard Estimate Uncertainty '!$B$10:$D$18,3)*$K54)+$K54</f>
        <v>1656</v>
      </c>
      <c r="N54" s="76">
        <v>1547.794125332913</v>
      </c>
      <c r="O54" s="49"/>
      <c r="P54" s="58"/>
      <c r="Q54" s="58">
        <f>SUM('Estimate Data'!R54)</f>
        <v>230</v>
      </c>
      <c r="R54" s="58">
        <f>SUM('Estimate Data'!S54)</f>
        <v>1210</v>
      </c>
      <c r="S54" s="58">
        <f>SUM('Estimate Data'!T54)</f>
        <v>0</v>
      </c>
      <c r="T54" s="58">
        <f>SUM('Estimate Data'!U54)</f>
        <v>0</v>
      </c>
      <c r="U54" s="58">
        <f>SUM('Estimate Data'!V54)</f>
        <v>0</v>
      </c>
      <c r="V54" s="60">
        <f t="shared" si="3"/>
        <v>0</v>
      </c>
      <c r="W54" s="60">
        <f t="shared" si="3"/>
        <v>0.1597222222222222</v>
      </c>
      <c r="X54" s="60">
        <f t="shared" si="3"/>
        <v>0.8402777777777778</v>
      </c>
      <c r="Y54" s="60">
        <f t="shared" si="3"/>
        <v>0</v>
      </c>
      <c r="Z54" s="60">
        <f t="shared" si="3"/>
        <v>0</v>
      </c>
      <c r="AA54" s="60">
        <f t="shared" si="3"/>
        <v>0</v>
      </c>
      <c r="AB54" s="47"/>
    </row>
    <row r="55" spans="1:28" ht="15">
      <c r="A55">
        <v>16</v>
      </c>
      <c r="B55">
        <f t="shared" si="2"/>
      </c>
      <c r="C55" t="s">
        <v>737</v>
      </c>
      <c r="D55" t="s">
        <v>689</v>
      </c>
      <c r="E55" t="s">
        <v>737</v>
      </c>
      <c r="F55" t="s">
        <v>689</v>
      </c>
      <c r="G55" s="47"/>
      <c r="H55" s="23" t="str">
        <f>'Estimate Data'!I55</f>
        <v>H</v>
      </c>
      <c r="I55" s="23" t="str">
        <f>'Estimate Data'!J55</f>
        <v>L</v>
      </c>
      <c r="J55" s="1" t="str">
        <f t="shared" si="0"/>
        <v>HL</v>
      </c>
      <c r="K55" s="57">
        <f>'Estimate Data'!L55</f>
        <v>306</v>
      </c>
      <c r="L55" s="6">
        <f>(VLOOKUP($J55,'Standard Estimate Uncertainty '!$B$10:$D$18,2)*$K55)+$K55</f>
        <v>290.7</v>
      </c>
      <c r="M55" s="6">
        <f>(VLOOKUP($J55,'Standard Estimate Uncertainty '!$B$10:$D$18,3)*$K55)+$K55</f>
        <v>336.6</v>
      </c>
      <c r="N55" s="76">
        <v>344.399891023864</v>
      </c>
      <c r="O55" s="49"/>
      <c r="P55" s="58"/>
      <c r="Q55" s="58">
        <f>SUM('Estimate Data'!R55)</f>
        <v>150</v>
      </c>
      <c r="R55" s="58">
        <f>SUM('Estimate Data'!S55)</f>
        <v>156</v>
      </c>
      <c r="S55" s="58">
        <f>SUM('Estimate Data'!T55)</f>
        <v>0</v>
      </c>
      <c r="T55" s="58">
        <f>SUM('Estimate Data'!U55)</f>
        <v>0</v>
      </c>
      <c r="U55" s="58">
        <f>SUM('Estimate Data'!V55)</f>
        <v>0</v>
      </c>
      <c r="V55" s="60">
        <f t="shared" si="3"/>
        <v>0</v>
      </c>
      <c r="W55" s="60">
        <f t="shared" si="3"/>
        <v>0.49019607843137253</v>
      </c>
      <c r="X55" s="60">
        <f t="shared" si="3"/>
        <v>0.5098039215686274</v>
      </c>
      <c r="Y55" s="60">
        <f t="shared" si="3"/>
        <v>0</v>
      </c>
      <c r="Z55" s="60">
        <f t="shared" si="3"/>
        <v>0</v>
      </c>
      <c r="AA55" s="60">
        <f t="shared" si="3"/>
        <v>0</v>
      </c>
      <c r="AB55" s="47"/>
    </row>
    <row r="56" spans="2:28" ht="15">
      <c r="B56">
        <f t="shared" si="2"/>
      </c>
      <c r="C56" t="s">
        <v>737</v>
      </c>
      <c r="D56" t="s">
        <v>690</v>
      </c>
      <c r="E56" t="s">
        <v>737</v>
      </c>
      <c r="F56" t="s">
        <v>690</v>
      </c>
      <c r="G56" s="47"/>
      <c r="H56" s="23" t="str">
        <f>'Estimate Data'!I56</f>
        <v>M</v>
      </c>
      <c r="I56" s="23" t="str">
        <f>'Estimate Data'!J56</f>
        <v>L</v>
      </c>
      <c r="J56" s="1" t="str">
        <f t="shared" si="0"/>
        <v>ML</v>
      </c>
      <c r="K56" s="57">
        <f>'Estimate Data'!L56</f>
        <v>745</v>
      </c>
      <c r="L56" s="6">
        <f>(VLOOKUP($J56,'Standard Estimate Uncertainty '!$B$10:$D$18,2)*$K56)+$K56</f>
        <v>670.5</v>
      </c>
      <c r="M56" s="6">
        <f>(VLOOKUP($J56,'Standard Estimate Uncertainty '!$B$10:$D$18,3)*$K56)+$K56</f>
        <v>856.75</v>
      </c>
      <c r="N56" s="76">
        <v>835.4023579025604</v>
      </c>
      <c r="O56" s="49"/>
      <c r="P56" s="58"/>
      <c r="Q56" s="58">
        <f>SUM('Estimate Data'!R56)</f>
        <v>129</v>
      </c>
      <c r="R56" s="58">
        <f>SUM('Estimate Data'!S56)</f>
        <v>128</v>
      </c>
      <c r="S56" s="58">
        <f>SUM('Estimate Data'!T56)</f>
        <v>488</v>
      </c>
      <c r="T56" s="58">
        <f>SUM('Estimate Data'!U56)</f>
        <v>0</v>
      </c>
      <c r="U56" s="58">
        <f>SUM('Estimate Data'!V56)</f>
        <v>0</v>
      </c>
      <c r="V56" s="60">
        <f t="shared" si="3"/>
        <v>0</v>
      </c>
      <c r="W56" s="60">
        <f t="shared" si="3"/>
        <v>0.17315436241610738</v>
      </c>
      <c r="X56" s="60">
        <f t="shared" si="3"/>
        <v>0.17181208053691274</v>
      </c>
      <c r="Y56" s="60">
        <f t="shared" si="3"/>
        <v>0.6550335570469799</v>
      </c>
      <c r="Z56" s="60">
        <f t="shared" si="3"/>
        <v>0</v>
      </c>
      <c r="AA56" s="60">
        <f t="shared" si="3"/>
        <v>0</v>
      </c>
      <c r="AB56" s="47"/>
    </row>
    <row r="57" spans="2:28" ht="15">
      <c r="B57">
        <f t="shared" si="2"/>
      </c>
      <c r="C57" t="s">
        <v>737</v>
      </c>
      <c r="D57" t="s">
        <v>691</v>
      </c>
      <c r="E57" t="s">
        <v>737</v>
      </c>
      <c r="F57" t="s">
        <v>691</v>
      </c>
      <c r="G57" s="47"/>
      <c r="H57" s="23" t="str">
        <f>'Estimate Data'!I57</f>
        <v>H</v>
      </c>
      <c r="I57" s="23" t="str">
        <f>'Estimate Data'!J57</f>
        <v>L</v>
      </c>
      <c r="J57" s="1" t="str">
        <f t="shared" si="0"/>
        <v>HL</v>
      </c>
      <c r="K57" s="57">
        <f>'Estimate Data'!L57</f>
        <v>31</v>
      </c>
      <c r="L57" s="6">
        <f>(VLOOKUP($J57,'Standard Estimate Uncertainty '!$B$10:$D$18,2)*$K57)+$K57</f>
        <v>29.45</v>
      </c>
      <c r="M57" s="6">
        <f>(VLOOKUP($J57,'Standard Estimate Uncertainty '!$B$10:$D$18,3)*$K57)+$K57</f>
        <v>34.1</v>
      </c>
      <c r="N57" s="76">
        <v>32.54998970042617</v>
      </c>
      <c r="O57" s="49"/>
      <c r="P57" s="58"/>
      <c r="Q57" s="58">
        <f>SUM('Estimate Data'!R57)</f>
        <v>0</v>
      </c>
      <c r="R57" s="58">
        <f>SUM('Estimate Data'!S57)</f>
        <v>31</v>
      </c>
      <c r="S57" s="58">
        <f>SUM('Estimate Data'!T57)</f>
        <v>0</v>
      </c>
      <c r="T57" s="58">
        <f>SUM('Estimate Data'!U57)</f>
        <v>0</v>
      </c>
      <c r="U57" s="58">
        <f>SUM('Estimate Data'!V57)</f>
        <v>0</v>
      </c>
      <c r="V57" s="60">
        <f t="shared" si="3"/>
        <v>0</v>
      </c>
      <c r="W57" s="60">
        <f t="shared" si="3"/>
        <v>0</v>
      </c>
      <c r="X57" s="60">
        <f t="shared" si="3"/>
        <v>1</v>
      </c>
      <c r="Y57" s="60">
        <f t="shared" si="3"/>
        <v>0</v>
      </c>
      <c r="Z57" s="60">
        <f t="shared" si="3"/>
        <v>0</v>
      </c>
      <c r="AA57" s="60">
        <f t="shared" si="3"/>
        <v>0</v>
      </c>
      <c r="AB57" s="47"/>
    </row>
    <row r="58" spans="2:28" ht="15.75">
      <c r="B58">
        <f t="shared" si="2"/>
      </c>
      <c r="C58" t="s">
        <v>737</v>
      </c>
      <c r="D58" t="s">
        <v>664</v>
      </c>
      <c r="E58" t="s">
        <v>737</v>
      </c>
      <c r="F58" t="s">
        <v>664</v>
      </c>
      <c r="G58" s="47"/>
      <c r="H58" s="23" t="str">
        <f>'Estimate Data'!I58</f>
        <v>H</v>
      </c>
      <c r="I58" s="23" t="str">
        <f>'Estimate Data'!J58</f>
        <v>L</v>
      </c>
      <c r="J58" s="1" t="str">
        <f t="shared" si="0"/>
        <v>HL</v>
      </c>
      <c r="K58" s="81"/>
      <c r="L58" s="82"/>
      <c r="M58" s="82"/>
      <c r="N58" s="82"/>
      <c r="O58" s="49"/>
      <c r="P58" s="58"/>
      <c r="Q58" s="58">
        <f>SUM('Estimate Data'!R58)</f>
        <v>0</v>
      </c>
      <c r="R58" s="58">
        <f>SUM('Estimate Data'!S58)</f>
        <v>0</v>
      </c>
      <c r="S58" s="58">
        <f>SUM('Estimate Data'!T58)</f>
        <v>0</v>
      </c>
      <c r="T58" s="58">
        <f>SUM('Estimate Data'!U58)</f>
        <v>0</v>
      </c>
      <c r="U58" s="58">
        <f>SUM('Estimate Data'!V58)</f>
        <v>0</v>
      </c>
      <c r="V58" s="60"/>
      <c r="W58" s="60"/>
      <c r="X58" s="60"/>
      <c r="Y58" s="60"/>
      <c r="Z58" s="60"/>
      <c r="AA58" s="60"/>
      <c r="AB58" s="47"/>
    </row>
    <row r="59" spans="1:28" ht="15">
      <c r="A59">
        <v>17</v>
      </c>
      <c r="B59">
        <f t="shared" si="2"/>
      </c>
      <c r="C59" t="s">
        <v>913</v>
      </c>
      <c r="D59" t="s">
        <v>647</v>
      </c>
      <c r="E59" t="s">
        <v>913</v>
      </c>
      <c r="F59" t="s">
        <v>647</v>
      </c>
      <c r="G59" s="47"/>
      <c r="H59" s="23" t="str">
        <f>'Estimate Data'!I59</f>
        <v>L</v>
      </c>
      <c r="I59" s="406" t="str">
        <f>'Estimate Data'!J59</f>
        <v>H</v>
      </c>
      <c r="J59" s="1" t="str">
        <f t="shared" si="0"/>
        <v>LH</v>
      </c>
      <c r="K59" s="57">
        <f>'Estimate Data'!L59</f>
        <v>580</v>
      </c>
      <c r="L59" s="6">
        <f>(VLOOKUP($J59,'Standard Estimate Uncertainty '!$B$10:$D$18,2)*$K59)+$K59</f>
        <v>406</v>
      </c>
      <c r="M59" s="6">
        <f>(VLOOKUP($J59,'Standard Estimate Uncertainty '!$B$10:$D$18,3)*$K59)+$K59</f>
        <v>928</v>
      </c>
      <c r="N59" s="76">
        <v>484.7999741150164</v>
      </c>
      <c r="O59" s="49"/>
      <c r="P59" s="58"/>
      <c r="Q59" s="58">
        <f>SUM('Estimate Data'!R59)</f>
        <v>61</v>
      </c>
      <c r="R59" s="58">
        <f>SUM('Estimate Data'!S59)</f>
        <v>403</v>
      </c>
      <c r="S59" s="58">
        <f>SUM('Estimate Data'!T59)</f>
        <v>116</v>
      </c>
      <c r="T59" s="58">
        <f>SUM('Estimate Data'!U59)</f>
        <v>0</v>
      </c>
      <c r="U59" s="58">
        <f>SUM('Estimate Data'!V59)</f>
        <v>0</v>
      </c>
      <c r="V59" s="60">
        <f t="shared" si="3"/>
        <v>0</v>
      </c>
      <c r="W59" s="60">
        <f t="shared" si="3"/>
        <v>0.10517241379310345</v>
      </c>
      <c r="X59" s="60">
        <f t="shared" si="3"/>
        <v>0.6948275862068966</v>
      </c>
      <c r="Y59" s="60">
        <f t="shared" si="3"/>
        <v>0.2</v>
      </c>
      <c r="Z59" s="60">
        <f t="shared" si="3"/>
        <v>0</v>
      </c>
      <c r="AA59" s="60">
        <f t="shared" si="3"/>
        <v>0</v>
      </c>
      <c r="AB59" s="47"/>
    </row>
    <row r="60" spans="2:28" ht="15">
      <c r="B60">
        <f t="shared" si="2"/>
      </c>
      <c r="C60" t="s">
        <v>738</v>
      </c>
      <c r="D60" t="s">
        <v>647</v>
      </c>
      <c r="E60" t="s">
        <v>738</v>
      </c>
      <c r="F60" t="s">
        <v>647</v>
      </c>
      <c r="G60" s="47"/>
      <c r="H60" s="23" t="str">
        <f>'Estimate Data'!I60</f>
        <v>H</v>
      </c>
      <c r="I60" s="23" t="str">
        <f>'Estimate Data'!J60</f>
        <v>L</v>
      </c>
      <c r="J60" s="1" t="str">
        <f t="shared" si="0"/>
        <v>HL</v>
      </c>
      <c r="K60" s="57">
        <f>'Estimate Data'!L60</f>
        <v>139</v>
      </c>
      <c r="L60" s="6">
        <f>(VLOOKUP($J60,'Standard Estimate Uncertainty '!$B$10:$D$18,2)*$K60)+$K60</f>
        <v>132.05</v>
      </c>
      <c r="M60" s="6">
        <f>(VLOOKUP($J60,'Standard Estimate Uncertainty '!$B$10:$D$18,3)*$K60)+$K60</f>
        <v>152.9</v>
      </c>
      <c r="N60" s="76">
        <v>40.949987042471626</v>
      </c>
      <c r="O60" s="49"/>
      <c r="P60" s="58"/>
      <c r="Q60" s="58">
        <f>SUM('Estimate Data'!R60)</f>
        <v>139</v>
      </c>
      <c r="R60" s="58">
        <f>SUM('Estimate Data'!S60)</f>
        <v>0</v>
      </c>
      <c r="S60" s="58">
        <f>SUM('Estimate Data'!T60)</f>
        <v>0</v>
      </c>
      <c r="T60" s="58">
        <f>SUM('Estimate Data'!U60)</f>
        <v>0</v>
      </c>
      <c r="U60" s="58">
        <f>SUM('Estimate Data'!V60)</f>
        <v>0</v>
      </c>
      <c r="V60" s="60">
        <f t="shared" si="3"/>
        <v>0</v>
      </c>
      <c r="W60" s="60">
        <f t="shared" si="3"/>
        <v>1</v>
      </c>
      <c r="X60" s="60">
        <f t="shared" si="3"/>
        <v>0</v>
      </c>
      <c r="Y60" s="60">
        <f t="shared" si="3"/>
        <v>0</v>
      </c>
      <c r="Z60" s="60">
        <f t="shared" si="3"/>
        <v>0</v>
      </c>
      <c r="AA60" s="60">
        <f t="shared" si="3"/>
        <v>0</v>
      </c>
      <c r="AB60" s="47"/>
    </row>
    <row r="61" spans="2:28" ht="15">
      <c r="B61">
        <f t="shared" si="2"/>
      </c>
      <c r="C61" t="s">
        <v>914</v>
      </c>
      <c r="D61" t="s">
        <v>647</v>
      </c>
      <c r="E61" t="s">
        <v>914</v>
      </c>
      <c r="F61" t="s">
        <v>647</v>
      </c>
      <c r="G61" s="47"/>
      <c r="H61" s="23" t="str">
        <f>'Estimate Data'!I61</f>
        <v>H</v>
      </c>
      <c r="I61" s="23" t="s">
        <v>616</v>
      </c>
      <c r="J61" s="1" t="str">
        <f t="shared" si="0"/>
        <v>HL</v>
      </c>
      <c r="K61" s="57">
        <f>'Estimate Data'!L61</f>
        <v>550</v>
      </c>
      <c r="L61" s="6">
        <f>(VLOOKUP($J61,'Standard Estimate Uncertainty '!$B$10:$D$18,2)*$K61)+$K61</f>
        <v>522.5</v>
      </c>
      <c r="M61" s="6">
        <f>(VLOOKUP($J61,'Standard Estimate Uncertainty '!$B$10:$D$18,3)*$K61)+$K61</f>
        <v>605</v>
      </c>
      <c r="N61" s="76">
        <v>457.79985514147774</v>
      </c>
      <c r="O61" s="49"/>
      <c r="P61" s="58"/>
      <c r="Q61" s="58">
        <f>SUM('Estimate Data'!R61)</f>
        <v>20</v>
      </c>
      <c r="R61" s="58">
        <f>SUM('Estimate Data'!S61)</f>
        <v>46</v>
      </c>
      <c r="S61" s="58">
        <f>SUM('Estimate Data'!T61)</f>
        <v>288</v>
      </c>
      <c r="T61" s="58">
        <f>SUM('Estimate Data'!U61)</f>
        <v>196</v>
      </c>
      <c r="U61" s="58">
        <f>SUM('Estimate Data'!V61)</f>
        <v>0</v>
      </c>
      <c r="V61" s="60">
        <f t="shared" si="3"/>
        <v>0</v>
      </c>
      <c r="W61" s="60">
        <f t="shared" si="3"/>
        <v>0.03636363636363636</v>
      </c>
      <c r="X61" s="60">
        <f t="shared" si="3"/>
        <v>0.08363636363636363</v>
      </c>
      <c r="Y61" s="60">
        <f aca="true" t="shared" si="4" ref="Y61:AA124">S61/$K61</f>
        <v>0.5236363636363637</v>
      </c>
      <c r="Z61" s="60">
        <f t="shared" si="4"/>
        <v>0.3563636363636364</v>
      </c>
      <c r="AA61" s="60">
        <f t="shared" si="4"/>
        <v>0</v>
      </c>
      <c r="AB61" s="47"/>
    </row>
    <row r="62" spans="2:28" ht="15">
      <c r="B62">
        <f t="shared" si="2"/>
      </c>
      <c r="C62" t="s">
        <v>305</v>
      </c>
      <c r="D62" t="s">
        <v>692</v>
      </c>
      <c r="E62" t="s">
        <v>305</v>
      </c>
      <c r="F62" t="s">
        <v>692</v>
      </c>
      <c r="G62" s="47"/>
      <c r="H62" s="23" t="str">
        <f>'Estimate Data'!I62</f>
        <v>H</v>
      </c>
      <c r="I62" s="23" t="str">
        <f>'Estimate Data'!J62</f>
        <v>L</v>
      </c>
      <c r="J62" s="1" t="str">
        <f t="shared" si="0"/>
        <v>HL</v>
      </c>
      <c r="K62" s="57">
        <f>'Estimate Data'!L62</f>
        <v>231</v>
      </c>
      <c r="L62" s="6">
        <f>(VLOOKUP($J62,'Standard Estimate Uncertainty '!$B$10:$D$18,2)*$K62)+$K62</f>
        <v>219.45</v>
      </c>
      <c r="M62" s="6">
        <f>(VLOOKUP($J62,'Standard Estimate Uncertainty '!$B$10:$D$18,3)*$K62)+$K62</f>
        <v>254.1</v>
      </c>
      <c r="N62" s="76">
        <v>201.5999362090911</v>
      </c>
      <c r="O62" s="49"/>
      <c r="P62" s="58"/>
      <c r="Q62" s="58">
        <f>SUM('Estimate Data'!R62)</f>
        <v>1</v>
      </c>
      <c r="R62" s="58">
        <f>SUM('Estimate Data'!S62)</f>
        <v>230</v>
      </c>
      <c r="S62" s="58">
        <f>SUM('Estimate Data'!T62)</f>
        <v>0</v>
      </c>
      <c r="T62" s="58">
        <f>SUM('Estimate Data'!U62)</f>
        <v>0</v>
      </c>
      <c r="U62" s="58">
        <f>SUM('Estimate Data'!V62)</f>
        <v>0</v>
      </c>
      <c r="V62" s="60">
        <f aca="true" t="shared" si="5" ref="V62:V74">P62/$K62</f>
        <v>0</v>
      </c>
      <c r="W62" s="60">
        <f aca="true" t="shared" si="6" ref="W62:W74">Q62/$K62</f>
        <v>0.004329004329004329</v>
      </c>
      <c r="X62" s="60">
        <f aca="true" t="shared" si="7" ref="X62:X74">R62/$K62</f>
        <v>0.9956709956709957</v>
      </c>
      <c r="Y62" s="60">
        <f t="shared" si="4"/>
        <v>0</v>
      </c>
      <c r="Z62" s="60">
        <f t="shared" si="4"/>
        <v>0</v>
      </c>
      <c r="AA62" s="60">
        <f t="shared" si="4"/>
        <v>0</v>
      </c>
      <c r="AB62" s="47"/>
    </row>
    <row r="63" spans="1:28" ht="15">
      <c r="A63">
        <v>18</v>
      </c>
      <c r="B63">
        <f t="shared" si="2"/>
      </c>
      <c r="C63" t="s">
        <v>740</v>
      </c>
      <c r="D63" t="s">
        <v>693</v>
      </c>
      <c r="E63" t="s">
        <v>740</v>
      </c>
      <c r="F63" t="s">
        <v>693</v>
      </c>
      <c r="G63" s="47"/>
      <c r="H63" s="23" t="str">
        <f>'Estimate Data'!I63</f>
        <v>H</v>
      </c>
      <c r="I63" s="23" t="str">
        <f>'Estimate Data'!J63</f>
        <v>M</v>
      </c>
      <c r="J63" s="1" t="str">
        <f t="shared" si="0"/>
        <v>HM</v>
      </c>
      <c r="K63" s="57">
        <f>'Estimate Data'!L63</f>
        <v>3826</v>
      </c>
      <c r="L63" s="6">
        <f>(VLOOKUP($J63,'Standard Estimate Uncertainty '!$B$10:$D$18,2)*$K63)+$K63</f>
        <v>3443.4</v>
      </c>
      <c r="M63" s="6">
        <f>(VLOOKUP($J63,'Standard Estimate Uncertainty '!$B$10:$D$18,3)*$K63)+$K63</f>
        <v>4399.9</v>
      </c>
      <c r="N63" s="76">
        <v>3907.4581477823986</v>
      </c>
      <c r="O63" s="49"/>
      <c r="P63" s="58"/>
      <c r="Q63" s="58">
        <f>SUM('Estimate Data'!R63)</f>
        <v>814</v>
      </c>
      <c r="R63" s="58">
        <f>SUM('Estimate Data'!S63)</f>
        <v>1540</v>
      </c>
      <c r="S63" s="58">
        <f>SUM('Estimate Data'!T63)</f>
        <v>1472</v>
      </c>
      <c r="T63" s="58">
        <f>SUM('Estimate Data'!U63)</f>
        <v>0</v>
      </c>
      <c r="U63" s="58">
        <f>SUM('Estimate Data'!V63)</f>
        <v>0</v>
      </c>
      <c r="V63" s="60">
        <f t="shared" si="5"/>
        <v>0</v>
      </c>
      <c r="W63" s="60">
        <f t="shared" si="6"/>
        <v>0.21275483533716674</v>
      </c>
      <c r="X63" s="60">
        <f t="shared" si="7"/>
        <v>0.40250914793518033</v>
      </c>
      <c r="Y63" s="60">
        <f t="shared" si="4"/>
        <v>0.3847360167276529</v>
      </c>
      <c r="Z63" s="60">
        <f t="shared" si="4"/>
        <v>0</v>
      </c>
      <c r="AA63" s="60">
        <f t="shared" si="4"/>
        <v>0</v>
      </c>
      <c r="AB63" s="47"/>
    </row>
    <row r="64" spans="2:28" ht="15">
      <c r="B64">
        <f t="shared" si="2"/>
      </c>
      <c r="C64" t="s">
        <v>741</v>
      </c>
      <c r="D64" t="s">
        <v>695</v>
      </c>
      <c r="E64" t="s">
        <v>741</v>
      </c>
      <c r="F64" t="s">
        <v>695</v>
      </c>
      <c r="G64" s="47"/>
      <c r="H64" s="23" t="str">
        <f>'Estimate Data'!I64</f>
        <v>M</v>
      </c>
      <c r="I64" s="23" t="str">
        <f>'Estimate Data'!J64</f>
        <v>L</v>
      </c>
      <c r="J64" s="1" t="str">
        <f t="shared" si="0"/>
        <v>ML</v>
      </c>
      <c r="K64" s="57">
        <f>'Estimate Data'!L64</f>
        <v>250</v>
      </c>
      <c r="L64" s="6">
        <f>(VLOOKUP($J64,'Standard Estimate Uncertainty '!$B$10:$D$18,2)*$K64)+$K64</f>
        <v>225</v>
      </c>
      <c r="M64" s="6">
        <f>(VLOOKUP($J64,'Standard Estimate Uncertainty '!$B$10:$D$18,3)*$K64)+$K64</f>
        <v>287.5</v>
      </c>
      <c r="N64" s="76">
        <v>272.76261365576556</v>
      </c>
      <c r="O64" s="49"/>
      <c r="P64" s="58"/>
      <c r="Q64" s="58">
        <f>SUM('Estimate Data'!R64)</f>
        <v>236</v>
      </c>
      <c r="R64" s="58">
        <f>SUM('Estimate Data'!S64)</f>
        <v>14</v>
      </c>
      <c r="S64" s="58">
        <f>SUM('Estimate Data'!T64)</f>
        <v>0</v>
      </c>
      <c r="T64" s="58">
        <f>SUM('Estimate Data'!U64)</f>
        <v>0</v>
      </c>
      <c r="U64" s="58">
        <f>SUM('Estimate Data'!V64)</f>
        <v>0</v>
      </c>
      <c r="V64" s="60">
        <f t="shared" si="5"/>
        <v>0</v>
      </c>
      <c r="W64" s="60">
        <f t="shared" si="6"/>
        <v>0.944</v>
      </c>
      <c r="X64" s="60">
        <f t="shared" si="7"/>
        <v>0.056</v>
      </c>
      <c r="Y64" s="60">
        <f t="shared" si="4"/>
        <v>0</v>
      </c>
      <c r="Z64" s="60">
        <f t="shared" si="4"/>
        <v>0</v>
      </c>
      <c r="AA64" s="60">
        <f t="shared" si="4"/>
        <v>0</v>
      </c>
      <c r="AB64" s="47"/>
    </row>
    <row r="65" spans="2:28" ht="15">
      <c r="B65">
        <f t="shared" si="2"/>
      </c>
      <c r="C65" t="s">
        <v>741</v>
      </c>
      <c r="D65" t="s">
        <v>696</v>
      </c>
      <c r="E65" t="s">
        <v>741</v>
      </c>
      <c r="F65" t="s">
        <v>696</v>
      </c>
      <c r="G65" s="47"/>
      <c r="H65" s="23" t="str">
        <f>'Estimate Data'!I65</f>
        <v>M</v>
      </c>
      <c r="I65" s="23" t="str">
        <f>'Estimate Data'!J65</f>
        <v>L</v>
      </c>
      <c r="J65" s="1" t="str">
        <f t="shared" si="0"/>
        <v>ML</v>
      </c>
      <c r="K65" s="57">
        <f>'Estimate Data'!L65</f>
        <v>203</v>
      </c>
      <c r="L65" s="6">
        <f>(VLOOKUP($J65,'Standard Estimate Uncertainty '!$B$10:$D$18,2)*$K65)+$K65</f>
        <v>182.7</v>
      </c>
      <c r="M65" s="6">
        <f>(VLOOKUP($J65,'Standard Estimate Uncertainty '!$B$10:$D$18,3)*$K65)+$K65</f>
        <v>233.45</v>
      </c>
      <c r="N65" s="76">
        <v>222.48872015842838</v>
      </c>
      <c r="O65" s="49"/>
      <c r="P65" s="58"/>
      <c r="Q65" s="58">
        <f>SUM('Estimate Data'!R65)</f>
        <v>203</v>
      </c>
      <c r="R65" s="58">
        <f>SUM('Estimate Data'!S65)</f>
        <v>0</v>
      </c>
      <c r="S65" s="58">
        <f>SUM('Estimate Data'!T65)</f>
        <v>0</v>
      </c>
      <c r="T65" s="58">
        <f>SUM('Estimate Data'!U65)</f>
        <v>0</v>
      </c>
      <c r="U65" s="58">
        <f>SUM('Estimate Data'!V65)</f>
        <v>0</v>
      </c>
      <c r="V65" s="60">
        <f t="shared" si="5"/>
        <v>0</v>
      </c>
      <c r="W65" s="60">
        <f t="shared" si="6"/>
        <v>1</v>
      </c>
      <c r="X65" s="60">
        <f t="shared" si="7"/>
        <v>0</v>
      </c>
      <c r="Y65" s="60">
        <f t="shared" si="4"/>
        <v>0</v>
      </c>
      <c r="Z65" s="60">
        <f t="shared" si="4"/>
        <v>0</v>
      </c>
      <c r="AA65" s="60">
        <f t="shared" si="4"/>
        <v>0</v>
      </c>
      <c r="AB65" s="47"/>
    </row>
    <row r="66" spans="2:28" ht="15">
      <c r="B66">
        <f t="shared" si="2"/>
      </c>
      <c r="C66" t="s">
        <v>741</v>
      </c>
      <c r="D66" t="s">
        <v>697</v>
      </c>
      <c r="E66" t="s">
        <v>741</v>
      </c>
      <c r="F66" t="s">
        <v>697</v>
      </c>
      <c r="G66" s="47"/>
      <c r="H66" s="23" t="str">
        <f>'Estimate Data'!I66</f>
        <v>L</v>
      </c>
      <c r="I66" s="23" t="str">
        <f>'Estimate Data'!J66</f>
        <v>M</v>
      </c>
      <c r="J66" s="1" t="str">
        <f t="shared" si="0"/>
        <v>LM</v>
      </c>
      <c r="K66" s="57">
        <f>'Estimate Data'!L66</f>
        <v>541</v>
      </c>
      <c r="L66" s="6">
        <f>(VLOOKUP($J66,'Standard Estimate Uncertainty '!$B$10:$D$18,2)*$K66)+$K66</f>
        <v>432.8</v>
      </c>
      <c r="M66" s="6">
        <f>(VLOOKUP($J66,'Standard Estimate Uncertainty '!$B$10:$D$18,3)*$K66)+$K66</f>
        <v>757.4</v>
      </c>
      <c r="N66" s="76">
        <v>658.7999648246139</v>
      </c>
      <c r="O66" s="49"/>
      <c r="P66" s="58"/>
      <c r="Q66" s="58">
        <f>SUM('Estimate Data'!R66)</f>
        <v>313</v>
      </c>
      <c r="R66" s="58">
        <f>SUM('Estimate Data'!S66)</f>
        <v>228</v>
      </c>
      <c r="S66" s="58">
        <f>SUM('Estimate Data'!T66)</f>
        <v>0</v>
      </c>
      <c r="T66" s="58">
        <f>SUM('Estimate Data'!U66)</f>
        <v>0</v>
      </c>
      <c r="U66" s="58">
        <f>SUM('Estimate Data'!V66)</f>
        <v>0</v>
      </c>
      <c r="V66" s="60">
        <f t="shared" si="5"/>
        <v>0</v>
      </c>
      <c r="W66" s="60">
        <f t="shared" si="6"/>
        <v>0.5785582255083179</v>
      </c>
      <c r="X66" s="60">
        <f t="shared" si="7"/>
        <v>0.4214417744916821</v>
      </c>
      <c r="Y66" s="60">
        <f t="shared" si="4"/>
        <v>0</v>
      </c>
      <c r="Z66" s="60">
        <f t="shared" si="4"/>
        <v>0</v>
      </c>
      <c r="AA66" s="60">
        <f t="shared" si="4"/>
        <v>0</v>
      </c>
      <c r="AB66" s="47"/>
    </row>
    <row r="67" spans="2:28" ht="15">
      <c r="B67">
        <f t="shared" si="2"/>
      </c>
      <c r="C67" t="s">
        <v>742</v>
      </c>
      <c r="D67" t="s">
        <v>647</v>
      </c>
      <c r="E67" t="s">
        <v>742</v>
      </c>
      <c r="F67" t="s">
        <v>647</v>
      </c>
      <c r="G67" s="47"/>
      <c r="H67" s="23" t="str">
        <f>'Estimate Data'!I67</f>
        <v>M</v>
      </c>
      <c r="I67" s="23" t="str">
        <f>'Estimate Data'!J67</f>
        <v>M</v>
      </c>
      <c r="J67" s="1" t="str">
        <f aca="true" t="shared" si="8" ref="J67:J130">CONCATENATE(H67,I67)</f>
        <v>MM</v>
      </c>
      <c r="K67" s="57">
        <f>'Estimate Data'!L67</f>
        <v>54</v>
      </c>
      <c r="L67" s="6">
        <f>(VLOOKUP($J67,'Standard Estimate Uncertainty '!$B$10:$D$18,2)*$K67)+$K67</f>
        <v>45.9</v>
      </c>
      <c r="M67" s="6">
        <f>(VLOOKUP($J67,'Standard Estimate Uncertainty '!$B$10:$D$18,3)*$K67)+$K67</f>
        <v>67.5</v>
      </c>
      <c r="N67" s="76">
        <v>60.462352748637926</v>
      </c>
      <c r="O67" s="49"/>
      <c r="P67" s="58"/>
      <c r="Q67" s="58">
        <f>SUM('Estimate Data'!R67)</f>
        <v>48</v>
      </c>
      <c r="R67" s="58">
        <f>SUM('Estimate Data'!S67)</f>
        <v>6</v>
      </c>
      <c r="S67" s="58">
        <f>SUM('Estimate Data'!T67)</f>
        <v>0</v>
      </c>
      <c r="T67" s="58">
        <f>SUM('Estimate Data'!U67)</f>
        <v>0</v>
      </c>
      <c r="U67" s="58">
        <f>SUM('Estimate Data'!V67)</f>
        <v>0</v>
      </c>
      <c r="V67" s="60">
        <f t="shared" si="5"/>
        <v>0</v>
      </c>
      <c r="W67" s="60">
        <f t="shared" si="6"/>
        <v>0.8888888888888888</v>
      </c>
      <c r="X67" s="60">
        <f t="shared" si="7"/>
        <v>0.1111111111111111</v>
      </c>
      <c r="Y67" s="60">
        <f t="shared" si="4"/>
        <v>0</v>
      </c>
      <c r="Z67" s="60">
        <f t="shared" si="4"/>
        <v>0</v>
      </c>
      <c r="AA67" s="60">
        <f t="shared" si="4"/>
        <v>0</v>
      </c>
      <c r="AB67" s="47"/>
    </row>
    <row r="68" spans="2:28" ht="15">
      <c r="B68">
        <f aca="true" t="shared" si="9" ref="B68:B131">IF(C68=E68,"","X")</f>
      </c>
      <c r="C68" t="s">
        <v>742</v>
      </c>
      <c r="D68" t="s">
        <v>698</v>
      </c>
      <c r="E68" t="s">
        <v>742</v>
      </c>
      <c r="F68" t="s">
        <v>698</v>
      </c>
      <c r="G68" s="47"/>
      <c r="H68" s="23" t="str">
        <f>'Estimate Data'!I68</f>
        <v>M</v>
      </c>
      <c r="I68" s="23" t="str">
        <f>'Estimate Data'!J68</f>
        <v>M</v>
      </c>
      <c r="J68" s="1" t="str">
        <f t="shared" si="8"/>
        <v>MM</v>
      </c>
      <c r="K68" s="57">
        <f>'Estimate Data'!L68</f>
        <v>19</v>
      </c>
      <c r="L68" s="6">
        <f>(VLOOKUP($J68,'Standard Estimate Uncertainty '!$B$10:$D$18,2)*$K68)+$K68</f>
        <v>16.15</v>
      </c>
      <c r="M68" s="6">
        <f>(VLOOKUP($J68,'Standard Estimate Uncertainty '!$B$10:$D$18,3)*$K68)+$K68</f>
        <v>23.75</v>
      </c>
      <c r="N68" s="76">
        <v>21.27379078192816</v>
      </c>
      <c r="O68" s="49"/>
      <c r="P68" s="58"/>
      <c r="Q68" s="58">
        <f>SUM('Estimate Data'!R68)</f>
        <v>10</v>
      </c>
      <c r="R68" s="58">
        <f>SUM('Estimate Data'!S68)</f>
        <v>9</v>
      </c>
      <c r="S68" s="58">
        <f>SUM('Estimate Data'!T68)</f>
        <v>0</v>
      </c>
      <c r="T68" s="58">
        <f>SUM('Estimate Data'!U68)</f>
        <v>0</v>
      </c>
      <c r="U68" s="58">
        <f>SUM('Estimate Data'!V68)</f>
        <v>0</v>
      </c>
      <c r="V68" s="60">
        <f t="shared" si="5"/>
        <v>0</v>
      </c>
      <c r="W68" s="60">
        <f t="shared" si="6"/>
        <v>0.5263157894736842</v>
      </c>
      <c r="X68" s="60">
        <f t="shared" si="7"/>
        <v>0.47368421052631576</v>
      </c>
      <c r="Y68" s="60">
        <f t="shared" si="4"/>
        <v>0</v>
      </c>
      <c r="Z68" s="60">
        <f t="shared" si="4"/>
        <v>0</v>
      </c>
      <c r="AA68" s="60">
        <f t="shared" si="4"/>
        <v>0</v>
      </c>
      <c r="AB68" s="47"/>
    </row>
    <row r="69" spans="2:28" ht="15">
      <c r="B69">
        <f t="shared" si="9"/>
      </c>
      <c r="C69" t="s">
        <v>742</v>
      </c>
      <c r="D69" t="s">
        <v>694</v>
      </c>
      <c r="E69" t="s">
        <v>742</v>
      </c>
      <c r="F69" t="s">
        <v>694</v>
      </c>
      <c r="G69" s="47"/>
      <c r="H69" s="23" t="str">
        <f>'Estimate Data'!I69</f>
        <v>M</v>
      </c>
      <c r="I69" s="23" t="str">
        <f>'Estimate Data'!J69</f>
        <v>M</v>
      </c>
      <c r="J69" s="1" t="str">
        <f t="shared" si="8"/>
        <v>MM</v>
      </c>
      <c r="K69" s="57">
        <f>'Estimate Data'!L69</f>
        <v>2</v>
      </c>
      <c r="L69" s="6">
        <f>(VLOOKUP($J69,'Standard Estimate Uncertainty '!$B$10:$D$18,2)*$K69)+$K69</f>
        <v>1.7</v>
      </c>
      <c r="M69" s="6">
        <f>(VLOOKUP($J69,'Standard Estimate Uncertainty '!$B$10:$D$18,3)*$K69)+$K69</f>
        <v>2.5</v>
      </c>
      <c r="N69" s="76">
        <v>2.239346398097701</v>
      </c>
      <c r="O69" s="49"/>
      <c r="P69" s="58"/>
      <c r="Q69" s="58">
        <f>SUM('Estimate Data'!R69)</f>
        <v>2</v>
      </c>
      <c r="R69" s="58">
        <f>SUM('Estimate Data'!S69)</f>
        <v>0</v>
      </c>
      <c r="S69" s="58">
        <f>SUM('Estimate Data'!T69)</f>
        <v>0</v>
      </c>
      <c r="T69" s="58">
        <f>SUM('Estimate Data'!U69)</f>
        <v>0</v>
      </c>
      <c r="U69" s="58">
        <f>SUM('Estimate Data'!V69)</f>
        <v>0</v>
      </c>
      <c r="V69" s="60">
        <f t="shared" si="5"/>
        <v>0</v>
      </c>
      <c r="W69" s="60">
        <f t="shared" si="6"/>
        <v>1</v>
      </c>
      <c r="X69" s="60">
        <f t="shared" si="7"/>
        <v>0</v>
      </c>
      <c r="Y69" s="60">
        <f t="shared" si="4"/>
        <v>0</v>
      </c>
      <c r="Z69" s="60">
        <f t="shared" si="4"/>
        <v>0</v>
      </c>
      <c r="AA69" s="60">
        <f t="shared" si="4"/>
        <v>0</v>
      </c>
      <c r="AB69" s="47"/>
    </row>
    <row r="70" spans="2:28" ht="15">
      <c r="B70">
        <f t="shared" si="9"/>
      </c>
      <c r="C70" t="s">
        <v>742</v>
      </c>
      <c r="D70" t="s">
        <v>695</v>
      </c>
      <c r="E70" t="s">
        <v>742</v>
      </c>
      <c r="F70" t="s">
        <v>695</v>
      </c>
      <c r="G70" s="47"/>
      <c r="H70" s="23" t="str">
        <f>'Estimate Data'!I70</f>
        <v>M</v>
      </c>
      <c r="I70" s="23" t="str">
        <f>'Estimate Data'!J70</f>
        <v>M</v>
      </c>
      <c r="J70" s="1" t="str">
        <f t="shared" si="8"/>
        <v>MM</v>
      </c>
      <c r="K70" s="57">
        <f>'Estimate Data'!L70</f>
        <v>30</v>
      </c>
      <c r="L70" s="6">
        <f>(VLOOKUP($J70,'Standard Estimate Uncertainty '!$B$10:$D$18,2)*$K70)+$K70</f>
        <v>25.5</v>
      </c>
      <c r="M70" s="6">
        <f>(VLOOKUP($J70,'Standard Estimate Uncertainty '!$B$10:$D$18,3)*$K70)+$K70</f>
        <v>37.5</v>
      </c>
      <c r="N70" s="76">
        <v>33.59019597146552</v>
      </c>
      <c r="O70" s="49"/>
      <c r="P70" s="58"/>
      <c r="Q70" s="58">
        <f>SUM('Estimate Data'!R70)</f>
        <v>30</v>
      </c>
      <c r="R70" s="58">
        <f>SUM('Estimate Data'!S70)</f>
        <v>0</v>
      </c>
      <c r="S70" s="58">
        <f>SUM('Estimate Data'!T70)</f>
        <v>0</v>
      </c>
      <c r="T70" s="58">
        <f>SUM('Estimate Data'!U70)</f>
        <v>0</v>
      </c>
      <c r="U70" s="58">
        <f>SUM('Estimate Data'!V70)</f>
        <v>0</v>
      </c>
      <c r="V70" s="60">
        <f t="shared" si="5"/>
        <v>0</v>
      </c>
      <c r="W70" s="60">
        <f t="shared" si="6"/>
        <v>1</v>
      </c>
      <c r="X70" s="60">
        <f t="shared" si="7"/>
        <v>0</v>
      </c>
      <c r="Y70" s="60">
        <f t="shared" si="4"/>
        <v>0</v>
      </c>
      <c r="Z70" s="60">
        <f t="shared" si="4"/>
        <v>0</v>
      </c>
      <c r="AA70" s="60">
        <f t="shared" si="4"/>
        <v>0</v>
      </c>
      <c r="AB70" s="47"/>
    </row>
    <row r="71" spans="2:28" ht="15">
      <c r="B71">
        <f t="shared" si="9"/>
      </c>
      <c r="C71" t="s">
        <v>742</v>
      </c>
      <c r="D71" t="s">
        <v>696</v>
      </c>
      <c r="E71" t="s">
        <v>742</v>
      </c>
      <c r="F71" t="s">
        <v>696</v>
      </c>
      <c r="G71" s="47"/>
      <c r="H71" s="23" t="str">
        <f>'Estimate Data'!I71</f>
        <v>M</v>
      </c>
      <c r="I71" s="23" t="str">
        <f>'Estimate Data'!J71</f>
        <v>M</v>
      </c>
      <c r="J71" s="1" t="str">
        <f t="shared" si="8"/>
        <v>MM</v>
      </c>
      <c r="K71" s="57">
        <f>'Estimate Data'!L71</f>
        <v>114</v>
      </c>
      <c r="L71" s="6">
        <f>(VLOOKUP($J71,'Standard Estimate Uncertainty '!$B$10:$D$18,2)*$K71)+$K71</f>
        <v>96.9</v>
      </c>
      <c r="M71" s="6">
        <f>(VLOOKUP($J71,'Standard Estimate Uncertainty '!$B$10:$D$18,3)*$K71)+$K71</f>
        <v>142.5</v>
      </c>
      <c r="N71" s="76">
        <v>127.64274469156896</v>
      </c>
      <c r="O71" s="49"/>
      <c r="P71" s="58"/>
      <c r="Q71" s="58">
        <f>SUM('Estimate Data'!R71)</f>
        <v>114</v>
      </c>
      <c r="R71" s="58">
        <f>SUM('Estimate Data'!S71)</f>
        <v>0</v>
      </c>
      <c r="S71" s="58">
        <f>SUM('Estimate Data'!T71)</f>
        <v>0</v>
      </c>
      <c r="T71" s="58">
        <f>SUM('Estimate Data'!U71)</f>
        <v>0</v>
      </c>
      <c r="U71" s="58">
        <f>SUM('Estimate Data'!V71)</f>
        <v>0</v>
      </c>
      <c r="V71" s="60">
        <f t="shared" si="5"/>
        <v>0</v>
      </c>
      <c r="W71" s="60">
        <f t="shared" si="6"/>
        <v>1</v>
      </c>
      <c r="X71" s="60">
        <f t="shared" si="7"/>
        <v>0</v>
      </c>
      <c r="Y71" s="60">
        <f t="shared" si="4"/>
        <v>0</v>
      </c>
      <c r="Z71" s="60">
        <f t="shared" si="4"/>
        <v>0</v>
      </c>
      <c r="AA71" s="60">
        <f t="shared" si="4"/>
        <v>0</v>
      </c>
      <c r="AB71" s="47"/>
    </row>
    <row r="72" spans="2:28" ht="15">
      <c r="B72">
        <f t="shared" si="9"/>
      </c>
      <c r="C72" t="s">
        <v>742</v>
      </c>
      <c r="D72" t="s">
        <v>697</v>
      </c>
      <c r="E72" t="s">
        <v>742</v>
      </c>
      <c r="F72" t="s">
        <v>697</v>
      </c>
      <c r="G72" s="47"/>
      <c r="H72" s="23" t="str">
        <f>'Estimate Data'!I72</f>
        <v>M</v>
      </c>
      <c r="I72" s="23" t="str">
        <f>'Estimate Data'!J72</f>
        <v>M</v>
      </c>
      <c r="J72" s="1" t="str">
        <f t="shared" si="8"/>
        <v>MM</v>
      </c>
      <c r="K72" s="57">
        <f>'Estimate Data'!L72</f>
        <v>137</v>
      </c>
      <c r="L72" s="6">
        <f>(VLOOKUP($J72,'Standard Estimate Uncertainty '!$B$10:$D$18,2)*$K72)+$K72</f>
        <v>116.45</v>
      </c>
      <c r="M72" s="6">
        <f>(VLOOKUP($J72,'Standard Estimate Uncertainty '!$B$10:$D$18,3)*$K72)+$K72</f>
        <v>171.25</v>
      </c>
      <c r="N72" s="76">
        <v>153.39522826969252</v>
      </c>
      <c r="O72" s="49"/>
      <c r="P72" s="58"/>
      <c r="Q72" s="58">
        <f>SUM('Estimate Data'!R72)</f>
        <v>135</v>
      </c>
      <c r="R72" s="58">
        <f>SUM('Estimate Data'!S72)</f>
        <v>2</v>
      </c>
      <c r="S72" s="58">
        <f>SUM('Estimate Data'!T72)</f>
        <v>0</v>
      </c>
      <c r="T72" s="58">
        <f>SUM('Estimate Data'!U72)</f>
        <v>0</v>
      </c>
      <c r="U72" s="58">
        <f>SUM('Estimate Data'!V72)</f>
        <v>0</v>
      </c>
      <c r="V72" s="60">
        <f t="shared" si="5"/>
        <v>0</v>
      </c>
      <c r="W72" s="60">
        <f t="shared" si="6"/>
        <v>0.9854014598540146</v>
      </c>
      <c r="X72" s="60">
        <f t="shared" si="7"/>
        <v>0.014598540145985401</v>
      </c>
      <c r="Y72" s="60">
        <f t="shared" si="4"/>
        <v>0</v>
      </c>
      <c r="Z72" s="60">
        <f t="shared" si="4"/>
        <v>0</v>
      </c>
      <c r="AA72" s="60">
        <f t="shared" si="4"/>
        <v>0</v>
      </c>
      <c r="AB72" s="47"/>
    </row>
    <row r="73" spans="2:28" ht="15">
      <c r="B73">
        <f t="shared" si="9"/>
      </c>
      <c r="C73" t="s">
        <v>306</v>
      </c>
      <c r="D73" t="s">
        <v>887</v>
      </c>
      <c r="E73" t="s">
        <v>306</v>
      </c>
      <c r="F73" t="s">
        <v>887</v>
      </c>
      <c r="G73" s="47"/>
      <c r="H73" s="23" t="str">
        <f>'Estimate Data'!I73</f>
        <v>H</v>
      </c>
      <c r="I73" s="23" t="str">
        <f>'Estimate Data'!J73</f>
        <v>M</v>
      </c>
      <c r="J73" s="1" t="str">
        <f t="shared" si="8"/>
        <v>HM</v>
      </c>
      <c r="K73" s="57">
        <f>'Estimate Data'!L73</f>
        <v>1946</v>
      </c>
      <c r="L73" s="6">
        <f>(VLOOKUP($J73,'Standard Estimate Uncertainty '!$B$10:$D$18,2)*$K73)+$K73</f>
        <v>1751.4</v>
      </c>
      <c r="M73" s="6">
        <f>(VLOOKUP($J73,'Standard Estimate Uncertainty '!$B$10:$D$18,3)*$K73)+$K73</f>
        <v>2237.9</v>
      </c>
      <c r="N73" s="76">
        <v>2092.24969533599</v>
      </c>
      <c r="O73" s="49"/>
      <c r="P73" s="58"/>
      <c r="Q73" s="58">
        <f>SUM('Estimate Data'!R73)</f>
        <v>446</v>
      </c>
      <c r="R73" s="58">
        <f>SUM('Estimate Data'!S73)</f>
        <v>665</v>
      </c>
      <c r="S73" s="58">
        <f>SUM('Estimate Data'!T73)</f>
        <v>835</v>
      </c>
      <c r="T73" s="58">
        <f>SUM('Estimate Data'!U73)</f>
        <v>0</v>
      </c>
      <c r="U73" s="58">
        <f>SUM('Estimate Data'!V73)</f>
        <v>0</v>
      </c>
      <c r="V73" s="60">
        <f t="shared" si="5"/>
        <v>0</v>
      </c>
      <c r="W73" s="60">
        <f t="shared" si="6"/>
        <v>0.22918807810894143</v>
      </c>
      <c r="X73" s="60">
        <f t="shared" si="7"/>
        <v>0.34172661870503596</v>
      </c>
      <c r="Y73" s="60">
        <f t="shared" si="4"/>
        <v>0.4290853031860226</v>
      </c>
      <c r="Z73" s="60">
        <f t="shared" si="4"/>
        <v>0</v>
      </c>
      <c r="AA73" s="60">
        <f t="shared" si="4"/>
        <v>0</v>
      </c>
      <c r="AB73" s="47"/>
    </row>
    <row r="74" spans="2:28" ht="15">
      <c r="B74">
        <f t="shared" si="9"/>
      </c>
      <c r="C74" t="s">
        <v>306</v>
      </c>
      <c r="D74" t="s">
        <v>702</v>
      </c>
      <c r="E74" t="s">
        <v>306</v>
      </c>
      <c r="F74" t="s">
        <v>702</v>
      </c>
      <c r="G74" s="47"/>
      <c r="H74" s="23" t="str">
        <f>'Estimate Data'!I74</f>
        <v>H</v>
      </c>
      <c r="I74" s="23" t="str">
        <f>'Estimate Data'!J74</f>
        <v>M</v>
      </c>
      <c r="J74" s="1" t="str">
        <f t="shared" si="8"/>
        <v>HM</v>
      </c>
      <c r="K74" s="57">
        <f>SUM('Estimate Data'!L74:L77)</f>
        <v>552</v>
      </c>
      <c r="L74" s="6">
        <f>(VLOOKUP($J74,'Standard Estimate Uncertainty '!$B$10:$D$18,2)*$K74)+$K74</f>
        <v>496.8</v>
      </c>
      <c r="M74" s="6">
        <f>(VLOOKUP($J74,'Standard Estimate Uncertainty '!$B$10:$D$18,3)*$K74)+$K74</f>
        <v>634.8</v>
      </c>
      <c r="N74" s="76">
        <v>599.0080927342303</v>
      </c>
      <c r="O74" s="49"/>
      <c r="P74" s="58"/>
      <c r="Q74" s="58">
        <f>SUM('Estimate Data'!R74)</f>
        <v>189</v>
      </c>
      <c r="R74" s="58">
        <f>SUM('Estimate Data'!S74)</f>
        <v>0</v>
      </c>
      <c r="S74" s="58">
        <f>SUM('Estimate Data'!T74)</f>
        <v>0</v>
      </c>
      <c r="T74" s="58">
        <f>SUM('Estimate Data'!U74)</f>
        <v>0</v>
      </c>
      <c r="U74" s="58">
        <f>SUM('Estimate Data'!V74)</f>
        <v>0</v>
      </c>
      <c r="V74" s="60">
        <f t="shared" si="5"/>
        <v>0</v>
      </c>
      <c r="W74" s="60">
        <f t="shared" si="6"/>
        <v>0.3423913043478261</v>
      </c>
      <c r="X74" s="60">
        <f t="shared" si="7"/>
        <v>0</v>
      </c>
      <c r="Y74" s="60">
        <f t="shared" si="4"/>
        <v>0</v>
      </c>
      <c r="Z74" s="60">
        <f t="shared" si="4"/>
        <v>0</v>
      </c>
      <c r="AA74" s="60">
        <f t="shared" si="4"/>
        <v>0</v>
      </c>
      <c r="AB74" s="47"/>
    </row>
    <row r="75" spans="2:28" ht="15.75">
      <c r="B75">
        <f t="shared" si="9"/>
      </c>
      <c r="C75" t="s">
        <v>306</v>
      </c>
      <c r="D75" t="s">
        <v>703</v>
      </c>
      <c r="E75" t="s">
        <v>306</v>
      </c>
      <c r="F75" t="s">
        <v>703</v>
      </c>
      <c r="G75" s="47"/>
      <c r="H75" s="23" t="str">
        <f>'Estimate Data'!I75</f>
        <v>H</v>
      </c>
      <c r="I75" s="23" t="str">
        <f>'Estimate Data'!J75</f>
        <v>M</v>
      </c>
      <c r="J75" s="1" t="str">
        <f t="shared" si="8"/>
        <v>HM</v>
      </c>
      <c r="K75" s="396" t="s">
        <v>963</v>
      </c>
      <c r="L75" s="396"/>
      <c r="M75" s="396"/>
      <c r="N75" s="82"/>
      <c r="O75" s="49"/>
      <c r="P75" s="58"/>
      <c r="Q75" s="58">
        <f>SUM('Estimate Data'!R75)</f>
        <v>83</v>
      </c>
      <c r="R75" s="58">
        <f>SUM('Estimate Data'!S75)</f>
        <v>41</v>
      </c>
      <c r="S75" s="58">
        <f>SUM('Estimate Data'!T75)</f>
        <v>0</v>
      </c>
      <c r="T75" s="58">
        <f>SUM('Estimate Data'!U75)</f>
        <v>0</v>
      </c>
      <c r="U75" s="58">
        <f>SUM('Estimate Data'!V75)</f>
        <v>0</v>
      </c>
      <c r="V75" s="60"/>
      <c r="W75" s="60"/>
      <c r="X75" s="60"/>
      <c r="Y75" s="60"/>
      <c r="Z75" s="60"/>
      <c r="AA75" s="60"/>
      <c r="AB75" s="47"/>
    </row>
    <row r="76" spans="2:28" ht="15.75">
      <c r="B76">
        <f t="shared" si="9"/>
      </c>
      <c r="C76" t="s">
        <v>306</v>
      </c>
      <c r="D76" t="s">
        <v>704</v>
      </c>
      <c r="E76" t="s">
        <v>306</v>
      </c>
      <c r="F76" t="s">
        <v>704</v>
      </c>
      <c r="G76" s="47"/>
      <c r="H76" s="23" t="str">
        <f>'Estimate Data'!I76</f>
        <v>H</v>
      </c>
      <c r="I76" s="23" t="str">
        <f>'Estimate Data'!J76</f>
        <v>M</v>
      </c>
      <c r="J76" s="1" t="str">
        <f t="shared" si="8"/>
        <v>HM</v>
      </c>
      <c r="K76" s="396" t="s">
        <v>963</v>
      </c>
      <c r="L76" s="396"/>
      <c r="M76" s="396"/>
      <c r="N76" s="82"/>
      <c r="O76" s="49"/>
      <c r="P76" s="58"/>
      <c r="Q76" s="58">
        <f>SUM('Estimate Data'!R76)</f>
        <v>43</v>
      </c>
      <c r="R76" s="58">
        <f>SUM('Estimate Data'!S76)</f>
        <v>85</v>
      </c>
      <c r="S76" s="58">
        <f>SUM('Estimate Data'!T76)</f>
        <v>0</v>
      </c>
      <c r="T76" s="58">
        <f>SUM('Estimate Data'!U76)</f>
        <v>0</v>
      </c>
      <c r="U76" s="58">
        <f>SUM('Estimate Data'!V76)</f>
        <v>0</v>
      </c>
      <c r="V76" s="60"/>
      <c r="W76" s="60"/>
      <c r="X76" s="60"/>
      <c r="Y76" s="60"/>
      <c r="Z76" s="60"/>
      <c r="AA76" s="60"/>
      <c r="AB76" s="47"/>
    </row>
    <row r="77" spans="2:28" ht="15.75">
      <c r="B77">
        <f t="shared" si="9"/>
      </c>
      <c r="C77" t="s">
        <v>306</v>
      </c>
      <c r="D77" t="s">
        <v>705</v>
      </c>
      <c r="E77" t="s">
        <v>306</v>
      </c>
      <c r="F77" t="s">
        <v>705</v>
      </c>
      <c r="G77" s="47"/>
      <c r="H77" s="23" t="str">
        <f>'Estimate Data'!I77</f>
        <v>H</v>
      </c>
      <c r="I77" s="23" t="str">
        <f>'Estimate Data'!J77</f>
        <v>M</v>
      </c>
      <c r="J77" s="1" t="str">
        <f t="shared" si="8"/>
        <v>HM</v>
      </c>
      <c r="K77" s="396" t="s">
        <v>963</v>
      </c>
      <c r="L77" s="396"/>
      <c r="M77" s="396"/>
      <c r="N77" s="82"/>
      <c r="O77" s="49"/>
      <c r="P77" s="58"/>
      <c r="Q77" s="58">
        <f>SUM('Estimate Data'!R77)</f>
        <v>0</v>
      </c>
      <c r="R77" s="58">
        <f>SUM('Estimate Data'!S77)</f>
        <v>111</v>
      </c>
      <c r="S77" s="58">
        <f>SUM('Estimate Data'!T77)</f>
        <v>0</v>
      </c>
      <c r="T77" s="58">
        <f>SUM('Estimate Data'!U77)</f>
        <v>0</v>
      </c>
      <c r="U77" s="58">
        <f>SUM('Estimate Data'!V77)</f>
        <v>0</v>
      </c>
      <c r="V77" s="60"/>
      <c r="W77" s="60"/>
      <c r="X77" s="60"/>
      <c r="Y77" s="60"/>
      <c r="Z77" s="60"/>
      <c r="AA77" s="60"/>
      <c r="AB77" s="47"/>
    </row>
    <row r="78" spans="2:28" ht="15">
      <c r="B78">
        <f t="shared" si="9"/>
      </c>
      <c r="C78" t="s">
        <v>306</v>
      </c>
      <c r="D78" t="s">
        <v>915</v>
      </c>
      <c r="E78" t="s">
        <v>306</v>
      </c>
      <c r="F78" t="s">
        <v>915</v>
      </c>
      <c r="G78" s="47"/>
      <c r="H78" s="23" t="str">
        <f>'Estimate Data'!I78</f>
        <v>M</v>
      </c>
      <c r="I78" s="23" t="str">
        <f>'Estimate Data'!J78</f>
        <v>H</v>
      </c>
      <c r="J78" s="1" t="str">
        <f t="shared" si="8"/>
        <v>MH</v>
      </c>
      <c r="K78" s="57">
        <f>'Estimate Data'!L78</f>
        <v>414</v>
      </c>
      <c r="L78" s="6">
        <f>(VLOOKUP($J78,'Standard Estimate Uncertainty '!$B$10:$D$18,2)*$K78)+$K78</f>
        <v>331.2</v>
      </c>
      <c r="M78" s="6">
        <f>(VLOOKUP($J78,'Standard Estimate Uncertainty '!$B$10:$D$18,3)*$K78)+$K78</f>
        <v>579.6</v>
      </c>
      <c r="N78" s="76">
        <v>506.39997296172504</v>
      </c>
      <c r="O78" s="49"/>
      <c r="P78" s="58"/>
      <c r="Q78" s="58">
        <f>SUM('Estimate Data'!R78)</f>
        <v>351</v>
      </c>
      <c r="R78" s="58">
        <f>SUM('Estimate Data'!S78)</f>
        <v>63</v>
      </c>
      <c r="S78" s="58">
        <f>SUM('Estimate Data'!T78)</f>
        <v>0</v>
      </c>
      <c r="T78" s="58">
        <f>SUM('Estimate Data'!U78)</f>
        <v>0</v>
      </c>
      <c r="U78" s="58">
        <f>SUM('Estimate Data'!V78)</f>
        <v>0</v>
      </c>
      <c r="V78" s="60">
        <f aca="true" t="shared" si="10" ref="V78:X84">P78/$K78</f>
        <v>0</v>
      </c>
      <c r="W78" s="60">
        <f t="shared" si="10"/>
        <v>0.8478260869565217</v>
      </c>
      <c r="X78" s="60">
        <f t="shared" si="10"/>
        <v>0.15217391304347827</v>
      </c>
      <c r="Y78" s="60">
        <f t="shared" si="4"/>
        <v>0</v>
      </c>
      <c r="Z78" s="60">
        <f t="shared" si="4"/>
        <v>0</v>
      </c>
      <c r="AA78" s="60">
        <f t="shared" si="4"/>
        <v>0</v>
      </c>
      <c r="AB78" s="47"/>
    </row>
    <row r="79" spans="2:28" ht="15">
      <c r="B79">
        <f t="shared" si="9"/>
      </c>
      <c r="C79" t="s">
        <v>306</v>
      </c>
      <c r="D79" t="s">
        <v>916</v>
      </c>
      <c r="E79" t="s">
        <v>306</v>
      </c>
      <c r="F79" t="s">
        <v>916</v>
      </c>
      <c r="G79" s="47"/>
      <c r="H79" s="23" t="str">
        <f>'Estimate Data'!I79</f>
        <v>M</v>
      </c>
      <c r="I79" s="23" t="str">
        <f>'Estimate Data'!J79</f>
        <v>H</v>
      </c>
      <c r="J79" s="1" t="str">
        <f t="shared" si="8"/>
        <v>MH</v>
      </c>
      <c r="K79" s="57">
        <f>'Estimate Data'!L79</f>
        <v>314</v>
      </c>
      <c r="L79" s="6">
        <f>(VLOOKUP($J79,'Standard Estimate Uncertainty '!$B$10:$D$18,2)*$K79)+$K79</f>
        <v>251.2</v>
      </c>
      <c r="M79" s="6">
        <f>(VLOOKUP($J79,'Standard Estimate Uncertainty '!$B$10:$D$18,3)*$K79)+$K79</f>
        <v>439.6</v>
      </c>
      <c r="N79" s="76">
        <v>381.59997962518617</v>
      </c>
      <c r="O79" s="49"/>
      <c r="P79" s="58"/>
      <c r="Q79" s="58">
        <f>SUM('Estimate Data'!R79)</f>
        <v>249</v>
      </c>
      <c r="R79" s="58">
        <f>SUM('Estimate Data'!S79)</f>
        <v>65</v>
      </c>
      <c r="S79" s="58">
        <f>SUM('Estimate Data'!T79)</f>
        <v>0</v>
      </c>
      <c r="T79" s="58">
        <f>SUM('Estimate Data'!U79)</f>
        <v>0</v>
      </c>
      <c r="U79" s="58">
        <f>SUM('Estimate Data'!V79)</f>
        <v>0</v>
      </c>
      <c r="V79" s="60">
        <f t="shared" si="10"/>
        <v>0</v>
      </c>
      <c r="W79" s="60">
        <f t="shared" si="10"/>
        <v>0.7929936305732485</v>
      </c>
      <c r="X79" s="60">
        <f t="shared" si="10"/>
        <v>0.2070063694267516</v>
      </c>
      <c r="Y79" s="60">
        <f t="shared" si="4"/>
        <v>0</v>
      </c>
      <c r="Z79" s="60">
        <f t="shared" si="4"/>
        <v>0</v>
      </c>
      <c r="AA79" s="60">
        <f t="shared" si="4"/>
        <v>0</v>
      </c>
      <c r="AB79" s="47"/>
    </row>
    <row r="80" spans="2:28" ht="15">
      <c r="B80">
        <f t="shared" si="9"/>
      </c>
      <c r="C80" t="s">
        <v>306</v>
      </c>
      <c r="D80" t="s">
        <v>917</v>
      </c>
      <c r="E80" t="s">
        <v>306</v>
      </c>
      <c r="F80" t="s">
        <v>917</v>
      </c>
      <c r="G80" s="47"/>
      <c r="H80" s="23" t="str">
        <f>'Estimate Data'!I80</f>
        <v>M</v>
      </c>
      <c r="I80" s="23" t="str">
        <f>'Estimate Data'!J80</f>
        <v>H</v>
      </c>
      <c r="J80" s="1" t="str">
        <f t="shared" si="8"/>
        <v>MH</v>
      </c>
      <c r="K80" s="57">
        <f>'Estimate Data'!L80</f>
        <v>317</v>
      </c>
      <c r="L80" s="6">
        <f>(VLOOKUP($J80,'Standard Estimate Uncertainty '!$B$10:$D$18,2)*$K80)+$K80</f>
        <v>253.6</v>
      </c>
      <c r="M80" s="6">
        <f>(VLOOKUP($J80,'Standard Estimate Uncertainty '!$B$10:$D$18,3)*$K80)+$K80</f>
        <v>443.8</v>
      </c>
      <c r="N80" s="76">
        <v>385.19997943297096</v>
      </c>
      <c r="O80" s="49"/>
      <c r="P80" s="58"/>
      <c r="Q80" s="58">
        <f>SUM('Estimate Data'!R80)</f>
        <v>147</v>
      </c>
      <c r="R80" s="58">
        <f>SUM('Estimate Data'!S80)</f>
        <v>170</v>
      </c>
      <c r="S80" s="58">
        <f>SUM('Estimate Data'!T80)</f>
        <v>0</v>
      </c>
      <c r="T80" s="58">
        <f>SUM('Estimate Data'!U80)</f>
        <v>0</v>
      </c>
      <c r="U80" s="58">
        <f>SUM('Estimate Data'!V80)</f>
        <v>0</v>
      </c>
      <c r="V80" s="60">
        <f t="shared" si="10"/>
        <v>0</v>
      </c>
      <c r="W80" s="60">
        <f t="shared" si="10"/>
        <v>0.4637223974763407</v>
      </c>
      <c r="X80" s="60">
        <f t="shared" si="10"/>
        <v>0.5362776025236593</v>
      </c>
      <c r="Y80" s="60">
        <f t="shared" si="4"/>
        <v>0</v>
      </c>
      <c r="Z80" s="60">
        <f t="shared" si="4"/>
        <v>0</v>
      </c>
      <c r="AA80" s="60">
        <f t="shared" si="4"/>
        <v>0</v>
      </c>
      <c r="AB80" s="47"/>
    </row>
    <row r="81" spans="2:28" ht="15">
      <c r="B81">
        <f t="shared" si="9"/>
      </c>
      <c r="C81" t="s">
        <v>306</v>
      </c>
      <c r="D81" t="s">
        <v>918</v>
      </c>
      <c r="E81" t="s">
        <v>306</v>
      </c>
      <c r="F81" t="s">
        <v>918</v>
      </c>
      <c r="G81" s="47"/>
      <c r="H81" s="23" t="str">
        <f>'Estimate Data'!I81</f>
        <v>M</v>
      </c>
      <c r="I81" s="23" t="str">
        <f>'Estimate Data'!J81</f>
        <v>H</v>
      </c>
      <c r="J81" s="1" t="str">
        <f t="shared" si="8"/>
        <v>MH</v>
      </c>
      <c r="K81" s="57">
        <f>'Estimate Data'!L81</f>
        <v>311</v>
      </c>
      <c r="L81" s="6">
        <f>(VLOOKUP($J81,'Standard Estimate Uncertainty '!$B$10:$D$18,2)*$K81)+$K81</f>
        <v>248.8</v>
      </c>
      <c r="M81" s="6">
        <f>(VLOOKUP($J81,'Standard Estimate Uncertainty '!$B$10:$D$18,3)*$K81)+$K81</f>
        <v>435.4</v>
      </c>
      <c r="N81" s="76">
        <v>373.1999800736884</v>
      </c>
      <c r="O81" s="49"/>
      <c r="P81" s="58"/>
      <c r="Q81" s="58">
        <f>SUM('Estimate Data'!R81)</f>
        <v>0</v>
      </c>
      <c r="R81" s="58">
        <f>SUM('Estimate Data'!S81)</f>
        <v>311</v>
      </c>
      <c r="S81" s="58">
        <f>SUM('Estimate Data'!T81)</f>
        <v>0</v>
      </c>
      <c r="T81" s="58">
        <f>SUM('Estimate Data'!U81)</f>
        <v>0</v>
      </c>
      <c r="U81" s="58">
        <f>SUM('Estimate Data'!V81)</f>
        <v>0</v>
      </c>
      <c r="V81" s="60">
        <f t="shared" si="10"/>
        <v>0</v>
      </c>
      <c r="W81" s="60">
        <f t="shared" si="10"/>
        <v>0</v>
      </c>
      <c r="X81" s="60">
        <f t="shared" si="10"/>
        <v>1</v>
      </c>
      <c r="Y81" s="60">
        <f t="shared" si="4"/>
        <v>0</v>
      </c>
      <c r="Z81" s="60">
        <f t="shared" si="4"/>
        <v>0</v>
      </c>
      <c r="AA81" s="60">
        <f t="shared" si="4"/>
        <v>0</v>
      </c>
      <c r="AB81" s="47"/>
    </row>
    <row r="82" spans="2:28" ht="15">
      <c r="B82">
        <f t="shared" si="9"/>
      </c>
      <c r="C82" t="s">
        <v>306</v>
      </c>
      <c r="D82" t="s">
        <v>919</v>
      </c>
      <c r="E82" t="s">
        <v>306</v>
      </c>
      <c r="F82" t="s">
        <v>919</v>
      </c>
      <c r="G82" s="47"/>
      <c r="H82" s="23" t="str">
        <f>'Estimate Data'!I82</f>
        <v>M</v>
      </c>
      <c r="I82" s="23" t="str">
        <f>'Estimate Data'!J82</f>
        <v>H</v>
      </c>
      <c r="J82" s="1" t="str">
        <f t="shared" si="8"/>
        <v>MH</v>
      </c>
      <c r="K82" s="57">
        <f>'Estimate Data'!L82</f>
        <v>312</v>
      </c>
      <c r="L82" s="6">
        <f>(VLOOKUP($J82,'Standard Estimate Uncertainty '!$B$10:$D$18,2)*$K82)+$K82</f>
        <v>249.6</v>
      </c>
      <c r="M82" s="6">
        <f>(VLOOKUP($J82,'Standard Estimate Uncertainty '!$B$10:$D$18,3)*$K82)+$K82</f>
        <v>436.8</v>
      </c>
      <c r="N82" s="76">
        <v>371.99998013776013</v>
      </c>
      <c r="O82" s="49"/>
      <c r="P82" s="58"/>
      <c r="Q82" s="58">
        <f>SUM('Estimate Data'!R82)</f>
        <v>0</v>
      </c>
      <c r="R82" s="58">
        <f>SUM('Estimate Data'!S82)</f>
        <v>312</v>
      </c>
      <c r="S82" s="58">
        <f>SUM('Estimate Data'!T82)</f>
        <v>0</v>
      </c>
      <c r="T82" s="58">
        <f>SUM('Estimate Data'!U82)</f>
        <v>0</v>
      </c>
      <c r="U82" s="58">
        <f>SUM('Estimate Data'!V82)</f>
        <v>0</v>
      </c>
      <c r="V82" s="60">
        <f t="shared" si="10"/>
        <v>0</v>
      </c>
      <c r="W82" s="60">
        <f t="shared" si="10"/>
        <v>0</v>
      </c>
      <c r="X82" s="60">
        <f t="shared" si="10"/>
        <v>1</v>
      </c>
      <c r="Y82" s="60">
        <f t="shared" si="4"/>
        <v>0</v>
      </c>
      <c r="Z82" s="60">
        <f t="shared" si="4"/>
        <v>0</v>
      </c>
      <c r="AA82" s="60">
        <f t="shared" si="4"/>
        <v>0</v>
      </c>
      <c r="AB82" s="47"/>
    </row>
    <row r="83" spans="2:28" ht="14.25" customHeight="1">
      <c r="B83">
        <f t="shared" si="9"/>
      </c>
      <c r="C83" t="s">
        <v>306</v>
      </c>
      <c r="D83" t="s">
        <v>920</v>
      </c>
      <c r="E83" t="s">
        <v>306</v>
      </c>
      <c r="F83" t="s">
        <v>920</v>
      </c>
      <c r="G83" s="47"/>
      <c r="H83" s="23" t="str">
        <f>'Estimate Data'!I83</f>
        <v>M</v>
      </c>
      <c r="I83" s="23" t="str">
        <f>'Estimate Data'!J83</f>
        <v>H</v>
      </c>
      <c r="J83" s="1" t="str">
        <f t="shared" si="8"/>
        <v>MH</v>
      </c>
      <c r="K83" s="57">
        <f>'Estimate Data'!L83</f>
        <v>310</v>
      </c>
      <c r="L83" s="6">
        <f>(VLOOKUP($J83,'Standard Estimate Uncertainty '!$B$10:$D$18,2)*$K83)+$K83</f>
        <v>248</v>
      </c>
      <c r="M83" s="6">
        <f>(VLOOKUP($J83,'Standard Estimate Uncertainty '!$B$10:$D$18,3)*$K83)+$K83</f>
        <v>434</v>
      </c>
      <c r="N83" s="76">
        <v>371.99998013776013</v>
      </c>
      <c r="O83" s="49"/>
      <c r="P83" s="58"/>
      <c r="Q83" s="58">
        <f>SUM('Estimate Data'!R83)</f>
        <v>0</v>
      </c>
      <c r="R83" s="58">
        <f>SUM('Estimate Data'!S83)</f>
        <v>273</v>
      </c>
      <c r="S83" s="58">
        <f>SUM('Estimate Data'!T83)</f>
        <v>37</v>
      </c>
      <c r="T83" s="58">
        <f>SUM('Estimate Data'!U83)</f>
        <v>0</v>
      </c>
      <c r="U83" s="58">
        <f>SUM('Estimate Data'!V83)</f>
        <v>0</v>
      </c>
      <c r="V83" s="60">
        <f t="shared" si="10"/>
        <v>0</v>
      </c>
      <c r="W83" s="60">
        <f t="shared" si="10"/>
        <v>0</v>
      </c>
      <c r="X83" s="60">
        <f t="shared" si="10"/>
        <v>0.8806451612903226</v>
      </c>
      <c r="Y83" s="60">
        <f t="shared" si="4"/>
        <v>0.11935483870967742</v>
      </c>
      <c r="Z83" s="60">
        <f t="shared" si="4"/>
        <v>0</v>
      </c>
      <c r="AA83" s="60">
        <f t="shared" si="4"/>
        <v>0</v>
      </c>
      <c r="AB83" s="47"/>
    </row>
    <row r="84" spans="2:28" ht="15">
      <c r="B84">
        <f t="shared" si="9"/>
      </c>
      <c r="C84" t="s">
        <v>306</v>
      </c>
      <c r="D84" t="s">
        <v>744</v>
      </c>
      <c r="E84" t="s">
        <v>306</v>
      </c>
      <c r="F84" t="s">
        <v>744</v>
      </c>
      <c r="G84" s="47"/>
      <c r="H84" s="23" t="str">
        <f>'Estimate Data'!I84</f>
        <v>M</v>
      </c>
      <c r="I84" s="23" t="str">
        <f>'Estimate Data'!J84</f>
        <v>H</v>
      </c>
      <c r="J84" s="1" t="str">
        <f t="shared" si="8"/>
        <v>MH</v>
      </c>
      <c r="K84" s="57">
        <f>'Estimate Data'!L84</f>
        <v>323</v>
      </c>
      <c r="L84" s="6">
        <f>(VLOOKUP($J84,'Standard Estimate Uncertainty '!$B$10:$D$18,2)*$K84)+$K84</f>
        <v>258.4</v>
      </c>
      <c r="M84" s="6">
        <f>(VLOOKUP($J84,'Standard Estimate Uncertainty '!$B$10:$D$18,3)*$K84)+$K84</f>
        <v>452.20000000000005</v>
      </c>
      <c r="N84" s="76">
        <v>487.1999739868729</v>
      </c>
      <c r="O84" s="49"/>
      <c r="P84" s="58"/>
      <c r="Q84" s="58">
        <f>SUM('Estimate Data'!R84)</f>
        <v>257</v>
      </c>
      <c r="R84" s="58">
        <f>SUM('Estimate Data'!S84)</f>
        <v>66</v>
      </c>
      <c r="S84" s="58">
        <f>SUM('Estimate Data'!T84)</f>
        <v>0</v>
      </c>
      <c r="T84" s="58">
        <f>SUM('Estimate Data'!U84)</f>
        <v>0</v>
      </c>
      <c r="U84" s="58">
        <f>SUM('Estimate Data'!V84)</f>
        <v>0</v>
      </c>
      <c r="V84" s="60">
        <f t="shared" si="10"/>
        <v>0</v>
      </c>
      <c r="W84" s="60">
        <f t="shared" si="10"/>
        <v>0.7956656346749226</v>
      </c>
      <c r="X84" s="60">
        <f t="shared" si="10"/>
        <v>0.2043343653250774</v>
      </c>
      <c r="Y84" s="60">
        <f t="shared" si="4"/>
        <v>0</v>
      </c>
      <c r="Z84" s="60">
        <f t="shared" si="4"/>
        <v>0</v>
      </c>
      <c r="AA84" s="60">
        <f t="shared" si="4"/>
        <v>0</v>
      </c>
      <c r="AB84" s="47"/>
    </row>
    <row r="85" spans="2:28" ht="15.75">
      <c r="B85">
        <f t="shared" si="9"/>
      </c>
      <c r="C85" t="s">
        <v>306</v>
      </c>
      <c r="D85" t="s">
        <v>706</v>
      </c>
      <c r="E85" t="s">
        <v>306</v>
      </c>
      <c r="F85" t="s">
        <v>706</v>
      </c>
      <c r="G85" s="47"/>
      <c r="H85" s="23" t="str">
        <f>'Estimate Data'!I85</f>
        <v>M</v>
      </c>
      <c r="I85" s="23" t="str">
        <f>'Estimate Data'!J85</f>
        <v>H</v>
      </c>
      <c r="J85" s="1" t="str">
        <f t="shared" si="8"/>
        <v>MH</v>
      </c>
      <c r="K85" s="81"/>
      <c r="L85" s="82"/>
      <c r="M85" s="82"/>
      <c r="N85" s="82"/>
      <c r="O85" s="49"/>
      <c r="P85" s="58"/>
      <c r="Q85" s="58">
        <f>SUM('Estimate Data'!R85)</f>
        <v>0</v>
      </c>
      <c r="R85" s="58">
        <f>SUM('Estimate Data'!S85)</f>
        <v>0</v>
      </c>
      <c r="S85" s="58">
        <f>SUM('Estimate Data'!T85)</f>
        <v>0</v>
      </c>
      <c r="T85" s="58">
        <f>SUM('Estimate Data'!U85)</f>
        <v>0</v>
      </c>
      <c r="U85" s="58">
        <f>SUM('Estimate Data'!V85)</f>
        <v>0</v>
      </c>
      <c r="V85" s="60"/>
      <c r="W85" s="60"/>
      <c r="X85" s="60"/>
      <c r="Y85" s="60"/>
      <c r="Z85" s="60"/>
      <c r="AA85" s="60"/>
      <c r="AB85" s="47"/>
    </row>
    <row r="86" spans="2:28" ht="15">
      <c r="B86">
        <f t="shared" si="9"/>
      </c>
      <c r="C86" t="s">
        <v>306</v>
      </c>
      <c r="D86" t="s">
        <v>743</v>
      </c>
      <c r="E86" t="s">
        <v>306</v>
      </c>
      <c r="F86" t="s">
        <v>743</v>
      </c>
      <c r="G86" s="47"/>
      <c r="H86" s="23" t="str">
        <f>'Estimate Data'!I86</f>
        <v>H</v>
      </c>
      <c r="I86" s="23" t="str">
        <f>'Estimate Data'!J86</f>
        <v>H</v>
      </c>
      <c r="J86" s="1" t="str">
        <f t="shared" si="8"/>
        <v>HH</v>
      </c>
      <c r="K86" s="57">
        <f>'Estimate Data'!L86</f>
        <v>967</v>
      </c>
      <c r="L86" s="6">
        <f>(VLOOKUP($J86,'Standard Estimate Uncertainty '!$B$10:$D$18,2)*$K86)+$K86</f>
        <v>821.95</v>
      </c>
      <c r="M86" s="6">
        <f>(VLOOKUP($J86,'Standard Estimate Uncertainty '!$B$10:$D$18,3)*$K86)+$K86</f>
        <v>1208.75</v>
      </c>
      <c r="N86" s="76">
        <v>1086.083003077385</v>
      </c>
      <c r="O86" s="49"/>
      <c r="P86" s="58"/>
      <c r="Q86" s="58">
        <f>SUM('Estimate Data'!R86)</f>
        <v>804</v>
      </c>
      <c r="R86" s="58">
        <f>SUM('Estimate Data'!S86)</f>
        <v>92</v>
      </c>
      <c r="S86" s="58">
        <f>SUM('Estimate Data'!T86)</f>
        <v>71</v>
      </c>
      <c r="T86" s="58">
        <f>SUM('Estimate Data'!U86)</f>
        <v>0</v>
      </c>
      <c r="U86" s="58">
        <f>SUM('Estimate Data'!V86)</f>
        <v>0</v>
      </c>
      <c r="V86" s="60">
        <f aca="true" t="shared" si="11" ref="V86:V107">P86/$K86</f>
        <v>0</v>
      </c>
      <c r="W86" s="60">
        <f aca="true" t="shared" si="12" ref="W86:W107">Q86/$K86</f>
        <v>0.8314374353671148</v>
      </c>
      <c r="X86" s="60">
        <f aca="true" t="shared" si="13" ref="X86:X107">R86/$K86</f>
        <v>0.09513960703205791</v>
      </c>
      <c r="Y86" s="60">
        <f t="shared" si="4"/>
        <v>0.0734229576008273</v>
      </c>
      <c r="Z86" s="60">
        <f t="shared" si="4"/>
        <v>0</v>
      </c>
      <c r="AA86" s="60">
        <f t="shared" si="4"/>
        <v>0</v>
      </c>
      <c r="AB86" s="47"/>
    </row>
    <row r="87" spans="2:28" ht="15">
      <c r="B87">
        <f t="shared" si="9"/>
      </c>
      <c r="C87" t="s">
        <v>306</v>
      </c>
      <c r="D87" t="s">
        <v>745</v>
      </c>
      <c r="E87" t="s">
        <v>306</v>
      </c>
      <c r="F87" t="s">
        <v>745</v>
      </c>
      <c r="G87" s="47"/>
      <c r="H87" s="23" t="str">
        <f>'Estimate Data'!I87</f>
        <v>M</v>
      </c>
      <c r="I87" s="23" t="str">
        <f>'Estimate Data'!J87</f>
        <v>H</v>
      </c>
      <c r="J87" s="1" t="str">
        <f t="shared" si="8"/>
        <v>MH</v>
      </c>
      <c r="K87" s="57">
        <f>'Estimate Data'!L87</f>
        <v>188</v>
      </c>
      <c r="L87" s="6">
        <f>(VLOOKUP($J87,'Standard Estimate Uncertainty '!$B$10:$D$18,2)*$K87)+$K87</f>
        <v>150.4</v>
      </c>
      <c r="M87" s="6">
        <f>(VLOOKUP($J87,'Standard Estimate Uncertainty '!$B$10:$D$18,3)*$K87)+$K87</f>
        <v>263.2</v>
      </c>
      <c r="N87" s="76">
        <v>225.59998795451259</v>
      </c>
      <c r="O87" s="49"/>
      <c r="P87" s="58"/>
      <c r="Q87" s="58">
        <f>SUM('Estimate Data'!R87)</f>
        <v>8</v>
      </c>
      <c r="R87" s="58">
        <f>SUM('Estimate Data'!S87)</f>
        <v>180</v>
      </c>
      <c r="S87" s="58">
        <f>SUM('Estimate Data'!T87)</f>
        <v>0</v>
      </c>
      <c r="T87" s="58">
        <f>SUM('Estimate Data'!U87)</f>
        <v>0</v>
      </c>
      <c r="U87" s="58">
        <f>SUM('Estimate Data'!V87)</f>
        <v>0</v>
      </c>
      <c r="V87" s="60">
        <f t="shared" si="11"/>
        <v>0</v>
      </c>
      <c r="W87" s="60">
        <f t="shared" si="12"/>
        <v>0.0425531914893617</v>
      </c>
      <c r="X87" s="60">
        <f t="shared" si="13"/>
        <v>0.9574468085106383</v>
      </c>
      <c r="Y87" s="60">
        <f t="shared" si="4"/>
        <v>0</v>
      </c>
      <c r="Z87" s="60">
        <f t="shared" si="4"/>
        <v>0</v>
      </c>
      <c r="AA87" s="60">
        <f t="shared" si="4"/>
        <v>0</v>
      </c>
      <c r="AB87" s="47"/>
    </row>
    <row r="88" spans="2:28" ht="15">
      <c r="B88">
        <f t="shared" si="9"/>
      </c>
      <c r="C88" t="s">
        <v>306</v>
      </c>
      <c r="D88" t="s">
        <v>707</v>
      </c>
      <c r="E88" t="s">
        <v>306</v>
      </c>
      <c r="F88" t="s">
        <v>707</v>
      </c>
      <c r="G88" s="47"/>
      <c r="H88" s="23" t="str">
        <f>'Estimate Data'!I88</f>
        <v>M</v>
      </c>
      <c r="I88" s="23" t="str">
        <f>'Estimate Data'!J88</f>
        <v>H</v>
      </c>
      <c r="J88" s="1" t="str">
        <f t="shared" si="8"/>
        <v>MH</v>
      </c>
      <c r="K88" s="57">
        <f>'Estimate Data'!L88</f>
        <v>585</v>
      </c>
      <c r="L88" s="6">
        <f>(VLOOKUP($J88,'Standard Estimate Uncertainty '!$B$10:$D$18,2)*$K88)+$K88</f>
        <v>468</v>
      </c>
      <c r="M88" s="6">
        <f>(VLOOKUP($J88,'Standard Estimate Uncertainty '!$B$10:$D$18,3)*$K88)+$K88</f>
        <v>819</v>
      </c>
      <c r="N88" s="76">
        <v>703.1999624539594</v>
      </c>
      <c r="O88" s="49"/>
      <c r="P88" s="58"/>
      <c r="Q88" s="58">
        <f>SUM('Estimate Data'!R88)</f>
        <v>0</v>
      </c>
      <c r="R88" s="58">
        <f>SUM('Estimate Data'!S88)</f>
        <v>585</v>
      </c>
      <c r="S88" s="58">
        <f>SUM('Estimate Data'!T88)</f>
        <v>0</v>
      </c>
      <c r="T88" s="58">
        <f>SUM('Estimate Data'!U88)</f>
        <v>0</v>
      </c>
      <c r="U88" s="58">
        <f>SUM('Estimate Data'!V88)</f>
        <v>0</v>
      </c>
      <c r="V88" s="60">
        <f t="shared" si="11"/>
        <v>0</v>
      </c>
      <c r="W88" s="60">
        <f t="shared" si="12"/>
        <v>0</v>
      </c>
      <c r="X88" s="60">
        <f t="shared" si="13"/>
        <v>1</v>
      </c>
      <c r="Y88" s="60">
        <f t="shared" si="4"/>
        <v>0</v>
      </c>
      <c r="Z88" s="60">
        <f t="shared" si="4"/>
        <v>0</v>
      </c>
      <c r="AA88" s="60">
        <f t="shared" si="4"/>
        <v>0</v>
      </c>
      <c r="AB88" s="47"/>
    </row>
    <row r="89" spans="2:28" ht="15">
      <c r="B89">
        <f t="shared" si="9"/>
      </c>
      <c r="C89" t="s">
        <v>306</v>
      </c>
      <c r="D89" t="s">
        <v>708</v>
      </c>
      <c r="E89" t="s">
        <v>306</v>
      </c>
      <c r="F89" t="s">
        <v>708</v>
      </c>
      <c r="G89" s="47"/>
      <c r="H89" s="23" t="str">
        <f>'Estimate Data'!I89</f>
        <v>M</v>
      </c>
      <c r="I89" s="23" t="str">
        <f>'Estimate Data'!J89</f>
        <v>H</v>
      </c>
      <c r="J89" s="1" t="str">
        <f t="shared" si="8"/>
        <v>MH</v>
      </c>
      <c r="K89" s="57">
        <f>'Estimate Data'!L89</f>
        <v>408</v>
      </c>
      <c r="L89" s="6">
        <f>(VLOOKUP($J89,'Standard Estimate Uncertainty '!$B$10:$D$18,2)*$K89)+$K89</f>
        <v>326.4</v>
      </c>
      <c r="M89" s="6">
        <f>(VLOOKUP($J89,'Standard Estimate Uncertainty '!$B$10:$D$18,3)*$K89)+$K89</f>
        <v>571.2</v>
      </c>
      <c r="N89" s="76">
        <v>489.59997385872947</v>
      </c>
      <c r="O89" s="49"/>
      <c r="P89" s="58"/>
      <c r="Q89" s="58">
        <f>SUM('Estimate Data'!R89)</f>
        <v>0</v>
      </c>
      <c r="R89" s="58">
        <f>SUM('Estimate Data'!S89)</f>
        <v>243</v>
      </c>
      <c r="S89" s="58">
        <f>SUM('Estimate Data'!T89)</f>
        <v>165</v>
      </c>
      <c r="T89" s="58">
        <f>SUM('Estimate Data'!U89)</f>
        <v>0</v>
      </c>
      <c r="U89" s="58">
        <f>SUM('Estimate Data'!V89)</f>
        <v>0</v>
      </c>
      <c r="V89" s="60">
        <f t="shared" si="11"/>
        <v>0</v>
      </c>
      <c r="W89" s="60">
        <f t="shared" si="12"/>
        <v>0</v>
      </c>
      <c r="X89" s="60">
        <f t="shared" si="13"/>
        <v>0.5955882352941176</v>
      </c>
      <c r="Y89" s="60">
        <f t="shared" si="4"/>
        <v>0.40441176470588236</v>
      </c>
      <c r="Z89" s="60">
        <f t="shared" si="4"/>
        <v>0</v>
      </c>
      <c r="AA89" s="60">
        <f t="shared" si="4"/>
        <v>0</v>
      </c>
      <c r="AB89" s="47"/>
    </row>
    <row r="90" spans="2:28" ht="15">
      <c r="B90">
        <f t="shared" si="9"/>
      </c>
      <c r="C90" t="s">
        <v>306</v>
      </c>
      <c r="D90" t="s">
        <v>709</v>
      </c>
      <c r="E90" t="s">
        <v>306</v>
      </c>
      <c r="F90" t="s">
        <v>709</v>
      </c>
      <c r="G90" s="47"/>
      <c r="H90" s="23" t="str">
        <f>'Estimate Data'!I90</f>
        <v>M</v>
      </c>
      <c r="I90" s="23" t="str">
        <f>'Estimate Data'!J90</f>
        <v>H</v>
      </c>
      <c r="J90" s="1" t="str">
        <f t="shared" si="8"/>
        <v>MH</v>
      </c>
      <c r="K90" s="57">
        <f>'Estimate Data'!L90</f>
        <v>398</v>
      </c>
      <c r="L90" s="6">
        <f>(VLOOKUP($J90,'Standard Estimate Uncertainty '!$B$10:$D$18,2)*$K90)+$K90</f>
        <v>318.4</v>
      </c>
      <c r="M90" s="6">
        <f>(VLOOKUP($J90,'Standard Estimate Uncertainty '!$B$10:$D$18,3)*$K90)+$K90</f>
        <v>557.2</v>
      </c>
      <c r="N90" s="76">
        <v>477.5999744994469</v>
      </c>
      <c r="O90" s="49"/>
      <c r="P90" s="58"/>
      <c r="Q90" s="58">
        <f>SUM('Estimate Data'!R90)</f>
        <v>0</v>
      </c>
      <c r="R90" s="58">
        <f>SUM('Estimate Data'!S90)</f>
        <v>42</v>
      </c>
      <c r="S90" s="58">
        <f>SUM('Estimate Data'!T90)</f>
        <v>356</v>
      </c>
      <c r="T90" s="58">
        <f>SUM('Estimate Data'!U90)</f>
        <v>0</v>
      </c>
      <c r="U90" s="58">
        <f>SUM('Estimate Data'!V90)</f>
        <v>0</v>
      </c>
      <c r="V90" s="60">
        <f t="shared" si="11"/>
        <v>0</v>
      </c>
      <c r="W90" s="60">
        <f t="shared" si="12"/>
        <v>0</v>
      </c>
      <c r="X90" s="60">
        <f t="shared" si="13"/>
        <v>0.10552763819095477</v>
      </c>
      <c r="Y90" s="60">
        <f t="shared" si="4"/>
        <v>0.8944723618090452</v>
      </c>
      <c r="Z90" s="60">
        <f t="shared" si="4"/>
        <v>0</v>
      </c>
      <c r="AA90" s="60">
        <f t="shared" si="4"/>
        <v>0</v>
      </c>
      <c r="AB90" s="47"/>
    </row>
    <row r="91" spans="2:28" ht="15">
      <c r="B91">
        <f t="shared" si="9"/>
      </c>
      <c r="C91" t="s">
        <v>746</v>
      </c>
      <c r="D91" t="s">
        <v>747</v>
      </c>
      <c r="E91" t="s">
        <v>746</v>
      </c>
      <c r="F91" t="s">
        <v>747</v>
      </c>
      <c r="G91" s="47"/>
      <c r="H91" s="23" t="str">
        <f>'Estimate Data'!I91</f>
        <v>L</v>
      </c>
      <c r="I91" s="23" t="str">
        <f>'Estimate Data'!J91</f>
        <v>M</v>
      </c>
      <c r="J91" s="1" t="str">
        <f t="shared" si="8"/>
        <v>LM</v>
      </c>
      <c r="K91" s="57">
        <f>'Estimate Data'!L91</f>
        <v>294</v>
      </c>
      <c r="L91" s="6">
        <f>(VLOOKUP($J91,'Standard Estimate Uncertainty '!$B$10:$D$18,2)*$K91)+$K91</f>
        <v>235.2</v>
      </c>
      <c r="M91" s="6">
        <f>(VLOOKUP($J91,'Standard Estimate Uncertainty '!$B$10:$D$18,3)*$K91)+$K91</f>
        <v>411.6</v>
      </c>
      <c r="N91" s="76">
        <v>355.1999810347645</v>
      </c>
      <c r="O91" s="49"/>
      <c r="P91" s="58"/>
      <c r="Q91" s="58">
        <f>SUM('Estimate Data'!R91)</f>
        <v>0</v>
      </c>
      <c r="R91" s="58">
        <f>SUM('Estimate Data'!S91)</f>
        <v>276</v>
      </c>
      <c r="S91" s="58">
        <f>SUM('Estimate Data'!T91)</f>
        <v>18</v>
      </c>
      <c r="T91" s="58">
        <f>SUM('Estimate Data'!U91)</f>
        <v>0</v>
      </c>
      <c r="U91" s="58">
        <f>SUM('Estimate Data'!V91)</f>
        <v>0</v>
      </c>
      <c r="V91" s="60">
        <f t="shared" si="11"/>
        <v>0</v>
      </c>
      <c r="W91" s="60">
        <f t="shared" si="12"/>
        <v>0</v>
      </c>
      <c r="X91" s="60">
        <f t="shared" si="13"/>
        <v>0.9387755102040817</v>
      </c>
      <c r="Y91" s="60">
        <f t="shared" si="4"/>
        <v>0.061224489795918366</v>
      </c>
      <c r="Z91" s="60">
        <f t="shared" si="4"/>
        <v>0</v>
      </c>
      <c r="AA91" s="60">
        <f t="shared" si="4"/>
        <v>0</v>
      </c>
      <c r="AB91" s="47"/>
    </row>
    <row r="92" spans="2:28" ht="15">
      <c r="B92">
        <f t="shared" si="9"/>
      </c>
      <c r="C92" t="s">
        <v>746</v>
      </c>
      <c r="D92" t="s">
        <v>699</v>
      </c>
      <c r="E92" t="s">
        <v>746</v>
      </c>
      <c r="F92" t="s">
        <v>699</v>
      </c>
      <c r="G92" s="47"/>
      <c r="H92" s="23" t="str">
        <f>'Estimate Data'!I92</f>
        <v>L</v>
      </c>
      <c r="I92" s="23" t="str">
        <f>'Estimate Data'!J92</f>
        <v>M</v>
      </c>
      <c r="J92" s="1" t="str">
        <f t="shared" si="8"/>
        <v>LM</v>
      </c>
      <c r="K92" s="57">
        <f>'Estimate Data'!L92</f>
        <v>534</v>
      </c>
      <c r="L92" s="6">
        <f>(VLOOKUP($J92,'Standard Estimate Uncertainty '!$B$10:$D$18,2)*$K92)+$K92</f>
        <v>427.2</v>
      </c>
      <c r="M92" s="6">
        <f>(VLOOKUP($J92,'Standard Estimate Uncertainty '!$B$10:$D$18,3)*$K92)+$K92</f>
        <v>747.6</v>
      </c>
      <c r="N92" s="76">
        <v>640.79996578569</v>
      </c>
      <c r="O92" s="49"/>
      <c r="P92" s="58"/>
      <c r="Q92" s="58">
        <f>SUM('Estimate Data'!R92)</f>
        <v>0</v>
      </c>
      <c r="R92" s="58">
        <f>SUM('Estimate Data'!S92)</f>
        <v>339</v>
      </c>
      <c r="S92" s="58">
        <f>SUM('Estimate Data'!T92)</f>
        <v>195</v>
      </c>
      <c r="T92" s="58">
        <f>SUM('Estimate Data'!U92)</f>
        <v>0</v>
      </c>
      <c r="U92" s="58">
        <f>SUM('Estimate Data'!V92)</f>
        <v>0</v>
      </c>
      <c r="V92" s="60">
        <f t="shared" si="11"/>
        <v>0</v>
      </c>
      <c r="W92" s="60">
        <f t="shared" si="12"/>
        <v>0</v>
      </c>
      <c r="X92" s="60">
        <f t="shared" si="13"/>
        <v>0.6348314606741573</v>
      </c>
      <c r="Y92" s="60">
        <f t="shared" si="4"/>
        <v>0.3651685393258427</v>
      </c>
      <c r="Z92" s="60">
        <f t="shared" si="4"/>
        <v>0</v>
      </c>
      <c r="AA92" s="60">
        <f t="shared" si="4"/>
        <v>0</v>
      </c>
      <c r="AB92" s="47"/>
    </row>
    <row r="93" spans="2:28" ht="15">
      <c r="B93">
        <f t="shared" si="9"/>
      </c>
      <c r="C93" t="s">
        <v>746</v>
      </c>
      <c r="D93" t="s">
        <v>700</v>
      </c>
      <c r="E93" t="s">
        <v>746</v>
      </c>
      <c r="F93" t="s">
        <v>700</v>
      </c>
      <c r="G93" s="47"/>
      <c r="H93" s="23" t="str">
        <f>'Estimate Data'!I93</f>
        <v>L</v>
      </c>
      <c r="I93" s="23" t="str">
        <f>'Estimate Data'!J93</f>
        <v>M</v>
      </c>
      <c r="J93" s="1" t="str">
        <f t="shared" si="8"/>
        <v>LM</v>
      </c>
      <c r="K93" s="57">
        <f>'Estimate Data'!L93</f>
        <v>534</v>
      </c>
      <c r="L93" s="6">
        <f>(VLOOKUP($J93,'Standard Estimate Uncertainty '!$B$10:$D$18,2)*$K93)+$K93</f>
        <v>427.2</v>
      </c>
      <c r="M93" s="6">
        <f>(VLOOKUP($J93,'Standard Estimate Uncertainty '!$B$10:$D$18,3)*$K93)+$K93</f>
        <v>747.6</v>
      </c>
      <c r="N93" s="76">
        <v>640.79996578569</v>
      </c>
      <c r="O93" s="49"/>
      <c r="P93" s="58"/>
      <c r="Q93" s="58">
        <f>SUM('Estimate Data'!R93)</f>
        <v>0</v>
      </c>
      <c r="R93" s="58">
        <f>SUM('Estimate Data'!S93)</f>
        <v>0</v>
      </c>
      <c r="S93" s="58">
        <f>SUM('Estimate Data'!T93)</f>
        <v>534</v>
      </c>
      <c r="T93" s="58">
        <f>SUM('Estimate Data'!U93)</f>
        <v>0</v>
      </c>
      <c r="U93" s="58">
        <f>SUM('Estimate Data'!V93)</f>
        <v>0</v>
      </c>
      <c r="V93" s="60">
        <f t="shared" si="11"/>
        <v>0</v>
      </c>
      <c r="W93" s="60">
        <f t="shared" si="12"/>
        <v>0</v>
      </c>
      <c r="X93" s="60">
        <f t="shared" si="13"/>
        <v>0</v>
      </c>
      <c r="Y93" s="60">
        <f t="shared" si="4"/>
        <v>1</v>
      </c>
      <c r="Z93" s="60">
        <f t="shared" si="4"/>
        <v>0</v>
      </c>
      <c r="AA93" s="60">
        <f t="shared" si="4"/>
        <v>0</v>
      </c>
      <c r="AB93" s="47"/>
    </row>
    <row r="94" spans="2:28" ht="15">
      <c r="B94">
        <f t="shared" si="9"/>
      </c>
      <c r="C94" t="s">
        <v>746</v>
      </c>
      <c r="D94" t="s">
        <v>701</v>
      </c>
      <c r="E94" t="s">
        <v>746</v>
      </c>
      <c r="F94" t="s">
        <v>701</v>
      </c>
      <c r="G94" s="47"/>
      <c r="H94" s="23" t="str">
        <f>'Estimate Data'!I94</f>
        <v>L</v>
      </c>
      <c r="I94" s="23" t="str">
        <f>'Estimate Data'!J94</f>
        <v>M</v>
      </c>
      <c r="J94" s="1" t="str">
        <f t="shared" si="8"/>
        <v>LM</v>
      </c>
      <c r="K94" s="57">
        <f>'Estimate Data'!L94</f>
        <v>524</v>
      </c>
      <c r="L94" s="6">
        <f>(VLOOKUP($J94,'Standard Estimate Uncertainty '!$B$10:$D$18,2)*$K94)+$K94</f>
        <v>419.2</v>
      </c>
      <c r="M94" s="6">
        <f>(VLOOKUP($J94,'Standard Estimate Uncertainty '!$B$10:$D$18,3)*$K94)+$K94</f>
        <v>733.6</v>
      </c>
      <c r="N94" s="76">
        <v>628.7999664264074</v>
      </c>
      <c r="O94" s="49"/>
      <c r="P94" s="58"/>
      <c r="Q94" s="58">
        <f>SUM('Estimate Data'!R94)</f>
        <v>0</v>
      </c>
      <c r="R94" s="58">
        <f>SUM('Estimate Data'!S94)</f>
        <v>0</v>
      </c>
      <c r="S94" s="58">
        <f>SUM('Estimate Data'!T94)</f>
        <v>524</v>
      </c>
      <c r="T94" s="58">
        <f>SUM('Estimate Data'!U94)</f>
        <v>0</v>
      </c>
      <c r="U94" s="58">
        <f>SUM('Estimate Data'!V94)</f>
        <v>0</v>
      </c>
      <c r="V94" s="60">
        <f t="shared" si="11"/>
        <v>0</v>
      </c>
      <c r="W94" s="60">
        <f t="shared" si="12"/>
        <v>0</v>
      </c>
      <c r="X94" s="60">
        <f t="shared" si="13"/>
        <v>0</v>
      </c>
      <c r="Y94" s="60">
        <f t="shared" si="4"/>
        <v>1</v>
      </c>
      <c r="Z94" s="60">
        <f t="shared" si="4"/>
        <v>0</v>
      </c>
      <c r="AA94" s="60">
        <f t="shared" si="4"/>
        <v>0</v>
      </c>
      <c r="AB94" s="47"/>
    </row>
    <row r="95" spans="1:28" ht="15">
      <c r="A95">
        <v>19</v>
      </c>
      <c r="B95">
        <f t="shared" si="9"/>
      </c>
      <c r="C95" t="s">
        <v>748</v>
      </c>
      <c r="D95" t="s">
        <v>749</v>
      </c>
      <c r="E95" t="s">
        <v>748</v>
      </c>
      <c r="F95" t="s">
        <v>749</v>
      </c>
      <c r="G95" s="47"/>
      <c r="H95" s="23" t="str">
        <f>'Estimate Data'!I95</f>
        <v>H</v>
      </c>
      <c r="I95" s="23" t="str">
        <f>'Estimate Data'!J95</f>
        <v>L</v>
      </c>
      <c r="J95" s="1" t="str">
        <f t="shared" si="8"/>
        <v>HL</v>
      </c>
      <c r="K95" s="57">
        <f>'Estimate Data'!L95</f>
        <v>941</v>
      </c>
      <c r="L95" s="6">
        <f>(VLOOKUP($J95,'Standard Estimate Uncertainty '!$B$10:$D$18,2)*$K95)+$K95</f>
        <v>893.95</v>
      </c>
      <c r="M95" s="6">
        <f>(VLOOKUP($J95,'Standard Estimate Uncertainty '!$B$10:$D$18,3)*$K95)+$K95</f>
        <v>1035.1</v>
      </c>
      <c r="N95" s="76">
        <v>988.0496873580975</v>
      </c>
      <c r="O95" s="49"/>
      <c r="P95" s="58"/>
      <c r="Q95" s="58">
        <f>SUM('Estimate Data'!R95)</f>
        <v>145</v>
      </c>
      <c r="R95" s="58">
        <f>SUM('Estimate Data'!S95)</f>
        <v>237</v>
      </c>
      <c r="S95" s="58">
        <f>SUM('Estimate Data'!T95)</f>
        <v>258</v>
      </c>
      <c r="T95" s="58">
        <f>SUM('Estimate Data'!U95)</f>
        <v>261</v>
      </c>
      <c r="U95" s="58">
        <f>SUM('Estimate Data'!V95)</f>
        <v>40</v>
      </c>
      <c r="V95" s="60">
        <f t="shared" si="11"/>
        <v>0</v>
      </c>
      <c r="W95" s="60">
        <f t="shared" si="12"/>
        <v>0.15409139213602552</v>
      </c>
      <c r="X95" s="60">
        <f t="shared" si="13"/>
        <v>0.2518597236981934</v>
      </c>
      <c r="Y95" s="60">
        <f t="shared" si="4"/>
        <v>0.27417640807651433</v>
      </c>
      <c r="Z95" s="60">
        <f t="shared" si="4"/>
        <v>0.2773645058448459</v>
      </c>
      <c r="AA95" s="60">
        <f t="shared" si="4"/>
        <v>0.04250797024442083</v>
      </c>
      <c r="AB95" s="47"/>
    </row>
    <row r="96" spans="2:28" ht="15">
      <c r="B96">
        <f t="shared" si="9"/>
      </c>
      <c r="C96" t="s">
        <v>748</v>
      </c>
      <c r="D96" t="s">
        <v>457</v>
      </c>
      <c r="E96" t="s">
        <v>748</v>
      </c>
      <c r="F96" t="s">
        <v>457</v>
      </c>
      <c r="G96" s="47"/>
      <c r="H96" s="23" t="str">
        <f>'Estimate Data'!I96</f>
        <v>H</v>
      </c>
      <c r="I96" s="23" t="str">
        <f>'Estimate Data'!J96</f>
        <v>L</v>
      </c>
      <c r="J96" s="1" t="str">
        <f t="shared" si="8"/>
        <v>HL</v>
      </c>
      <c r="K96" s="57">
        <f>'Estimate Data'!L96</f>
        <v>1309</v>
      </c>
      <c r="L96" s="6">
        <f>(VLOOKUP($J96,'Standard Estimate Uncertainty '!$B$10:$D$18,2)*$K96)+$K96</f>
        <v>1243.55</v>
      </c>
      <c r="M96" s="6">
        <f>(VLOOKUP($J96,'Standard Estimate Uncertainty '!$B$10:$D$18,3)*$K96)+$K96</f>
        <v>1439.9</v>
      </c>
      <c r="N96" s="76">
        <v>972.2996923417624</v>
      </c>
      <c r="O96" s="49"/>
      <c r="P96" s="58"/>
      <c r="Q96" s="58">
        <f>SUM('Estimate Data'!R96)</f>
        <v>231</v>
      </c>
      <c r="R96" s="58">
        <f>SUM('Estimate Data'!S96)</f>
        <v>386</v>
      </c>
      <c r="S96" s="58">
        <f>SUM('Estimate Data'!T96)</f>
        <v>402</v>
      </c>
      <c r="T96" s="58">
        <f>SUM('Estimate Data'!U96)</f>
        <v>250</v>
      </c>
      <c r="U96" s="58">
        <f>SUM('Estimate Data'!V96)</f>
        <v>40</v>
      </c>
      <c r="V96" s="60">
        <f t="shared" si="11"/>
        <v>0</v>
      </c>
      <c r="W96" s="60">
        <f t="shared" si="12"/>
        <v>0.17647058823529413</v>
      </c>
      <c r="X96" s="60">
        <f t="shared" si="13"/>
        <v>0.29488158899923606</v>
      </c>
      <c r="Y96" s="60">
        <f t="shared" si="4"/>
        <v>0.30710466004583653</v>
      </c>
      <c r="Z96" s="60">
        <f t="shared" si="4"/>
        <v>0.19098548510313215</v>
      </c>
      <c r="AA96" s="60">
        <f t="shared" si="4"/>
        <v>0.030557677616501147</v>
      </c>
      <c r="AB96" s="47"/>
    </row>
    <row r="97" spans="1:28" ht="15">
      <c r="A97">
        <v>21</v>
      </c>
      <c r="B97">
        <f t="shared" si="9"/>
      </c>
      <c r="C97" t="s">
        <v>750</v>
      </c>
      <c r="D97" t="s">
        <v>647</v>
      </c>
      <c r="E97" t="s">
        <v>750</v>
      </c>
      <c r="F97" t="s">
        <v>647</v>
      </c>
      <c r="G97" s="47"/>
      <c r="H97" s="23" t="str">
        <f>'Estimate Data'!I97</f>
        <v>L</v>
      </c>
      <c r="I97" s="23" t="str">
        <f>'Estimate Data'!J97</f>
        <v>L</v>
      </c>
      <c r="J97" s="1" t="str">
        <f t="shared" si="8"/>
        <v>LL</v>
      </c>
      <c r="K97" s="57">
        <f>'Estimate Data'!L97</f>
        <v>334</v>
      </c>
      <c r="L97" s="6">
        <f>(VLOOKUP($J97,'Standard Estimate Uncertainty '!$B$10:$D$18,2)*$K97)+$K97</f>
        <v>283.9</v>
      </c>
      <c r="M97" s="6">
        <f>(VLOOKUP($J97,'Standard Estimate Uncertainty '!$B$10:$D$18,3)*$K97)+$K97</f>
        <v>417.5</v>
      </c>
      <c r="N97" s="76">
        <v>286.6363389565057</v>
      </c>
      <c r="O97" s="49"/>
      <c r="P97" s="58"/>
      <c r="Q97" s="58">
        <f>SUM('Estimate Data'!R97)</f>
        <v>0</v>
      </c>
      <c r="R97" s="58">
        <f>SUM('Estimate Data'!S97)</f>
        <v>161</v>
      </c>
      <c r="S97" s="58">
        <f>SUM('Estimate Data'!T97)</f>
        <v>53</v>
      </c>
      <c r="T97" s="58">
        <f>SUM('Estimate Data'!U97)</f>
        <v>120</v>
      </c>
      <c r="U97" s="58">
        <f>SUM('Estimate Data'!V97)</f>
        <v>0</v>
      </c>
      <c r="V97" s="60">
        <f t="shared" si="11"/>
        <v>0</v>
      </c>
      <c r="W97" s="60">
        <f t="shared" si="12"/>
        <v>0</v>
      </c>
      <c r="X97" s="60">
        <f t="shared" si="13"/>
        <v>0.4820359281437126</v>
      </c>
      <c r="Y97" s="60">
        <f t="shared" si="4"/>
        <v>0.15868263473053892</v>
      </c>
      <c r="Z97" s="60">
        <f t="shared" si="4"/>
        <v>0.3592814371257485</v>
      </c>
      <c r="AA97" s="60">
        <f t="shared" si="4"/>
        <v>0</v>
      </c>
      <c r="AB97" s="47"/>
    </row>
    <row r="98" spans="1:28" ht="15">
      <c r="A98">
        <v>22</v>
      </c>
      <c r="B98">
        <f t="shared" si="9"/>
      </c>
      <c r="C98" t="s">
        <v>751</v>
      </c>
      <c r="D98" t="s">
        <v>647</v>
      </c>
      <c r="E98" t="s">
        <v>751</v>
      </c>
      <c r="F98" t="s">
        <v>647</v>
      </c>
      <c r="G98" s="47"/>
      <c r="H98" s="23" t="str">
        <f>'Estimate Data'!I98</f>
        <v>L</v>
      </c>
      <c r="I98" s="23" t="str">
        <f>'Estimate Data'!J98</f>
        <v>L</v>
      </c>
      <c r="J98" s="1" t="str">
        <f t="shared" si="8"/>
        <v>LL</v>
      </c>
      <c r="K98" s="57">
        <f>'Estimate Data'!L98</f>
        <v>683</v>
      </c>
      <c r="L98" s="6">
        <f>(VLOOKUP($J98,'Standard Estimate Uncertainty '!$B$10:$D$18,2)*$K98)+$K98</f>
        <v>580.55</v>
      </c>
      <c r="M98" s="6">
        <f>(VLOOKUP($J98,'Standard Estimate Uncertainty '!$B$10:$D$18,3)*$K98)+$K98</f>
        <v>853.75</v>
      </c>
      <c r="N98" s="76">
        <v>640.4530698559424</v>
      </c>
      <c r="O98" s="49"/>
      <c r="P98" s="58"/>
      <c r="Q98" s="58">
        <f>SUM('Estimate Data'!R98)</f>
        <v>0</v>
      </c>
      <c r="R98" s="58">
        <f>SUM('Estimate Data'!S98)</f>
        <v>280</v>
      </c>
      <c r="S98" s="58">
        <f>SUM('Estimate Data'!T98)</f>
        <v>197</v>
      </c>
      <c r="T98" s="58">
        <f>SUM('Estimate Data'!U98)</f>
        <v>206</v>
      </c>
      <c r="U98" s="58">
        <f>SUM('Estimate Data'!V98)</f>
        <v>0</v>
      </c>
      <c r="V98" s="60">
        <f t="shared" si="11"/>
        <v>0</v>
      </c>
      <c r="W98" s="60">
        <f t="shared" si="12"/>
        <v>0</v>
      </c>
      <c r="X98" s="60">
        <f t="shared" si="13"/>
        <v>0.40995607613469986</v>
      </c>
      <c r="Y98" s="60">
        <f t="shared" si="4"/>
        <v>0.2884333821376281</v>
      </c>
      <c r="Z98" s="60">
        <f t="shared" si="4"/>
        <v>0.30161054172767204</v>
      </c>
      <c r="AA98" s="60">
        <f t="shared" si="4"/>
        <v>0</v>
      </c>
      <c r="AB98" s="47"/>
    </row>
    <row r="99" spans="1:28" ht="15">
      <c r="A99">
        <v>31</v>
      </c>
      <c r="B99">
        <f t="shared" si="9"/>
      </c>
      <c r="C99" t="s">
        <v>752</v>
      </c>
      <c r="D99" t="s">
        <v>648</v>
      </c>
      <c r="E99" t="s">
        <v>752</v>
      </c>
      <c r="F99" t="s">
        <v>648</v>
      </c>
      <c r="G99" s="47"/>
      <c r="H99" s="23" t="str">
        <f>'Estimate Data'!I99</f>
        <v>H</v>
      </c>
      <c r="I99" s="23" t="str">
        <f>'Estimate Data'!J99</f>
        <v>L</v>
      </c>
      <c r="J99" s="1" t="str">
        <f t="shared" si="8"/>
        <v>HL</v>
      </c>
      <c r="K99" s="57">
        <f>'Estimate Data'!L99</f>
        <v>47</v>
      </c>
      <c r="L99" s="6">
        <f>(VLOOKUP($J99,'Standard Estimate Uncertainty '!$B$10:$D$18,2)*$K99)+$K99</f>
        <v>44.65</v>
      </c>
      <c r="M99" s="6">
        <f>(VLOOKUP($J99,'Standard Estimate Uncertainty '!$B$10:$D$18,3)*$K99)+$K99</f>
        <v>51.7</v>
      </c>
      <c r="N99" s="76">
        <v>53.549983055539826</v>
      </c>
      <c r="O99" s="49"/>
      <c r="P99" s="58"/>
      <c r="Q99" s="58">
        <f>SUM('Estimate Data'!R99)</f>
        <v>47</v>
      </c>
      <c r="R99" s="58">
        <f>SUM('Estimate Data'!S99)</f>
        <v>0</v>
      </c>
      <c r="S99" s="58">
        <f>SUM('Estimate Data'!T99)</f>
        <v>0</v>
      </c>
      <c r="T99" s="58">
        <f>SUM('Estimate Data'!U99)</f>
        <v>0</v>
      </c>
      <c r="U99" s="58">
        <f>SUM('Estimate Data'!V99)</f>
        <v>0</v>
      </c>
      <c r="V99" s="60">
        <f t="shared" si="11"/>
        <v>0</v>
      </c>
      <c r="W99" s="60">
        <f t="shared" si="12"/>
        <v>1</v>
      </c>
      <c r="X99" s="60">
        <f t="shared" si="13"/>
        <v>0</v>
      </c>
      <c r="Y99" s="60">
        <f t="shared" si="4"/>
        <v>0</v>
      </c>
      <c r="Z99" s="60">
        <f t="shared" si="4"/>
        <v>0</v>
      </c>
      <c r="AA99" s="60">
        <f t="shared" si="4"/>
        <v>0</v>
      </c>
      <c r="AB99" s="47"/>
    </row>
    <row r="100" spans="2:28" ht="15">
      <c r="B100">
        <f t="shared" si="9"/>
      </c>
      <c r="C100" t="s">
        <v>752</v>
      </c>
      <c r="D100" t="s">
        <v>905</v>
      </c>
      <c r="E100" t="s">
        <v>752</v>
      </c>
      <c r="F100" t="s">
        <v>905</v>
      </c>
      <c r="G100" s="47"/>
      <c r="H100" s="23" t="str">
        <f>'Estimate Data'!I100</f>
        <v>H</v>
      </c>
      <c r="I100" s="23" t="str">
        <f>'Estimate Data'!J100</f>
        <v>L</v>
      </c>
      <c r="J100" s="1" t="str">
        <f t="shared" si="8"/>
        <v>HL</v>
      </c>
      <c r="K100" s="57">
        <f>'Estimate Data'!L100</f>
        <v>56</v>
      </c>
      <c r="L100" s="6">
        <f>(VLOOKUP($J100,'Standard Estimate Uncertainty '!$B$10:$D$18,2)*$K100)+$K100</f>
        <v>53.2</v>
      </c>
      <c r="M100" s="6">
        <f>(VLOOKUP($J100,'Standard Estimate Uncertainty '!$B$10:$D$18,3)*$K100)+$K100</f>
        <v>61.6</v>
      </c>
      <c r="N100" s="76">
        <v>58.799981394318245</v>
      </c>
      <c r="O100" s="49"/>
      <c r="P100" s="58"/>
      <c r="Q100" s="58">
        <f>SUM('Estimate Data'!R100)</f>
        <v>0</v>
      </c>
      <c r="R100" s="58">
        <f>SUM('Estimate Data'!S100)</f>
        <v>56</v>
      </c>
      <c r="S100" s="58">
        <f>SUM('Estimate Data'!T100)</f>
        <v>0</v>
      </c>
      <c r="T100" s="58">
        <f>SUM('Estimate Data'!U100)</f>
        <v>0</v>
      </c>
      <c r="U100" s="58">
        <f>SUM('Estimate Data'!V100)</f>
        <v>0</v>
      </c>
      <c r="V100" s="60">
        <f t="shared" si="11"/>
        <v>0</v>
      </c>
      <c r="W100" s="60">
        <f t="shared" si="12"/>
        <v>0</v>
      </c>
      <c r="X100" s="60">
        <f t="shared" si="13"/>
        <v>1</v>
      </c>
      <c r="Y100" s="60">
        <f t="shared" si="4"/>
        <v>0</v>
      </c>
      <c r="Z100" s="60">
        <f t="shared" si="4"/>
        <v>0</v>
      </c>
      <c r="AA100" s="60">
        <f t="shared" si="4"/>
        <v>0</v>
      </c>
      <c r="AB100" s="47"/>
    </row>
    <row r="101" spans="2:28" ht="15">
      <c r="B101">
        <f t="shared" si="9"/>
      </c>
      <c r="C101" t="s">
        <v>752</v>
      </c>
      <c r="D101" t="s">
        <v>458</v>
      </c>
      <c r="E101" t="s">
        <v>752</v>
      </c>
      <c r="F101" t="s">
        <v>458</v>
      </c>
      <c r="G101" s="47"/>
      <c r="H101" s="23" t="str">
        <f>'Estimate Data'!I101</f>
        <v>H</v>
      </c>
      <c r="I101" s="23" t="str">
        <f>'Estimate Data'!J101</f>
        <v>L</v>
      </c>
      <c r="J101" s="1" t="str">
        <f t="shared" si="8"/>
        <v>HL</v>
      </c>
      <c r="K101" s="57">
        <f>'Estimate Data'!L101</f>
        <v>18</v>
      </c>
      <c r="L101" s="6">
        <f>(VLOOKUP($J101,'Standard Estimate Uncertainty '!$B$10:$D$18,2)*$K101)+$K101</f>
        <v>17.1</v>
      </c>
      <c r="M101" s="6">
        <f>(VLOOKUP($J101,'Standard Estimate Uncertainty '!$B$10:$D$18,3)*$K101)+$K101</f>
        <v>19.8</v>
      </c>
      <c r="N101" s="76">
        <v>18.899994019602293</v>
      </c>
      <c r="O101" s="49"/>
      <c r="P101" s="58"/>
      <c r="Q101" s="58">
        <f>SUM('Estimate Data'!R101)</f>
        <v>16</v>
      </c>
      <c r="R101" s="58">
        <f>SUM('Estimate Data'!S101)</f>
        <v>2</v>
      </c>
      <c r="S101" s="58">
        <f>SUM('Estimate Data'!T101)</f>
        <v>0</v>
      </c>
      <c r="T101" s="58">
        <f>SUM('Estimate Data'!U101)</f>
        <v>0</v>
      </c>
      <c r="U101" s="58">
        <f>SUM('Estimate Data'!V101)</f>
        <v>0</v>
      </c>
      <c r="V101" s="60">
        <f t="shared" si="11"/>
        <v>0</v>
      </c>
      <c r="W101" s="60">
        <f t="shared" si="12"/>
        <v>0.8888888888888888</v>
      </c>
      <c r="X101" s="60">
        <f t="shared" si="13"/>
        <v>0.1111111111111111</v>
      </c>
      <c r="Y101" s="60">
        <f t="shared" si="4"/>
        <v>0</v>
      </c>
      <c r="Z101" s="60">
        <f t="shared" si="4"/>
        <v>0</v>
      </c>
      <c r="AA101" s="60">
        <f t="shared" si="4"/>
        <v>0</v>
      </c>
      <c r="AB101" s="47"/>
    </row>
    <row r="102" spans="2:28" ht="15">
      <c r="B102">
        <f t="shared" si="9"/>
      </c>
      <c r="C102" t="s">
        <v>752</v>
      </c>
      <c r="D102" t="s">
        <v>649</v>
      </c>
      <c r="E102" t="s">
        <v>752</v>
      </c>
      <c r="F102" t="s">
        <v>649</v>
      </c>
      <c r="G102" s="47"/>
      <c r="H102" s="23" t="str">
        <f>'Estimate Data'!I102</f>
        <v>H</v>
      </c>
      <c r="I102" s="23" t="str">
        <f>'Estimate Data'!J102</f>
        <v>L</v>
      </c>
      <c r="J102" s="1" t="str">
        <f t="shared" si="8"/>
        <v>HL</v>
      </c>
      <c r="K102" s="57">
        <f>'Estimate Data'!L102</f>
        <v>180</v>
      </c>
      <c r="L102" s="6">
        <f>(VLOOKUP($J102,'Standard Estimate Uncertainty '!$B$10:$D$18,2)*$K102)+$K102</f>
        <v>171</v>
      </c>
      <c r="M102" s="6">
        <f>(VLOOKUP($J102,'Standard Estimate Uncertainty '!$B$10:$D$18,3)*$K102)+$K102</f>
        <v>198</v>
      </c>
      <c r="N102" s="76">
        <v>191.09993953153426</v>
      </c>
      <c r="O102" s="49"/>
      <c r="P102" s="58"/>
      <c r="Q102" s="58">
        <f>SUM('Estimate Data'!R102)</f>
        <v>92</v>
      </c>
      <c r="R102" s="58">
        <f>SUM('Estimate Data'!S102)</f>
        <v>68</v>
      </c>
      <c r="S102" s="58">
        <f>SUM('Estimate Data'!T102)</f>
        <v>20</v>
      </c>
      <c r="T102" s="58">
        <f>SUM('Estimate Data'!U102)</f>
        <v>0</v>
      </c>
      <c r="U102" s="58">
        <f>SUM('Estimate Data'!V102)</f>
        <v>0</v>
      </c>
      <c r="V102" s="60">
        <f t="shared" si="11"/>
        <v>0</v>
      </c>
      <c r="W102" s="60">
        <f t="shared" si="12"/>
        <v>0.5111111111111111</v>
      </c>
      <c r="X102" s="60">
        <f t="shared" si="13"/>
        <v>0.37777777777777777</v>
      </c>
      <c r="Y102" s="60">
        <f t="shared" si="4"/>
        <v>0.1111111111111111</v>
      </c>
      <c r="Z102" s="60">
        <f t="shared" si="4"/>
        <v>0</v>
      </c>
      <c r="AA102" s="60">
        <f t="shared" si="4"/>
        <v>0</v>
      </c>
      <c r="AB102" s="47"/>
    </row>
    <row r="103" spans="2:28" ht="15">
      <c r="B103">
        <f t="shared" si="9"/>
      </c>
      <c r="C103" t="s">
        <v>752</v>
      </c>
      <c r="D103" t="s">
        <v>650</v>
      </c>
      <c r="E103" t="s">
        <v>752</v>
      </c>
      <c r="F103" t="s">
        <v>650</v>
      </c>
      <c r="G103" s="47"/>
      <c r="H103" s="23" t="str">
        <f>'Estimate Data'!I103</f>
        <v>H</v>
      </c>
      <c r="I103" s="23" t="str">
        <f>'Estimate Data'!J103</f>
        <v>L</v>
      </c>
      <c r="J103" s="1" t="str">
        <f t="shared" si="8"/>
        <v>HL</v>
      </c>
      <c r="K103" s="57">
        <f>'Estimate Data'!L103</f>
        <v>46</v>
      </c>
      <c r="L103" s="6">
        <f>(VLOOKUP($J103,'Standard Estimate Uncertainty '!$B$10:$D$18,2)*$K103)+$K103</f>
        <v>43.7</v>
      </c>
      <c r="M103" s="6">
        <f>(VLOOKUP($J103,'Standard Estimate Uncertainty '!$B$10:$D$18,3)*$K103)+$K103</f>
        <v>50.6</v>
      </c>
      <c r="N103" s="76">
        <v>49.34998438451709</v>
      </c>
      <c r="O103" s="49"/>
      <c r="P103" s="58"/>
      <c r="Q103" s="58">
        <f>SUM('Estimate Data'!R103)</f>
        <v>42</v>
      </c>
      <c r="R103" s="58">
        <f>SUM('Estimate Data'!S103)</f>
        <v>4</v>
      </c>
      <c r="S103" s="58">
        <f>SUM('Estimate Data'!T103)</f>
        <v>0</v>
      </c>
      <c r="T103" s="58">
        <f>SUM('Estimate Data'!U103)</f>
        <v>0</v>
      </c>
      <c r="U103" s="58">
        <f>SUM('Estimate Data'!V103)</f>
        <v>0</v>
      </c>
      <c r="V103" s="60">
        <f t="shared" si="11"/>
        <v>0</v>
      </c>
      <c r="W103" s="60">
        <f t="shared" si="12"/>
        <v>0.9130434782608695</v>
      </c>
      <c r="X103" s="60">
        <f t="shared" si="13"/>
        <v>0.08695652173913043</v>
      </c>
      <c r="Y103" s="60">
        <f t="shared" si="4"/>
        <v>0</v>
      </c>
      <c r="Z103" s="60">
        <f t="shared" si="4"/>
        <v>0</v>
      </c>
      <c r="AA103" s="60">
        <f t="shared" si="4"/>
        <v>0</v>
      </c>
      <c r="AB103" s="47"/>
    </row>
    <row r="104" spans="2:28" ht="15">
      <c r="B104">
        <f t="shared" si="9"/>
      </c>
      <c r="C104" t="s">
        <v>752</v>
      </c>
      <c r="D104" t="s">
        <v>753</v>
      </c>
      <c r="E104" t="s">
        <v>752</v>
      </c>
      <c r="F104" t="s">
        <v>753</v>
      </c>
      <c r="G104" s="47"/>
      <c r="H104" s="23" t="str">
        <f>'Estimate Data'!I104</f>
        <v>H</v>
      </c>
      <c r="I104" s="23" t="str">
        <f>'Estimate Data'!J104</f>
        <v>L</v>
      </c>
      <c r="J104" s="1" t="str">
        <f t="shared" si="8"/>
        <v>HL</v>
      </c>
      <c r="K104" s="57">
        <f>'Estimate Data'!L104</f>
        <v>62</v>
      </c>
      <c r="L104" s="6">
        <f>(VLOOKUP($J104,'Standard Estimate Uncertainty '!$B$10:$D$18,2)*$K104)+$K104</f>
        <v>58.9</v>
      </c>
      <c r="M104" s="6">
        <f>(VLOOKUP($J104,'Standard Estimate Uncertainty '!$B$10:$D$18,3)*$K104)+$K104</f>
        <v>68.2</v>
      </c>
      <c r="N104" s="76">
        <v>65.09997940085233</v>
      </c>
      <c r="O104" s="49"/>
      <c r="P104" s="58"/>
      <c r="Q104" s="58">
        <f>SUM('Estimate Data'!R104)</f>
        <v>57</v>
      </c>
      <c r="R104" s="58">
        <f>SUM('Estimate Data'!S104)</f>
        <v>5</v>
      </c>
      <c r="S104" s="58">
        <f>SUM('Estimate Data'!T104)</f>
        <v>0</v>
      </c>
      <c r="T104" s="58">
        <f>SUM('Estimate Data'!U104)</f>
        <v>0</v>
      </c>
      <c r="U104" s="58">
        <f>SUM('Estimate Data'!V104)</f>
        <v>0</v>
      </c>
      <c r="V104" s="60">
        <f t="shared" si="11"/>
        <v>0</v>
      </c>
      <c r="W104" s="60">
        <f t="shared" si="12"/>
        <v>0.9193548387096774</v>
      </c>
      <c r="X104" s="60">
        <f t="shared" si="13"/>
        <v>0.08064516129032258</v>
      </c>
      <c r="Y104" s="60">
        <f t="shared" si="4"/>
        <v>0</v>
      </c>
      <c r="Z104" s="60">
        <f t="shared" si="4"/>
        <v>0</v>
      </c>
      <c r="AA104" s="60">
        <f t="shared" si="4"/>
        <v>0</v>
      </c>
      <c r="AB104" s="47"/>
    </row>
    <row r="105" spans="1:28" ht="15">
      <c r="A105">
        <v>36</v>
      </c>
      <c r="B105">
        <f t="shared" si="9"/>
      </c>
      <c r="C105" t="s">
        <v>754</v>
      </c>
      <c r="D105" t="s">
        <v>647</v>
      </c>
      <c r="E105" t="s">
        <v>754</v>
      </c>
      <c r="F105" t="s">
        <v>647</v>
      </c>
      <c r="G105" s="47"/>
      <c r="H105" s="23" t="str">
        <f>'Estimate Data'!I105</f>
        <v>M</v>
      </c>
      <c r="I105" s="23" t="str">
        <f>'Estimate Data'!J105</f>
        <v>L</v>
      </c>
      <c r="J105" s="1" t="str">
        <f t="shared" si="8"/>
        <v>ML</v>
      </c>
      <c r="K105" s="57">
        <f>'Estimate Data'!L105</f>
        <v>29</v>
      </c>
      <c r="L105" s="6">
        <f>(VLOOKUP($J105,'Standard Estimate Uncertainty '!$B$10:$D$18,2)*$K105)+$K105</f>
        <v>26.1</v>
      </c>
      <c r="M105" s="6">
        <f>(VLOOKUP($J105,'Standard Estimate Uncertainty '!$B$10:$D$18,3)*$K105)+$K105</f>
        <v>33.35</v>
      </c>
      <c r="N105" s="76">
        <v>31.020061945165498</v>
      </c>
      <c r="O105" s="49"/>
      <c r="P105" s="58"/>
      <c r="Q105" s="58">
        <f>SUM('Estimate Data'!R105)</f>
        <v>0</v>
      </c>
      <c r="R105" s="58">
        <f>SUM('Estimate Data'!S105)</f>
        <v>0</v>
      </c>
      <c r="S105" s="58">
        <f>SUM('Estimate Data'!T105)</f>
        <v>29</v>
      </c>
      <c r="T105" s="58">
        <f>SUM('Estimate Data'!U105)</f>
        <v>0</v>
      </c>
      <c r="U105" s="58">
        <f>SUM('Estimate Data'!V105)</f>
        <v>0</v>
      </c>
      <c r="V105" s="60">
        <f t="shared" si="11"/>
        <v>0</v>
      </c>
      <c r="W105" s="60">
        <f t="shared" si="12"/>
        <v>0</v>
      </c>
      <c r="X105" s="60">
        <f t="shared" si="13"/>
        <v>0</v>
      </c>
      <c r="Y105" s="60">
        <f t="shared" si="4"/>
        <v>1</v>
      </c>
      <c r="Z105" s="60">
        <f t="shared" si="4"/>
        <v>0</v>
      </c>
      <c r="AA105" s="60">
        <f t="shared" si="4"/>
        <v>0</v>
      </c>
      <c r="AB105" s="47"/>
    </row>
    <row r="106" spans="1:28" ht="15">
      <c r="A106">
        <v>38</v>
      </c>
      <c r="B106">
        <f t="shared" si="9"/>
      </c>
      <c r="C106" t="s">
        <v>755</v>
      </c>
      <c r="D106" t="s">
        <v>647</v>
      </c>
      <c r="E106" t="s">
        <v>755</v>
      </c>
      <c r="F106" t="s">
        <v>647</v>
      </c>
      <c r="G106" s="47"/>
      <c r="H106" s="23" t="str">
        <f>'Estimate Data'!I106</f>
        <v>M</v>
      </c>
      <c r="I106" s="23" t="str">
        <f>'Estimate Data'!J106</f>
        <v>M</v>
      </c>
      <c r="J106" s="1" t="str">
        <f t="shared" si="8"/>
        <v>MM</v>
      </c>
      <c r="K106" s="57">
        <f>'Estimate Data'!L106</f>
        <v>257</v>
      </c>
      <c r="L106" s="6">
        <f>(VLOOKUP($J106,'Standard Estimate Uncertainty '!$B$10:$D$18,2)*$K106)+$K106</f>
        <v>218.45</v>
      </c>
      <c r="M106" s="6">
        <f>(VLOOKUP($J106,'Standard Estimate Uncertainty '!$B$10:$D$18,3)*$K106)+$K106</f>
        <v>321.25</v>
      </c>
      <c r="N106" s="76">
        <v>287.7560121555546</v>
      </c>
      <c r="O106" s="49"/>
      <c r="P106" s="58"/>
      <c r="Q106" s="58">
        <f>SUM('Estimate Data'!R106)</f>
        <v>0</v>
      </c>
      <c r="R106" s="58">
        <f>SUM('Estimate Data'!S106)</f>
        <v>171</v>
      </c>
      <c r="S106" s="58">
        <f>SUM('Estimate Data'!T106)</f>
        <v>31</v>
      </c>
      <c r="T106" s="58">
        <f>SUM('Estimate Data'!U106)</f>
        <v>55</v>
      </c>
      <c r="U106" s="58">
        <f>SUM('Estimate Data'!V106)</f>
        <v>0</v>
      </c>
      <c r="V106" s="60">
        <f t="shared" si="11"/>
        <v>0</v>
      </c>
      <c r="W106" s="60">
        <f t="shared" si="12"/>
        <v>0</v>
      </c>
      <c r="X106" s="60">
        <f t="shared" si="13"/>
        <v>0.6653696498054474</v>
      </c>
      <c r="Y106" s="60">
        <f t="shared" si="4"/>
        <v>0.12062256809338522</v>
      </c>
      <c r="Z106" s="60">
        <f t="shared" si="4"/>
        <v>0.2140077821011673</v>
      </c>
      <c r="AA106" s="60">
        <f t="shared" si="4"/>
        <v>0</v>
      </c>
      <c r="AB106" s="47"/>
    </row>
    <row r="107" spans="1:28" ht="15">
      <c r="A107">
        <v>39</v>
      </c>
      <c r="B107">
        <f t="shared" si="9"/>
      </c>
      <c r="C107" t="s">
        <v>756</v>
      </c>
      <c r="D107" t="s">
        <v>647</v>
      </c>
      <c r="E107" t="s">
        <v>756</v>
      </c>
      <c r="F107" t="s">
        <v>647</v>
      </c>
      <c r="G107" s="47"/>
      <c r="H107" s="23" t="str">
        <f>'Estimate Data'!I107</f>
        <v>H</v>
      </c>
      <c r="I107" s="23" t="str">
        <f>'Estimate Data'!J107</f>
        <v>L</v>
      </c>
      <c r="J107" s="1" t="str">
        <f t="shared" si="8"/>
        <v>HL</v>
      </c>
      <c r="K107" s="57">
        <f>'Estimate Data'!L107</f>
        <v>111</v>
      </c>
      <c r="L107" s="6">
        <f>(VLOOKUP($J107,'Standard Estimate Uncertainty '!$B$10:$D$18,2)*$K107)+$K107</f>
        <v>105.45</v>
      </c>
      <c r="M107" s="6">
        <f>(VLOOKUP($J107,'Standard Estimate Uncertainty '!$B$10:$D$18,3)*$K107)+$K107</f>
        <v>122.1</v>
      </c>
      <c r="N107" s="76">
        <v>118.64996245639216</v>
      </c>
      <c r="O107" s="49"/>
      <c r="P107" s="58"/>
      <c r="Q107" s="58">
        <f>SUM('Estimate Data'!R107)</f>
        <v>16</v>
      </c>
      <c r="R107" s="58">
        <f>SUM('Estimate Data'!S107)</f>
        <v>31</v>
      </c>
      <c r="S107" s="58">
        <f>SUM('Estimate Data'!T107)</f>
        <v>30</v>
      </c>
      <c r="T107" s="58">
        <f>SUM('Estimate Data'!U107)</f>
        <v>34</v>
      </c>
      <c r="U107" s="58">
        <f>SUM('Estimate Data'!V107)</f>
        <v>0</v>
      </c>
      <c r="V107" s="60">
        <f t="shared" si="11"/>
        <v>0</v>
      </c>
      <c r="W107" s="60">
        <f t="shared" si="12"/>
        <v>0.14414414414414414</v>
      </c>
      <c r="X107" s="60">
        <f t="shared" si="13"/>
        <v>0.27927927927927926</v>
      </c>
      <c r="Y107" s="60">
        <f t="shared" si="4"/>
        <v>0.2702702702702703</v>
      </c>
      <c r="Z107" s="60">
        <f t="shared" si="4"/>
        <v>0.3063063063063063</v>
      </c>
      <c r="AA107" s="60">
        <f t="shared" si="4"/>
        <v>0</v>
      </c>
      <c r="AB107" s="47"/>
    </row>
    <row r="108" spans="1:28" ht="15">
      <c r="A108">
        <v>41</v>
      </c>
      <c r="B108">
        <f t="shared" si="9"/>
      </c>
      <c r="C108" t="s">
        <v>757</v>
      </c>
      <c r="D108" t="s">
        <v>647</v>
      </c>
      <c r="E108" t="s">
        <v>757</v>
      </c>
      <c r="F108" t="s">
        <v>647</v>
      </c>
      <c r="G108" s="47"/>
      <c r="H108" s="23" t="str">
        <f>'Estimate Data'!I108</f>
        <v>FROZEN</v>
      </c>
      <c r="I108" s="23"/>
      <c r="J108" s="1" t="str">
        <f t="shared" si="8"/>
        <v>FROZEN</v>
      </c>
      <c r="K108" s="81"/>
      <c r="L108" s="395"/>
      <c r="M108" s="395"/>
      <c r="N108" s="82"/>
      <c r="O108" s="49"/>
      <c r="P108" s="58"/>
      <c r="Q108" s="58">
        <f>SUM('Estimate Data'!R108)</f>
        <v>0</v>
      </c>
      <c r="R108" s="58">
        <f>SUM('Estimate Data'!S108)</f>
        <v>0</v>
      </c>
      <c r="S108" s="58">
        <f>SUM('Estimate Data'!T108)</f>
        <v>0</v>
      </c>
      <c r="T108" s="58">
        <f>SUM('Estimate Data'!U108)</f>
        <v>0</v>
      </c>
      <c r="U108" s="58">
        <f>SUM('Estimate Data'!V108)</f>
        <v>0</v>
      </c>
      <c r="V108" s="60"/>
      <c r="W108" s="60"/>
      <c r="X108" s="60"/>
      <c r="Y108" s="60"/>
      <c r="Z108" s="60"/>
      <c r="AA108" s="60"/>
      <c r="AB108" s="47"/>
    </row>
    <row r="109" spans="2:28" ht="15">
      <c r="B109">
        <f t="shared" si="9"/>
      </c>
      <c r="C109" t="s">
        <v>757</v>
      </c>
      <c r="D109" t="s">
        <v>651</v>
      </c>
      <c r="E109" t="s">
        <v>757</v>
      </c>
      <c r="F109" t="s">
        <v>651</v>
      </c>
      <c r="G109" s="47"/>
      <c r="H109" s="23" t="str">
        <f>'Estimate Data'!I109</f>
        <v>H</v>
      </c>
      <c r="I109" s="23" t="str">
        <f>'Estimate Data'!J109</f>
        <v>L</v>
      </c>
      <c r="J109" s="1" t="str">
        <f t="shared" si="8"/>
        <v>HL</v>
      </c>
      <c r="K109" s="57">
        <f>'Estimate Data'!L109</f>
        <v>120</v>
      </c>
      <c r="L109" s="6">
        <f>(VLOOKUP($J109,'Standard Estimate Uncertainty '!$B$10:$D$18,2)*$K109)+$K109</f>
        <v>114</v>
      </c>
      <c r="M109" s="6">
        <f>(VLOOKUP($J109,'Standard Estimate Uncertainty '!$B$10:$D$18,3)*$K109)+$K109</f>
        <v>132</v>
      </c>
      <c r="N109" s="76">
        <v>127.04995979843761</v>
      </c>
      <c r="O109" s="49"/>
      <c r="P109" s="58"/>
      <c r="Q109" s="58">
        <f>SUM('Estimate Data'!R109)</f>
        <v>0</v>
      </c>
      <c r="R109" s="58">
        <f>SUM('Estimate Data'!S109)</f>
        <v>20</v>
      </c>
      <c r="S109" s="58">
        <f>SUM('Estimate Data'!T109)</f>
        <v>33</v>
      </c>
      <c r="T109" s="58">
        <f>SUM('Estimate Data'!U109)</f>
        <v>67</v>
      </c>
      <c r="U109" s="58">
        <f>SUM('Estimate Data'!V109)</f>
        <v>0</v>
      </c>
      <c r="V109" s="60">
        <f aca="true" t="shared" si="14" ref="V109:V135">P109/$K109</f>
        <v>0</v>
      </c>
      <c r="W109" s="60">
        <f aca="true" t="shared" si="15" ref="W109:W135">Q109/$K109</f>
        <v>0</v>
      </c>
      <c r="X109" s="60">
        <f aca="true" t="shared" si="16" ref="X109:X135">R109/$K109</f>
        <v>0.16666666666666666</v>
      </c>
      <c r="Y109" s="60">
        <f t="shared" si="4"/>
        <v>0.275</v>
      </c>
      <c r="Z109" s="60">
        <f t="shared" si="4"/>
        <v>0.5583333333333333</v>
      </c>
      <c r="AA109" s="60">
        <f t="shared" si="4"/>
        <v>0</v>
      </c>
      <c r="AB109" s="47"/>
    </row>
    <row r="110" spans="2:28" ht="15">
      <c r="B110">
        <f t="shared" si="9"/>
      </c>
      <c r="C110" t="s">
        <v>757</v>
      </c>
      <c r="D110" t="s">
        <v>652</v>
      </c>
      <c r="E110" t="s">
        <v>757</v>
      </c>
      <c r="F110" t="s">
        <v>652</v>
      </c>
      <c r="G110" s="47"/>
      <c r="H110" s="23" t="str">
        <f>'Estimate Data'!I110</f>
        <v>H</v>
      </c>
      <c r="I110" s="23" t="str">
        <f>'Estimate Data'!J110</f>
        <v>L</v>
      </c>
      <c r="J110" s="1" t="str">
        <f t="shared" si="8"/>
        <v>HL</v>
      </c>
      <c r="K110" s="57">
        <f>'Estimate Data'!L110</f>
        <v>36</v>
      </c>
      <c r="L110" s="6">
        <f>(VLOOKUP($J110,'Standard Estimate Uncertainty '!$B$10:$D$18,2)*$K110)+$K110</f>
        <v>34.2</v>
      </c>
      <c r="M110" s="6">
        <f>(VLOOKUP($J110,'Standard Estimate Uncertainty '!$B$10:$D$18,3)*$K110)+$K110</f>
        <v>39.6</v>
      </c>
      <c r="N110" s="76">
        <v>28.349991029403437</v>
      </c>
      <c r="O110" s="49"/>
      <c r="P110" s="58"/>
      <c r="Q110" s="58">
        <f>SUM('Estimate Data'!R110)</f>
        <v>0</v>
      </c>
      <c r="R110" s="58">
        <f>SUM('Estimate Data'!S110)</f>
        <v>7</v>
      </c>
      <c r="S110" s="58">
        <f>SUM('Estimate Data'!T110)</f>
        <v>29</v>
      </c>
      <c r="T110" s="58">
        <f>SUM('Estimate Data'!U110)</f>
        <v>0</v>
      </c>
      <c r="U110" s="58">
        <f>SUM('Estimate Data'!V110)</f>
        <v>0</v>
      </c>
      <c r="V110" s="60">
        <f t="shared" si="14"/>
        <v>0</v>
      </c>
      <c r="W110" s="60">
        <f t="shared" si="15"/>
        <v>0</v>
      </c>
      <c r="X110" s="60">
        <f t="shared" si="16"/>
        <v>0.19444444444444445</v>
      </c>
      <c r="Y110" s="60">
        <f t="shared" si="4"/>
        <v>0.8055555555555556</v>
      </c>
      <c r="Z110" s="60">
        <f t="shared" si="4"/>
        <v>0</v>
      </c>
      <c r="AA110" s="60">
        <f t="shared" si="4"/>
        <v>0</v>
      </c>
      <c r="AB110" s="47"/>
    </row>
    <row r="111" spans="1:28" ht="15">
      <c r="A111">
        <v>43</v>
      </c>
      <c r="B111">
        <f t="shared" si="9"/>
      </c>
      <c r="C111" t="s">
        <v>758</v>
      </c>
      <c r="D111" t="s">
        <v>653</v>
      </c>
      <c r="E111" t="s">
        <v>758</v>
      </c>
      <c r="F111" t="s">
        <v>653</v>
      </c>
      <c r="G111" s="47"/>
      <c r="H111" s="23" t="str">
        <f>'Estimate Data'!I111</f>
        <v>H</v>
      </c>
      <c r="I111" s="23" t="str">
        <f>'Estimate Data'!J111</f>
        <v>L</v>
      </c>
      <c r="J111" s="1" t="str">
        <f t="shared" si="8"/>
        <v>HL</v>
      </c>
      <c r="K111" s="57">
        <f>'Estimate Data'!L111</f>
        <v>577</v>
      </c>
      <c r="L111" s="6">
        <f>(VLOOKUP($J111,'Standard Estimate Uncertainty '!$B$10:$D$18,2)*$K111)+$K111</f>
        <v>548.15</v>
      </c>
      <c r="M111" s="6">
        <f>(VLOOKUP($J111,'Standard Estimate Uncertainty '!$B$10:$D$18,3)*$K111)+$K111</f>
        <v>634.7</v>
      </c>
      <c r="N111" s="76">
        <v>614.2498056370745</v>
      </c>
      <c r="O111" s="49"/>
      <c r="P111" s="58"/>
      <c r="Q111" s="58">
        <f>SUM('Estimate Data'!R111)</f>
        <v>47</v>
      </c>
      <c r="R111" s="58">
        <f>SUM('Estimate Data'!S111)</f>
        <v>94</v>
      </c>
      <c r="S111" s="58">
        <f>SUM('Estimate Data'!T111)</f>
        <v>434</v>
      </c>
      <c r="T111" s="58">
        <f>SUM('Estimate Data'!U111)</f>
        <v>2</v>
      </c>
      <c r="U111" s="58">
        <f>SUM('Estimate Data'!V111)</f>
        <v>0</v>
      </c>
      <c r="V111" s="60">
        <f t="shared" si="14"/>
        <v>0</v>
      </c>
      <c r="W111" s="60">
        <f t="shared" si="15"/>
        <v>0.08145580589254767</v>
      </c>
      <c r="X111" s="60">
        <f t="shared" si="16"/>
        <v>0.16291161178509533</v>
      </c>
      <c r="Y111" s="60">
        <f t="shared" si="4"/>
        <v>0.7521663778162911</v>
      </c>
      <c r="Z111" s="60">
        <f t="shared" si="4"/>
        <v>0.0034662045060658577</v>
      </c>
      <c r="AA111" s="60">
        <f t="shared" si="4"/>
        <v>0</v>
      </c>
      <c r="AB111" s="47"/>
    </row>
    <row r="112" spans="1:28" ht="15">
      <c r="A112">
        <v>44</v>
      </c>
      <c r="B112">
        <f t="shared" si="9"/>
      </c>
      <c r="C112" t="s">
        <v>759</v>
      </c>
      <c r="D112" t="s">
        <v>654</v>
      </c>
      <c r="E112" t="s">
        <v>759</v>
      </c>
      <c r="F112" t="s">
        <v>654</v>
      </c>
      <c r="G112" s="47"/>
      <c r="H112" s="23" t="str">
        <f>'Estimate Data'!I112</f>
        <v>M</v>
      </c>
      <c r="I112" s="23" t="str">
        <f>'Estimate Data'!J112</f>
        <v>L</v>
      </c>
      <c r="J112" s="1" t="str">
        <f t="shared" si="8"/>
        <v>ML</v>
      </c>
      <c r="K112" s="57">
        <f>'Estimate Data'!L112</f>
        <v>482</v>
      </c>
      <c r="L112" s="6">
        <f>(VLOOKUP($J112,'Standard Estimate Uncertainty '!$B$10:$D$18,2)*$K112)+$K112</f>
        <v>433.8</v>
      </c>
      <c r="M112" s="6">
        <f>(VLOOKUP($J112,'Standard Estimate Uncertainty '!$B$10:$D$18,3)*$K112)+$K112</f>
        <v>554.3</v>
      </c>
      <c r="N112" s="76">
        <v>513.4355080579116</v>
      </c>
      <c r="O112" s="49"/>
      <c r="P112" s="58"/>
      <c r="Q112" s="58">
        <f>SUM('Estimate Data'!R112)</f>
        <v>10</v>
      </c>
      <c r="R112" s="58">
        <f>SUM('Estimate Data'!S112)</f>
        <v>43</v>
      </c>
      <c r="S112" s="58">
        <f>SUM('Estimate Data'!T112)</f>
        <v>242</v>
      </c>
      <c r="T112" s="58">
        <f>SUM('Estimate Data'!U112)</f>
        <v>187</v>
      </c>
      <c r="U112" s="58">
        <f>SUM('Estimate Data'!V112)</f>
        <v>0</v>
      </c>
      <c r="V112" s="60">
        <f t="shared" si="14"/>
        <v>0</v>
      </c>
      <c r="W112" s="60">
        <f t="shared" si="15"/>
        <v>0.02074688796680498</v>
      </c>
      <c r="X112" s="60">
        <f t="shared" si="16"/>
        <v>0.08921161825726141</v>
      </c>
      <c r="Y112" s="60">
        <f t="shared" si="4"/>
        <v>0.5020746887966805</v>
      </c>
      <c r="Z112" s="60">
        <f t="shared" si="4"/>
        <v>0.3879668049792531</v>
      </c>
      <c r="AA112" s="60">
        <f t="shared" si="4"/>
        <v>0</v>
      </c>
      <c r="AB112" s="47"/>
    </row>
    <row r="113" spans="2:28" ht="15">
      <c r="B113">
        <f t="shared" si="9"/>
      </c>
      <c r="C113" t="s">
        <v>759</v>
      </c>
      <c r="D113" t="s">
        <v>655</v>
      </c>
      <c r="E113" t="s">
        <v>759</v>
      </c>
      <c r="F113" t="s">
        <v>655</v>
      </c>
      <c r="G113" s="47"/>
      <c r="H113" s="23" t="str">
        <f>'Estimate Data'!I113</f>
        <v>M</v>
      </c>
      <c r="I113" s="23" t="str">
        <f>'Estimate Data'!J113</f>
        <v>L</v>
      </c>
      <c r="J113" s="1" t="str">
        <f t="shared" si="8"/>
        <v>ML</v>
      </c>
      <c r="K113" s="57">
        <f>'Estimate Data'!L113</f>
        <v>69</v>
      </c>
      <c r="L113" s="6">
        <f>(VLOOKUP($J113,'Standard Estimate Uncertainty '!$B$10:$D$18,2)*$K113)+$K113</f>
        <v>62.1</v>
      </c>
      <c r="M113" s="6">
        <f>(VLOOKUP($J113,'Standard Estimate Uncertainty '!$B$10:$D$18,3)*$K113)+$K113</f>
        <v>79.35</v>
      </c>
      <c r="N113" s="76">
        <v>75.94566890023277</v>
      </c>
      <c r="O113" s="49"/>
      <c r="P113" s="58"/>
      <c r="Q113" s="58">
        <f>SUM('Estimate Data'!R113)</f>
        <v>0</v>
      </c>
      <c r="R113" s="58">
        <f>SUM('Estimate Data'!S113)</f>
        <v>20</v>
      </c>
      <c r="S113" s="58">
        <f>SUM('Estimate Data'!T113)</f>
        <v>17</v>
      </c>
      <c r="T113" s="58">
        <f>SUM('Estimate Data'!U113)</f>
        <v>32</v>
      </c>
      <c r="U113" s="58">
        <f>SUM('Estimate Data'!V113)</f>
        <v>0</v>
      </c>
      <c r="V113" s="60">
        <f t="shared" si="14"/>
        <v>0</v>
      </c>
      <c r="W113" s="60">
        <f t="shared" si="15"/>
        <v>0</v>
      </c>
      <c r="X113" s="60">
        <f t="shared" si="16"/>
        <v>0.2898550724637681</v>
      </c>
      <c r="Y113" s="60">
        <f t="shared" si="4"/>
        <v>0.2463768115942029</v>
      </c>
      <c r="Z113" s="60">
        <f t="shared" si="4"/>
        <v>0.463768115942029</v>
      </c>
      <c r="AA113" s="60">
        <f t="shared" si="4"/>
        <v>0</v>
      </c>
      <c r="AB113" s="47"/>
    </row>
    <row r="114" spans="2:28" ht="15">
      <c r="B114">
        <f t="shared" si="9"/>
      </c>
      <c r="C114" t="s">
        <v>759</v>
      </c>
      <c r="D114" t="s">
        <v>656</v>
      </c>
      <c r="E114" t="s">
        <v>759</v>
      </c>
      <c r="F114" t="s">
        <v>656</v>
      </c>
      <c r="G114" s="47"/>
      <c r="H114" s="23" t="str">
        <f>'Estimate Data'!I114</f>
        <v>M</v>
      </c>
      <c r="I114" s="23" t="str">
        <f>'Estimate Data'!J114</f>
        <v>L</v>
      </c>
      <c r="J114" s="1" t="str">
        <f t="shared" si="8"/>
        <v>ML</v>
      </c>
      <c r="K114" s="57">
        <f>'Estimate Data'!L114</f>
        <v>14</v>
      </c>
      <c r="L114" s="6">
        <f>(VLOOKUP($J114,'Standard Estimate Uncertainty '!$B$10:$D$18,2)*$K114)+$K114</f>
        <v>12.6</v>
      </c>
      <c r="M114" s="6">
        <f>(VLOOKUP($J114,'Standard Estimate Uncertainty '!$B$10:$D$18,3)*$K114)+$K114</f>
        <v>16.1</v>
      </c>
      <c r="N114" s="76">
        <v>14.975202318355759</v>
      </c>
      <c r="O114" s="49"/>
      <c r="P114" s="58"/>
      <c r="Q114" s="58">
        <f>SUM('Estimate Data'!R114)</f>
        <v>0</v>
      </c>
      <c r="R114" s="58">
        <f>SUM('Estimate Data'!S114)</f>
        <v>0</v>
      </c>
      <c r="S114" s="58">
        <f>SUM('Estimate Data'!T114)</f>
        <v>14</v>
      </c>
      <c r="T114" s="58">
        <f>SUM('Estimate Data'!U114)</f>
        <v>0</v>
      </c>
      <c r="U114" s="58">
        <f>SUM('Estimate Data'!V114)</f>
        <v>0</v>
      </c>
      <c r="V114" s="60">
        <f t="shared" si="14"/>
        <v>0</v>
      </c>
      <c r="W114" s="60">
        <f t="shared" si="15"/>
        <v>0</v>
      </c>
      <c r="X114" s="60">
        <f t="shared" si="16"/>
        <v>0</v>
      </c>
      <c r="Y114" s="60">
        <f t="shared" si="4"/>
        <v>1</v>
      </c>
      <c r="Z114" s="60">
        <f t="shared" si="4"/>
        <v>0</v>
      </c>
      <c r="AA114" s="60">
        <f t="shared" si="4"/>
        <v>0</v>
      </c>
      <c r="AB114" s="47"/>
    </row>
    <row r="115" spans="2:28" ht="15">
      <c r="B115">
        <f t="shared" si="9"/>
      </c>
      <c r="C115" t="s">
        <v>759</v>
      </c>
      <c r="D115" t="s">
        <v>657</v>
      </c>
      <c r="E115" t="s">
        <v>759</v>
      </c>
      <c r="F115" t="s">
        <v>657</v>
      </c>
      <c r="G115" s="47"/>
      <c r="H115" s="23" t="str">
        <f>'Estimate Data'!I115</f>
        <v>M</v>
      </c>
      <c r="I115" s="23" t="str">
        <f>'Estimate Data'!J115</f>
        <v>L</v>
      </c>
      <c r="J115" s="1" t="str">
        <f t="shared" si="8"/>
        <v>ML</v>
      </c>
      <c r="K115" s="57">
        <f>'Estimate Data'!L115</f>
        <v>241</v>
      </c>
      <c r="L115" s="6">
        <f>(VLOOKUP($J115,'Standard Estimate Uncertainty '!$B$10:$D$18,2)*$K115)+$K115</f>
        <v>216.9</v>
      </c>
      <c r="M115" s="6">
        <f>(VLOOKUP($J115,'Standard Estimate Uncertainty '!$B$10:$D$18,3)*$K115)+$K115</f>
        <v>277.15</v>
      </c>
      <c r="N115" s="76">
        <v>228.90666400915228</v>
      </c>
      <c r="O115" s="49"/>
      <c r="P115" s="58"/>
      <c r="Q115" s="58">
        <f>SUM('Estimate Data'!R115)</f>
        <v>0</v>
      </c>
      <c r="R115" s="58">
        <f>SUM('Estimate Data'!S115)</f>
        <v>16</v>
      </c>
      <c r="S115" s="58">
        <f>SUM('Estimate Data'!T115)</f>
        <v>148</v>
      </c>
      <c r="T115" s="58">
        <f>SUM('Estimate Data'!U115)</f>
        <v>77</v>
      </c>
      <c r="U115" s="58">
        <f>SUM('Estimate Data'!V115)</f>
        <v>0</v>
      </c>
      <c r="V115" s="60">
        <f t="shared" si="14"/>
        <v>0</v>
      </c>
      <c r="W115" s="60">
        <f t="shared" si="15"/>
        <v>0</v>
      </c>
      <c r="X115" s="60">
        <f t="shared" si="16"/>
        <v>0.06639004149377593</v>
      </c>
      <c r="Y115" s="60">
        <f t="shared" si="4"/>
        <v>0.6141078838174274</v>
      </c>
      <c r="Z115" s="60">
        <f t="shared" si="4"/>
        <v>0.31950207468879666</v>
      </c>
      <c r="AA115" s="60">
        <f t="shared" si="4"/>
        <v>0</v>
      </c>
      <c r="AB115" s="47"/>
    </row>
    <row r="116" spans="2:28" ht="15">
      <c r="B116">
        <f t="shared" si="9"/>
      </c>
      <c r="C116" t="s">
        <v>759</v>
      </c>
      <c r="D116" t="s">
        <v>658</v>
      </c>
      <c r="E116" t="s">
        <v>759</v>
      </c>
      <c r="F116" t="s">
        <v>658</v>
      </c>
      <c r="G116" s="47"/>
      <c r="H116" s="23" t="str">
        <f>'Estimate Data'!I116</f>
        <v>M</v>
      </c>
      <c r="I116" s="23" t="str">
        <f>'Estimate Data'!J116</f>
        <v>L</v>
      </c>
      <c r="J116" s="1" t="str">
        <f t="shared" si="8"/>
        <v>ML</v>
      </c>
      <c r="K116" s="57">
        <f>'Estimate Data'!L116</f>
        <v>276</v>
      </c>
      <c r="L116" s="6">
        <f>(VLOOKUP($J116,'Standard Estimate Uncertainty '!$B$10:$D$18,2)*$K116)+$K116</f>
        <v>248.4</v>
      </c>
      <c r="M116" s="6">
        <f>(VLOOKUP($J116,'Standard Estimate Uncertainty '!$B$10:$D$18,3)*$K116)+$K116</f>
        <v>317.4</v>
      </c>
      <c r="N116" s="76">
        <v>294.15575982484523</v>
      </c>
      <c r="O116" s="49"/>
      <c r="P116" s="58"/>
      <c r="Q116" s="58">
        <f>SUM('Estimate Data'!R116)</f>
        <v>24</v>
      </c>
      <c r="R116" s="58">
        <f>SUM('Estimate Data'!S116)</f>
        <v>48</v>
      </c>
      <c r="S116" s="58">
        <f>SUM('Estimate Data'!T116)</f>
        <v>71</v>
      </c>
      <c r="T116" s="58">
        <f>SUM('Estimate Data'!U116)</f>
        <v>133</v>
      </c>
      <c r="U116" s="58">
        <f>SUM('Estimate Data'!V116)</f>
        <v>0</v>
      </c>
      <c r="V116" s="60">
        <f t="shared" si="14"/>
        <v>0</v>
      </c>
      <c r="W116" s="60">
        <f t="shared" si="15"/>
        <v>0.08695652173913043</v>
      </c>
      <c r="X116" s="60">
        <f t="shared" si="16"/>
        <v>0.17391304347826086</v>
      </c>
      <c r="Y116" s="60">
        <f t="shared" si="4"/>
        <v>0.2572463768115942</v>
      </c>
      <c r="Z116" s="60">
        <f t="shared" si="4"/>
        <v>0.48188405797101447</v>
      </c>
      <c r="AA116" s="60">
        <f t="shared" si="4"/>
        <v>0</v>
      </c>
      <c r="AB116" s="47"/>
    </row>
    <row r="117" spans="1:28" ht="15">
      <c r="A117">
        <v>45</v>
      </c>
      <c r="B117">
        <f t="shared" si="9"/>
      </c>
      <c r="C117" t="s">
        <v>760</v>
      </c>
      <c r="D117" t="s">
        <v>659</v>
      </c>
      <c r="E117" t="s">
        <v>760</v>
      </c>
      <c r="F117" t="s">
        <v>659</v>
      </c>
      <c r="G117" s="47"/>
      <c r="H117" s="23" t="str">
        <f>'Estimate Data'!I117</f>
        <v>H</v>
      </c>
      <c r="I117" s="23" t="str">
        <f>'Estimate Data'!J117</f>
        <v>L</v>
      </c>
      <c r="J117" s="1" t="str">
        <f t="shared" si="8"/>
        <v>HL</v>
      </c>
      <c r="K117" s="57">
        <f>'Estimate Data'!L117</f>
        <v>319</v>
      </c>
      <c r="L117" s="6">
        <f>(VLOOKUP($J117,'Standard Estimate Uncertainty '!$B$10:$D$18,2)*$K117)+$K117</f>
        <v>303.05</v>
      </c>
      <c r="M117" s="6">
        <f>(VLOOKUP($J117,'Standard Estimate Uncertainty '!$B$10:$D$18,3)*$K117)+$K117</f>
        <v>350.9</v>
      </c>
      <c r="N117" s="76">
        <v>312.8999009911935</v>
      </c>
      <c r="O117" s="49"/>
      <c r="P117" s="58"/>
      <c r="Q117" s="58">
        <f>SUM('Estimate Data'!R117)</f>
        <v>51</v>
      </c>
      <c r="R117" s="58">
        <f>SUM('Estimate Data'!S117)</f>
        <v>119</v>
      </c>
      <c r="S117" s="58">
        <f>SUM('Estimate Data'!T117)</f>
        <v>105</v>
      </c>
      <c r="T117" s="58">
        <f>SUM('Estimate Data'!U117)</f>
        <v>44</v>
      </c>
      <c r="U117" s="58">
        <f>SUM('Estimate Data'!V117)</f>
        <v>0</v>
      </c>
      <c r="V117" s="60">
        <f t="shared" si="14"/>
        <v>0</v>
      </c>
      <c r="W117" s="60">
        <f t="shared" si="15"/>
        <v>0.15987460815047022</v>
      </c>
      <c r="X117" s="60">
        <f t="shared" si="16"/>
        <v>0.3730407523510972</v>
      </c>
      <c r="Y117" s="60">
        <f t="shared" si="4"/>
        <v>0.329153605015674</v>
      </c>
      <c r="Z117" s="60">
        <f t="shared" si="4"/>
        <v>0.13793103448275862</v>
      </c>
      <c r="AA117" s="60">
        <f t="shared" si="4"/>
        <v>0</v>
      </c>
      <c r="AB117" s="47"/>
    </row>
    <row r="118" spans="2:28" ht="15">
      <c r="B118">
        <f t="shared" si="9"/>
      </c>
      <c r="C118" t="s">
        <v>760</v>
      </c>
      <c r="D118" t="s">
        <v>660</v>
      </c>
      <c r="E118" t="s">
        <v>760</v>
      </c>
      <c r="F118" t="s">
        <v>660</v>
      </c>
      <c r="G118" s="47"/>
      <c r="H118" s="23" t="str">
        <f>'Estimate Data'!I118</f>
        <v>H</v>
      </c>
      <c r="I118" s="23" t="str">
        <f>'Estimate Data'!J118</f>
        <v>L</v>
      </c>
      <c r="J118" s="1" t="str">
        <f t="shared" si="8"/>
        <v>HL</v>
      </c>
      <c r="K118" s="57">
        <f>'Estimate Data'!L118</f>
        <v>199</v>
      </c>
      <c r="L118" s="6">
        <f>(VLOOKUP($J118,'Standard Estimate Uncertainty '!$B$10:$D$18,2)*$K118)+$K118</f>
        <v>189.05</v>
      </c>
      <c r="M118" s="6">
        <f>(VLOOKUP($J118,'Standard Estimate Uncertainty '!$B$10:$D$18,3)*$K118)+$K118</f>
        <v>218.9</v>
      </c>
      <c r="N118" s="76">
        <v>208.94993388338088</v>
      </c>
      <c r="O118" s="49"/>
      <c r="P118" s="58"/>
      <c r="Q118" s="58">
        <f>SUM('Estimate Data'!R118)</f>
        <v>0</v>
      </c>
      <c r="R118" s="58">
        <f>SUM('Estimate Data'!S118)</f>
        <v>0</v>
      </c>
      <c r="S118" s="58">
        <f>SUM('Estimate Data'!T118)</f>
        <v>133</v>
      </c>
      <c r="T118" s="58">
        <f>SUM('Estimate Data'!U118)</f>
        <v>66</v>
      </c>
      <c r="U118" s="58">
        <f>SUM('Estimate Data'!V118)</f>
        <v>0</v>
      </c>
      <c r="V118" s="60">
        <f t="shared" si="14"/>
        <v>0</v>
      </c>
      <c r="W118" s="60">
        <f t="shared" si="15"/>
        <v>0</v>
      </c>
      <c r="X118" s="60">
        <f t="shared" si="16"/>
        <v>0</v>
      </c>
      <c r="Y118" s="60">
        <f t="shared" si="4"/>
        <v>0.6683417085427136</v>
      </c>
      <c r="Z118" s="60">
        <f t="shared" si="4"/>
        <v>0.3316582914572864</v>
      </c>
      <c r="AA118" s="60">
        <f t="shared" si="4"/>
        <v>0</v>
      </c>
      <c r="AB118" s="47"/>
    </row>
    <row r="119" spans="2:28" ht="15">
      <c r="B119">
        <f t="shared" si="9"/>
      </c>
      <c r="C119" t="s">
        <v>760</v>
      </c>
      <c r="D119" t="s">
        <v>661</v>
      </c>
      <c r="E119" t="s">
        <v>760</v>
      </c>
      <c r="F119" t="s">
        <v>661</v>
      </c>
      <c r="G119" s="47"/>
      <c r="H119" s="23" t="str">
        <f>'Estimate Data'!I119</f>
        <v>H</v>
      </c>
      <c r="I119" s="23" t="str">
        <f>'Estimate Data'!J119</f>
        <v>L</v>
      </c>
      <c r="J119" s="1" t="str">
        <f t="shared" si="8"/>
        <v>HL</v>
      </c>
      <c r="K119" s="57">
        <f>'Estimate Data'!L119</f>
        <v>386</v>
      </c>
      <c r="L119" s="6">
        <f>(VLOOKUP($J119,'Standard Estimate Uncertainty '!$B$10:$D$18,2)*$K119)+$K119</f>
        <v>366.7</v>
      </c>
      <c r="M119" s="6">
        <f>(VLOOKUP($J119,'Standard Estimate Uncertainty '!$B$10:$D$18,3)*$K119)+$K119</f>
        <v>424.6</v>
      </c>
      <c r="N119" s="76">
        <v>405.2998717536936</v>
      </c>
      <c r="O119" s="49"/>
      <c r="P119" s="58"/>
      <c r="Q119" s="58">
        <f>SUM('Estimate Data'!R119)</f>
        <v>0</v>
      </c>
      <c r="R119" s="58">
        <f>SUM('Estimate Data'!S119)</f>
        <v>0</v>
      </c>
      <c r="S119" s="58">
        <f>SUM('Estimate Data'!T119)</f>
        <v>0</v>
      </c>
      <c r="T119" s="58">
        <f>SUM('Estimate Data'!U119)</f>
        <v>386</v>
      </c>
      <c r="U119" s="58">
        <f>SUM('Estimate Data'!V119)</f>
        <v>0</v>
      </c>
      <c r="V119" s="60">
        <f t="shared" si="14"/>
        <v>0</v>
      </c>
      <c r="W119" s="60">
        <f t="shared" si="15"/>
        <v>0</v>
      </c>
      <c r="X119" s="60">
        <f t="shared" si="16"/>
        <v>0</v>
      </c>
      <c r="Y119" s="60">
        <f t="shared" si="4"/>
        <v>0</v>
      </c>
      <c r="Z119" s="60">
        <f t="shared" si="4"/>
        <v>1</v>
      </c>
      <c r="AA119" s="60">
        <f t="shared" si="4"/>
        <v>0</v>
      </c>
      <c r="AB119" s="47"/>
    </row>
    <row r="120" spans="1:28" ht="15">
      <c r="A120">
        <v>51</v>
      </c>
      <c r="B120">
        <f t="shared" si="9"/>
      </c>
      <c r="C120" t="s">
        <v>761</v>
      </c>
      <c r="D120" t="s">
        <v>647</v>
      </c>
      <c r="E120" t="s">
        <v>761</v>
      </c>
      <c r="F120" t="s">
        <v>647</v>
      </c>
      <c r="G120" s="47"/>
      <c r="H120" s="23" t="str">
        <f>'Estimate Data'!I120</f>
        <v>M</v>
      </c>
      <c r="I120" s="23" t="str">
        <f>'Estimate Data'!J120</f>
        <v>L</v>
      </c>
      <c r="J120" s="1" t="str">
        <f t="shared" si="8"/>
        <v>ML</v>
      </c>
      <c r="K120" s="57">
        <f>'Estimate Data'!L120</f>
        <v>222</v>
      </c>
      <c r="L120" s="6">
        <f>(VLOOKUP($J120,'Standard Estimate Uncertainty '!$B$10:$D$18,2)*$K120)+$K120</f>
        <v>199.8</v>
      </c>
      <c r="M120" s="6">
        <f>(VLOOKUP($J120,'Standard Estimate Uncertainty '!$B$10:$D$18,3)*$K120)+$K120</f>
        <v>255.3</v>
      </c>
      <c r="N120" s="76">
        <v>237.46392247678418</v>
      </c>
      <c r="O120" s="49"/>
      <c r="P120" s="58"/>
      <c r="Q120" s="58">
        <f>SUM('Estimate Data'!R120)</f>
        <v>0</v>
      </c>
      <c r="R120" s="58">
        <f>SUM('Estimate Data'!S120)</f>
        <v>0</v>
      </c>
      <c r="S120" s="58">
        <f>SUM('Estimate Data'!T120)</f>
        <v>133</v>
      </c>
      <c r="T120" s="58">
        <f>SUM('Estimate Data'!U120)</f>
        <v>89</v>
      </c>
      <c r="U120" s="58">
        <f>SUM('Estimate Data'!V120)</f>
        <v>0</v>
      </c>
      <c r="V120" s="60">
        <f t="shared" si="14"/>
        <v>0</v>
      </c>
      <c r="W120" s="60">
        <f t="shared" si="15"/>
        <v>0</v>
      </c>
      <c r="X120" s="60">
        <f t="shared" si="16"/>
        <v>0</v>
      </c>
      <c r="Y120" s="60">
        <f t="shared" si="4"/>
        <v>0.5990990990990991</v>
      </c>
      <c r="Z120" s="60">
        <f t="shared" si="4"/>
        <v>0.4009009009009009</v>
      </c>
      <c r="AA120" s="60">
        <f t="shared" si="4"/>
        <v>0</v>
      </c>
      <c r="AB120" s="47"/>
    </row>
    <row r="121" spans="1:28" ht="15">
      <c r="A121">
        <v>52</v>
      </c>
      <c r="B121">
        <f t="shared" si="9"/>
      </c>
      <c r="C121" t="s">
        <v>762</v>
      </c>
      <c r="D121" t="s">
        <v>647</v>
      </c>
      <c r="E121" t="s">
        <v>762</v>
      </c>
      <c r="F121" t="s">
        <v>647</v>
      </c>
      <c r="G121" s="47"/>
      <c r="H121" s="23" t="str">
        <f>'Estimate Data'!I121</f>
        <v>M</v>
      </c>
      <c r="I121" s="23" t="str">
        <f>'Estimate Data'!J121</f>
        <v>L</v>
      </c>
      <c r="J121" s="1" t="str">
        <f t="shared" si="8"/>
        <v>ML</v>
      </c>
      <c r="K121" s="57">
        <f>'Estimate Data'!L121</f>
        <v>411</v>
      </c>
      <c r="L121" s="6">
        <f>(VLOOKUP($J121,'Standard Estimate Uncertainty '!$B$10:$D$18,2)*$K121)+$K121</f>
        <v>369.9</v>
      </c>
      <c r="M121" s="6">
        <f>(VLOOKUP($J121,'Standard Estimate Uncertainty '!$B$10:$D$18,3)*$K121)+$K121</f>
        <v>472.65</v>
      </c>
      <c r="N121" s="76">
        <v>439.6291537745869</v>
      </c>
      <c r="O121" s="49"/>
      <c r="P121" s="58"/>
      <c r="Q121" s="58">
        <f>SUM('Estimate Data'!R121)</f>
        <v>0</v>
      </c>
      <c r="R121" s="58">
        <f>SUM('Estimate Data'!S121)</f>
        <v>19</v>
      </c>
      <c r="S121" s="58">
        <f>SUM('Estimate Data'!T121)</f>
        <v>282</v>
      </c>
      <c r="T121" s="58">
        <f>SUM('Estimate Data'!U121)</f>
        <v>110</v>
      </c>
      <c r="U121" s="58">
        <f>SUM('Estimate Data'!V121)</f>
        <v>0</v>
      </c>
      <c r="V121" s="60">
        <f t="shared" si="14"/>
        <v>0</v>
      </c>
      <c r="W121" s="60">
        <f t="shared" si="15"/>
        <v>0</v>
      </c>
      <c r="X121" s="60">
        <f t="shared" si="16"/>
        <v>0.046228710462287104</v>
      </c>
      <c r="Y121" s="60">
        <f t="shared" si="4"/>
        <v>0.6861313868613139</v>
      </c>
      <c r="Z121" s="60">
        <f t="shared" si="4"/>
        <v>0.26763990267639903</v>
      </c>
      <c r="AA121" s="60">
        <f t="shared" si="4"/>
        <v>0</v>
      </c>
      <c r="AB121" s="47"/>
    </row>
    <row r="122" spans="1:28" ht="15">
      <c r="A122">
        <v>53</v>
      </c>
      <c r="B122">
        <f t="shared" si="9"/>
      </c>
      <c r="C122" t="s">
        <v>763</v>
      </c>
      <c r="D122" t="s">
        <v>647</v>
      </c>
      <c r="E122" t="s">
        <v>763</v>
      </c>
      <c r="F122" t="s">
        <v>647</v>
      </c>
      <c r="G122" s="47"/>
      <c r="H122" s="23" t="str">
        <f>'Estimate Data'!I122</f>
        <v>M</v>
      </c>
      <c r="I122" s="23" t="str">
        <f>'Estimate Data'!J122</f>
        <v>L</v>
      </c>
      <c r="J122" s="1" t="str">
        <f t="shared" si="8"/>
        <v>ML</v>
      </c>
      <c r="K122" s="57">
        <f>'Estimate Data'!L122</f>
        <v>165</v>
      </c>
      <c r="L122" s="6">
        <f>(VLOOKUP($J122,'Standard Estimate Uncertainty '!$B$10:$D$18,2)*$K122)+$K122</f>
        <v>148.5</v>
      </c>
      <c r="M122" s="6">
        <f>(VLOOKUP($J122,'Standard Estimate Uncertainty '!$B$10:$D$18,3)*$K122)+$K122</f>
        <v>189.75</v>
      </c>
      <c r="N122" s="76">
        <v>176.49345589490713</v>
      </c>
      <c r="O122" s="49"/>
      <c r="P122" s="58"/>
      <c r="Q122" s="58">
        <f>SUM('Estimate Data'!R122)</f>
        <v>0</v>
      </c>
      <c r="R122" s="58">
        <f>SUM('Estimate Data'!S122)</f>
        <v>10</v>
      </c>
      <c r="S122" s="58">
        <f>SUM('Estimate Data'!T122)</f>
        <v>118</v>
      </c>
      <c r="T122" s="58">
        <f>SUM('Estimate Data'!U122)</f>
        <v>37</v>
      </c>
      <c r="U122" s="58">
        <f>SUM('Estimate Data'!V122)</f>
        <v>0</v>
      </c>
      <c r="V122" s="60">
        <f t="shared" si="14"/>
        <v>0</v>
      </c>
      <c r="W122" s="60">
        <f t="shared" si="15"/>
        <v>0</v>
      </c>
      <c r="X122" s="60">
        <f t="shared" si="16"/>
        <v>0.06060606060606061</v>
      </c>
      <c r="Y122" s="60">
        <f t="shared" si="4"/>
        <v>0.7151515151515152</v>
      </c>
      <c r="Z122" s="60">
        <f t="shared" si="4"/>
        <v>0.22424242424242424</v>
      </c>
      <c r="AA122" s="60">
        <f t="shared" si="4"/>
        <v>0</v>
      </c>
      <c r="AB122" s="47"/>
    </row>
    <row r="123" spans="1:28" ht="15">
      <c r="A123">
        <v>54</v>
      </c>
      <c r="B123">
        <f t="shared" si="9"/>
      </c>
      <c r="C123" t="s">
        <v>764</v>
      </c>
      <c r="D123" t="s">
        <v>647</v>
      </c>
      <c r="E123" t="s">
        <v>764</v>
      </c>
      <c r="F123" t="s">
        <v>647</v>
      </c>
      <c r="G123" s="47"/>
      <c r="H123" s="23" t="str">
        <f>'Estimate Data'!I123</f>
        <v>M</v>
      </c>
      <c r="I123" s="23" t="str">
        <f>'Estimate Data'!J123</f>
        <v>M</v>
      </c>
      <c r="J123" s="1" t="str">
        <f t="shared" si="8"/>
        <v>MM</v>
      </c>
      <c r="K123" s="57">
        <f>'Estimate Data'!L123</f>
        <v>357</v>
      </c>
      <c r="L123" s="6">
        <f>(VLOOKUP($J123,'Standard Estimate Uncertainty '!$B$10:$D$18,2)*$K123)+$K123</f>
        <v>303.45</v>
      </c>
      <c r="M123" s="6">
        <f>(VLOOKUP($J123,'Standard Estimate Uncertainty '!$B$10:$D$18,3)*$K123)+$K123</f>
        <v>446.25</v>
      </c>
      <c r="N123" s="76">
        <v>399.72333206043965</v>
      </c>
      <c r="O123" s="49"/>
      <c r="P123" s="58"/>
      <c r="Q123" s="58">
        <f>SUM('Estimate Data'!R123)</f>
        <v>0</v>
      </c>
      <c r="R123" s="58">
        <f>SUM('Estimate Data'!S123)</f>
        <v>0</v>
      </c>
      <c r="S123" s="58">
        <f>SUM('Estimate Data'!T123)</f>
        <v>262</v>
      </c>
      <c r="T123" s="58">
        <f>SUM('Estimate Data'!U123)</f>
        <v>95</v>
      </c>
      <c r="U123" s="58">
        <f>SUM('Estimate Data'!V123)</f>
        <v>0</v>
      </c>
      <c r="V123" s="60">
        <f t="shared" si="14"/>
        <v>0</v>
      </c>
      <c r="W123" s="60">
        <f t="shared" si="15"/>
        <v>0</v>
      </c>
      <c r="X123" s="60">
        <f t="shared" si="16"/>
        <v>0</v>
      </c>
      <c r="Y123" s="60">
        <f t="shared" si="4"/>
        <v>0.7338935574229691</v>
      </c>
      <c r="Z123" s="60">
        <f t="shared" si="4"/>
        <v>0.2661064425770308</v>
      </c>
      <c r="AA123" s="60">
        <f t="shared" si="4"/>
        <v>0</v>
      </c>
      <c r="AB123" s="47"/>
    </row>
    <row r="124" spans="1:28" ht="15">
      <c r="A124">
        <v>55</v>
      </c>
      <c r="B124">
        <f t="shared" si="9"/>
      </c>
      <c r="C124" t="s">
        <v>765</v>
      </c>
      <c r="D124" t="s">
        <v>647</v>
      </c>
      <c r="E124" t="s">
        <v>765</v>
      </c>
      <c r="F124" t="s">
        <v>647</v>
      </c>
      <c r="G124" s="47"/>
      <c r="H124" s="23" t="str">
        <f>'Estimate Data'!I124</f>
        <v>M</v>
      </c>
      <c r="I124" s="23" t="str">
        <f>'Estimate Data'!J124</f>
        <v>L</v>
      </c>
      <c r="J124" s="1" t="str">
        <f t="shared" si="8"/>
        <v>ML</v>
      </c>
      <c r="K124" s="57">
        <f>'Estimate Data'!L124</f>
        <v>503</v>
      </c>
      <c r="L124" s="6">
        <f>(VLOOKUP($J124,'Standard Estimate Uncertainty '!$B$10:$D$18,2)*$K124)+$K124</f>
        <v>452.7</v>
      </c>
      <c r="M124" s="6">
        <f>(VLOOKUP($J124,'Standard Estimate Uncertainty '!$B$10:$D$18,3)*$K124)+$K124</f>
        <v>578.45</v>
      </c>
      <c r="N124" s="76">
        <v>538.0376261523534</v>
      </c>
      <c r="O124" s="49"/>
      <c r="P124" s="58"/>
      <c r="Q124" s="58">
        <f>SUM('Estimate Data'!R124)</f>
        <v>0</v>
      </c>
      <c r="R124" s="58">
        <f>SUM('Estimate Data'!S124)</f>
        <v>0</v>
      </c>
      <c r="S124" s="58">
        <f>SUM('Estimate Data'!T124)</f>
        <v>349</v>
      </c>
      <c r="T124" s="58">
        <f>SUM('Estimate Data'!U124)</f>
        <v>154</v>
      </c>
      <c r="U124" s="58">
        <f>SUM('Estimate Data'!V124)</f>
        <v>0</v>
      </c>
      <c r="V124" s="60">
        <f t="shared" si="14"/>
        <v>0</v>
      </c>
      <c r="W124" s="60">
        <f t="shared" si="15"/>
        <v>0</v>
      </c>
      <c r="X124" s="60">
        <f t="shared" si="16"/>
        <v>0</v>
      </c>
      <c r="Y124" s="60">
        <f t="shared" si="4"/>
        <v>0.6938369781312127</v>
      </c>
      <c r="Z124" s="60">
        <f t="shared" si="4"/>
        <v>0.3061630218687873</v>
      </c>
      <c r="AA124" s="60">
        <f t="shared" si="4"/>
        <v>0</v>
      </c>
      <c r="AB124" s="47"/>
    </row>
    <row r="125" spans="1:28" ht="15">
      <c r="A125">
        <v>56</v>
      </c>
      <c r="B125">
        <f t="shared" si="9"/>
      </c>
      <c r="C125" t="s">
        <v>766</v>
      </c>
      <c r="D125" t="s">
        <v>647</v>
      </c>
      <c r="E125" t="s">
        <v>766</v>
      </c>
      <c r="F125" t="s">
        <v>647</v>
      </c>
      <c r="G125" s="47"/>
      <c r="H125" s="23" t="str">
        <f>'Estimate Data'!I125</f>
        <v>L</v>
      </c>
      <c r="I125" s="23" t="str">
        <f>'Estimate Data'!J125</f>
        <v>L</v>
      </c>
      <c r="J125" s="1" t="str">
        <f t="shared" si="8"/>
        <v>LL</v>
      </c>
      <c r="K125" s="57">
        <f>'Estimate Data'!L125</f>
        <v>372</v>
      </c>
      <c r="L125" s="6">
        <f>(VLOOKUP($J125,'Standard Estimate Uncertainty '!$B$10:$D$18,2)*$K125)+$K125</f>
        <v>316.2</v>
      </c>
      <c r="M125" s="6">
        <f>(VLOOKUP($J125,'Standard Estimate Uncertainty '!$B$10:$D$18,3)*$K125)+$K125</f>
        <v>465</v>
      </c>
      <c r="N125" s="76">
        <v>418.75777644427006</v>
      </c>
      <c r="O125" s="49"/>
      <c r="P125" s="58"/>
      <c r="Q125" s="58">
        <f>SUM('Estimate Data'!R125)</f>
        <v>0</v>
      </c>
      <c r="R125" s="58">
        <f>SUM('Estimate Data'!S125)</f>
        <v>11</v>
      </c>
      <c r="S125" s="58">
        <f>SUM('Estimate Data'!T125)</f>
        <v>233</v>
      </c>
      <c r="T125" s="58">
        <f>SUM('Estimate Data'!U125)</f>
        <v>128</v>
      </c>
      <c r="U125" s="58">
        <f>SUM('Estimate Data'!V125)</f>
        <v>0</v>
      </c>
      <c r="V125" s="60">
        <f t="shared" si="14"/>
        <v>0</v>
      </c>
      <c r="W125" s="60">
        <f t="shared" si="15"/>
        <v>0</v>
      </c>
      <c r="X125" s="60">
        <f t="shared" si="16"/>
        <v>0.02956989247311828</v>
      </c>
      <c r="Y125" s="60">
        <f aca="true" t="shared" si="17" ref="Y125:Y135">S125/$K125</f>
        <v>0.6263440860215054</v>
      </c>
      <c r="Z125" s="60">
        <f aca="true" t="shared" si="18" ref="Z125:Z135">T125/$K125</f>
        <v>0.34408602150537637</v>
      </c>
      <c r="AA125" s="60">
        <f aca="true" t="shared" si="19" ref="AA125:AA135">U125/$K125</f>
        <v>0</v>
      </c>
      <c r="AB125" s="47"/>
    </row>
    <row r="126" spans="1:28" ht="15">
      <c r="A126">
        <v>58</v>
      </c>
      <c r="B126">
        <f t="shared" si="9"/>
      </c>
      <c r="C126" t="s">
        <v>767</v>
      </c>
      <c r="D126" t="s">
        <v>647</v>
      </c>
      <c r="E126" t="s">
        <v>767</v>
      </c>
      <c r="F126" t="s">
        <v>647</v>
      </c>
      <c r="G126" s="47"/>
      <c r="H126" s="23" t="str">
        <f>'Estimate Data'!I126</f>
        <v>H</v>
      </c>
      <c r="I126" s="23" t="str">
        <f>'Estimate Data'!J126</f>
        <v>L</v>
      </c>
      <c r="J126" s="1" t="str">
        <f t="shared" si="8"/>
        <v>HL</v>
      </c>
      <c r="K126" s="57">
        <f>'Estimate Data'!L126</f>
        <v>65</v>
      </c>
      <c r="L126" s="6">
        <f>(VLOOKUP($J126,'Standard Estimate Uncertainty '!$B$10:$D$18,2)*$K126)+$K126</f>
        <v>61.75</v>
      </c>
      <c r="M126" s="6">
        <f>(VLOOKUP($J126,'Standard Estimate Uncertainty '!$B$10:$D$18,3)*$K126)+$K126</f>
        <v>71.5</v>
      </c>
      <c r="N126" s="76">
        <v>68.24997840411939</v>
      </c>
      <c r="O126" s="49"/>
      <c r="P126" s="58"/>
      <c r="Q126" s="58">
        <f>SUM('Estimate Data'!R126)</f>
        <v>16</v>
      </c>
      <c r="R126" s="58">
        <f>SUM('Estimate Data'!S126)</f>
        <v>13</v>
      </c>
      <c r="S126" s="58">
        <f>SUM('Estimate Data'!T126)</f>
        <v>17</v>
      </c>
      <c r="T126" s="58">
        <f>SUM('Estimate Data'!U126)</f>
        <v>19</v>
      </c>
      <c r="U126" s="58">
        <f>SUM('Estimate Data'!V126)</f>
        <v>0</v>
      </c>
      <c r="V126" s="60">
        <f t="shared" si="14"/>
        <v>0</v>
      </c>
      <c r="W126" s="60">
        <f t="shared" si="15"/>
        <v>0.24615384615384617</v>
      </c>
      <c r="X126" s="60">
        <f t="shared" si="16"/>
        <v>0.2</v>
      </c>
      <c r="Y126" s="60">
        <f t="shared" si="17"/>
        <v>0.26153846153846155</v>
      </c>
      <c r="Z126" s="60">
        <f t="shared" si="18"/>
        <v>0.2923076923076923</v>
      </c>
      <c r="AA126" s="60">
        <f t="shared" si="19"/>
        <v>0</v>
      </c>
      <c r="AB126" s="47"/>
    </row>
    <row r="127" spans="1:28" ht="15">
      <c r="A127">
        <v>61</v>
      </c>
      <c r="B127">
        <f t="shared" si="9"/>
      </c>
      <c r="C127" t="s">
        <v>768</v>
      </c>
      <c r="D127" t="s">
        <v>662</v>
      </c>
      <c r="E127" t="s">
        <v>768</v>
      </c>
      <c r="F127" t="s">
        <v>662</v>
      </c>
      <c r="G127" s="47"/>
      <c r="H127" s="23" t="str">
        <f>'Estimate Data'!I127</f>
        <v>M</v>
      </c>
      <c r="I127" s="23" t="str">
        <f>'Estimate Data'!J127</f>
        <v>L</v>
      </c>
      <c r="J127" s="1" t="str">
        <f t="shared" si="8"/>
        <v>ML</v>
      </c>
      <c r="K127" s="57">
        <f>'Estimate Data'!L127</f>
        <v>113</v>
      </c>
      <c r="L127" s="6">
        <f>(VLOOKUP($J127,'Standard Estimate Uncertainty '!$B$10:$D$18,2)*$K127)+$K127</f>
        <v>101.7</v>
      </c>
      <c r="M127" s="6">
        <f>(VLOOKUP($J127,'Standard Estimate Uncertainty '!$B$10:$D$18,3)*$K127)+$K127</f>
        <v>129.95</v>
      </c>
      <c r="N127" s="76">
        <v>120.87127585530004</v>
      </c>
      <c r="O127" s="49"/>
      <c r="P127" s="58"/>
      <c r="Q127" s="58">
        <f>SUM('Estimate Data'!R127)</f>
        <v>0</v>
      </c>
      <c r="R127" s="58">
        <f>SUM('Estimate Data'!S127)</f>
        <v>0</v>
      </c>
      <c r="S127" s="58">
        <f>SUM('Estimate Data'!T127)</f>
        <v>61</v>
      </c>
      <c r="T127" s="58">
        <f>SUM('Estimate Data'!U127)</f>
        <v>52</v>
      </c>
      <c r="U127" s="58">
        <f>SUM('Estimate Data'!V127)</f>
        <v>0</v>
      </c>
      <c r="V127" s="60">
        <f t="shared" si="14"/>
        <v>0</v>
      </c>
      <c r="W127" s="60">
        <f t="shared" si="15"/>
        <v>0</v>
      </c>
      <c r="X127" s="60">
        <f t="shared" si="16"/>
        <v>0</v>
      </c>
      <c r="Y127" s="60">
        <f t="shared" si="17"/>
        <v>0.5398230088495575</v>
      </c>
      <c r="Z127" s="60">
        <f t="shared" si="18"/>
        <v>0.46017699115044247</v>
      </c>
      <c r="AA127" s="60">
        <f t="shared" si="19"/>
        <v>0</v>
      </c>
      <c r="AB127" s="47"/>
    </row>
    <row r="128" spans="1:28" ht="15">
      <c r="A128">
        <v>62</v>
      </c>
      <c r="B128">
        <f t="shared" si="9"/>
      </c>
      <c r="C128" t="s">
        <v>459</v>
      </c>
      <c r="D128" t="s">
        <v>309</v>
      </c>
      <c r="E128" t="s">
        <v>459</v>
      </c>
      <c r="F128" t="s">
        <v>309</v>
      </c>
      <c r="G128" s="47"/>
      <c r="H128" s="23" t="str">
        <f>'Estimate Data'!I128</f>
        <v>L</v>
      </c>
      <c r="I128" s="406" t="str">
        <f>'Estimate Data'!J128</f>
        <v>H</v>
      </c>
      <c r="J128" s="1" t="str">
        <f t="shared" si="8"/>
        <v>LH</v>
      </c>
      <c r="K128" s="57">
        <f>'Estimate Data'!L128</f>
        <v>803</v>
      </c>
      <c r="L128" s="6">
        <f>(VLOOKUP($J128,'Standard Estimate Uncertainty '!$B$10:$D$18,2)*$K128)+$K128</f>
        <v>562.1</v>
      </c>
      <c r="M128" s="6">
        <f>(VLOOKUP($J128,'Standard Estimate Uncertainty '!$B$10:$D$18,3)*$K128)+$K128</f>
        <v>1284.8</v>
      </c>
      <c r="N128" s="76">
        <v>346.7999814832667</v>
      </c>
      <c r="O128" s="49"/>
      <c r="P128" s="58"/>
      <c r="Q128" s="58">
        <f>SUM('Estimate Data'!R128)</f>
        <v>60</v>
      </c>
      <c r="R128" s="58">
        <f>SUM('Estimate Data'!S128)</f>
        <v>156</v>
      </c>
      <c r="S128" s="58">
        <f>SUM('Estimate Data'!T128)</f>
        <v>385</v>
      </c>
      <c r="T128" s="58">
        <f>SUM('Estimate Data'!U128)</f>
        <v>202</v>
      </c>
      <c r="U128" s="58">
        <f>SUM('Estimate Data'!V128)</f>
        <v>0</v>
      </c>
      <c r="V128" s="60">
        <f t="shared" si="14"/>
        <v>0</v>
      </c>
      <c r="W128" s="60">
        <f t="shared" si="15"/>
        <v>0.074719800747198</v>
      </c>
      <c r="X128" s="60">
        <f t="shared" si="16"/>
        <v>0.19427148194271482</v>
      </c>
      <c r="Y128" s="60">
        <f t="shared" si="17"/>
        <v>0.4794520547945205</v>
      </c>
      <c r="Z128" s="60">
        <f t="shared" si="18"/>
        <v>0.25155666251556663</v>
      </c>
      <c r="AA128" s="60">
        <f t="shared" si="19"/>
        <v>0</v>
      </c>
      <c r="AB128" s="47"/>
    </row>
    <row r="129" spans="2:28" ht="15">
      <c r="B129">
        <f t="shared" si="9"/>
      </c>
      <c r="C129" t="s">
        <v>459</v>
      </c>
      <c r="D129" t="s">
        <v>663</v>
      </c>
      <c r="E129" t="s">
        <v>459</v>
      </c>
      <c r="F129" t="s">
        <v>663</v>
      </c>
      <c r="G129" s="47"/>
      <c r="H129" s="23" t="str">
        <f>'Estimate Data'!I129</f>
        <v>L</v>
      </c>
      <c r="I129" s="406" t="str">
        <f>'Estimate Data'!J129</f>
        <v>H</v>
      </c>
      <c r="J129" s="1" t="str">
        <f t="shared" si="8"/>
        <v>LH</v>
      </c>
      <c r="K129" s="57">
        <f>'Estimate Data'!L129</f>
        <v>764</v>
      </c>
      <c r="L129" s="6">
        <f>(VLOOKUP($J129,'Standard Estimate Uncertainty '!$B$10:$D$18,2)*$K129)+$K129</f>
        <v>534.8</v>
      </c>
      <c r="M129" s="6">
        <f>(VLOOKUP($J129,'Standard Estimate Uncertainty '!$B$10:$D$18,3)*$K129)+$K129</f>
        <v>1222.4</v>
      </c>
      <c r="N129" s="76">
        <v>829.1999557264267</v>
      </c>
      <c r="O129" s="49"/>
      <c r="P129" s="58"/>
      <c r="Q129" s="58">
        <f>SUM('Estimate Data'!R129)</f>
        <v>18</v>
      </c>
      <c r="R129" s="58">
        <f>SUM('Estimate Data'!S129)</f>
        <v>351</v>
      </c>
      <c r="S129" s="58">
        <f>SUM('Estimate Data'!T129)</f>
        <v>138</v>
      </c>
      <c r="T129" s="58">
        <f>SUM('Estimate Data'!U129)</f>
        <v>257</v>
      </c>
      <c r="U129" s="58">
        <f>SUM('Estimate Data'!V129)</f>
        <v>0</v>
      </c>
      <c r="V129" s="60">
        <f t="shared" si="14"/>
        <v>0</v>
      </c>
      <c r="W129" s="60">
        <f t="shared" si="15"/>
        <v>0.02356020942408377</v>
      </c>
      <c r="X129" s="60">
        <f t="shared" si="16"/>
        <v>0.4594240837696335</v>
      </c>
      <c r="Y129" s="60">
        <f t="shared" si="17"/>
        <v>0.1806282722513089</v>
      </c>
      <c r="Z129" s="60">
        <f t="shared" si="18"/>
        <v>0.33638743455497383</v>
      </c>
      <c r="AA129" s="60">
        <f t="shared" si="19"/>
        <v>0</v>
      </c>
      <c r="AB129" s="47"/>
    </row>
    <row r="130" spans="1:28" ht="15">
      <c r="A130">
        <v>63</v>
      </c>
      <c r="B130">
        <f t="shared" si="9"/>
      </c>
      <c r="C130" t="s">
        <v>769</v>
      </c>
      <c r="D130" t="s">
        <v>647</v>
      </c>
      <c r="E130" t="s">
        <v>769</v>
      </c>
      <c r="F130" t="s">
        <v>647</v>
      </c>
      <c r="G130" s="47"/>
      <c r="H130" s="23" t="str">
        <f>'Estimate Data'!I130</f>
        <v>M</v>
      </c>
      <c r="I130" s="23" t="str">
        <f>'Estimate Data'!J130</f>
        <v>L</v>
      </c>
      <c r="J130" s="1" t="str">
        <f t="shared" si="8"/>
        <v>ML</v>
      </c>
      <c r="K130" s="57">
        <f>'Estimate Data'!L130</f>
        <v>109</v>
      </c>
      <c r="L130" s="6">
        <f>(VLOOKUP($J130,'Standard Estimate Uncertainty '!$B$10:$D$18,2)*$K130)+$K130</f>
        <v>98.1</v>
      </c>
      <c r="M130" s="6">
        <f>(VLOOKUP($J130,'Standard Estimate Uncertainty '!$B$10:$D$18,3)*$K130)+$K130</f>
        <v>125.35</v>
      </c>
      <c r="N130" s="76">
        <v>116.5926466214841</v>
      </c>
      <c r="O130" s="49"/>
      <c r="P130" s="58"/>
      <c r="Q130" s="58">
        <f>SUM('Estimate Data'!R130)</f>
        <v>0</v>
      </c>
      <c r="R130" s="58">
        <f>SUM('Estimate Data'!S130)</f>
        <v>0</v>
      </c>
      <c r="S130" s="58">
        <f>SUM('Estimate Data'!T130)</f>
        <v>0</v>
      </c>
      <c r="T130" s="58">
        <f>SUM('Estimate Data'!U130)</f>
        <v>109</v>
      </c>
      <c r="U130" s="58">
        <f>SUM('Estimate Data'!V130)</f>
        <v>0</v>
      </c>
      <c r="V130" s="60">
        <f t="shared" si="14"/>
        <v>0</v>
      </c>
      <c r="W130" s="60">
        <f t="shared" si="15"/>
        <v>0</v>
      </c>
      <c r="X130" s="60">
        <f t="shared" si="16"/>
        <v>0</v>
      </c>
      <c r="Y130" s="60">
        <f t="shared" si="17"/>
        <v>0</v>
      </c>
      <c r="Z130" s="60">
        <f t="shared" si="18"/>
        <v>1</v>
      </c>
      <c r="AA130" s="60">
        <f t="shared" si="19"/>
        <v>0</v>
      </c>
      <c r="AB130" s="47"/>
    </row>
    <row r="131" spans="1:28" ht="15">
      <c r="A131">
        <v>64</v>
      </c>
      <c r="B131">
        <f t="shared" si="9"/>
      </c>
      <c r="C131" t="s">
        <v>902</v>
      </c>
      <c r="D131" t="s">
        <v>647</v>
      </c>
      <c r="E131" t="s">
        <v>902</v>
      </c>
      <c r="F131" t="s">
        <v>647</v>
      </c>
      <c r="G131" s="47"/>
      <c r="H131" s="23" t="str">
        <f>'Estimate Data'!I131</f>
        <v>L</v>
      </c>
      <c r="I131" s="23" t="str">
        <f>'Estimate Data'!J131</f>
        <v>M</v>
      </c>
      <c r="J131" s="1" t="str">
        <f aca="true" t="shared" si="20" ref="J131:J172">CONCATENATE(H131,I131)</f>
        <v>LM</v>
      </c>
      <c r="K131" s="57">
        <f>'Estimate Data'!L131</f>
        <v>633</v>
      </c>
      <c r="L131" s="6">
        <f>(VLOOKUP($J131,'Standard Estimate Uncertainty '!$B$10:$D$18,2)*$K131)+$K131</f>
        <v>506.4</v>
      </c>
      <c r="M131" s="6">
        <f>(VLOOKUP($J131,'Standard Estimate Uncertainty '!$B$10:$D$18,3)*$K131)+$K131</f>
        <v>886.2</v>
      </c>
      <c r="N131" s="76">
        <v>759.5999594425876</v>
      </c>
      <c r="O131" s="49"/>
      <c r="P131" s="58"/>
      <c r="Q131" s="58">
        <f>SUM('Estimate Data'!R131)</f>
        <v>0</v>
      </c>
      <c r="R131" s="58">
        <f>SUM('Estimate Data'!S131)</f>
        <v>0</v>
      </c>
      <c r="S131" s="58">
        <f>SUM('Estimate Data'!T131)</f>
        <v>157</v>
      </c>
      <c r="T131" s="58">
        <f>SUM('Estimate Data'!U131)</f>
        <v>476</v>
      </c>
      <c r="U131" s="58">
        <f>SUM('Estimate Data'!V131)</f>
        <v>0</v>
      </c>
      <c r="V131" s="60">
        <f t="shared" si="14"/>
        <v>0</v>
      </c>
      <c r="W131" s="60">
        <f t="shared" si="15"/>
        <v>0</v>
      </c>
      <c r="X131" s="60">
        <f t="shared" si="16"/>
        <v>0</v>
      </c>
      <c r="Y131" s="60">
        <f t="shared" si="17"/>
        <v>0.2480252764612954</v>
      </c>
      <c r="Z131" s="60">
        <f t="shared" si="18"/>
        <v>0.7519747235387045</v>
      </c>
      <c r="AA131" s="60">
        <f t="shared" si="19"/>
        <v>0</v>
      </c>
      <c r="AB131" s="47"/>
    </row>
    <row r="132" spans="1:28" ht="15">
      <c r="A132">
        <v>73</v>
      </c>
      <c r="B132">
        <f aca="true" t="shared" si="21" ref="B132:B195">IF(C132=E132,"","X")</f>
      </c>
      <c r="C132" t="s">
        <v>770</v>
      </c>
      <c r="D132" t="s">
        <v>647</v>
      </c>
      <c r="E132" t="s">
        <v>770</v>
      </c>
      <c r="F132" t="s">
        <v>647</v>
      </c>
      <c r="G132" s="47"/>
      <c r="H132" s="23" t="str">
        <f>'Estimate Data'!I132</f>
        <v>H</v>
      </c>
      <c r="I132" s="23" t="str">
        <f>'Estimate Data'!J132</f>
        <v>L</v>
      </c>
      <c r="J132" s="1" t="str">
        <f t="shared" si="20"/>
        <v>HL</v>
      </c>
      <c r="K132" s="57">
        <f>'Estimate Data'!L132</f>
        <v>212</v>
      </c>
      <c r="L132" s="6">
        <f>(VLOOKUP($J132,'Standard Estimate Uncertainty '!$B$10:$D$18,2)*$K132)+$K132</f>
        <v>201.4</v>
      </c>
      <c r="M132" s="6">
        <f>(VLOOKUP($J132,'Standard Estimate Uncertainty '!$B$10:$D$18,3)*$K132)+$K132</f>
        <v>233.2</v>
      </c>
      <c r="N132" s="76">
        <v>225.7499285674718</v>
      </c>
      <c r="O132" s="49"/>
      <c r="P132" s="58"/>
      <c r="Q132" s="58">
        <f>SUM('Estimate Data'!R132)</f>
        <v>63</v>
      </c>
      <c r="R132" s="58">
        <f>SUM('Estimate Data'!S132)</f>
        <v>25</v>
      </c>
      <c r="S132" s="58">
        <f>SUM('Estimate Data'!T132)</f>
        <v>124</v>
      </c>
      <c r="T132" s="58">
        <f>SUM('Estimate Data'!U132)</f>
        <v>0</v>
      </c>
      <c r="U132" s="58">
        <f>SUM('Estimate Data'!V132)</f>
        <v>0</v>
      </c>
      <c r="V132" s="60">
        <f t="shared" si="14"/>
        <v>0</v>
      </c>
      <c r="W132" s="60">
        <f t="shared" si="15"/>
        <v>0.2971698113207547</v>
      </c>
      <c r="X132" s="60">
        <f t="shared" si="16"/>
        <v>0.1179245283018868</v>
      </c>
      <c r="Y132" s="60">
        <f t="shared" si="17"/>
        <v>0.5849056603773585</v>
      </c>
      <c r="Z132" s="60">
        <f t="shared" si="18"/>
        <v>0</v>
      </c>
      <c r="AA132" s="60">
        <f t="shared" si="19"/>
        <v>0</v>
      </c>
      <c r="AB132" s="47"/>
    </row>
    <row r="133" spans="1:28" ht="15">
      <c r="A133">
        <v>74</v>
      </c>
      <c r="B133">
        <f t="shared" si="21"/>
      </c>
      <c r="C133" t="s">
        <v>771</v>
      </c>
      <c r="D133" t="s">
        <v>647</v>
      </c>
      <c r="E133" t="s">
        <v>771</v>
      </c>
      <c r="F133" t="s">
        <v>647</v>
      </c>
      <c r="G133" s="47"/>
      <c r="H133" s="23" t="str">
        <f>'Estimate Data'!I133</f>
        <v>L</v>
      </c>
      <c r="I133" s="23" t="str">
        <f>'Estimate Data'!J133</f>
        <v>M</v>
      </c>
      <c r="J133" s="1" t="str">
        <f t="shared" si="20"/>
        <v>LM</v>
      </c>
      <c r="K133" s="57">
        <f>'Estimate Data'!L133</f>
        <v>2323</v>
      </c>
      <c r="L133" s="6">
        <f>(VLOOKUP($J133,'Standard Estimate Uncertainty '!$B$10:$D$18,2)*$K133)+$K133</f>
        <v>1858.4</v>
      </c>
      <c r="M133" s="6">
        <f>(VLOOKUP($J133,'Standard Estimate Uncertainty '!$B$10:$D$18,3)*$K133)+$K133</f>
        <v>3252.2</v>
      </c>
      <c r="N133" s="76">
        <v>3422.3998172673932</v>
      </c>
      <c r="O133" s="49"/>
      <c r="P133" s="58"/>
      <c r="Q133" s="58">
        <f>SUM('Estimate Data'!R133)</f>
        <v>106</v>
      </c>
      <c r="R133" s="58">
        <f>SUM('Estimate Data'!S133)</f>
        <v>156</v>
      </c>
      <c r="S133" s="58">
        <f>SUM('Estimate Data'!T133)</f>
        <v>529</v>
      </c>
      <c r="T133" s="58">
        <f>SUM('Estimate Data'!U133)</f>
        <v>1332</v>
      </c>
      <c r="U133" s="58">
        <f>SUM('Estimate Data'!V133)</f>
        <v>200</v>
      </c>
      <c r="V133" s="60">
        <f t="shared" si="14"/>
        <v>0</v>
      </c>
      <c r="W133" s="60">
        <f t="shared" si="15"/>
        <v>0.04563065002152389</v>
      </c>
      <c r="X133" s="60">
        <f t="shared" si="16"/>
        <v>0.06715454154111063</v>
      </c>
      <c r="Y133" s="60">
        <f t="shared" si="17"/>
        <v>0.22772277227722773</v>
      </c>
      <c r="Z133" s="60">
        <f t="shared" si="18"/>
        <v>0.5733964700817908</v>
      </c>
      <c r="AA133" s="60">
        <f t="shared" si="19"/>
        <v>0.08609556607834697</v>
      </c>
      <c r="AB133" s="47"/>
    </row>
    <row r="134" spans="1:28" ht="15">
      <c r="A134">
        <v>75</v>
      </c>
      <c r="B134">
        <f t="shared" si="21"/>
      </c>
      <c r="C134" t="s">
        <v>772</v>
      </c>
      <c r="D134" t="s">
        <v>887</v>
      </c>
      <c r="E134" t="s">
        <v>772</v>
      </c>
      <c r="F134" t="s">
        <v>887</v>
      </c>
      <c r="G134" s="47"/>
      <c r="H134" s="23" t="str">
        <f>'Estimate Data'!I134</f>
        <v>L</v>
      </c>
      <c r="I134" s="23" t="str">
        <f>'Estimate Data'!J134</f>
        <v>M</v>
      </c>
      <c r="J134" s="1" t="str">
        <f t="shared" si="20"/>
        <v>LM</v>
      </c>
      <c r="K134" s="57">
        <f>'Estimate Data'!L134</f>
        <v>1323</v>
      </c>
      <c r="L134" s="6">
        <f>(VLOOKUP($J134,'Standard Estimate Uncertainty '!$B$10:$D$18,2)*$K134)+$K134</f>
        <v>1058.4</v>
      </c>
      <c r="M134" s="6">
        <f>(VLOOKUP($J134,'Standard Estimate Uncertainty '!$B$10:$D$18,3)*$K134)+$K134</f>
        <v>1852.2</v>
      </c>
      <c r="N134" s="76">
        <v>1587.599915233086</v>
      </c>
      <c r="O134" s="49"/>
      <c r="P134" s="58"/>
      <c r="Q134" s="58">
        <f>SUM('Estimate Data'!R134)</f>
        <v>0</v>
      </c>
      <c r="R134" s="58">
        <f>SUM('Estimate Data'!S134)</f>
        <v>0</v>
      </c>
      <c r="S134" s="58">
        <f>SUM('Estimate Data'!T134)</f>
        <v>352</v>
      </c>
      <c r="T134" s="58">
        <f>SUM('Estimate Data'!U134)</f>
        <v>845</v>
      </c>
      <c r="U134" s="58">
        <f>SUM('Estimate Data'!V134)</f>
        <v>126</v>
      </c>
      <c r="V134" s="60">
        <f t="shared" si="14"/>
        <v>0</v>
      </c>
      <c r="W134" s="60">
        <f t="shared" si="15"/>
        <v>0</v>
      </c>
      <c r="X134" s="60">
        <f t="shared" si="16"/>
        <v>0</v>
      </c>
      <c r="Y134" s="60">
        <f t="shared" si="17"/>
        <v>0.2660619803476946</v>
      </c>
      <c r="Z134" s="60">
        <f t="shared" si="18"/>
        <v>0.6386999244142101</v>
      </c>
      <c r="AA134" s="60">
        <f t="shared" si="19"/>
        <v>0.09523809523809523</v>
      </c>
      <c r="AB134" s="47"/>
    </row>
    <row r="135" spans="2:28" ht="15">
      <c r="B135">
        <f t="shared" si="21"/>
      </c>
      <c r="C135" t="s">
        <v>773</v>
      </c>
      <c r="D135" t="s">
        <v>460</v>
      </c>
      <c r="E135" t="s">
        <v>773</v>
      </c>
      <c r="F135" t="s">
        <v>460</v>
      </c>
      <c r="G135" s="47"/>
      <c r="H135" s="23" t="str">
        <f>'Estimate Data'!I135</f>
        <v>L</v>
      </c>
      <c r="I135" s="23" t="str">
        <f>'Estimate Data'!J135</f>
        <v>M</v>
      </c>
      <c r="J135" s="1" t="str">
        <f t="shared" si="20"/>
        <v>LM</v>
      </c>
      <c r="K135" s="57">
        <f>SUM('Estimate Data'!L135:L159)</f>
        <v>4318</v>
      </c>
      <c r="L135" s="6">
        <f>(VLOOKUP($J135,'Standard Estimate Uncertainty '!$B$10:$D$18,2)*$K135)+$K135</f>
        <v>3454.4</v>
      </c>
      <c r="M135" s="6">
        <f>(VLOOKUP($J135,'Standard Estimate Uncertainty '!$B$10:$D$18,3)*$K135)+$K135</f>
        <v>6045.2</v>
      </c>
      <c r="N135" s="76">
        <v>5141.999725452588</v>
      </c>
      <c r="O135" s="49"/>
      <c r="P135" s="58"/>
      <c r="Q135" s="58">
        <f>SUM('Estimate Data'!R135)</f>
        <v>0</v>
      </c>
      <c r="R135" s="58">
        <f>SUM('Estimate Data'!S135)</f>
        <v>0</v>
      </c>
      <c r="S135" s="58">
        <f>SUM('Estimate Data'!T135)</f>
        <v>330</v>
      </c>
      <c r="T135" s="58">
        <f>SUM('Estimate Data'!U135)</f>
        <v>0</v>
      </c>
      <c r="U135" s="58">
        <f>SUM('Estimate Data'!V135)</f>
        <v>0</v>
      </c>
      <c r="V135" s="60">
        <f t="shared" si="14"/>
        <v>0</v>
      </c>
      <c r="W135" s="60">
        <f t="shared" si="15"/>
        <v>0</v>
      </c>
      <c r="X135" s="60">
        <f t="shared" si="16"/>
        <v>0</v>
      </c>
      <c r="Y135" s="60">
        <f t="shared" si="17"/>
        <v>0.07642427049559981</v>
      </c>
      <c r="Z135" s="60">
        <f t="shared" si="18"/>
        <v>0</v>
      </c>
      <c r="AA135" s="60">
        <f t="shared" si="19"/>
        <v>0</v>
      </c>
      <c r="AB135" s="47"/>
    </row>
    <row r="136" spans="2:28" ht="15">
      <c r="B136">
        <f t="shared" si="21"/>
      </c>
      <c r="C136" t="s">
        <v>773</v>
      </c>
      <c r="D136" t="s">
        <v>469</v>
      </c>
      <c r="E136" t="s">
        <v>773</v>
      </c>
      <c r="F136" t="s">
        <v>469</v>
      </c>
      <c r="G136" s="47"/>
      <c r="H136" s="23" t="str">
        <f>'Estimate Data'!I136</f>
        <v>L</v>
      </c>
      <c r="I136" s="23" t="str">
        <f>'Estimate Data'!J136</f>
        <v>M</v>
      </c>
      <c r="J136" s="1" t="str">
        <f t="shared" si="20"/>
        <v>LM</v>
      </c>
      <c r="K136" s="396" t="s">
        <v>963</v>
      </c>
      <c r="L136" s="396"/>
      <c r="M136" s="396"/>
      <c r="N136" s="82"/>
      <c r="O136" s="49"/>
      <c r="P136" s="58"/>
      <c r="Q136" s="58">
        <f>SUM('Estimate Data'!R136)</f>
        <v>0</v>
      </c>
      <c r="R136" s="58">
        <f>SUM('Estimate Data'!S136)</f>
        <v>0</v>
      </c>
      <c r="S136" s="58">
        <f>SUM('Estimate Data'!T136)</f>
        <v>3</v>
      </c>
      <c r="T136" s="58">
        <f>SUM('Estimate Data'!U136)</f>
        <v>0</v>
      </c>
      <c r="U136" s="58">
        <f>SUM('Estimate Data'!V136)</f>
        <v>0</v>
      </c>
      <c r="V136" s="60"/>
      <c r="W136" s="60"/>
      <c r="X136" s="60"/>
      <c r="Y136" s="60"/>
      <c r="Z136" s="60"/>
      <c r="AA136" s="60"/>
      <c r="AB136" s="47"/>
    </row>
    <row r="137" spans="2:28" ht="15">
      <c r="B137">
        <f t="shared" si="21"/>
      </c>
      <c r="C137" t="s">
        <v>773</v>
      </c>
      <c r="D137" t="s">
        <v>470</v>
      </c>
      <c r="E137" t="s">
        <v>773</v>
      </c>
      <c r="F137" t="s">
        <v>470</v>
      </c>
      <c r="G137" s="47"/>
      <c r="H137" s="23" t="str">
        <f>'Estimate Data'!I137</f>
        <v>L</v>
      </c>
      <c r="I137" s="23" t="str">
        <f>'Estimate Data'!J137</f>
        <v>M</v>
      </c>
      <c r="J137" s="1" t="str">
        <f t="shared" si="20"/>
        <v>LM</v>
      </c>
      <c r="K137" s="396" t="s">
        <v>963</v>
      </c>
      <c r="L137" s="396"/>
      <c r="M137" s="396"/>
      <c r="N137" s="82"/>
      <c r="O137" s="49"/>
      <c r="P137" s="58"/>
      <c r="Q137" s="58">
        <f>SUM('Estimate Data'!R137)</f>
        <v>0</v>
      </c>
      <c r="R137" s="58">
        <f>SUM('Estimate Data'!S137)</f>
        <v>0</v>
      </c>
      <c r="S137" s="58">
        <f>SUM('Estimate Data'!T137)</f>
        <v>178</v>
      </c>
      <c r="T137" s="58">
        <f>SUM('Estimate Data'!U137)</f>
        <v>124</v>
      </c>
      <c r="U137" s="58">
        <f>SUM('Estimate Data'!V137)</f>
        <v>0</v>
      </c>
      <c r="V137" s="60"/>
      <c r="W137" s="60"/>
      <c r="X137" s="60"/>
      <c r="Y137" s="60"/>
      <c r="Z137" s="60"/>
      <c r="AA137" s="60"/>
      <c r="AB137" s="47"/>
    </row>
    <row r="138" spans="2:28" ht="15">
      <c r="B138">
        <f t="shared" si="21"/>
      </c>
      <c r="C138" t="s">
        <v>773</v>
      </c>
      <c r="D138" t="s">
        <v>471</v>
      </c>
      <c r="E138" t="s">
        <v>773</v>
      </c>
      <c r="F138" t="s">
        <v>471</v>
      </c>
      <c r="G138" s="47"/>
      <c r="H138" s="23" t="str">
        <f>'Estimate Data'!I138</f>
        <v>L</v>
      </c>
      <c r="I138" s="23" t="str">
        <f>'Estimate Data'!J138</f>
        <v>M</v>
      </c>
      <c r="J138" s="1" t="str">
        <f t="shared" si="20"/>
        <v>LM</v>
      </c>
      <c r="K138" s="396" t="s">
        <v>963</v>
      </c>
      <c r="L138" s="396"/>
      <c r="M138" s="396"/>
      <c r="N138" s="82"/>
      <c r="O138" s="49"/>
      <c r="P138" s="58"/>
      <c r="Q138" s="58">
        <f>SUM('Estimate Data'!R138)</f>
        <v>0</v>
      </c>
      <c r="R138" s="58">
        <f>SUM('Estimate Data'!S138)</f>
        <v>0</v>
      </c>
      <c r="S138" s="58">
        <f>SUM('Estimate Data'!T138)</f>
        <v>25</v>
      </c>
      <c r="T138" s="58">
        <f>SUM('Estimate Data'!U138)</f>
        <v>204</v>
      </c>
      <c r="U138" s="58">
        <f>SUM('Estimate Data'!V138)</f>
        <v>0</v>
      </c>
      <c r="V138" s="60"/>
      <c r="W138" s="60"/>
      <c r="X138" s="60"/>
      <c r="Y138" s="60"/>
      <c r="Z138" s="60"/>
      <c r="AA138" s="60"/>
      <c r="AB138" s="47"/>
    </row>
    <row r="139" spans="2:28" ht="15">
      <c r="B139">
        <f t="shared" si="21"/>
      </c>
      <c r="C139" t="s">
        <v>773</v>
      </c>
      <c r="D139" t="s">
        <v>472</v>
      </c>
      <c r="E139" t="s">
        <v>773</v>
      </c>
      <c r="F139" t="s">
        <v>472</v>
      </c>
      <c r="G139" s="47"/>
      <c r="H139" s="23" t="str">
        <f>'Estimate Data'!I139</f>
        <v>L</v>
      </c>
      <c r="I139" s="23" t="str">
        <f>'Estimate Data'!J139</f>
        <v>M</v>
      </c>
      <c r="J139" s="1" t="str">
        <f t="shared" si="20"/>
        <v>LM</v>
      </c>
      <c r="K139" s="396" t="s">
        <v>963</v>
      </c>
      <c r="L139" s="396"/>
      <c r="M139" s="396"/>
      <c r="N139" s="82"/>
      <c r="O139" s="49"/>
      <c r="P139" s="58"/>
      <c r="Q139" s="58">
        <f>SUM('Estimate Data'!R139)</f>
        <v>0</v>
      </c>
      <c r="R139" s="58">
        <f>SUM('Estimate Data'!S139)</f>
        <v>0</v>
      </c>
      <c r="S139" s="58">
        <f>SUM('Estimate Data'!T139)</f>
        <v>0</v>
      </c>
      <c r="T139" s="58">
        <f>SUM('Estimate Data'!U139)</f>
        <v>1</v>
      </c>
      <c r="U139" s="58">
        <f>SUM('Estimate Data'!V139)</f>
        <v>0</v>
      </c>
      <c r="V139" s="60"/>
      <c r="W139" s="60"/>
      <c r="X139" s="60"/>
      <c r="Y139" s="60"/>
      <c r="Z139" s="60"/>
      <c r="AA139" s="60"/>
      <c r="AB139" s="47"/>
    </row>
    <row r="140" spans="2:28" ht="15">
      <c r="B140">
        <f t="shared" si="21"/>
      </c>
      <c r="C140" t="s">
        <v>773</v>
      </c>
      <c r="D140" t="s">
        <v>473</v>
      </c>
      <c r="E140" t="s">
        <v>773</v>
      </c>
      <c r="F140" t="s">
        <v>473</v>
      </c>
      <c r="G140" s="47"/>
      <c r="H140" s="23" t="str">
        <f>'Estimate Data'!I140</f>
        <v>L</v>
      </c>
      <c r="I140" s="23" t="str">
        <f>'Estimate Data'!J140</f>
        <v>M</v>
      </c>
      <c r="J140" s="1" t="str">
        <f t="shared" si="20"/>
        <v>LM</v>
      </c>
      <c r="K140" s="396" t="s">
        <v>963</v>
      </c>
      <c r="L140" s="396"/>
      <c r="M140" s="396"/>
      <c r="N140" s="82"/>
      <c r="O140" s="49"/>
      <c r="P140" s="58"/>
      <c r="Q140" s="58">
        <f>SUM('Estimate Data'!R140)</f>
        <v>0</v>
      </c>
      <c r="R140" s="58">
        <f>SUM('Estimate Data'!S140)</f>
        <v>0</v>
      </c>
      <c r="S140" s="58">
        <f>SUM('Estimate Data'!T140)</f>
        <v>10</v>
      </c>
      <c r="T140" s="58">
        <f>SUM('Estimate Data'!U140)</f>
        <v>500</v>
      </c>
      <c r="U140" s="58">
        <f>SUM('Estimate Data'!V140)</f>
        <v>0</v>
      </c>
      <c r="V140" s="60"/>
      <c r="W140" s="60"/>
      <c r="X140" s="60"/>
      <c r="Y140" s="60"/>
      <c r="Z140" s="60"/>
      <c r="AA140" s="60"/>
      <c r="AB140" s="47"/>
    </row>
    <row r="141" spans="2:28" ht="15">
      <c r="B141">
        <f t="shared" si="21"/>
      </c>
      <c r="C141" t="s">
        <v>773</v>
      </c>
      <c r="D141" t="s">
        <v>474</v>
      </c>
      <c r="E141" t="s">
        <v>773</v>
      </c>
      <c r="F141" t="s">
        <v>474</v>
      </c>
      <c r="G141" s="47"/>
      <c r="H141" s="23" t="str">
        <f>'Estimate Data'!I141</f>
        <v>L</v>
      </c>
      <c r="I141" s="23" t="str">
        <f>'Estimate Data'!J141</f>
        <v>M</v>
      </c>
      <c r="J141" s="1" t="str">
        <f t="shared" si="20"/>
        <v>LM</v>
      </c>
      <c r="K141" s="396" t="s">
        <v>963</v>
      </c>
      <c r="L141" s="396"/>
      <c r="M141" s="396"/>
      <c r="N141" s="82"/>
      <c r="O141" s="49"/>
      <c r="P141" s="58"/>
      <c r="Q141" s="58">
        <f>SUM('Estimate Data'!R141)</f>
        <v>0</v>
      </c>
      <c r="R141" s="58">
        <f>SUM('Estimate Data'!S141)</f>
        <v>0</v>
      </c>
      <c r="S141" s="58">
        <f>SUM('Estimate Data'!T141)</f>
        <v>0</v>
      </c>
      <c r="T141" s="58">
        <f>SUM('Estimate Data'!U141)</f>
        <v>482</v>
      </c>
      <c r="U141" s="58">
        <f>SUM('Estimate Data'!V141)</f>
        <v>0</v>
      </c>
      <c r="V141" s="60"/>
      <c r="W141" s="60"/>
      <c r="X141" s="60"/>
      <c r="Y141" s="60"/>
      <c r="Z141" s="60"/>
      <c r="AA141" s="60"/>
      <c r="AB141" s="47"/>
    </row>
    <row r="142" spans="2:28" ht="15">
      <c r="B142">
        <f t="shared" si="21"/>
      </c>
      <c r="C142" t="s">
        <v>773</v>
      </c>
      <c r="D142" t="s">
        <v>475</v>
      </c>
      <c r="E142" t="s">
        <v>773</v>
      </c>
      <c r="F142" t="s">
        <v>475</v>
      </c>
      <c r="G142" s="47"/>
      <c r="H142" s="23" t="str">
        <f>'Estimate Data'!I142</f>
        <v>L</v>
      </c>
      <c r="I142" s="23" t="str">
        <f>'Estimate Data'!J142</f>
        <v>M</v>
      </c>
      <c r="J142" s="1" t="str">
        <f t="shared" si="20"/>
        <v>LM</v>
      </c>
      <c r="K142" s="396" t="s">
        <v>963</v>
      </c>
      <c r="L142" s="396"/>
      <c r="M142" s="396"/>
      <c r="N142" s="82"/>
      <c r="O142" s="49"/>
      <c r="P142" s="58"/>
      <c r="Q142" s="58">
        <f>SUM('Estimate Data'!R142)</f>
        <v>0</v>
      </c>
      <c r="R142" s="58">
        <f>SUM('Estimate Data'!S142)</f>
        <v>0</v>
      </c>
      <c r="S142" s="58">
        <f>SUM('Estimate Data'!T142)</f>
        <v>0</v>
      </c>
      <c r="T142" s="58">
        <f>SUM('Estimate Data'!U142)</f>
        <v>37</v>
      </c>
      <c r="U142" s="58">
        <f>SUM('Estimate Data'!V142)</f>
        <v>0</v>
      </c>
      <c r="V142" s="60"/>
      <c r="W142" s="60"/>
      <c r="X142" s="60"/>
      <c r="Y142" s="60"/>
      <c r="Z142" s="60"/>
      <c r="AA142" s="60"/>
      <c r="AB142" s="47"/>
    </row>
    <row r="143" spans="2:28" ht="15">
      <c r="B143">
        <f t="shared" si="21"/>
      </c>
      <c r="C143" t="s">
        <v>773</v>
      </c>
      <c r="D143" t="s">
        <v>476</v>
      </c>
      <c r="E143" t="s">
        <v>773</v>
      </c>
      <c r="F143" t="s">
        <v>476</v>
      </c>
      <c r="G143" s="47"/>
      <c r="H143" s="23" t="str">
        <f>'Estimate Data'!I143</f>
        <v>L</v>
      </c>
      <c r="I143" s="23" t="str">
        <f>'Estimate Data'!J143</f>
        <v>M</v>
      </c>
      <c r="J143" s="1" t="str">
        <f t="shared" si="20"/>
        <v>LM</v>
      </c>
      <c r="K143" s="396" t="s">
        <v>963</v>
      </c>
      <c r="L143" s="396"/>
      <c r="M143" s="396"/>
      <c r="N143" s="82"/>
      <c r="O143" s="49"/>
      <c r="P143" s="58"/>
      <c r="Q143" s="58">
        <f>SUM('Estimate Data'!R143)</f>
        <v>0</v>
      </c>
      <c r="R143" s="58">
        <f>SUM('Estimate Data'!S143)</f>
        <v>0</v>
      </c>
      <c r="S143" s="58">
        <f>SUM('Estimate Data'!T143)</f>
        <v>0</v>
      </c>
      <c r="T143" s="58">
        <f>SUM('Estimate Data'!U143)</f>
        <v>7</v>
      </c>
      <c r="U143" s="58">
        <f>SUM('Estimate Data'!V143)</f>
        <v>0</v>
      </c>
      <c r="V143" s="60"/>
      <c r="W143" s="60"/>
      <c r="X143" s="60"/>
      <c r="Y143" s="60"/>
      <c r="Z143" s="60"/>
      <c r="AA143" s="60"/>
      <c r="AB143" s="47"/>
    </row>
    <row r="144" spans="2:28" ht="15">
      <c r="B144">
        <f t="shared" si="21"/>
      </c>
      <c r="C144" t="s">
        <v>773</v>
      </c>
      <c r="D144" t="s">
        <v>477</v>
      </c>
      <c r="E144" t="s">
        <v>773</v>
      </c>
      <c r="F144" t="s">
        <v>477</v>
      </c>
      <c r="G144" s="47"/>
      <c r="H144" s="23" t="str">
        <f>'Estimate Data'!I144</f>
        <v>L</v>
      </c>
      <c r="I144" s="23" t="str">
        <f>'Estimate Data'!J144</f>
        <v>M</v>
      </c>
      <c r="J144" s="1" t="str">
        <f t="shared" si="20"/>
        <v>LM</v>
      </c>
      <c r="K144" s="396" t="s">
        <v>963</v>
      </c>
      <c r="L144" s="396"/>
      <c r="M144" s="396"/>
      <c r="N144" s="82"/>
      <c r="O144" s="49"/>
      <c r="P144" s="58"/>
      <c r="Q144" s="58">
        <f>SUM('Estimate Data'!R144)</f>
        <v>0</v>
      </c>
      <c r="R144" s="58">
        <f>SUM('Estimate Data'!S144)</f>
        <v>0</v>
      </c>
      <c r="S144" s="58">
        <f>SUM('Estimate Data'!T144)</f>
        <v>0</v>
      </c>
      <c r="T144" s="58">
        <f>SUM('Estimate Data'!U144)</f>
        <v>56</v>
      </c>
      <c r="U144" s="58">
        <f>SUM('Estimate Data'!V144)</f>
        <v>0</v>
      </c>
      <c r="V144" s="60"/>
      <c r="W144" s="60"/>
      <c r="X144" s="60"/>
      <c r="Y144" s="60"/>
      <c r="Z144" s="60"/>
      <c r="AA144" s="60"/>
      <c r="AB144" s="47"/>
    </row>
    <row r="145" spans="2:28" ht="15">
      <c r="B145">
        <f t="shared" si="21"/>
      </c>
      <c r="C145" t="s">
        <v>773</v>
      </c>
      <c r="D145" t="s">
        <v>478</v>
      </c>
      <c r="E145" t="s">
        <v>773</v>
      </c>
      <c r="F145" t="s">
        <v>478</v>
      </c>
      <c r="G145" s="47"/>
      <c r="H145" s="23" t="str">
        <f>'Estimate Data'!I145</f>
        <v>L</v>
      </c>
      <c r="I145" s="23" t="str">
        <f>'Estimate Data'!J145</f>
        <v>M</v>
      </c>
      <c r="J145" s="1" t="str">
        <f t="shared" si="20"/>
        <v>LM</v>
      </c>
      <c r="K145" s="396" t="s">
        <v>963</v>
      </c>
      <c r="L145" s="396"/>
      <c r="M145" s="396"/>
      <c r="N145" s="82"/>
      <c r="O145" s="49"/>
      <c r="P145" s="58"/>
      <c r="Q145" s="58">
        <f>SUM('Estimate Data'!R145)</f>
        <v>0</v>
      </c>
      <c r="R145" s="58">
        <f>SUM('Estimate Data'!S145)</f>
        <v>0</v>
      </c>
      <c r="S145" s="58">
        <f>SUM('Estimate Data'!T145)</f>
        <v>0</v>
      </c>
      <c r="T145" s="58">
        <f>SUM('Estimate Data'!U145)</f>
        <v>145</v>
      </c>
      <c r="U145" s="58">
        <f>SUM('Estimate Data'!V145)</f>
        <v>0</v>
      </c>
      <c r="V145" s="60"/>
      <c r="W145" s="60"/>
      <c r="X145" s="60"/>
      <c r="Y145" s="60"/>
      <c r="Z145" s="60"/>
      <c r="AA145" s="60"/>
      <c r="AB145" s="47"/>
    </row>
    <row r="146" spans="2:28" ht="15">
      <c r="B146">
        <f t="shared" si="21"/>
      </c>
      <c r="C146" t="s">
        <v>773</v>
      </c>
      <c r="D146" t="s">
        <v>461</v>
      </c>
      <c r="E146" t="s">
        <v>773</v>
      </c>
      <c r="F146" t="s">
        <v>461</v>
      </c>
      <c r="G146" s="47"/>
      <c r="H146" s="23" t="str">
        <f>'Estimate Data'!I146</f>
        <v>L</v>
      </c>
      <c r="I146" s="23" t="str">
        <f>'Estimate Data'!J146</f>
        <v>M</v>
      </c>
      <c r="J146" s="1" t="str">
        <f t="shared" si="20"/>
        <v>LM</v>
      </c>
      <c r="K146" s="396" t="s">
        <v>963</v>
      </c>
      <c r="L146" s="396"/>
      <c r="M146" s="396"/>
      <c r="N146" s="82"/>
      <c r="O146" s="49"/>
      <c r="P146" s="58"/>
      <c r="Q146" s="58">
        <f>SUM('Estimate Data'!R146)</f>
        <v>0</v>
      </c>
      <c r="R146" s="58">
        <f>SUM('Estimate Data'!S146)</f>
        <v>0</v>
      </c>
      <c r="S146" s="58">
        <f>SUM('Estimate Data'!T146)</f>
        <v>203</v>
      </c>
      <c r="T146" s="58">
        <f>SUM('Estimate Data'!U146)</f>
        <v>0</v>
      </c>
      <c r="U146" s="58">
        <f>SUM('Estimate Data'!V146)</f>
        <v>0</v>
      </c>
      <c r="V146" s="60"/>
      <c r="W146" s="60"/>
      <c r="X146" s="60"/>
      <c r="Y146" s="60"/>
      <c r="Z146" s="60"/>
      <c r="AA146" s="60"/>
      <c r="AB146" s="47"/>
    </row>
    <row r="147" spans="2:28" ht="15">
      <c r="B147">
        <f t="shared" si="21"/>
      </c>
      <c r="C147" t="s">
        <v>773</v>
      </c>
      <c r="D147" t="s">
        <v>479</v>
      </c>
      <c r="E147" t="s">
        <v>773</v>
      </c>
      <c r="F147" t="s">
        <v>479</v>
      </c>
      <c r="G147" s="47"/>
      <c r="H147" s="23" t="str">
        <f>'Estimate Data'!I147</f>
        <v>L</v>
      </c>
      <c r="I147" s="23" t="str">
        <f>'Estimate Data'!J147</f>
        <v>M</v>
      </c>
      <c r="J147" s="1" t="str">
        <f t="shared" si="20"/>
        <v>LM</v>
      </c>
      <c r="K147" s="396" t="s">
        <v>963</v>
      </c>
      <c r="L147" s="396"/>
      <c r="M147" s="396"/>
      <c r="N147" s="82"/>
      <c r="O147" s="49"/>
      <c r="P147" s="58"/>
      <c r="Q147" s="58">
        <f>SUM('Estimate Data'!R147)</f>
        <v>0</v>
      </c>
      <c r="R147" s="58">
        <f>SUM('Estimate Data'!S147)</f>
        <v>0</v>
      </c>
      <c r="S147" s="58">
        <f>SUM('Estimate Data'!T147)</f>
        <v>0</v>
      </c>
      <c r="T147" s="58">
        <f>SUM('Estimate Data'!U147)</f>
        <v>109</v>
      </c>
      <c r="U147" s="58">
        <f>SUM('Estimate Data'!V147)</f>
        <v>0</v>
      </c>
      <c r="V147" s="60"/>
      <c r="W147" s="60"/>
      <c r="X147" s="60"/>
      <c r="Y147" s="60"/>
      <c r="Z147" s="60"/>
      <c r="AA147" s="60"/>
      <c r="AB147" s="47"/>
    </row>
    <row r="148" spans="2:28" ht="15">
      <c r="B148">
        <f t="shared" si="21"/>
      </c>
      <c r="C148" t="s">
        <v>773</v>
      </c>
      <c r="D148" t="s">
        <v>480</v>
      </c>
      <c r="E148" t="s">
        <v>773</v>
      </c>
      <c r="F148" t="s">
        <v>480</v>
      </c>
      <c r="G148" s="47"/>
      <c r="H148" s="23" t="str">
        <f>'Estimate Data'!I148</f>
        <v>L</v>
      </c>
      <c r="I148" s="23" t="str">
        <f>'Estimate Data'!J148</f>
        <v>M</v>
      </c>
      <c r="J148" s="1" t="str">
        <f t="shared" si="20"/>
        <v>LM</v>
      </c>
      <c r="K148" s="396" t="s">
        <v>963</v>
      </c>
      <c r="L148" s="396"/>
      <c r="M148" s="396"/>
      <c r="N148" s="82"/>
      <c r="O148" s="49"/>
      <c r="P148" s="58"/>
      <c r="Q148" s="58">
        <f>SUM('Estimate Data'!R148)</f>
        <v>0</v>
      </c>
      <c r="R148" s="58">
        <f>SUM('Estimate Data'!S148)</f>
        <v>0</v>
      </c>
      <c r="S148" s="58">
        <f>SUM('Estimate Data'!T148)</f>
        <v>0</v>
      </c>
      <c r="T148" s="58">
        <f>SUM('Estimate Data'!U148)</f>
        <v>37</v>
      </c>
      <c r="U148" s="58">
        <f>SUM('Estimate Data'!V148)</f>
        <v>0</v>
      </c>
      <c r="V148" s="60"/>
      <c r="W148" s="60"/>
      <c r="X148" s="60"/>
      <c r="Y148" s="60"/>
      <c r="Z148" s="60"/>
      <c r="AA148" s="60"/>
      <c r="AB148" s="47"/>
    </row>
    <row r="149" spans="2:28" ht="15">
      <c r="B149">
        <f t="shared" si="21"/>
      </c>
      <c r="C149" t="s">
        <v>773</v>
      </c>
      <c r="D149" t="s">
        <v>481</v>
      </c>
      <c r="E149" t="s">
        <v>773</v>
      </c>
      <c r="F149" t="s">
        <v>481</v>
      </c>
      <c r="G149" s="47"/>
      <c r="H149" s="23" t="str">
        <f>'Estimate Data'!I149</f>
        <v>L</v>
      </c>
      <c r="I149" s="23" t="str">
        <f>'Estimate Data'!J149</f>
        <v>M</v>
      </c>
      <c r="J149" s="1" t="str">
        <f t="shared" si="20"/>
        <v>LM</v>
      </c>
      <c r="K149" s="396" t="s">
        <v>963</v>
      </c>
      <c r="L149" s="396"/>
      <c r="M149" s="396"/>
      <c r="N149" s="82"/>
      <c r="O149" s="49"/>
      <c r="P149" s="58"/>
      <c r="Q149" s="58">
        <f>SUM('Estimate Data'!R149)</f>
        <v>0</v>
      </c>
      <c r="R149" s="58">
        <f>SUM('Estimate Data'!S149)</f>
        <v>0</v>
      </c>
      <c r="S149" s="58">
        <f>SUM('Estimate Data'!T149)</f>
        <v>0</v>
      </c>
      <c r="T149" s="58">
        <f>SUM('Estimate Data'!U149)</f>
        <v>66</v>
      </c>
      <c r="U149" s="58">
        <f>SUM('Estimate Data'!V149)</f>
        <v>0</v>
      </c>
      <c r="V149" s="60"/>
      <c r="W149" s="60"/>
      <c r="X149" s="60"/>
      <c r="Y149" s="60"/>
      <c r="Z149" s="60"/>
      <c r="AA149" s="60"/>
      <c r="AB149" s="47"/>
    </row>
    <row r="150" spans="2:28" ht="15">
      <c r="B150">
        <f t="shared" si="21"/>
      </c>
      <c r="C150" t="s">
        <v>773</v>
      </c>
      <c r="D150" t="s">
        <v>482</v>
      </c>
      <c r="E150" t="s">
        <v>773</v>
      </c>
      <c r="F150" t="s">
        <v>482</v>
      </c>
      <c r="G150" s="47"/>
      <c r="H150" s="23" t="str">
        <f>'Estimate Data'!I150</f>
        <v>L</v>
      </c>
      <c r="I150" s="23" t="str">
        <f>'Estimate Data'!J150</f>
        <v>M</v>
      </c>
      <c r="J150" s="1" t="str">
        <f t="shared" si="20"/>
        <v>LM</v>
      </c>
      <c r="K150" s="396" t="s">
        <v>963</v>
      </c>
      <c r="L150" s="396"/>
      <c r="M150" s="396"/>
      <c r="N150" s="82"/>
      <c r="O150" s="49"/>
      <c r="P150" s="58"/>
      <c r="Q150" s="58">
        <f>SUM('Estimate Data'!R150)</f>
        <v>0</v>
      </c>
      <c r="R150" s="58">
        <f>SUM('Estimate Data'!S150)</f>
        <v>0</v>
      </c>
      <c r="S150" s="58">
        <f>SUM('Estimate Data'!T150)</f>
        <v>0</v>
      </c>
      <c r="T150" s="58">
        <f>SUM('Estimate Data'!U150)</f>
        <v>283</v>
      </c>
      <c r="U150" s="58">
        <f>SUM('Estimate Data'!V150)</f>
        <v>0</v>
      </c>
      <c r="V150" s="60"/>
      <c r="W150" s="60"/>
      <c r="X150" s="60"/>
      <c r="Y150" s="60"/>
      <c r="Z150" s="60"/>
      <c r="AA150" s="60"/>
      <c r="AB150" s="47"/>
    </row>
    <row r="151" spans="2:28" ht="15">
      <c r="B151">
        <f t="shared" si="21"/>
      </c>
      <c r="C151" t="s">
        <v>773</v>
      </c>
      <c r="D151" t="s">
        <v>483</v>
      </c>
      <c r="E151" t="s">
        <v>773</v>
      </c>
      <c r="F151" t="s">
        <v>483</v>
      </c>
      <c r="G151" s="47"/>
      <c r="H151" s="23" t="str">
        <f>'Estimate Data'!I151</f>
        <v>L</v>
      </c>
      <c r="I151" s="23" t="str">
        <f>'Estimate Data'!J151</f>
        <v>M</v>
      </c>
      <c r="J151" s="1" t="str">
        <f t="shared" si="20"/>
        <v>LM</v>
      </c>
      <c r="K151" s="396" t="s">
        <v>963</v>
      </c>
      <c r="L151" s="396"/>
      <c r="M151" s="396"/>
      <c r="N151" s="82"/>
      <c r="O151" s="49"/>
      <c r="P151" s="58"/>
      <c r="Q151" s="58">
        <f>SUM('Estimate Data'!R151)</f>
        <v>0</v>
      </c>
      <c r="R151" s="58">
        <f>SUM('Estimate Data'!S151)</f>
        <v>0</v>
      </c>
      <c r="S151" s="58">
        <f>SUM('Estimate Data'!T151)</f>
        <v>0</v>
      </c>
      <c r="T151" s="58">
        <f>SUM('Estimate Data'!U151)</f>
        <v>123</v>
      </c>
      <c r="U151" s="58">
        <f>SUM('Estimate Data'!V151)</f>
        <v>156</v>
      </c>
      <c r="V151" s="60"/>
      <c r="W151" s="60"/>
      <c r="X151" s="60"/>
      <c r="Y151" s="60"/>
      <c r="Z151" s="60"/>
      <c r="AA151" s="60"/>
      <c r="AB151" s="47"/>
    </row>
    <row r="152" spans="2:28" ht="15">
      <c r="B152">
        <f t="shared" si="21"/>
      </c>
      <c r="C152" t="s">
        <v>773</v>
      </c>
      <c r="D152" t="s">
        <v>484</v>
      </c>
      <c r="E152" t="s">
        <v>773</v>
      </c>
      <c r="F152" t="s">
        <v>484</v>
      </c>
      <c r="G152" s="47"/>
      <c r="H152" s="23" t="str">
        <f>'Estimate Data'!I152</f>
        <v>L</v>
      </c>
      <c r="I152" s="23" t="str">
        <f>'Estimate Data'!J152</f>
        <v>M</v>
      </c>
      <c r="J152" s="1" t="str">
        <f t="shared" si="20"/>
        <v>LM</v>
      </c>
      <c r="K152" s="396" t="s">
        <v>963</v>
      </c>
      <c r="L152" s="396"/>
      <c r="M152" s="396"/>
      <c r="N152" s="82"/>
      <c r="O152" s="49"/>
      <c r="P152" s="58"/>
      <c r="Q152" s="58">
        <f>SUM('Estimate Data'!R152)</f>
        <v>0</v>
      </c>
      <c r="R152" s="58">
        <f>SUM('Estimate Data'!S152)</f>
        <v>0</v>
      </c>
      <c r="S152" s="58">
        <f>SUM('Estimate Data'!T152)</f>
        <v>0</v>
      </c>
      <c r="T152" s="58">
        <f>SUM('Estimate Data'!U152)</f>
        <v>94</v>
      </c>
      <c r="U152" s="58">
        <f>SUM('Estimate Data'!V152)</f>
        <v>457</v>
      </c>
      <c r="V152" s="60"/>
      <c r="W152" s="60"/>
      <c r="X152" s="60"/>
      <c r="Y152" s="60"/>
      <c r="Z152" s="60"/>
      <c r="AA152" s="60"/>
      <c r="AB152" s="47"/>
    </row>
    <row r="153" spans="2:28" ht="15">
      <c r="B153">
        <f t="shared" si="21"/>
      </c>
      <c r="C153" t="s">
        <v>773</v>
      </c>
      <c r="D153" t="s">
        <v>462</v>
      </c>
      <c r="E153" t="s">
        <v>773</v>
      </c>
      <c r="F153" t="s">
        <v>462</v>
      </c>
      <c r="G153" s="47"/>
      <c r="H153" s="23" t="str">
        <f>'Estimate Data'!I153</f>
        <v>L</v>
      </c>
      <c r="I153" s="23" t="str">
        <f>'Estimate Data'!J153</f>
        <v>M</v>
      </c>
      <c r="J153" s="1" t="str">
        <f t="shared" si="20"/>
        <v>LM</v>
      </c>
      <c r="K153" s="396" t="s">
        <v>963</v>
      </c>
      <c r="L153" s="396"/>
      <c r="M153" s="396"/>
      <c r="N153" s="82"/>
      <c r="O153" s="49"/>
      <c r="P153" s="58"/>
      <c r="Q153" s="58">
        <f>SUM('Estimate Data'!R153)</f>
        <v>0</v>
      </c>
      <c r="R153" s="58">
        <f>SUM('Estimate Data'!S153)</f>
        <v>0</v>
      </c>
      <c r="S153" s="58">
        <f>SUM('Estimate Data'!T153)</f>
        <v>110</v>
      </c>
      <c r="T153" s="58">
        <f>SUM('Estimate Data'!U153)</f>
        <v>0</v>
      </c>
      <c r="U153" s="58">
        <f>SUM('Estimate Data'!V153)</f>
        <v>0</v>
      </c>
      <c r="V153" s="60"/>
      <c r="W153" s="60"/>
      <c r="X153" s="60"/>
      <c r="Y153" s="60"/>
      <c r="Z153" s="60"/>
      <c r="AA153" s="60"/>
      <c r="AB153" s="47"/>
    </row>
    <row r="154" spans="2:28" ht="15">
      <c r="B154">
        <f t="shared" si="21"/>
      </c>
      <c r="C154" t="s">
        <v>773</v>
      </c>
      <c r="D154" t="s">
        <v>463</v>
      </c>
      <c r="E154" t="s">
        <v>773</v>
      </c>
      <c r="F154" t="s">
        <v>463</v>
      </c>
      <c r="G154" s="47"/>
      <c r="H154" s="23" t="str">
        <f>'Estimate Data'!I154</f>
        <v>L</v>
      </c>
      <c r="I154" s="23" t="str">
        <f>'Estimate Data'!J154</f>
        <v>M</v>
      </c>
      <c r="J154" s="1" t="str">
        <f t="shared" si="20"/>
        <v>LM</v>
      </c>
      <c r="K154" s="396" t="s">
        <v>963</v>
      </c>
      <c r="L154" s="396"/>
      <c r="M154" s="396"/>
      <c r="N154" s="82"/>
      <c r="O154" s="49"/>
      <c r="P154" s="58"/>
      <c r="Q154" s="58">
        <f>SUM('Estimate Data'!R154)</f>
        <v>0</v>
      </c>
      <c r="R154" s="58">
        <f>SUM('Estimate Data'!S154)</f>
        <v>0</v>
      </c>
      <c r="S154" s="58">
        <f>SUM('Estimate Data'!T154)</f>
        <v>206</v>
      </c>
      <c r="T154" s="58">
        <f>SUM('Estimate Data'!U154)</f>
        <v>0</v>
      </c>
      <c r="U154" s="58">
        <f>SUM('Estimate Data'!V154)</f>
        <v>0</v>
      </c>
      <c r="V154" s="60"/>
      <c r="W154" s="60"/>
      <c r="X154" s="60"/>
      <c r="Y154" s="60"/>
      <c r="Z154" s="60"/>
      <c r="AA154" s="60"/>
      <c r="AB154" s="47"/>
    </row>
    <row r="155" spans="2:28" ht="15">
      <c r="B155">
        <f t="shared" si="21"/>
      </c>
      <c r="C155" t="s">
        <v>773</v>
      </c>
      <c r="D155" t="s">
        <v>464</v>
      </c>
      <c r="E155" t="s">
        <v>773</v>
      </c>
      <c r="F155" t="s">
        <v>464</v>
      </c>
      <c r="G155" s="47"/>
      <c r="H155" s="23" t="str">
        <f>'Estimate Data'!I155</f>
        <v>L</v>
      </c>
      <c r="I155" s="23" t="str">
        <f>'Estimate Data'!J155</f>
        <v>M</v>
      </c>
      <c r="J155" s="1" t="str">
        <f t="shared" si="20"/>
        <v>LM</v>
      </c>
      <c r="K155" s="396" t="s">
        <v>963</v>
      </c>
      <c r="L155" s="396"/>
      <c r="M155" s="396"/>
      <c r="N155" s="82"/>
      <c r="O155" s="49"/>
      <c r="P155" s="58"/>
      <c r="Q155" s="58">
        <f>SUM('Estimate Data'!R155)</f>
        <v>0</v>
      </c>
      <c r="R155" s="58">
        <f>SUM('Estimate Data'!S155)</f>
        <v>0</v>
      </c>
      <c r="S155" s="58">
        <f>SUM('Estimate Data'!T155)</f>
        <v>68</v>
      </c>
      <c r="T155" s="58">
        <f>SUM('Estimate Data'!U155)</f>
        <v>0</v>
      </c>
      <c r="U155" s="58">
        <f>SUM('Estimate Data'!V155)</f>
        <v>0</v>
      </c>
      <c r="V155" s="60"/>
      <c r="W155" s="60"/>
      <c r="X155" s="60"/>
      <c r="Y155" s="60"/>
      <c r="Z155" s="60"/>
      <c r="AA155" s="60"/>
      <c r="AB155" s="47"/>
    </row>
    <row r="156" spans="2:28" ht="15">
      <c r="B156">
        <f t="shared" si="21"/>
      </c>
      <c r="C156" t="s">
        <v>773</v>
      </c>
      <c r="D156" t="s">
        <v>465</v>
      </c>
      <c r="E156" t="s">
        <v>773</v>
      </c>
      <c r="F156" t="s">
        <v>465</v>
      </c>
      <c r="G156" s="47"/>
      <c r="H156" s="23" t="str">
        <f>'Estimate Data'!I156</f>
        <v>L</v>
      </c>
      <c r="I156" s="23" t="str">
        <f>'Estimate Data'!J156</f>
        <v>M</v>
      </c>
      <c r="J156" s="1" t="str">
        <f t="shared" si="20"/>
        <v>LM</v>
      </c>
      <c r="K156" s="396" t="s">
        <v>963</v>
      </c>
      <c r="L156" s="396"/>
      <c r="M156" s="396"/>
      <c r="N156" s="82"/>
      <c r="O156" s="49"/>
      <c r="P156" s="58"/>
      <c r="Q156" s="58">
        <f>SUM('Estimate Data'!R156)</f>
        <v>0</v>
      </c>
      <c r="R156" s="58">
        <f>SUM('Estimate Data'!S156)</f>
        <v>0</v>
      </c>
      <c r="S156" s="58">
        <f>SUM('Estimate Data'!T156)</f>
        <v>112</v>
      </c>
      <c r="T156" s="58">
        <f>SUM('Estimate Data'!U156)</f>
        <v>48</v>
      </c>
      <c r="U156" s="58">
        <f>SUM('Estimate Data'!V156)</f>
        <v>0</v>
      </c>
      <c r="V156" s="60"/>
      <c r="W156" s="60"/>
      <c r="X156" s="60"/>
      <c r="Y156" s="60"/>
      <c r="Z156" s="60"/>
      <c r="AA156" s="60"/>
      <c r="AB156" s="47"/>
    </row>
    <row r="157" spans="2:28" ht="15">
      <c r="B157">
        <f t="shared" si="21"/>
      </c>
      <c r="C157" t="s">
        <v>773</v>
      </c>
      <c r="D157" t="s">
        <v>466</v>
      </c>
      <c r="E157" t="s">
        <v>773</v>
      </c>
      <c r="F157" t="s">
        <v>466</v>
      </c>
      <c r="G157" s="47"/>
      <c r="H157" s="23" t="str">
        <f>'Estimate Data'!I157</f>
        <v>L</v>
      </c>
      <c r="I157" s="23" t="str">
        <f>'Estimate Data'!J157</f>
        <v>M</v>
      </c>
      <c r="J157" s="1" t="str">
        <f t="shared" si="20"/>
        <v>LM</v>
      </c>
      <c r="K157" s="396" t="s">
        <v>963</v>
      </c>
      <c r="L157" s="396"/>
      <c r="M157" s="396"/>
      <c r="N157" s="82"/>
      <c r="O157" s="49"/>
      <c r="P157" s="58"/>
      <c r="Q157" s="58">
        <f>SUM('Estimate Data'!R157)</f>
        <v>0</v>
      </c>
      <c r="R157" s="58">
        <f>SUM('Estimate Data'!S157)</f>
        <v>0</v>
      </c>
      <c r="S157" s="58">
        <f>SUM('Estimate Data'!T157)</f>
        <v>67</v>
      </c>
      <c r="T157" s="58">
        <f>SUM('Estimate Data'!U157)</f>
        <v>0</v>
      </c>
      <c r="U157" s="58">
        <f>SUM('Estimate Data'!V157)</f>
        <v>0</v>
      </c>
      <c r="V157" s="60"/>
      <c r="W157" s="60"/>
      <c r="X157" s="60"/>
      <c r="Y157" s="60"/>
      <c r="Z157" s="60"/>
      <c r="AA157" s="60"/>
      <c r="AB157" s="47"/>
    </row>
    <row r="158" spans="2:28" ht="15">
      <c r="B158">
        <f t="shared" si="21"/>
      </c>
      <c r="C158" t="s">
        <v>773</v>
      </c>
      <c r="D158" t="s">
        <v>467</v>
      </c>
      <c r="E158" t="s">
        <v>773</v>
      </c>
      <c r="F158" t="s">
        <v>467</v>
      </c>
      <c r="G158" s="47"/>
      <c r="H158" s="23" t="str">
        <f>'Estimate Data'!I158</f>
        <v>L</v>
      </c>
      <c r="I158" s="23" t="str">
        <f>'Estimate Data'!J158</f>
        <v>M</v>
      </c>
      <c r="J158" s="1" t="str">
        <f t="shared" si="20"/>
        <v>LM</v>
      </c>
      <c r="K158" s="396" t="s">
        <v>963</v>
      </c>
      <c r="L158" s="396"/>
      <c r="M158" s="396"/>
      <c r="N158" s="82"/>
      <c r="O158" s="49"/>
      <c r="P158" s="58"/>
      <c r="Q158" s="58">
        <f>SUM('Estimate Data'!R158)</f>
        <v>0</v>
      </c>
      <c r="R158" s="58">
        <f>SUM('Estimate Data'!S158)</f>
        <v>0</v>
      </c>
      <c r="S158" s="58">
        <f>SUM('Estimate Data'!T158)</f>
        <v>66</v>
      </c>
      <c r="T158" s="58">
        <f>SUM('Estimate Data'!U158)</f>
        <v>0</v>
      </c>
      <c r="U158" s="58">
        <f>SUM('Estimate Data'!V158)</f>
        <v>0</v>
      </c>
      <c r="V158" s="60"/>
      <c r="W158" s="60"/>
      <c r="X158" s="60"/>
      <c r="Y158" s="60"/>
      <c r="Z158" s="60"/>
      <c r="AA158" s="60"/>
      <c r="AB158" s="47"/>
    </row>
    <row r="159" spans="2:28" ht="15">
      <c r="B159">
        <f t="shared" si="21"/>
      </c>
      <c r="C159" t="s">
        <v>773</v>
      </c>
      <c r="D159" t="s">
        <v>468</v>
      </c>
      <c r="E159" t="s">
        <v>773</v>
      </c>
      <c r="F159" t="s">
        <v>468</v>
      </c>
      <c r="G159" s="47"/>
      <c r="H159" s="23" t="str">
        <f>'Estimate Data'!I159</f>
        <v>L</v>
      </c>
      <c r="I159" s="23" t="str">
        <f>'Estimate Data'!J159</f>
        <v>M</v>
      </c>
      <c r="J159" s="1" t="str">
        <f t="shared" si="20"/>
        <v>LM</v>
      </c>
      <c r="K159" s="396" t="s">
        <v>963</v>
      </c>
      <c r="L159" s="396"/>
      <c r="M159" s="396"/>
      <c r="N159" s="82"/>
      <c r="O159" s="49"/>
      <c r="P159" s="58"/>
      <c r="Q159" s="58">
        <f>SUM('Estimate Data'!R159)</f>
        <v>0</v>
      </c>
      <c r="R159" s="58">
        <f>SUM('Estimate Data'!S159)</f>
        <v>0</v>
      </c>
      <c r="S159" s="58">
        <f>SUM('Estimate Data'!T159)</f>
        <v>11</v>
      </c>
      <c r="T159" s="58">
        <f>SUM('Estimate Data'!U159)</f>
        <v>0</v>
      </c>
      <c r="U159" s="58">
        <f>SUM('Estimate Data'!V159)</f>
        <v>0</v>
      </c>
      <c r="V159" s="60"/>
      <c r="W159" s="60"/>
      <c r="X159" s="60"/>
      <c r="Y159" s="60"/>
      <c r="Z159" s="60"/>
      <c r="AA159" s="60"/>
      <c r="AB159" s="47"/>
    </row>
    <row r="160" spans="1:28" ht="15">
      <c r="A160">
        <v>76</v>
      </c>
      <c r="B160">
        <f t="shared" si="21"/>
      </c>
      <c r="C160" t="s">
        <v>774</v>
      </c>
      <c r="D160" t="s">
        <v>647</v>
      </c>
      <c r="E160" t="s">
        <v>774</v>
      </c>
      <c r="F160" t="s">
        <v>647</v>
      </c>
      <c r="G160" s="47"/>
      <c r="H160" s="23" t="str">
        <f>'Estimate Data'!I160</f>
        <v>H</v>
      </c>
      <c r="I160" s="23" t="str">
        <f>'Estimate Data'!J160</f>
        <v>L</v>
      </c>
      <c r="J160" s="1" t="str">
        <f t="shared" si="20"/>
        <v>HL</v>
      </c>
      <c r="K160" s="57">
        <f>'Estimate Data'!L160</f>
        <v>406</v>
      </c>
      <c r="L160" s="6">
        <f>(VLOOKUP($J160,'Standard Estimate Uncertainty '!$B$10:$D$18,2)*$K160)+$K160</f>
        <v>385.7</v>
      </c>
      <c r="M160" s="6">
        <f>(VLOOKUP($J160,'Standard Estimate Uncertainty '!$B$10:$D$18,3)*$K160)+$K160</f>
        <v>446.6</v>
      </c>
      <c r="N160" s="76">
        <v>426.29986510880724</v>
      </c>
      <c r="O160" s="49"/>
      <c r="P160" s="58"/>
      <c r="Q160" s="58">
        <f>SUM('Estimate Data'!R160)</f>
        <v>0</v>
      </c>
      <c r="R160" s="58">
        <f>SUM('Estimate Data'!S160)</f>
        <v>0</v>
      </c>
      <c r="S160" s="58">
        <f>SUM('Estimate Data'!T160)</f>
        <v>168</v>
      </c>
      <c r="T160" s="58">
        <f>SUM('Estimate Data'!U160)</f>
        <v>238</v>
      </c>
      <c r="U160" s="58">
        <f>SUM('Estimate Data'!V160)</f>
        <v>0</v>
      </c>
      <c r="V160" s="60">
        <f aca="true" t="shared" si="22" ref="V160:AA161">P160/$K160</f>
        <v>0</v>
      </c>
      <c r="W160" s="60">
        <f t="shared" si="22"/>
        <v>0</v>
      </c>
      <c r="X160" s="60">
        <f t="shared" si="22"/>
        <v>0</v>
      </c>
      <c r="Y160" s="60">
        <f t="shared" si="22"/>
        <v>0.41379310344827586</v>
      </c>
      <c r="Z160" s="60">
        <f t="shared" si="22"/>
        <v>0.5862068965517241</v>
      </c>
      <c r="AA160" s="60">
        <f t="shared" si="22"/>
        <v>0</v>
      </c>
      <c r="AB160" s="47"/>
    </row>
    <row r="161" spans="1:28" ht="15">
      <c r="A161">
        <v>81</v>
      </c>
      <c r="B161">
        <f t="shared" si="21"/>
      </c>
      <c r="C161" t="s">
        <v>485</v>
      </c>
      <c r="D161" t="s">
        <v>647</v>
      </c>
      <c r="E161" t="s">
        <v>485</v>
      </c>
      <c r="F161" t="s">
        <v>647</v>
      </c>
      <c r="G161" s="47"/>
      <c r="H161" s="23" t="str">
        <f>'Estimate Data'!I161</f>
        <v>H</v>
      </c>
      <c r="I161" s="23" t="str">
        <f>'Estimate Data'!J161</f>
        <v>L</v>
      </c>
      <c r="J161" s="1" t="str">
        <f t="shared" si="20"/>
        <v>HL</v>
      </c>
      <c r="K161" s="57">
        <f>'Estimate Data'!L161</f>
        <v>4156</v>
      </c>
      <c r="L161" s="6">
        <f>(VLOOKUP($J161,'Standard Estimate Uncertainty '!$B$10:$D$18,2)*$K161)+$K161</f>
        <v>3948.2</v>
      </c>
      <c r="M161" s="6">
        <f>(VLOOKUP($J161,'Standard Estimate Uncertainty '!$B$10:$D$18,3)*$K161)+$K161</f>
        <v>4571.6</v>
      </c>
      <c r="N161" s="76">
        <v>4613.69854011847</v>
      </c>
      <c r="O161" s="49"/>
      <c r="P161" s="58"/>
      <c r="Q161" s="58">
        <f>SUM('Estimate Data'!R161)</f>
        <v>813</v>
      </c>
      <c r="R161" s="58">
        <f>SUM('Estimate Data'!S161)</f>
        <v>1313</v>
      </c>
      <c r="S161" s="58">
        <f>SUM('Estimate Data'!T161)</f>
        <v>1176</v>
      </c>
      <c r="T161" s="58">
        <f>SUM('Estimate Data'!U161)</f>
        <v>736</v>
      </c>
      <c r="U161" s="58">
        <f>SUM('Estimate Data'!V161)</f>
        <v>118</v>
      </c>
      <c r="V161" s="60">
        <f t="shared" si="22"/>
        <v>0</v>
      </c>
      <c r="W161" s="60">
        <f t="shared" si="22"/>
        <v>0.19562078922040424</v>
      </c>
      <c r="X161" s="60">
        <f t="shared" si="22"/>
        <v>0.3159287776708373</v>
      </c>
      <c r="Y161" s="60">
        <f t="shared" si="22"/>
        <v>0.2829643888354187</v>
      </c>
      <c r="Z161" s="60">
        <f t="shared" si="22"/>
        <v>0.17709335899903753</v>
      </c>
      <c r="AA161" s="60">
        <f t="shared" si="22"/>
        <v>0.028392685274302214</v>
      </c>
      <c r="AB161" s="47"/>
    </row>
    <row r="162" spans="2:28" ht="15">
      <c r="B162">
        <f t="shared" si="21"/>
      </c>
      <c r="C162" t="s">
        <v>485</v>
      </c>
      <c r="D162" t="s">
        <v>664</v>
      </c>
      <c r="E162" t="s">
        <v>485</v>
      </c>
      <c r="F162" t="s">
        <v>664</v>
      </c>
      <c r="G162" s="47"/>
      <c r="H162" s="23" t="str">
        <f>'Estimate Data'!I162</f>
        <v>FROZEN</v>
      </c>
      <c r="I162" s="23"/>
      <c r="J162" s="1" t="str">
        <f t="shared" si="20"/>
        <v>FROZEN</v>
      </c>
      <c r="K162" s="81"/>
      <c r="L162" s="395"/>
      <c r="M162" s="395"/>
      <c r="N162" s="82"/>
      <c r="O162" s="49"/>
      <c r="P162" s="58"/>
      <c r="Q162" s="58">
        <f>SUM('Estimate Data'!R162)</f>
        <v>0</v>
      </c>
      <c r="R162" s="58">
        <f>SUM('Estimate Data'!S162)</f>
        <v>0</v>
      </c>
      <c r="S162" s="58">
        <f>SUM('Estimate Data'!T162)</f>
        <v>0</v>
      </c>
      <c r="T162" s="58">
        <f>SUM('Estimate Data'!U162)</f>
        <v>0</v>
      </c>
      <c r="U162" s="58">
        <f>SUM('Estimate Data'!V162)</f>
        <v>0</v>
      </c>
      <c r="V162" s="60"/>
      <c r="W162" s="60"/>
      <c r="X162" s="60"/>
      <c r="Y162" s="60"/>
      <c r="Z162" s="60"/>
      <c r="AA162" s="60"/>
      <c r="AB162" s="47"/>
    </row>
    <row r="163" spans="2:28" ht="15">
      <c r="B163">
        <f t="shared" si="21"/>
      </c>
      <c r="C163" t="s">
        <v>775</v>
      </c>
      <c r="D163" t="s">
        <v>647</v>
      </c>
      <c r="E163" t="s">
        <v>775</v>
      </c>
      <c r="F163" t="s">
        <v>647</v>
      </c>
      <c r="G163" s="47"/>
      <c r="H163" s="23" t="str">
        <f>'Estimate Data'!I163</f>
        <v>H</v>
      </c>
      <c r="I163" s="23" t="str">
        <f>'Estimate Data'!J163</f>
        <v>L</v>
      </c>
      <c r="J163" s="1" t="str">
        <f t="shared" si="20"/>
        <v>HL</v>
      </c>
      <c r="K163" s="57">
        <f>'Estimate Data'!L163</f>
        <v>661</v>
      </c>
      <c r="L163" s="6">
        <f>(VLOOKUP($J163,'Standard Estimate Uncertainty '!$B$10:$D$18,2)*$K163)+$K163</f>
        <v>627.95</v>
      </c>
      <c r="M163" s="6">
        <f>(VLOOKUP($J163,'Standard Estimate Uncertainty '!$B$10:$D$18,3)*$K163)+$K163</f>
        <v>727.1</v>
      </c>
      <c r="N163" s="76">
        <v>1232.6996099451717</v>
      </c>
      <c r="O163" s="49"/>
      <c r="P163" s="58"/>
      <c r="Q163" s="58">
        <f>SUM('Estimate Data'!R163)</f>
        <v>217</v>
      </c>
      <c r="R163" s="58">
        <f>SUM('Estimate Data'!S163)</f>
        <v>199</v>
      </c>
      <c r="S163" s="58">
        <f>SUM('Estimate Data'!T163)</f>
        <v>144</v>
      </c>
      <c r="T163" s="58">
        <f>SUM('Estimate Data'!U163)</f>
        <v>84</v>
      </c>
      <c r="U163" s="58">
        <f>SUM('Estimate Data'!V163)</f>
        <v>17</v>
      </c>
      <c r="V163" s="60">
        <f aca="true" t="shared" si="23" ref="V163:AA167">P163/$K163</f>
        <v>0</v>
      </c>
      <c r="W163" s="60">
        <f t="shared" si="23"/>
        <v>0.32829046898638425</v>
      </c>
      <c r="X163" s="60">
        <f t="shared" si="23"/>
        <v>0.3010590015128593</v>
      </c>
      <c r="Y163" s="60">
        <f t="shared" si="23"/>
        <v>0.2178517397881997</v>
      </c>
      <c r="Z163" s="60">
        <f t="shared" si="23"/>
        <v>0.12708018154311648</v>
      </c>
      <c r="AA163" s="60">
        <f t="shared" si="23"/>
        <v>0.025718608169440244</v>
      </c>
      <c r="AB163" s="47"/>
    </row>
    <row r="164" spans="1:28" ht="15">
      <c r="A164">
        <v>82</v>
      </c>
      <c r="B164">
        <f t="shared" si="21"/>
      </c>
      <c r="C164" t="s">
        <v>486</v>
      </c>
      <c r="D164" t="s">
        <v>647</v>
      </c>
      <c r="E164" t="s">
        <v>486</v>
      </c>
      <c r="F164" t="s">
        <v>647</v>
      </c>
      <c r="G164" s="47"/>
      <c r="H164" s="23" t="str">
        <f>'Estimate Data'!I164</f>
        <v>H</v>
      </c>
      <c r="I164" s="23" t="str">
        <f>'Estimate Data'!J164</f>
        <v>L</v>
      </c>
      <c r="J164" s="1" t="str">
        <f t="shared" si="20"/>
        <v>HL</v>
      </c>
      <c r="K164" s="57">
        <f>'Estimate Data'!L164</f>
        <v>3253</v>
      </c>
      <c r="L164" s="6">
        <f>(VLOOKUP($J164,'Standard Estimate Uncertainty '!$B$10:$D$18,2)*$K164)+$K164</f>
        <v>3090.35</v>
      </c>
      <c r="M164" s="6">
        <f>(VLOOKUP($J164,'Standard Estimate Uncertainty '!$B$10:$D$18,3)*$K164)+$K164</f>
        <v>3578.3</v>
      </c>
      <c r="N164" s="76">
        <v>3430.3489145578155</v>
      </c>
      <c r="O164" s="49"/>
      <c r="P164" s="58"/>
      <c r="Q164" s="58">
        <f>SUM('Estimate Data'!R164)</f>
        <v>552</v>
      </c>
      <c r="R164" s="58">
        <f>SUM('Estimate Data'!S164)</f>
        <v>880</v>
      </c>
      <c r="S164" s="58">
        <f>SUM('Estimate Data'!T164)</f>
        <v>898</v>
      </c>
      <c r="T164" s="58">
        <f>SUM('Estimate Data'!U164)</f>
        <v>823</v>
      </c>
      <c r="U164" s="58">
        <f>SUM('Estimate Data'!V164)</f>
        <v>100</v>
      </c>
      <c r="V164" s="60">
        <f t="shared" si="23"/>
        <v>0</v>
      </c>
      <c r="W164" s="60">
        <f t="shared" si="23"/>
        <v>0.16968951736858284</v>
      </c>
      <c r="X164" s="60">
        <f t="shared" si="23"/>
        <v>0.2705195204426683</v>
      </c>
      <c r="Y164" s="60">
        <f t="shared" si="23"/>
        <v>0.2760528742699047</v>
      </c>
      <c r="Z164" s="60">
        <f t="shared" si="23"/>
        <v>0.2529972333230864</v>
      </c>
      <c r="AA164" s="60">
        <f t="shared" si="23"/>
        <v>0.03074085459575776</v>
      </c>
      <c r="AB164" s="47"/>
    </row>
    <row r="165" spans="2:28" ht="15">
      <c r="B165">
        <f t="shared" si="21"/>
      </c>
      <c r="C165" t="s">
        <v>776</v>
      </c>
      <c r="D165" t="s">
        <v>647</v>
      </c>
      <c r="E165" t="s">
        <v>776</v>
      </c>
      <c r="F165" t="s">
        <v>647</v>
      </c>
      <c r="G165" s="47"/>
      <c r="H165" s="23" t="str">
        <f>'Estimate Data'!I165</f>
        <v>M</v>
      </c>
      <c r="I165" s="23" t="str">
        <f>'Estimate Data'!J165</f>
        <v>M</v>
      </c>
      <c r="J165" s="1" t="str">
        <f t="shared" si="20"/>
        <v>MM</v>
      </c>
      <c r="K165" s="57">
        <f>'Estimate Data'!L165</f>
        <v>2583</v>
      </c>
      <c r="L165" s="6">
        <f>(VLOOKUP($J165,'Standard Estimate Uncertainty '!$B$10:$D$18,2)*$K165)+$K165</f>
        <v>2195.55</v>
      </c>
      <c r="M165" s="6">
        <f>(VLOOKUP($J165,'Standard Estimate Uncertainty '!$B$10:$D$18,3)*$K165)+$K165</f>
        <v>3228.75</v>
      </c>
      <c r="N165" s="76">
        <v>2895.4748927403275</v>
      </c>
      <c r="O165" s="49"/>
      <c r="P165" s="58"/>
      <c r="Q165" s="58">
        <f>SUM('Estimate Data'!R165)</f>
        <v>225</v>
      </c>
      <c r="R165" s="58">
        <f>SUM('Estimate Data'!S165)</f>
        <v>769</v>
      </c>
      <c r="S165" s="58">
        <f>SUM('Estimate Data'!T165)</f>
        <v>791</v>
      </c>
      <c r="T165" s="58">
        <f>SUM('Estimate Data'!U165)</f>
        <v>657</v>
      </c>
      <c r="U165" s="58">
        <f>SUM('Estimate Data'!V165)</f>
        <v>141</v>
      </c>
      <c r="V165" s="60">
        <f t="shared" si="23"/>
        <v>0</v>
      </c>
      <c r="W165" s="60">
        <f t="shared" si="23"/>
        <v>0.08710801393728224</v>
      </c>
      <c r="X165" s="60">
        <f t="shared" si="23"/>
        <v>0.29771583430120013</v>
      </c>
      <c r="Y165" s="60">
        <f t="shared" si="23"/>
        <v>0.3062330623306233</v>
      </c>
      <c r="Z165" s="60">
        <f t="shared" si="23"/>
        <v>0.25435540069686413</v>
      </c>
      <c r="AA165" s="60">
        <f t="shared" si="23"/>
        <v>0.0545876887340302</v>
      </c>
      <c r="AB165" s="47"/>
    </row>
    <row r="166" spans="2:28" ht="15">
      <c r="B166">
        <f t="shared" si="21"/>
      </c>
      <c r="C166" t="s">
        <v>777</v>
      </c>
      <c r="D166" t="s">
        <v>647</v>
      </c>
      <c r="E166" t="s">
        <v>777</v>
      </c>
      <c r="F166" t="s">
        <v>647</v>
      </c>
      <c r="G166" s="47"/>
      <c r="H166" s="23" t="str">
        <f>'Estimate Data'!I166</f>
        <v>M</v>
      </c>
      <c r="I166" s="23" t="str">
        <f>'Estimate Data'!J166</f>
        <v>M</v>
      </c>
      <c r="J166" s="1" t="str">
        <f t="shared" si="20"/>
        <v>MM</v>
      </c>
      <c r="K166" s="57">
        <f>'Estimate Data'!L166</f>
        <v>1034</v>
      </c>
      <c r="L166" s="6">
        <f>(VLOOKUP($J166,'Standard Estimate Uncertainty '!$B$10:$D$18,2)*$K166)+$K166</f>
        <v>878.9</v>
      </c>
      <c r="M166" s="6">
        <f>(VLOOKUP($J166,'Standard Estimate Uncertainty '!$B$10:$D$18,3)*$K166)+$K166</f>
        <v>1292.5</v>
      </c>
      <c r="N166" s="76">
        <v>1166.6994734089023</v>
      </c>
      <c r="O166" s="49"/>
      <c r="P166" s="58"/>
      <c r="Q166" s="58">
        <f>SUM('Estimate Data'!R166)</f>
        <v>364</v>
      </c>
      <c r="R166" s="58">
        <f>SUM('Estimate Data'!S166)</f>
        <v>411</v>
      </c>
      <c r="S166" s="58">
        <f>SUM('Estimate Data'!T166)</f>
        <v>157</v>
      </c>
      <c r="T166" s="58">
        <f>SUM('Estimate Data'!U166)</f>
        <v>85</v>
      </c>
      <c r="U166" s="58">
        <f>SUM('Estimate Data'!V166)</f>
        <v>17</v>
      </c>
      <c r="V166" s="60">
        <f t="shared" si="23"/>
        <v>0</v>
      </c>
      <c r="W166" s="60">
        <f t="shared" si="23"/>
        <v>0.3520309477756286</v>
      </c>
      <c r="X166" s="60">
        <f t="shared" si="23"/>
        <v>0.39748549323017407</v>
      </c>
      <c r="Y166" s="60">
        <f t="shared" si="23"/>
        <v>0.1518375241779497</v>
      </c>
      <c r="Z166" s="60">
        <f t="shared" si="23"/>
        <v>0.08220502901353965</v>
      </c>
      <c r="AA166" s="60">
        <f t="shared" si="23"/>
        <v>0.01644100580270793</v>
      </c>
      <c r="AB166" s="47"/>
    </row>
    <row r="167" spans="2:28" ht="15">
      <c r="B167">
        <f t="shared" si="21"/>
      </c>
      <c r="C167" t="s">
        <v>903</v>
      </c>
      <c r="D167" t="s">
        <v>647</v>
      </c>
      <c r="E167" t="s">
        <v>903</v>
      </c>
      <c r="F167" t="s">
        <v>647</v>
      </c>
      <c r="G167" s="47"/>
      <c r="H167" s="23" t="str">
        <f>'Estimate Data'!I167</f>
        <v>M</v>
      </c>
      <c r="I167" s="23" t="str">
        <f>'Estimate Data'!J167</f>
        <v>H</v>
      </c>
      <c r="J167" s="1" t="str">
        <f t="shared" si="20"/>
        <v>MH</v>
      </c>
      <c r="K167" s="57">
        <f>'Estimate Data'!L167</f>
        <v>541</v>
      </c>
      <c r="L167" s="6">
        <f>(VLOOKUP($J167,'Standard Estimate Uncertainty '!$B$10:$D$18,2)*$K167)+$K167</f>
        <v>432.8</v>
      </c>
      <c r="M167" s="6">
        <f>(VLOOKUP($J167,'Standard Estimate Uncertainty '!$B$10:$D$18,3)*$K167)+$K167</f>
        <v>757.4</v>
      </c>
      <c r="N167" s="76">
        <v>649.1999653371878</v>
      </c>
      <c r="O167" s="49"/>
      <c r="P167" s="58"/>
      <c r="Q167" s="58">
        <f>SUM('Estimate Data'!R167)</f>
        <v>84</v>
      </c>
      <c r="R167" s="58">
        <f>SUM('Estimate Data'!S167)</f>
        <v>237</v>
      </c>
      <c r="S167" s="58">
        <f>SUM('Estimate Data'!T167)</f>
        <v>168</v>
      </c>
      <c r="T167" s="58">
        <f>SUM('Estimate Data'!U167)</f>
        <v>47</v>
      </c>
      <c r="U167" s="58">
        <f>SUM('Estimate Data'!V167)</f>
        <v>5</v>
      </c>
      <c r="V167" s="60">
        <f t="shared" si="23"/>
        <v>0</v>
      </c>
      <c r="W167" s="60">
        <f t="shared" si="23"/>
        <v>0.15526802218114602</v>
      </c>
      <c r="X167" s="60">
        <f t="shared" si="23"/>
        <v>0.43807763401109057</v>
      </c>
      <c r="Y167" s="60">
        <f t="shared" si="23"/>
        <v>0.31053604436229204</v>
      </c>
      <c r="Z167" s="60">
        <f t="shared" si="23"/>
        <v>0.08687615526802218</v>
      </c>
      <c r="AA167" s="60">
        <f t="shared" si="23"/>
        <v>0.009242144177449169</v>
      </c>
      <c r="AB167" s="47"/>
    </row>
    <row r="168" spans="2:28" ht="15">
      <c r="B168">
        <f t="shared" si="21"/>
      </c>
      <c r="C168" t="s">
        <v>778</v>
      </c>
      <c r="D168" t="s">
        <v>664</v>
      </c>
      <c r="E168" t="s">
        <v>778</v>
      </c>
      <c r="F168" t="s">
        <v>664</v>
      </c>
      <c r="G168" s="47"/>
      <c r="H168" s="23" t="str">
        <f>'Estimate Data'!I168</f>
        <v>FROZEN</v>
      </c>
      <c r="I168" s="23"/>
      <c r="J168" s="1" t="str">
        <f t="shared" si="20"/>
        <v>FROZEN</v>
      </c>
      <c r="K168" s="81"/>
      <c r="L168" s="395"/>
      <c r="M168" s="395"/>
      <c r="N168" s="82"/>
      <c r="O168" s="49"/>
      <c r="P168" s="58"/>
      <c r="Q168" s="58">
        <f>SUM('Estimate Data'!R168)</f>
        <v>0</v>
      </c>
      <c r="R168" s="58">
        <f>SUM('Estimate Data'!S168)</f>
        <v>0</v>
      </c>
      <c r="S168" s="58">
        <f>SUM('Estimate Data'!T168)</f>
        <v>0</v>
      </c>
      <c r="T168" s="58">
        <f>SUM('Estimate Data'!U168)</f>
        <v>0</v>
      </c>
      <c r="U168" s="58">
        <f>SUM('Estimate Data'!V168)</f>
        <v>0</v>
      </c>
      <c r="V168" s="60"/>
      <c r="W168" s="60"/>
      <c r="X168" s="60"/>
      <c r="Y168" s="60"/>
      <c r="Z168" s="60"/>
      <c r="AA168" s="60"/>
      <c r="AB168" s="47"/>
    </row>
    <row r="169" spans="2:28" ht="15">
      <c r="B169">
        <f t="shared" si="21"/>
      </c>
      <c r="C169" t="s">
        <v>779</v>
      </c>
      <c r="D169" t="s">
        <v>664</v>
      </c>
      <c r="E169" t="s">
        <v>779</v>
      </c>
      <c r="F169" t="s">
        <v>664</v>
      </c>
      <c r="G169" s="47"/>
      <c r="H169" s="23" t="str">
        <f>'Estimate Data'!I169</f>
        <v>FROZEN</v>
      </c>
      <c r="I169" s="23"/>
      <c r="J169" s="1" t="str">
        <f t="shared" si="20"/>
        <v>FROZEN</v>
      </c>
      <c r="K169" s="83">
        <f>'Estimate Data'!L169</f>
        <v>193</v>
      </c>
      <c r="L169" s="397" t="s">
        <v>784</v>
      </c>
      <c r="M169" s="397"/>
      <c r="N169" s="84">
        <f>K169</f>
        <v>193</v>
      </c>
      <c r="O169" s="49"/>
      <c r="P169" s="58"/>
      <c r="Q169" s="58">
        <f>SUM('Estimate Data'!R169)</f>
        <v>55</v>
      </c>
      <c r="R169" s="58">
        <f>SUM('Estimate Data'!S169)</f>
        <v>59</v>
      </c>
      <c r="S169" s="58">
        <f>SUM('Estimate Data'!T169)</f>
        <v>60</v>
      </c>
      <c r="T169" s="58">
        <f>SUM('Estimate Data'!U169)</f>
        <v>19</v>
      </c>
      <c r="U169" s="58">
        <f>SUM('Estimate Data'!V169)</f>
        <v>0</v>
      </c>
      <c r="V169" s="60">
        <f aca="true" t="shared" si="24" ref="V169:X172">P169/$K169</f>
        <v>0</v>
      </c>
      <c r="W169" s="60">
        <f t="shared" si="24"/>
        <v>0.2849740932642487</v>
      </c>
      <c r="X169" s="60">
        <f t="shared" si="24"/>
        <v>0.30569948186528495</v>
      </c>
      <c r="Y169" s="60">
        <f aca="true" t="shared" si="25" ref="Y169:AA172">S169/$K169</f>
        <v>0.31088082901554404</v>
      </c>
      <c r="Z169" s="60">
        <f t="shared" si="25"/>
        <v>0.09844559585492228</v>
      </c>
      <c r="AA169" s="60">
        <f t="shared" si="25"/>
        <v>0</v>
      </c>
      <c r="AB169" s="47"/>
    </row>
    <row r="170" spans="1:28" ht="15">
      <c r="A170">
        <v>85</v>
      </c>
      <c r="B170">
        <f t="shared" si="21"/>
      </c>
      <c r="C170" t="s">
        <v>780</v>
      </c>
      <c r="D170" t="s">
        <v>665</v>
      </c>
      <c r="E170" t="s">
        <v>780</v>
      </c>
      <c r="F170" t="s">
        <v>665</v>
      </c>
      <c r="G170" s="47"/>
      <c r="H170" s="23" t="str">
        <f>'Estimate Data'!I170</f>
        <v>H</v>
      </c>
      <c r="I170" s="23" t="str">
        <f>'Estimate Data'!J170</f>
        <v>L</v>
      </c>
      <c r="J170" s="1" t="str">
        <f t="shared" si="20"/>
        <v>HL</v>
      </c>
      <c r="K170" s="57">
        <f>'Estimate Data'!L170</f>
        <v>343</v>
      </c>
      <c r="L170" s="6">
        <f>(VLOOKUP($J170,'Standard Estimate Uncertainty '!$B$10:$D$18,2)*$K170)+$K170</f>
        <v>325.85</v>
      </c>
      <c r="M170" s="6">
        <f>(VLOOKUP($J170,'Standard Estimate Uncertainty '!$B$10:$D$18,3)*$K170)+$K170</f>
        <v>377.3</v>
      </c>
      <c r="N170" s="76">
        <v>360.1498860401992</v>
      </c>
      <c r="O170" s="49"/>
      <c r="P170" s="58"/>
      <c r="Q170" s="58">
        <f>SUM('Estimate Data'!R170)</f>
        <v>0</v>
      </c>
      <c r="R170" s="58">
        <f>SUM('Estimate Data'!S170)</f>
        <v>273</v>
      </c>
      <c r="S170" s="58">
        <f>SUM('Estimate Data'!T170)</f>
        <v>70</v>
      </c>
      <c r="T170" s="58">
        <f>SUM('Estimate Data'!U170)</f>
        <v>0</v>
      </c>
      <c r="U170" s="58">
        <f>SUM('Estimate Data'!V170)</f>
        <v>0</v>
      </c>
      <c r="V170" s="60">
        <f t="shared" si="24"/>
        <v>0</v>
      </c>
      <c r="W170" s="60">
        <f t="shared" si="24"/>
        <v>0</v>
      </c>
      <c r="X170" s="60">
        <f t="shared" si="24"/>
        <v>0.7959183673469388</v>
      </c>
      <c r="Y170" s="60">
        <f t="shared" si="25"/>
        <v>0.20408163265306123</v>
      </c>
      <c r="Z170" s="60">
        <f t="shared" si="25"/>
        <v>0</v>
      </c>
      <c r="AA170" s="60">
        <f t="shared" si="25"/>
        <v>0</v>
      </c>
      <c r="AB170" s="47"/>
    </row>
    <row r="171" spans="2:28" ht="15">
      <c r="B171">
        <f t="shared" si="21"/>
      </c>
      <c r="C171" t="s">
        <v>780</v>
      </c>
      <c r="D171" t="s">
        <v>487</v>
      </c>
      <c r="E171" t="s">
        <v>780</v>
      </c>
      <c r="F171" t="s">
        <v>487</v>
      </c>
      <c r="G171" s="47"/>
      <c r="H171" s="23" t="str">
        <f>'Estimate Data'!I171</f>
        <v>H</v>
      </c>
      <c r="I171" s="23" t="str">
        <f>'Estimate Data'!J171</f>
        <v>L</v>
      </c>
      <c r="J171" s="1" t="str">
        <f t="shared" si="20"/>
        <v>HL</v>
      </c>
      <c r="K171" s="57">
        <f>'Estimate Data'!L171</f>
        <v>450</v>
      </c>
      <c r="L171" s="6">
        <f>(VLOOKUP($J171,'Standard Estimate Uncertainty '!$B$10:$D$18,2)*$K171)+$K171</f>
        <v>427.5</v>
      </c>
      <c r="M171" s="6">
        <f>(VLOOKUP($J171,'Standard Estimate Uncertainty '!$B$10:$D$18,3)*$K171)+$K171</f>
        <v>495</v>
      </c>
      <c r="N171" s="76">
        <v>449.39985779943225</v>
      </c>
      <c r="O171" s="49"/>
      <c r="P171" s="58"/>
      <c r="Q171" s="58">
        <f>SUM('Estimate Data'!R171)</f>
        <v>0</v>
      </c>
      <c r="R171" s="58">
        <f>SUM('Estimate Data'!S171)</f>
        <v>0</v>
      </c>
      <c r="S171" s="58">
        <f>SUM('Estimate Data'!T171)</f>
        <v>0</v>
      </c>
      <c r="T171" s="58">
        <f>SUM('Estimate Data'!U171)</f>
        <v>0</v>
      </c>
      <c r="U171" s="58">
        <f>SUM('Estimate Data'!V171)</f>
        <v>450</v>
      </c>
      <c r="V171" s="60">
        <f t="shared" si="24"/>
        <v>0</v>
      </c>
      <c r="W171" s="60">
        <f t="shared" si="24"/>
        <v>0</v>
      </c>
      <c r="X171" s="60">
        <f t="shared" si="24"/>
        <v>0</v>
      </c>
      <c r="Y171" s="60">
        <f t="shared" si="25"/>
        <v>0</v>
      </c>
      <c r="Z171" s="60">
        <f t="shared" si="25"/>
        <v>0</v>
      </c>
      <c r="AA171" s="60">
        <f t="shared" si="25"/>
        <v>1</v>
      </c>
      <c r="AB171" s="47"/>
    </row>
    <row r="172" spans="1:28" ht="15">
      <c r="A172">
        <v>89</v>
      </c>
      <c r="B172">
        <f t="shared" si="21"/>
      </c>
      <c r="C172" t="s">
        <v>781</v>
      </c>
      <c r="D172" t="s">
        <v>647</v>
      </c>
      <c r="E172" t="s">
        <v>781</v>
      </c>
      <c r="F172" t="s">
        <v>647</v>
      </c>
      <c r="G172" s="47"/>
      <c r="H172" s="23" t="str">
        <f>'Estimate Data'!I172</f>
        <v>H</v>
      </c>
      <c r="I172" s="23" t="str">
        <f>'Estimate Data'!J172</f>
        <v>L</v>
      </c>
      <c r="J172" s="1" t="str">
        <f t="shared" si="20"/>
        <v>HL</v>
      </c>
      <c r="K172" s="57">
        <f>'Estimate Data'!L172</f>
        <v>1923</v>
      </c>
      <c r="L172" s="6">
        <f>(VLOOKUP($J172,'Standard Estimate Uncertainty '!$B$10:$D$18,2)*$K172)+$K172</f>
        <v>1826.85</v>
      </c>
      <c r="M172" s="6">
        <f>(VLOOKUP($J172,'Standard Estimate Uncertainty '!$B$10:$D$18,3)*$K172)+$K172</f>
        <v>2115.3</v>
      </c>
      <c r="N172" s="76">
        <v>1960.3493796998598</v>
      </c>
      <c r="O172" s="49"/>
      <c r="P172" s="58"/>
      <c r="Q172" s="58">
        <f>SUM('Estimate Data'!R172)</f>
        <v>288</v>
      </c>
      <c r="R172" s="58">
        <f>SUM('Estimate Data'!S172)</f>
        <v>460</v>
      </c>
      <c r="S172" s="58">
        <f>SUM('Estimate Data'!T172)</f>
        <v>485</v>
      </c>
      <c r="T172" s="58">
        <f>SUM('Estimate Data'!U172)</f>
        <v>512</v>
      </c>
      <c r="U172" s="58">
        <f>SUM('Estimate Data'!V172)</f>
        <v>178</v>
      </c>
      <c r="V172" s="60">
        <f t="shared" si="24"/>
        <v>0</v>
      </c>
      <c r="W172" s="60">
        <f t="shared" si="24"/>
        <v>0.1497659906396256</v>
      </c>
      <c r="X172" s="60">
        <f t="shared" si="24"/>
        <v>0.2392095683827353</v>
      </c>
      <c r="Y172" s="60">
        <f t="shared" si="25"/>
        <v>0.25221008840353615</v>
      </c>
      <c r="Z172" s="60">
        <f t="shared" si="25"/>
        <v>0.26625065002600107</v>
      </c>
      <c r="AA172" s="60">
        <f t="shared" si="25"/>
        <v>0.09256370254810192</v>
      </c>
      <c r="AB172" s="47"/>
    </row>
    <row r="173" spans="2:28" ht="15">
      <c r="B173">
        <f t="shared" si="21"/>
      </c>
      <c r="D173" t="s">
        <v>647</v>
      </c>
      <c r="E173"/>
      <c r="F173"/>
      <c r="G173" s="47"/>
      <c r="H173" s="23"/>
      <c r="I173" s="23"/>
      <c r="J173" s="1"/>
      <c r="K173" s="57"/>
      <c r="L173" s="6"/>
      <c r="M173" s="6"/>
      <c r="N173" s="6"/>
      <c r="O173" s="49"/>
      <c r="P173" s="58"/>
      <c r="Q173" s="58"/>
      <c r="R173" s="58"/>
      <c r="S173" s="58"/>
      <c r="T173" s="58"/>
      <c r="U173" s="59"/>
      <c r="V173" s="60"/>
      <c r="W173" s="60"/>
      <c r="X173" s="60"/>
      <c r="Y173" s="60"/>
      <c r="Z173" s="60"/>
      <c r="AA173" s="60"/>
      <c r="AB173" s="47"/>
    </row>
    <row r="174" spans="2:29" ht="15">
      <c r="B174">
        <f t="shared" si="21"/>
      </c>
      <c r="D174" t="s">
        <v>647</v>
      </c>
      <c r="E174"/>
      <c r="F174"/>
      <c r="G174" s="47"/>
      <c r="H174" s="23"/>
      <c r="I174" s="23"/>
      <c r="J174" s="1"/>
      <c r="K174" s="6">
        <f>SUM(K3:K172)</f>
        <v>61792</v>
      </c>
      <c r="L174" s="6">
        <f>SUM(L3:L172)</f>
        <v>54038.95000000002</v>
      </c>
      <c r="M174" s="6">
        <f>SUM(M3:M172)</f>
        <v>75487.24999999997</v>
      </c>
      <c r="N174" s="6">
        <f>SUM(N3:N172)</f>
        <v>68183.9504009438</v>
      </c>
      <c r="O174" s="49"/>
      <c r="P174" s="58"/>
      <c r="Q174" s="6">
        <f>SUM(Q3:Q172)</f>
        <v>14072</v>
      </c>
      <c r="R174" s="6">
        <f>SUM(R3:R172)</f>
        <v>16629</v>
      </c>
      <c r="S174" s="6">
        <f>SUM(S3:S172)</f>
        <v>17064</v>
      </c>
      <c r="T174" s="6">
        <f>SUM(T3:T172)</f>
        <v>11984</v>
      </c>
      <c r="U174" s="6">
        <f>SUM(U3:U172)</f>
        <v>2045</v>
      </c>
      <c r="V174" s="60"/>
      <c r="W174" s="50">
        <f>Q174/$AC$174</f>
        <v>0.22772437453474448</v>
      </c>
      <c r="X174" s="50">
        <f>R174/$AC$174</f>
        <v>0.26910379648509564</v>
      </c>
      <c r="Y174" s="50">
        <f>S174/$AC$174</f>
        <v>0.27614331488494026</v>
      </c>
      <c r="Z174" s="50">
        <f>T174/$AC$174</f>
        <v>0.19393468621549018</v>
      </c>
      <c r="AA174" s="50">
        <f>U174/$AC$174</f>
        <v>0.03309382787972942</v>
      </c>
      <c r="AB174" s="47"/>
      <c r="AC174" s="328">
        <f>SUM(Q174:U174)</f>
        <v>61794</v>
      </c>
    </row>
    <row r="175" spans="2:28" ht="15">
      <c r="B175">
        <f t="shared" si="21"/>
      </c>
      <c r="E175"/>
      <c r="F175"/>
      <c r="G175" s="47"/>
      <c r="H175" s="23"/>
      <c r="I175" s="23"/>
      <c r="J175" s="1"/>
      <c r="K175" s="57"/>
      <c r="L175" s="6"/>
      <c r="M175" s="6"/>
      <c r="N175" s="6"/>
      <c r="O175" s="49"/>
      <c r="P175" s="58"/>
      <c r="Q175" s="58"/>
      <c r="R175" s="58"/>
      <c r="S175" s="58"/>
      <c r="T175" s="58"/>
      <c r="U175" s="59"/>
      <c r="V175" s="60"/>
      <c r="W175" s="60"/>
      <c r="X175" s="60"/>
      <c r="Y175" s="60"/>
      <c r="Z175" s="60"/>
      <c r="AA175" s="60"/>
      <c r="AB175" s="47"/>
    </row>
    <row r="176" spans="2:28" ht="15">
      <c r="B176">
        <f t="shared" si="21"/>
      </c>
      <c r="E176"/>
      <c r="F176"/>
      <c r="G176" s="47"/>
      <c r="H176" s="78" t="s">
        <v>962</v>
      </c>
      <c r="J176" s="1"/>
      <c r="K176" s="57">
        <v>0</v>
      </c>
      <c r="L176" s="79">
        <v>-0.01</v>
      </c>
      <c r="M176" s="79">
        <v>0.03</v>
      </c>
      <c r="N176" s="80">
        <v>0.006666666666666666</v>
      </c>
      <c r="O176" s="49"/>
      <c r="P176" s="58"/>
      <c r="Q176" s="58"/>
      <c r="R176" s="58"/>
      <c r="S176" s="58"/>
      <c r="T176" s="58"/>
      <c r="U176" s="59"/>
      <c r="V176" s="60"/>
      <c r="W176" s="60"/>
      <c r="X176" s="60"/>
      <c r="Y176" s="60"/>
      <c r="Z176" s="60"/>
      <c r="AA176" s="60"/>
      <c r="AB176" s="47"/>
    </row>
    <row r="177" spans="2:28" ht="15">
      <c r="B177">
        <f t="shared" si="21"/>
      </c>
      <c r="E177"/>
      <c r="F177"/>
      <c r="G177" s="47"/>
      <c r="H177" s="23"/>
      <c r="I177" s="23"/>
      <c r="J177" s="1"/>
      <c r="K177" s="57"/>
      <c r="L177" s="6"/>
      <c r="M177" s="6"/>
      <c r="N177" s="6"/>
      <c r="O177" s="49"/>
      <c r="P177" s="58"/>
      <c r="Q177" s="58"/>
      <c r="R177" s="58"/>
      <c r="S177" s="58"/>
      <c r="T177" s="58"/>
      <c r="U177" s="59"/>
      <c r="V177" s="60"/>
      <c r="W177" s="60"/>
      <c r="X177" s="60"/>
      <c r="Y177" s="60"/>
      <c r="Z177" s="60"/>
      <c r="AA177" s="60"/>
      <c r="AB177" s="47"/>
    </row>
    <row r="178" spans="2:27" ht="15">
      <c r="B178">
        <f t="shared" si="21"/>
      </c>
      <c r="E178" s="47"/>
      <c r="F178" s="47"/>
      <c r="G178" s="47"/>
      <c r="H178" s="4"/>
      <c r="I178" s="23" t="s">
        <v>782</v>
      </c>
      <c r="J178" s="4"/>
      <c r="K178" s="6">
        <f>SUM(K3:K172)</f>
        <v>61792</v>
      </c>
      <c r="L178" s="6">
        <f>L174*(1+L176)</f>
        <v>53498.56050000002</v>
      </c>
      <c r="M178" s="6">
        <f>M174*(1+M176)</f>
        <v>77751.86749999998</v>
      </c>
      <c r="N178" s="77">
        <f>N174*(1+N176)</f>
        <v>68638.51007028342</v>
      </c>
      <c r="O178" s="49"/>
      <c r="P178" s="48">
        <f aca="true" t="shared" si="26" ref="P178:U178">SUM(P3:P172)</f>
        <v>0</v>
      </c>
      <c r="Q178" s="48">
        <f t="shared" si="26"/>
        <v>14072</v>
      </c>
      <c r="R178" s="48">
        <f t="shared" si="26"/>
        <v>16629</v>
      </c>
      <c r="S178" s="48">
        <f t="shared" si="26"/>
        <v>17064</v>
      </c>
      <c r="T178" s="48">
        <f t="shared" si="26"/>
        <v>11984</v>
      </c>
      <c r="U178" s="48">
        <f t="shared" si="26"/>
        <v>2045</v>
      </c>
      <c r="V178" s="60">
        <f aca="true" t="shared" si="27" ref="V178:AA178">P178/$K178</f>
        <v>0</v>
      </c>
      <c r="W178" s="60">
        <f t="shared" si="27"/>
        <v>0.22773174520973588</v>
      </c>
      <c r="X178" s="60">
        <f t="shared" si="27"/>
        <v>0.2691125064733299</v>
      </c>
      <c r="Y178" s="60">
        <f t="shared" si="27"/>
        <v>0.27615225271879856</v>
      </c>
      <c r="Z178" s="60">
        <f t="shared" si="27"/>
        <v>0.19394096323148627</v>
      </c>
      <c r="AA178" s="60">
        <f t="shared" si="27"/>
        <v>0.03309489901605386</v>
      </c>
    </row>
    <row r="179" spans="2:20" ht="15">
      <c r="B179">
        <f t="shared" si="21"/>
      </c>
      <c r="E179" s="4"/>
      <c r="F179" s="4"/>
      <c r="G179" s="4"/>
      <c r="I179" s="24" t="s">
        <v>456</v>
      </c>
      <c r="K179" s="6">
        <f>67178+9187</f>
        <v>76365</v>
      </c>
      <c r="L179" s="50">
        <f>(L178/K178)-1</f>
        <v>-0.13421542432677336</v>
      </c>
      <c r="M179" s="50">
        <f>(M178/K178)-1</f>
        <v>0.25828371795701677</v>
      </c>
      <c r="P179" s="51">
        <f>SUM(P178:T178)</f>
        <v>59749</v>
      </c>
      <c r="Q179" s="4"/>
      <c r="R179" s="4"/>
      <c r="S179" s="4"/>
      <c r="T179" s="4"/>
    </row>
    <row r="180" spans="2:21" ht="15">
      <c r="B180">
        <f t="shared" si="21"/>
      </c>
      <c r="I180" s="23" t="s">
        <v>783</v>
      </c>
      <c r="K180" s="6">
        <f>SUM(K178:K179)</f>
        <v>138157</v>
      </c>
      <c r="L180" s="52"/>
      <c r="M180" s="52"/>
      <c r="N180" s="52"/>
      <c r="O180" s="52"/>
      <c r="U180" s="328"/>
    </row>
    <row r="181" ht="15">
      <c r="B181">
        <f t="shared" si="21"/>
      </c>
    </row>
    <row r="182" spans="2:15" ht="15">
      <c r="B182">
        <f t="shared" si="21"/>
      </c>
      <c r="L182" s="54"/>
      <c r="M182" s="54"/>
      <c r="N182" s="54"/>
      <c r="O182" s="54"/>
    </row>
    <row r="183" spans="2:15" ht="15">
      <c r="B183">
        <f t="shared" si="21"/>
      </c>
      <c r="E183" s="53"/>
      <c r="F183" s="53"/>
      <c r="G183" s="53"/>
      <c r="L183" s="54"/>
      <c r="M183" s="54"/>
      <c r="N183" s="54"/>
      <c r="O183" s="54"/>
    </row>
    <row r="184" spans="2:7" ht="15">
      <c r="B184">
        <f t="shared" si="21"/>
      </c>
      <c r="E184" s="53"/>
      <c r="F184" s="53"/>
      <c r="G184" s="53"/>
    </row>
    <row r="185" spans="2:17" ht="15">
      <c r="B185">
        <f t="shared" si="21"/>
      </c>
      <c r="E185" s="53"/>
      <c r="F185" s="53"/>
      <c r="G185" s="53"/>
      <c r="Q185" s="46">
        <f>SUM(Q3:U172)</f>
        <v>61794</v>
      </c>
    </row>
    <row r="186" ht="15">
      <c r="B186">
        <f t="shared" si="21"/>
      </c>
    </row>
    <row r="187" ht="15">
      <c r="B187">
        <f t="shared" si="21"/>
      </c>
    </row>
    <row r="188" ht="15">
      <c r="B188">
        <f t="shared" si="21"/>
      </c>
    </row>
    <row r="189" ht="15">
      <c r="B189">
        <f t="shared" si="21"/>
      </c>
    </row>
    <row r="190" ht="15">
      <c r="B190">
        <f t="shared" si="21"/>
      </c>
    </row>
    <row r="191" ht="15">
      <c r="B191">
        <f t="shared" si="21"/>
      </c>
    </row>
    <row r="192" ht="15">
      <c r="B192">
        <f t="shared" si="21"/>
      </c>
    </row>
    <row r="193" ht="15">
      <c r="B193">
        <f t="shared" si="21"/>
      </c>
    </row>
    <row r="194" ht="15">
      <c r="B194">
        <f t="shared" si="21"/>
      </c>
    </row>
    <row r="195" ht="15">
      <c r="B195">
        <f t="shared" si="21"/>
      </c>
    </row>
    <row r="196" ht="15">
      <c r="B196">
        <f aca="true" t="shared" si="28" ref="B196:B202">IF(C196=E196,"","X")</f>
      </c>
    </row>
    <row r="197" ht="15">
      <c r="B197">
        <f t="shared" si="28"/>
      </c>
    </row>
    <row r="198" ht="15">
      <c r="B198">
        <f t="shared" si="28"/>
      </c>
    </row>
    <row r="199" ht="15">
      <c r="B199">
        <f t="shared" si="28"/>
      </c>
    </row>
    <row r="200" ht="15">
      <c r="B200">
        <f t="shared" si="28"/>
      </c>
    </row>
    <row r="201" ht="15">
      <c r="B201">
        <f t="shared" si="28"/>
      </c>
    </row>
    <row r="202" ht="15">
      <c r="B202">
        <f t="shared" si="28"/>
      </c>
    </row>
    <row r="203" ht="15">
      <c r="B203">
        <f>IF(D203=F203,"","X")</f>
      </c>
    </row>
    <row r="204" ht="15">
      <c r="B204">
        <f>IF(D204=F204,"","X")</f>
      </c>
    </row>
    <row r="205" ht="15">
      <c r="B205">
        <f>IF(D205=F205,"","X")</f>
      </c>
    </row>
    <row r="206" ht="15">
      <c r="B206">
        <f>IF(D206=F206,"","X")</f>
      </c>
    </row>
    <row r="207" ht="15">
      <c r="B207">
        <f>IF(D207=F207,"","X")</f>
      </c>
    </row>
    <row r="208" ht="15">
      <c r="B208">
        <f aca="true" t="shared" si="29" ref="B208:B226">IF(D209=F208,"","X")</f>
      </c>
    </row>
    <row r="209" ht="15">
      <c r="B209">
        <f t="shared" si="29"/>
      </c>
    </row>
    <row r="210" ht="15">
      <c r="B210">
        <f t="shared" si="29"/>
      </c>
    </row>
    <row r="211" ht="15">
      <c r="B211">
        <f t="shared" si="29"/>
      </c>
    </row>
    <row r="212" ht="15">
      <c r="B212">
        <f t="shared" si="29"/>
      </c>
    </row>
    <row r="213" ht="15">
      <c r="B213">
        <f t="shared" si="29"/>
      </c>
    </row>
    <row r="214" ht="15">
      <c r="B214">
        <f t="shared" si="29"/>
      </c>
    </row>
    <row r="215" ht="15">
      <c r="B215">
        <f t="shared" si="29"/>
      </c>
    </row>
    <row r="216" ht="15">
      <c r="B216">
        <f t="shared" si="29"/>
      </c>
    </row>
    <row r="217" ht="15">
      <c r="B217">
        <f t="shared" si="29"/>
      </c>
    </row>
    <row r="218" ht="15">
      <c r="B218">
        <f t="shared" si="29"/>
      </c>
    </row>
    <row r="219" ht="15">
      <c r="B219">
        <f t="shared" si="29"/>
      </c>
    </row>
    <row r="220" ht="15">
      <c r="B220">
        <f t="shared" si="29"/>
      </c>
    </row>
    <row r="221" ht="15">
      <c r="B221">
        <f t="shared" si="29"/>
      </c>
    </row>
    <row r="222" ht="15">
      <c r="B222">
        <f t="shared" si="29"/>
      </c>
    </row>
    <row r="223" ht="15">
      <c r="B223">
        <f t="shared" si="29"/>
      </c>
    </row>
    <row r="224" ht="15">
      <c r="B224">
        <f t="shared" si="29"/>
      </c>
    </row>
    <row r="225" ht="15">
      <c r="B225">
        <f t="shared" si="29"/>
      </c>
    </row>
    <row r="226" ht="15">
      <c r="B226">
        <f t="shared" si="29"/>
      </c>
    </row>
  </sheetData>
  <sheetProtection/>
  <mergeCells count="47">
    <mergeCell ref="K157:M157"/>
    <mergeCell ref="K158:M158"/>
    <mergeCell ref="K159:M159"/>
    <mergeCell ref="K151:M151"/>
    <mergeCell ref="K152:M152"/>
    <mergeCell ref="K153:M153"/>
    <mergeCell ref="K154:M154"/>
    <mergeCell ref="K155:M155"/>
    <mergeCell ref="K156:M156"/>
    <mergeCell ref="K145:M145"/>
    <mergeCell ref="K146:M146"/>
    <mergeCell ref="K147:M147"/>
    <mergeCell ref="K148:M148"/>
    <mergeCell ref="K138:M138"/>
    <mergeCell ref="K139:M139"/>
    <mergeCell ref="K140:M140"/>
    <mergeCell ref="K141:M141"/>
    <mergeCell ref="L169:M169"/>
    <mergeCell ref="K33:M33"/>
    <mergeCell ref="K46:M46"/>
    <mergeCell ref="K47:M47"/>
    <mergeCell ref="K48:M48"/>
    <mergeCell ref="K49:M49"/>
    <mergeCell ref="K50:M50"/>
    <mergeCell ref="K52:M52"/>
    <mergeCell ref="K75:M75"/>
    <mergeCell ref="K76:M76"/>
    <mergeCell ref="L21:M21"/>
    <mergeCell ref="L23:M23"/>
    <mergeCell ref="L36:M36"/>
    <mergeCell ref="L108:M108"/>
    <mergeCell ref="L162:M162"/>
    <mergeCell ref="L168:M168"/>
    <mergeCell ref="K77:M77"/>
    <mergeCell ref="K142:M142"/>
    <mergeCell ref="K143:M143"/>
    <mergeCell ref="K144:M144"/>
    <mergeCell ref="K149:M149"/>
    <mergeCell ref="K150:M150"/>
    <mergeCell ref="K136:M136"/>
    <mergeCell ref="K137:M137"/>
    <mergeCell ref="L17:M17"/>
    <mergeCell ref="L20:M20"/>
    <mergeCell ref="L1:M1"/>
    <mergeCell ref="V1:Z1"/>
    <mergeCell ref="L8:M8"/>
    <mergeCell ref="L12:M12"/>
  </mergeCells>
  <printOptions gridLines="1"/>
  <pageMargins left="0.38" right="0.13" top="0.2" bottom="0.43" header="0.17" footer="0.14"/>
  <pageSetup fitToHeight="3" fitToWidth="1" horizontalDpi="600" verticalDpi="600" orientation="portrait" scale="82" r:id="rId4"/>
  <headerFooter alignWithMargins="0">
    <oddFooter>&amp;L&amp;F&amp;Cpage &amp;P of  &amp;N&amp;R&amp;D   &amp;T</oddFooter>
  </headerFooter>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M22"/>
  <sheetViews>
    <sheetView zoomScale="110" zoomScaleNormal="110" zoomScalePageLayoutView="0" workbookViewId="0" topLeftCell="A2">
      <selection activeCell="N3" sqref="N3"/>
    </sheetView>
  </sheetViews>
  <sheetFormatPr defaultColWidth="9.140625" defaultRowHeight="12.75"/>
  <cols>
    <col min="1" max="1" width="40.8515625" style="3" customWidth="1"/>
    <col min="2" max="2" width="39.140625" style="3" customWidth="1"/>
    <col min="3" max="3" width="12.140625" style="3" customWidth="1"/>
    <col min="4" max="4" width="12.421875" style="3" customWidth="1"/>
    <col min="5" max="6" width="11.57421875" style="64" customWidth="1"/>
    <col min="7" max="7" width="9.7109375" style="64" customWidth="1"/>
    <col min="8" max="8" width="7.8515625" style="64" customWidth="1"/>
    <col min="9" max="9" width="10.7109375" style="3" customWidth="1"/>
    <col min="10" max="10" width="10.57421875" style="3" customWidth="1"/>
    <col min="11" max="11" width="11.140625" style="3" customWidth="1"/>
    <col min="12" max="12" width="12.7109375" style="0" customWidth="1"/>
    <col min="13" max="13" width="11.8515625" style="3" customWidth="1"/>
    <col min="14" max="16384" width="9.140625" style="3" customWidth="1"/>
  </cols>
  <sheetData>
    <row r="1" ht="18">
      <c r="A1" s="63" t="s">
        <v>789</v>
      </c>
    </row>
    <row r="2" spans="1:8" ht="12.75">
      <c r="A2" s="65"/>
      <c r="E2" s="66"/>
      <c r="F2" s="66"/>
      <c r="G2" s="398" t="s">
        <v>790</v>
      </c>
      <c r="H2" s="398"/>
    </row>
    <row r="3" spans="1:13" ht="75">
      <c r="A3" s="67" t="s">
        <v>791</v>
      </c>
      <c r="E3" s="68" t="s">
        <v>892</v>
      </c>
      <c r="F3" s="68" t="s">
        <v>795</v>
      </c>
      <c r="G3" s="69" t="s">
        <v>586</v>
      </c>
      <c r="H3" s="69" t="s">
        <v>588</v>
      </c>
      <c r="I3" s="68" t="s">
        <v>894</v>
      </c>
      <c r="J3" s="68" t="s">
        <v>796</v>
      </c>
      <c r="K3" s="68" t="s">
        <v>893</v>
      </c>
      <c r="L3" s="86" t="s">
        <v>929</v>
      </c>
      <c r="M3" s="89" t="s">
        <v>965</v>
      </c>
    </row>
    <row r="4" spans="12:13" ht="15">
      <c r="L4" s="85"/>
      <c r="M4" s="90"/>
    </row>
    <row r="5" spans="1:13" ht="15">
      <c r="A5" s="20" t="s">
        <v>922</v>
      </c>
      <c r="B5"/>
      <c r="C5" s="95" t="s">
        <v>923</v>
      </c>
      <c r="D5" s="95" t="s">
        <v>924</v>
      </c>
      <c r="E5"/>
      <c r="F5"/>
      <c r="L5" s="85"/>
      <c r="M5" s="90"/>
    </row>
    <row r="6" spans="1:13" ht="15">
      <c r="A6" t="s">
        <v>888</v>
      </c>
      <c r="B6" t="s">
        <v>925</v>
      </c>
      <c r="C6" s="96">
        <v>39479</v>
      </c>
      <c r="D6" s="96">
        <v>39770</v>
      </c>
      <c r="E6" s="97">
        <f>(+D6-C6)/30.416</f>
        <v>9.567332982640716</v>
      </c>
      <c r="F6" s="7" t="s">
        <v>598</v>
      </c>
      <c r="G6" s="87">
        <f>(VLOOKUP($F6,'Standard Estimate Uncertainty '!$B$10:$D$18,2)*$E6)+$E6</f>
        <v>7.653866386112573</v>
      </c>
      <c r="H6" s="87">
        <f>(VLOOKUP($F6,'Standard Estimate Uncertainty '!$B$10:$D$18,3)*$E6)+$E6</f>
        <v>13.394266175697002</v>
      </c>
      <c r="I6" s="91">
        <v>10.932416328616856</v>
      </c>
      <c r="J6" s="87">
        <f>IF(L6=0,I6,MAX(I6-L6,E6))</f>
        <v>10.932416328616856</v>
      </c>
      <c r="K6" s="88">
        <f>M6*'Misc Inputs'!$F$26</f>
        <v>0</v>
      </c>
      <c r="L6" s="85"/>
      <c r="M6" s="90"/>
    </row>
    <row r="7" spans="1:13" ht="15">
      <c r="A7"/>
      <c r="B7" t="s">
        <v>926</v>
      </c>
      <c r="C7" s="96">
        <f aca="true" t="shared" si="0" ref="C7:C12">+D6</f>
        <v>39770</v>
      </c>
      <c r="D7" s="96">
        <v>39916</v>
      </c>
      <c r="E7" s="97">
        <f aca="true" t="shared" si="1" ref="E7:E12">(+D7-C7)/30.416</f>
        <v>4.800105207785376</v>
      </c>
      <c r="F7" s="7" t="s">
        <v>598</v>
      </c>
      <c r="G7" s="87">
        <f>(VLOOKUP($F7,'Standard Estimate Uncertainty '!$B$10:$D$18,2)*$E7)+$E7</f>
        <v>3.8400841662283005</v>
      </c>
      <c r="H7" s="87">
        <f>(VLOOKUP($F7,'Standard Estimate Uncertainty '!$B$10:$D$18,3)*$E7)+$E7</f>
        <v>6.720147290899527</v>
      </c>
      <c r="I7" s="91">
        <v>5.484992384804333</v>
      </c>
      <c r="J7" s="87">
        <f aca="true" t="shared" si="2" ref="J7:J12">IF(L7=0,I7,MAX(I7-L7,E7))</f>
        <v>5.484992384804333</v>
      </c>
      <c r="K7" s="88">
        <f>M7*'Misc Inputs'!$F$26</f>
        <v>0</v>
      </c>
      <c r="L7" s="85"/>
      <c r="M7" s="90"/>
    </row>
    <row r="8" spans="1:13" ht="15">
      <c r="A8"/>
      <c r="B8" t="s">
        <v>927</v>
      </c>
      <c r="C8" s="96">
        <f t="shared" si="0"/>
        <v>39916</v>
      </c>
      <c r="D8" s="96">
        <v>40120</v>
      </c>
      <c r="E8" s="97">
        <f t="shared" si="1"/>
        <v>6.706996317727512</v>
      </c>
      <c r="F8" s="7" t="s">
        <v>598</v>
      </c>
      <c r="G8" s="87">
        <f>(VLOOKUP($F8,'Standard Estimate Uncertainty '!$B$10:$D$18,2)*$E8)+$E8</f>
        <v>5.365597054182009</v>
      </c>
      <c r="H8" s="87">
        <f>(VLOOKUP($F8,'Standard Estimate Uncertainty '!$B$10:$D$18,3)*$E8)+$E8</f>
        <v>9.389794844818518</v>
      </c>
      <c r="I8" s="91">
        <v>7.663961962329343</v>
      </c>
      <c r="J8" s="87">
        <f t="shared" si="2"/>
        <v>7.663961962329343</v>
      </c>
      <c r="K8" s="88">
        <f>M8*'Misc Inputs'!$F$26</f>
        <v>0</v>
      </c>
      <c r="L8" s="85"/>
      <c r="M8" s="90"/>
    </row>
    <row r="9" spans="1:13" ht="15">
      <c r="A9"/>
      <c r="B9" t="s">
        <v>928</v>
      </c>
      <c r="C9" s="96">
        <f t="shared" si="0"/>
        <v>40120</v>
      </c>
      <c r="D9" s="96">
        <v>40261</v>
      </c>
      <c r="E9" s="97">
        <f t="shared" si="1"/>
        <v>4.635718043135192</v>
      </c>
      <c r="F9" s="7" t="s">
        <v>598</v>
      </c>
      <c r="G9" s="87">
        <f>(VLOOKUP($F9,'Standard Estimate Uncertainty '!$B$10:$D$18,2)*$E9)+$E9</f>
        <v>3.7085744345081535</v>
      </c>
      <c r="H9" s="87">
        <f>(VLOOKUP($F9,'Standard Estimate Uncertainty '!$B$10:$D$18,3)*$E9)+$E9</f>
        <v>6.490005260389269</v>
      </c>
      <c r="I9" s="91">
        <v>5.297150179845281</v>
      </c>
      <c r="J9" s="87">
        <f t="shared" si="2"/>
        <v>4.635718043135192</v>
      </c>
      <c r="K9" s="88">
        <f>M9*'Misc Inputs'!$F$26</f>
        <v>42.47717181952192</v>
      </c>
      <c r="L9" s="85">
        <v>2</v>
      </c>
      <c r="M9" s="90">
        <f>IF(I9-E9&lt;0,0,MIN(I9-E9,L9))</f>
        <v>0.661432136710089</v>
      </c>
    </row>
    <row r="10" spans="1:13" ht="15">
      <c r="A10" t="s">
        <v>889</v>
      </c>
      <c r="B10" t="s">
        <v>890</v>
      </c>
      <c r="C10" s="96">
        <f t="shared" si="0"/>
        <v>40261</v>
      </c>
      <c r="D10" s="96">
        <v>40401</v>
      </c>
      <c r="E10" s="97">
        <f t="shared" si="1"/>
        <v>4.602840610205155</v>
      </c>
      <c r="F10" s="7" t="s">
        <v>595</v>
      </c>
      <c r="G10" s="87">
        <f>(VLOOKUP($F10,'Standard Estimate Uncertainty '!$B$10:$D$18,2)*$E10)+$E10</f>
        <v>3.6822724881641244</v>
      </c>
      <c r="H10" s="87">
        <f>(VLOOKUP($F10,'Standard Estimate Uncertainty '!$B$10:$D$18,3)*$E10)+$E10</f>
        <v>6.443976854287218</v>
      </c>
      <c r="I10" s="91">
        <v>5.259581738853471</v>
      </c>
      <c r="J10" s="87">
        <f t="shared" si="2"/>
        <v>4.602840610205155</v>
      </c>
      <c r="K10" s="88">
        <f>M10*'Misc Inputs'!$F$26</f>
        <v>42.17591528179481</v>
      </c>
      <c r="L10" s="85">
        <v>1.5</v>
      </c>
      <c r="M10" s="90">
        <f>IF(I10-E10&lt;0,0,MIN(I10-E10,L10))</f>
        <v>0.6567411286483154</v>
      </c>
    </row>
    <row r="11" spans="1:13" ht="15">
      <c r="A11" t="s">
        <v>891</v>
      </c>
      <c r="B11"/>
      <c r="C11" s="96">
        <f t="shared" si="0"/>
        <v>40401</v>
      </c>
      <c r="D11" s="96">
        <v>40858</v>
      </c>
      <c r="E11" s="97">
        <f t="shared" si="1"/>
        <v>15.024986849026828</v>
      </c>
      <c r="F11" s="7" t="s">
        <v>595</v>
      </c>
      <c r="G11" s="87">
        <f>(VLOOKUP($F11,'Standard Estimate Uncertainty '!$B$10:$D$18,2)*$E11)+$E11</f>
        <v>12.019989479221461</v>
      </c>
      <c r="H11" s="87">
        <f>(VLOOKUP($F11,'Standard Estimate Uncertainty '!$B$10:$D$18,3)*$E11)+$E11</f>
        <v>21.03498158863756</v>
      </c>
      <c r="I11" s="91">
        <v>17.168777533257398</v>
      </c>
      <c r="J11" s="87">
        <f t="shared" si="2"/>
        <v>15.668777533257398</v>
      </c>
      <c r="K11" s="88">
        <f>M11*'Misc Inputs'!$F$26</f>
        <v>96.33</v>
      </c>
      <c r="L11" s="85">
        <v>1.5</v>
      </c>
      <c r="M11" s="90">
        <f>IF(I11-E11&lt;0,0,MIN(I11-E11,L11))</f>
        <v>1.5</v>
      </c>
    </row>
    <row r="12" spans="1:13" ht="15">
      <c r="A12" t="s">
        <v>792</v>
      </c>
      <c r="B12"/>
      <c r="C12" s="96">
        <f t="shared" si="0"/>
        <v>40858</v>
      </c>
      <c r="D12" s="96">
        <v>40890</v>
      </c>
      <c r="E12" s="97">
        <f t="shared" si="1"/>
        <v>1.0520778537611783</v>
      </c>
      <c r="F12" s="7" t="s">
        <v>599</v>
      </c>
      <c r="G12" s="87">
        <f>(VLOOKUP($F12,'Standard Estimate Uncertainty '!$B$10:$D$18,2)*$E12)+$E12</f>
        <v>0.9994739610731195</v>
      </c>
      <c r="H12" s="87">
        <f>(VLOOKUP($F12,'Standard Estimate Uncertainty '!$B$10:$D$18,3)*$E12)+$E12</f>
        <v>1.157285639137296</v>
      </c>
      <c r="I12" s="91">
        <v>1.0896059182553677</v>
      </c>
      <c r="J12" s="87">
        <f t="shared" si="2"/>
        <v>1.0896059182553677</v>
      </c>
      <c r="K12" s="88">
        <f>M12*'Misc Inputs'!$F$26</f>
        <v>0</v>
      </c>
      <c r="L12" s="85"/>
      <c r="M12" s="90"/>
    </row>
    <row r="13" spans="1:11" ht="12.75">
      <c r="A13"/>
      <c r="B13"/>
      <c r="C13"/>
      <c r="D13"/>
      <c r="E13"/>
      <c r="F13"/>
      <c r="G13" s="87"/>
      <c r="H13" s="87"/>
      <c r="I13" s="87"/>
      <c r="J13" s="87"/>
      <c r="K13" s="87"/>
    </row>
    <row r="14" spans="1:11" ht="12.75">
      <c r="A14"/>
      <c r="B14"/>
      <c r="C14"/>
      <c r="D14" s="87">
        <f>(+D12-C6)/30.41</f>
        <v>46.39921078592568</v>
      </c>
      <c r="E14" s="87">
        <f>SUM(E6:E12)</f>
        <v>46.39005786428196</v>
      </c>
      <c r="F14" s="87"/>
      <c r="G14" s="87">
        <f>SUM(G6:G12)</f>
        <v>37.26985796948974</v>
      </c>
      <c r="H14" s="87">
        <f>SUM(H6:H12)</f>
        <v>64.6304576538664</v>
      </c>
      <c r="I14" s="87"/>
      <c r="J14" s="92">
        <f>SUM(J6:J12)</f>
        <v>50.07831278060364</v>
      </c>
      <c r="K14" s="92">
        <f>SUM(K6:K12)</f>
        <v>180.98308710131673</v>
      </c>
    </row>
    <row r="15" spans="4:8" ht="12.75">
      <c r="D15" s="87"/>
      <c r="E15" s="87"/>
      <c r="F15" s="87"/>
      <c r="G15" s="87"/>
      <c r="H15" s="87"/>
    </row>
    <row r="16" spans="2:8" ht="12.75">
      <c r="B16" s="70"/>
      <c r="C16" s="70"/>
      <c r="D16" s="87"/>
      <c r="E16" s="87"/>
      <c r="F16" s="87"/>
      <c r="G16" s="87"/>
      <c r="H16" s="87"/>
    </row>
    <row r="17" spans="2:8" ht="12.75">
      <c r="B17" s="70"/>
      <c r="C17" s="70"/>
      <c r="D17" s="87"/>
      <c r="E17" s="87"/>
      <c r="F17" s="87"/>
      <c r="G17" s="87"/>
      <c r="H17" s="87"/>
    </row>
    <row r="18" spans="2:8" ht="12.75">
      <c r="B18" s="70" t="s">
        <v>793</v>
      </c>
      <c r="C18" s="70"/>
      <c r="D18" s="98"/>
      <c r="E18" s="98">
        <f>'Misc Inputs'!F17</f>
        <v>525</v>
      </c>
      <c r="F18" s="98" t="s">
        <v>794</v>
      </c>
      <c r="G18" s="87"/>
      <c r="H18" s="87"/>
    </row>
    <row r="19" spans="4:8" ht="12.75">
      <c r="D19" s="87"/>
      <c r="E19" s="87"/>
      <c r="F19" s="87"/>
      <c r="G19" s="87"/>
      <c r="H19" s="87"/>
    </row>
    <row r="20" spans="4:8" ht="12.75">
      <c r="D20" s="87"/>
      <c r="E20" s="87"/>
      <c r="F20" s="87"/>
      <c r="G20" s="87"/>
      <c r="H20" s="87"/>
    </row>
    <row r="21" spans="4:8" ht="12.75">
      <c r="D21" s="87"/>
      <c r="E21" s="87"/>
      <c r="F21" s="87"/>
      <c r="G21" s="87"/>
      <c r="H21" s="87"/>
    </row>
    <row r="22" spans="4:8" ht="12.75">
      <c r="D22" s="87"/>
      <c r="E22" s="87"/>
      <c r="F22" s="87"/>
      <c r="G22" s="87"/>
      <c r="H22" s="87"/>
    </row>
  </sheetData>
  <sheetProtection/>
  <mergeCells count="1">
    <mergeCell ref="G2:H2"/>
  </mergeCells>
  <printOptions/>
  <pageMargins left="0.75" right="0.75" top="1" bottom="1" header="0.5" footer="0.5"/>
  <pageSetup fitToHeight="1" fitToWidth="1" horizontalDpi="1200" verticalDpi="1200" orientation="landscape"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B157"/>
  <sheetViews>
    <sheetView zoomScale="80" zoomScaleNormal="80" zoomScaleSheetLayoutView="50" zoomScalePageLayoutView="0" workbookViewId="0" topLeftCell="A2">
      <pane ySplit="1" topLeftCell="BM15" activePane="bottomLeft" state="frozen"/>
      <selection pane="topLeft" activeCell="A2" sqref="A2"/>
      <selection pane="bottomLeft" activeCell="Q89" sqref="Q89"/>
    </sheetView>
  </sheetViews>
  <sheetFormatPr defaultColWidth="9.140625" defaultRowHeight="12.75"/>
  <cols>
    <col min="1" max="1" width="15.140625" style="1" customWidth="1"/>
    <col min="2" max="2" width="11.421875" style="1" customWidth="1"/>
    <col min="3" max="3" width="43.7109375" style="298" customWidth="1"/>
    <col min="4" max="4" width="32.140625" style="298" hidden="1" customWidth="1"/>
    <col min="5" max="5" width="18.28125" style="298" hidden="1" customWidth="1"/>
    <col min="6" max="6" width="19.8515625" style="298" hidden="1" customWidth="1"/>
    <col min="7" max="7" width="32.421875" style="298" hidden="1" customWidth="1"/>
    <col min="8" max="8" width="14.28125" style="299" customWidth="1"/>
    <col min="9" max="9" width="18.421875" style="1" customWidth="1"/>
    <col min="10" max="10" width="13.28125" style="1" customWidth="1"/>
    <col min="11" max="11" width="23.140625" style="26" customWidth="1"/>
    <col min="12" max="12" width="12.8515625" style="300" customWidth="1"/>
    <col min="13" max="13" width="12.28125" style="301" customWidth="1"/>
    <col min="14" max="14" width="30.140625" style="298" customWidth="1"/>
    <col min="15" max="15" width="9.28125" style="0" customWidth="1"/>
    <col min="16" max="16" width="13.140625" style="26" customWidth="1"/>
    <col min="17" max="17" width="14.00390625" style="26" customWidth="1"/>
    <col min="18" max="18" width="15.7109375" style="26" customWidth="1"/>
    <col min="19" max="19" width="15.28125" style="26" customWidth="1"/>
    <col min="20" max="16384" width="9.140625" style="26" customWidth="1"/>
  </cols>
  <sheetData>
    <row r="1" spans="1:13" s="107" customFormat="1" ht="145.5" customHeight="1">
      <c r="A1" s="101"/>
      <c r="B1" s="100"/>
      <c r="C1" s="102"/>
      <c r="D1" s="102"/>
      <c r="E1" s="102"/>
      <c r="F1" s="103"/>
      <c r="G1" s="102"/>
      <c r="H1" s="104" t="s">
        <v>966</v>
      </c>
      <c r="I1" s="399" t="s">
        <v>967</v>
      </c>
      <c r="J1" s="379"/>
      <c r="K1" s="102"/>
      <c r="L1" s="105"/>
      <c r="M1" s="106"/>
    </row>
    <row r="2" spans="1:19" s="115" customFormat="1" ht="81" customHeight="1" thickBot="1">
      <c r="A2" s="108" t="s">
        <v>860</v>
      </c>
      <c r="B2" s="109" t="s">
        <v>968</v>
      </c>
      <c r="C2" s="109" t="s">
        <v>861</v>
      </c>
      <c r="D2" s="109" t="s">
        <v>969</v>
      </c>
      <c r="E2" s="109" t="s">
        <v>970</v>
      </c>
      <c r="F2" s="110" t="s">
        <v>971</v>
      </c>
      <c r="G2" s="109" t="s">
        <v>972</v>
      </c>
      <c r="H2" s="110" t="s">
        <v>973</v>
      </c>
      <c r="I2" s="110" t="s">
        <v>862</v>
      </c>
      <c r="J2" s="110" t="s">
        <v>974</v>
      </c>
      <c r="K2" s="111" t="s">
        <v>863</v>
      </c>
      <c r="L2" s="112" t="s">
        <v>858</v>
      </c>
      <c r="M2" s="113" t="s">
        <v>859</v>
      </c>
      <c r="N2" s="114" t="s">
        <v>975</v>
      </c>
      <c r="Q2" s="114" t="s">
        <v>393</v>
      </c>
      <c r="R2" s="114" t="s">
        <v>394</v>
      </c>
      <c r="S2" s="114" t="s">
        <v>395</v>
      </c>
    </row>
    <row r="3" spans="1:17" s="123" customFormat="1" ht="18.75" thickBot="1">
      <c r="A3" s="116" t="s">
        <v>976</v>
      </c>
      <c r="B3" s="117"/>
      <c r="C3" s="118"/>
      <c r="D3" s="117"/>
      <c r="E3" s="117"/>
      <c r="F3" s="117"/>
      <c r="G3" s="117"/>
      <c r="H3" s="117"/>
      <c r="I3" s="117"/>
      <c r="J3" s="117"/>
      <c r="K3" s="119"/>
      <c r="L3" s="120"/>
      <c r="M3" s="121"/>
      <c r="N3" s="122"/>
      <c r="O3" s="314"/>
      <c r="P3" s="314"/>
      <c r="Q3" s="314"/>
    </row>
    <row r="4" spans="1:17" s="132" customFormat="1" ht="45">
      <c r="A4" s="124" t="s">
        <v>977</v>
      </c>
      <c r="B4" s="125"/>
      <c r="C4" s="126" t="s">
        <v>501</v>
      </c>
      <c r="D4" s="127" t="s">
        <v>502</v>
      </c>
      <c r="E4" s="127"/>
      <c r="F4" s="126"/>
      <c r="G4" s="126"/>
      <c r="H4" s="128"/>
      <c r="I4" s="128"/>
      <c r="J4" s="128"/>
      <c r="K4" s="126"/>
      <c r="L4" s="129"/>
      <c r="M4" s="130"/>
      <c r="N4" s="131"/>
      <c r="O4" s="310"/>
      <c r="P4" s="310"/>
      <c r="Q4" s="310"/>
    </row>
    <row r="5" spans="1:19" s="140" customFormat="1" ht="133.5" customHeight="1">
      <c r="A5" s="124" t="s">
        <v>978</v>
      </c>
      <c r="B5" s="133" t="s">
        <v>503</v>
      </c>
      <c r="C5" s="134" t="s">
        <v>979</v>
      </c>
      <c r="D5" s="135" t="s">
        <v>980</v>
      </c>
      <c r="E5" s="135"/>
      <c r="F5" s="135" t="s">
        <v>981</v>
      </c>
      <c r="G5" s="135" t="s">
        <v>982</v>
      </c>
      <c r="H5" s="136" t="s">
        <v>868</v>
      </c>
      <c r="I5" s="136" t="s">
        <v>865</v>
      </c>
      <c r="J5" s="136" t="s">
        <v>586</v>
      </c>
      <c r="K5" s="135" t="s">
        <v>983</v>
      </c>
      <c r="L5" s="137">
        <v>0</v>
      </c>
      <c r="M5" s="138">
        <v>0.5</v>
      </c>
      <c r="N5" s="139"/>
      <c r="O5" s="315" t="s">
        <v>868</v>
      </c>
      <c r="P5" s="316">
        <v>0.055</v>
      </c>
      <c r="Q5" s="316">
        <v>0.055</v>
      </c>
      <c r="R5" s="302">
        <f aca="true" t="shared" si="0" ref="R5:R14">Q5*L5</f>
        <v>0</v>
      </c>
      <c r="S5" s="303">
        <f aca="true" t="shared" si="1" ref="S5:S14">Q5*M5</f>
        <v>0.0275</v>
      </c>
    </row>
    <row r="6" spans="1:19" s="147" customFormat="1" ht="408.75" customHeight="1">
      <c r="A6" s="124" t="s">
        <v>984</v>
      </c>
      <c r="B6" s="141" t="s">
        <v>880</v>
      </c>
      <c r="C6" s="142" t="s">
        <v>985</v>
      </c>
      <c r="D6" s="142" t="s">
        <v>986</v>
      </c>
      <c r="E6" s="142" t="s">
        <v>987</v>
      </c>
      <c r="F6" s="142" t="s">
        <v>988</v>
      </c>
      <c r="G6" s="142" t="s">
        <v>989</v>
      </c>
      <c r="H6" s="128" t="s">
        <v>868</v>
      </c>
      <c r="I6" s="143" t="s">
        <v>875</v>
      </c>
      <c r="J6" s="143" t="s">
        <v>586</v>
      </c>
      <c r="K6" s="142" t="s">
        <v>881</v>
      </c>
      <c r="L6" s="144">
        <v>0</v>
      </c>
      <c r="M6" s="145">
        <v>2</v>
      </c>
      <c r="N6" s="146"/>
      <c r="O6" s="315" t="s">
        <v>868</v>
      </c>
      <c r="P6" s="316">
        <v>0.055</v>
      </c>
      <c r="Q6" s="316">
        <v>0.055</v>
      </c>
      <c r="R6" s="302">
        <f t="shared" si="0"/>
        <v>0</v>
      </c>
      <c r="S6" s="303">
        <f t="shared" si="1"/>
        <v>0.11</v>
      </c>
    </row>
    <row r="7" spans="1:19" s="153" customFormat="1" ht="174" customHeight="1">
      <c r="A7" s="124" t="s">
        <v>990</v>
      </c>
      <c r="B7" s="148">
        <v>8202</v>
      </c>
      <c r="C7" s="149" t="s">
        <v>991</v>
      </c>
      <c r="D7" s="149" t="s">
        <v>992</v>
      </c>
      <c r="E7" s="149" t="s">
        <v>993</v>
      </c>
      <c r="F7" s="149" t="s">
        <v>994</v>
      </c>
      <c r="G7" s="149" t="s">
        <v>995</v>
      </c>
      <c r="H7" s="128" t="s">
        <v>868</v>
      </c>
      <c r="I7" s="148" t="s">
        <v>865</v>
      </c>
      <c r="J7" s="148" t="s">
        <v>586</v>
      </c>
      <c r="K7" s="149" t="s">
        <v>504</v>
      </c>
      <c r="L7" s="150">
        <v>0</v>
      </c>
      <c r="M7" s="151">
        <v>0.5</v>
      </c>
      <c r="N7" s="152"/>
      <c r="O7" s="315" t="s">
        <v>868</v>
      </c>
      <c r="P7" s="316">
        <v>0.055</v>
      </c>
      <c r="Q7" s="316">
        <v>0.055</v>
      </c>
      <c r="R7" s="302">
        <f t="shared" si="0"/>
        <v>0</v>
      </c>
      <c r="S7" s="303">
        <f t="shared" si="1"/>
        <v>0.0275</v>
      </c>
    </row>
    <row r="8" spans="1:19" s="153" customFormat="1" ht="84.75" customHeight="1">
      <c r="A8" s="124" t="s">
        <v>996</v>
      </c>
      <c r="B8" s="154">
        <v>8101</v>
      </c>
      <c r="C8" s="155" t="s">
        <v>997</v>
      </c>
      <c r="D8" s="155" t="s">
        <v>998</v>
      </c>
      <c r="E8" s="155"/>
      <c r="F8" s="155" t="s">
        <v>999</v>
      </c>
      <c r="G8" s="155" t="s">
        <v>1000</v>
      </c>
      <c r="H8" s="128" t="s">
        <v>868</v>
      </c>
      <c r="I8" s="154" t="s">
        <v>865</v>
      </c>
      <c r="J8" s="154" t="s">
        <v>586</v>
      </c>
      <c r="K8" s="155" t="s">
        <v>1001</v>
      </c>
      <c r="L8" s="156">
        <v>115</v>
      </c>
      <c r="M8" s="157">
        <v>0</v>
      </c>
      <c r="N8" s="152" t="s">
        <v>1002</v>
      </c>
      <c r="O8" s="315" t="s">
        <v>868</v>
      </c>
      <c r="P8" s="316">
        <v>0.055</v>
      </c>
      <c r="Q8" s="316">
        <v>0.055</v>
      </c>
      <c r="R8" s="302">
        <f t="shared" si="0"/>
        <v>6.325</v>
      </c>
      <c r="S8" s="303">
        <f t="shared" si="1"/>
        <v>0</v>
      </c>
    </row>
    <row r="9" spans="1:19" s="153" customFormat="1" ht="120.75" customHeight="1">
      <c r="A9" s="124" t="s">
        <v>1003</v>
      </c>
      <c r="B9" s="128" t="s">
        <v>1004</v>
      </c>
      <c r="C9" s="135" t="s">
        <v>1005</v>
      </c>
      <c r="D9" s="155" t="s">
        <v>0</v>
      </c>
      <c r="E9" s="158" t="s">
        <v>1</v>
      </c>
      <c r="F9" s="158" t="s">
        <v>2</v>
      </c>
      <c r="G9" s="158" t="s">
        <v>3</v>
      </c>
      <c r="H9" s="136" t="s">
        <v>868</v>
      </c>
      <c r="I9" s="154" t="s">
        <v>865</v>
      </c>
      <c r="J9" s="154" t="s">
        <v>586</v>
      </c>
      <c r="K9" s="155" t="s">
        <v>4</v>
      </c>
      <c r="L9" s="156">
        <v>0</v>
      </c>
      <c r="M9" s="157">
        <v>0.5</v>
      </c>
      <c r="N9" s="152"/>
      <c r="O9" s="315" t="s">
        <v>868</v>
      </c>
      <c r="P9" s="316">
        <v>0.055</v>
      </c>
      <c r="Q9" s="316">
        <v>0.055</v>
      </c>
      <c r="R9" s="302">
        <f t="shared" si="0"/>
        <v>0</v>
      </c>
      <c r="S9" s="303">
        <f t="shared" si="1"/>
        <v>0.0275</v>
      </c>
    </row>
    <row r="10" spans="1:19" s="159" customFormat="1" ht="120">
      <c r="A10" s="124" t="s">
        <v>5</v>
      </c>
      <c r="B10" s="136">
        <v>4501</v>
      </c>
      <c r="C10" s="135" t="s">
        <v>6</v>
      </c>
      <c r="D10" s="134" t="s">
        <v>7</v>
      </c>
      <c r="E10" s="135" t="s">
        <v>8</v>
      </c>
      <c r="F10" s="135" t="s">
        <v>9</v>
      </c>
      <c r="G10" s="134" t="s">
        <v>10</v>
      </c>
      <c r="H10" s="136" t="s">
        <v>868</v>
      </c>
      <c r="I10" s="136" t="s">
        <v>865</v>
      </c>
      <c r="J10" s="136" t="s">
        <v>586</v>
      </c>
      <c r="K10" s="155" t="s">
        <v>11</v>
      </c>
      <c r="L10" s="156">
        <v>0</v>
      </c>
      <c r="M10" s="138">
        <v>0.5</v>
      </c>
      <c r="O10" s="315" t="s">
        <v>868</v>
      </c>
      <c r="P10" s="316">
        <v>0.055</v>
      </c>
      <c r="Q10" s="316">
        <v>0.055</v>
      </c>
      <c r="R10" s="302">
        <f t="shared" si="0"/>
        <v>0</v>
      </c>
      <c r="S10" s="303">
        <f t="shared" si="1"/>
        <v>0.0275</v>
      </c>
    </row>
    <row r="11" spans="1:19" s="147" customFormat="1" ht="90">
      <c r="A11" s="124" t="s">
        <v>12</v>
      </c>
      <c r="B11" s="160">
        <v>8101</v>
      </c>
      <c r="C11" s="135" t="s">
        <v>13</v>
      </c>
      <c r="D11" s="135" t="s">
        <v>14</v>
      </c>
      <c r="E11" s="135"/>
      <c r="F11" s="135" t="s">
        <v>15</v>
      </c>
      <c r="G11" s="135" t="s">
        <v>16</v>
      </c>
      <c r="H11" s="136" t="s">
        <v>490</v>
      </c>
      <c r="I11" s="136" t="s">
        <v>875</v>
      </c>
      <c r="J11" s="136" t="s">
        <v>874</v>
      </c>
      <c r="K11" s="135" t="s">
        <v>407</v>
      </c>
      <c r="L11" s="137">
        <v>0</v>
      </c>
      <c r="M11" s="138">
        <v>0</v>
      </c>
      <c r="N11" s="159"/>
      <c r="O11" s="315" t="s">
        <v>490</v>
      </c>
      <c r="P11" s="316">
        <v>0.005</v>
      </c>
      <c r="Q11" s="316">
        <v>0.005</v>
      </c>
      <c r="R11" s="302">
        <f t="shared" si="0"/>
        <v>0</v>
      </c>
      <c r="S11" s="303">
        <f t="shared" si="1"/>
        <v>0</v>
      </c>
    </row>
    <row r="12" spans="1:19" s="153" customFormat="1" ht="60">
      <c r="A12" s="124" t="s">
        <v>17</v>
      </c>
      <c r="B12" s="160">
        <v>8101</v>
      </c>
      <c r="C12" s="135" t="s">
        <v>18</v>
      </c>
      <c r="D12" s="135" t="s">
        <v>14</v>
      </c>
      <c r="E12" s="135"/>
      <c r="F12" s="135" t="s">
        <v>15</v>
      </c>
      <c r="G12" s="135" t="s">
        <v>19</v>
      </c>
      <c r="H12" s="136" t="s">
        <v>864</v>
      </c>
      <c r="I12" s="136" t="s">
        <v>865</v>
      </c>
      <c r="J12" s="136" t="s">
        <v>874</v>
      </c>
      <c r="K12" s="135" t="s">
        <v>20</v>
      </c>
      <c r="L12" s="137">
        <v>-1000</v>
      </c>
      <c r="M12" s="138">
        <v>1</v>
      </c>
      <c r="N12" s="152"/>
      <c r="O12" s="315" t="s">
        <v>864</v>
      </c>
      <c r="P12" s="316">
        <v>0.25</v>
      </c>
      <c r="Q12" s="316">
        <v>0.25</v>
      </c>
      <c r="R12" s="302">
        <f t="shared" si="0"/>
        <v>-250</v>
      </c>
      <c r="S12" s="303">
        <f t="shared" si="1"/>
        <v>0.25</v>
      </c>
    </row>
    <row r="13" spans="1:19" s="147" customFormat="1" ht="165">
      <c r="A13" s="124" t="s">
        <v>21</v>
      </c>
      <c r="B13" s="160">
        <v>8101</v>
      </c>
      <c r="C13" s="135" t="s">
        <v>506</v>
      </c>
      <c r="D13" s="135" t="s">
        <v>22</v>
      </c>
      <c r="E13" s="135" t="s">
        <v>23</v>
      </c>
      <c r="F13" s="135" t="s">
        <v>24</v>
      </c>
      <c r="G13" s="135" t="s">
        <v>25</v>
      </c>
      <c r="H13" s="136" t="s">
        <v>490</v>
      </c>
      <c r="I13" s="136" t="s">
        <v>491</v>
      </c>
      <c r="J13" s="136" t="s">
        <v>586</v>
      </c>
      <c r="K13" s="135"/>
      <c r="L13" s="137">
        <v>0</v>
      </c>
      <c r="M13" s="138">
        <v>1</v>
      </c>
      <c r="N13" s="159"/>
      <c r="O13" s="315" t="s">
        <v>490</v>
      </c>
      <c r="P13" s="316">
        <v>0.005</v>
      </c>
      <c r="Q13" s="316">
        <v>0.005</v>
      </c>
      <c r="R13" s="302">
        <f t="shared" si="0"/>
        <v>0</v>
      </c>
      <c r="S13" s="303">
        <f t="shared" si="1"/>
        <v>0.005</v>
      </c>
    </row>
    <row r="14" spans="1:19" s="147" customFormat="1" ht="45.75" thickBot="1">
      <c r="A14" s="124" t="s">
        <v>26</v>
      </c>
      <c r="B14" s="160">
        <v>8101</v>
      </c>
      <c r="C14" s="135" t="s">
        <v>27</v>
      </c>
      <c r="D14" s="135" t="s">
        <v>14</v>
      </c>
      <c r="E14" s="135"/>
      <c r="F14" s="135" t="s">
        <v>15</v>
      </c>
      <c r="G14" s="135" t="s">
        <v>16</v>
      </c>
      <c r="H14" s="136" t="s">
        <v>864</v>
      </c>
      <c r="I14" s="136" t="s">
        <v>875</v>
      </c>
      <c r="J14" s="136" t="s">
        <v>874</v>
      </c>
      <c r="K14" s="135" t="s">
        <v>28</v>
      </c>
      <c r="L14" s="137">
        <v>0</v>
      </c>
      <c r="M14" s="138">
        <v>2</v>
      </c>
      <c r="N14" s="159"/>
      <c r="O14" s="315" t="s">
        <v>864</v>
      </c>
      <c r="P14" s="316">
        <v>0.25</v>
      </c>
      <c r="Q14" s="316">
        <v>0.25</v>
      </c>
      <c r="R14" s="302">
        <f t="shared" si="0"/>
        <v>0</v>
      </c>
      <c r="S14" s="303">
        <f t="shared" si="1"/>
        <v>0.5</v>
      </c>
    </row>
    <row r="15" spans="1:19" s="123" customFormat="1" ht="18">
      <c r="A15" s="161" t="s">
        <v>29</v>
      </c>
      <c r="B15" s="162"/>
      <c r="C15" s="163"/>
      <c r="D15" s="162"/>
      <c r="E15" s="162"/>
      <c r="F15" s="164"/>
      <c r="G15" s="162"/>
      <c r="H15" s="162"/>
      <c r="I15" s="162"/>
      <c r="J15" s="162"/>
      <c r="K15" s="165"/>
      <c r="L15" s="166"/>
      <c r="M15" s="167"/>
      <c r="N15" s="122"/>
      <c r="O15" s="314"/>
      <c r="P15" s="314"/>
      <c r="Q15" s="303"/>
      <c r="R15" s="166"/>
      <c r="S15" s="166"/>
    </row>
    <row r="16" spans="1:19" s="131" customFormat="1" ht="105">
      <c r="A16" s="168" t="s">
        <v>30</v>
      </c>
      <c r="B16" s="136">
        <v>1810</v>
      </c>
      <c r="C16" s="135" t="s">
        <v>31</v>
      </c>
      <c r="D16" s="134" t="s">
        <v>32</v>
      </c>
      <c r="E16" s="135" t="s">
        <v>33</v>
      </c>
      <c r="F16" s="135" t="s">
        <v>34</v>
      </c>
      <c r="G16" s="136"/>
      <c r="H16" s="136" t="s">
        <v>509</v>
      </c>
      <c r="I16" s="136"/>
      <c r="J16" s="136"/>
      <c r="K16" s="135" t="s">
        <v>35</v>
      </c>
      <c r="L16" s="137">
        <v>250</v>
      </c>
      <c r="M16" s="138">
        <f>4.5*0.15</f>
        <v>0.6749999999999999</v>
      </c>
      <c r="N16" s="131" t="s">
        <v>36</v>
      </c>
      <c r="O16" s="315" t="s">
        <v>509</v>
      </c>
      <c r="P16" s="316">
        <v>0.9</v>
      </c>
      <c r="Q16" s="316">
        <v>0.9</v>
      </c>
      <c r="R16" s="302">
        <f aca="true" t="shared" si="2" ref="R16:R21">Q16*L16</f>
        <v>225</v>
      </c>
      <c r="S16" s="303">
        <f aca="true" t="shared" si="3" ref="S16:S21">Q16*M16</f>
        <v>0.6074999999999999</v>
      </c>
    </row>
    <row r="17" spans="1:28" s="131" customFormat="1" ht="105">
      <c r="A17" s="169" t="s">
        <v>37</v>
      </c>
      <c r="B17" s="128">
        <v>1815</v>
      </c>
      <c r="C17" s="126" t="s">
        <v>38</v>
      </c>
      <c r="D17" s="158" t="s">
        <v>39</v>
      </c>
      <c r="E17" s="126" t="s">
        <v>40</v>
      </c>
      <c r="F17" s="126" t="s">
        <v>34</v>
      </c>
      <c r="G17" s="128"/>
      <c r="H17" s="128" t="s">
        <v>509</v>
      </c>
      <c r="I17" s="128"/>
      <c r="J17" s="128"/>
      <c r="K17" s="135" t="s">
        <v>41</v>
      </c>
      <c r="L17" s="137">
        <v>500</v>
      </c>
      <c r="M17" s="138">
        <f>4.5*0.25</f>
        <v>1.125</v>
      </c>
      <c r="N17" s="159" t="s">
        <v>42</v>
      </c>
      <c r="O17" s="315" t="s">
        <v>509</v>
      </c>
      <c r="P17" s="316">
        <v>0.9</v>
      </c>
      <c r="Q17" s="316">
        <v>0.9</v>
      </c>
      <c r="R17" s="302">
        <f t="shared" si="2"/>
        <v>450</v>
      </c>
      <c r="S17" s="303">
        <f t="shared" si="3"/>
        <v>1.0125</v>
      </c>
      <c r="T17" s="159"/>
      <c r="U17" s="159"/>
      <c r="V17" s="159"/>
      <c r="W17" s="159"/>
      <c r="X17" s="159"/>
      <c r="Y17" s="159"/>
      <c r="Z17" s="159"/>
      <c r="AA17" s="159"/>
      <c r="AB17" s="159"/>
    </row>
    <row r="18" spans="1:19" s="159" customFormat="1" ht="105">
      <c r="A18" s="170" t="s">
        <v>43</v>
      </c>
      <c r="B18" s="171">
        <v>7503</v>
      </c>
      <c r="C18" s="172" t="s">
        <v>44</v>
      </c>
      <c r="D18" s="173" t="s">
        <v>45</v>
      </c>
      <c r="E18" s="172" t="s">
        <v>46</v>
      </c>
      <c r="F18" s="172" t="s">
        <v>34</v>
      </c>
      <c r="G18" s="171"/>
      <c r="H18" s="174" t="s">
        <v>509</v>
      </c>
      <c r="I18" s="171"/>
      <c r="J18" s="171"/>
      <c r="K18" s="135" t="s">
        <v>47</v>
      </c>
      <c r="L18" s="137">
        <v>650</v>
      </c>
      <c r="M18" s="138">
        <f>14.5*0.15</f>
        <v>2.175</v>
      </c>
      <c r="N18" s="159" t="s">
        <v>48</v>
      </c>
      <c r="O18" s="315" t="s">
        <v>509</v>
      </c>
      <c r="P18" s="316">
        <v>0.9</v>
      </c>
      <c r="Q18" s="316">
        <v>0.9</v>
      </c>
      <c r="R18" s="302">
        <f t="shared" si="2"/>
        <v>585</v>
      </c>
      <c r="S18" s="303">
        <f t="shared" si="3"/>
        <v>1.9574999999999998</v>
      </c>
    </row>
    <row r="19" spans="1:28" s="131" customFormat="1" ht="120">
      <c r="A19" s="168" t="s">
        <v>49</v>
      </c>
      <c r="B19" s="136" t="s">
        <v>50</v>
      </c>
      <c r="C19" s="135" t="s">
        <v>51</v>
      </c>
      <c r="D19" s="134" t="s">
        <v>52</v>
      </c>
      <c r="E19" s="135" t="s">
        <v>53</v>
      </c>
      <c r="F19" s="135" t="s">
        <v>54</v>
      </c>
      <c r="G19" s="136"/>
      <c r="H19" s="136" t="s">
        <v>616</v>
      </c>
      <c r="I19" s="136"/>
      <c r="J19" s="136"/>
      <c r="K19" s="135" t="s">
        <v>55</v>
      </c>
      <c r="L19" s="137">
        <v>-900</v>
      </c>
      <c r="M19" s="138">
        <v>-3</v>
      </c>
      <c r="N19" s="159" t="s">
        <v>56</v>
      </c>
      <c r="O19" s="315" t="s">
        <v>616</v>
      </c>
      <c r="P19" s="316">
        <v>0.6000000000000001</v>
      </c>
      <c r="Q19" s="316">
        <v>0.6000000000000001</v>
      </c>
      <c r="R19" s="302">
        <f t="shared" si="2"/>
        <v>-540.0000000000001</v>
      </c>
      <c r="S19" s="303">
        <f t="shared" si="3"/>
        <v>-1.8000000000000003</v>
      </c>
      <c r="T19" s="159"/>
      <c r="U19" s="159"/>
      <c r="V19" s="159"/>
      <c r="W19" s="159"/>
      <c r="X19" s="159"/>
      <c r="Y19" s="159"/>
      <c r="Z19" s="159"/>
      <c r="AA19" s="159"/>
      <c r="AB19" s="159"/>
    </row>
    <row r="20" spans="1:19" s="159" customFormat="1" ht="60">
      <c r="A20" s="168" t="s">
        <v>57</v>
      </c>
      <c r="B20" s="171" t="s">
        <v>50</v>
      </c>
      <c r="C20" s="172" t="s">
        <v>58</v>
      </c>
      <c r="D20" s="173" t="s">
        <v>59</v>
      </c>
      <c r="E20" s="172" t="s">
        <v>60</v>
      </c>
      <c r="F20" s="172" t="s">
        <v>61</v>
      </c>
      <c r="G20" s="172" t="s">
        <v>62</v>
      </c>
      <c r="H20" s="171" t="s">
        <v>616</v>
      </c>
      <c r="I20" s="171"/>
      <c r="J20" s="171"/>
      <c r="K20" s="135" t="s">
        <v>63</v>
      </c>
      <c r="L20" s="137">
        <v>0</v>
      </c>
      <c r="M20" s="138">
        <v>1</v>
      </c>
      <c r="N20" s="159" t="s">
        <v>64</v>
      </c>
      <c r="O20" s="315" t="s">
        <v>616</v>
      </c>
      <c r="P20" s="316">
        <v>0.6000000000000001</v>
      </c>
      <c r="Q20" s="316">
        <v>0.6000000000000001</v>
      </c>
      <c r="R20" s="302">
        <f t="shared" si="2"/>
        <v>0</v>
      </c>
      <c r="S20" s="303">
        <f t="shared" si="3"/>
        <v>0.6000000000000001</v>
      </c>
    </row>
    <row r="21" spans="1:19" s="140" customFormat="1" ht="84" customHeight="1">
      <c r="A21" s="168" t="s">
        <v>65</v>
      </c>
      <c r="B21" s="136" t="s">
        <v>511</v>
      </c>
      <c r="C21" s="135" t="s">
        <v>66</v>
      </c>
      <c r="D21" s="135" t="s">
        <v>67</v>
      </c>
      <c r="E21" s="135" t="s">
        <v>68</v>
      </c>
      <c r="F21" s="135" t="s">
        <v>69</v>
      </c>
      <c r="G21" s="135" t="s">
        <v>70</v>
      </c>
      <c r="H21" s="136" t="s">
        <v>864</v>
      </c>
      <c r="I21" s="136" t="s">
        <v>875</v>
      </c>
      <c r="J21" s="136" t="s">
        <v>588</v>
      </c>
      <c r="K21" s="135" t="s">
        <v>71</v>
      </c>
      <c r="L21" s="137">
        <v>0</v>
      </c>
      <c r="M21" s="138">
        <v>0.5</v>
      </c>
      <c r="N21" s="139" t="s">
        <v>64</v>
      </c>
      <c r="O21" s="315" t="s">
        <v>864</v>
      </c>
      <c r="P21" s="316">
        <v>0.25</v>
      </c>
      <c r="Q21" s="316">
        <v>0.25</v>
      </c>
      <c r="R21" s="302">
        <f t="shared" si="2"/>
        <v>0</v>
      </c>
      <c r="S21" s="303">
        <f t="shared" si="3"/>
        <v>0.125</v>
      </c>
    </row>
    <row r="22" spans="1:19" s="123" customFormat="1" ht="18">
      <c r="A22" s="175" t="s">
        <v>72</v>
      </c>
      <c r="B22" s="176"/>
      <c r="C22" s="177"/>
      <c r="D22" s="176"/>
      <c r="E22" s="176"/>
      <c r="F22" s="176"/>
      <c r="G22" s="176"/>
      <c r="H22" s="176"/>
      <c r="I22" s="176"/>
      <c r="J22" s="176"/>
      <c r="K22" s="178"/>
      <c r="L22" s="179"/>
      <c r="M22" s="180"/>
      <c r="N22" s="122"/>
      <c r="O22" s="314"/>
      <c r="P22" s="314"/>
      <c r="Q22" s="303"/>
      <c r="R22" s="179"/>
      <c r="S22" s="179"/>
    </row>
    <row r="23" spans="1:19" s="140" customFormat="1" ht="165">
      <c r="A23" s="181" t="s">
        <v>73</v>
      </c>
      <c r="B23" s="133" t="s">
        <v>882</v>
      </c>
      <c r="C23" s="135" t="s">
        <v>440</v>
      </c>
      <c r="D23" s="135" t="s">
        <v>74</v>
      </c>
      <c r="E23" s="135" t="s">
        <v>987</v>
      </c>
      <c r="F23" s="135" t="s">
        <v>75</v>
      </c>
      <c r="G23" s="135" t="s">
        <v>76</v>
      </c>
      <c r="H23" s="136" t="s">
        <v>864</v>
      </c>
      <c r="I23" s="136" t="s">
        <v>488</v>
      </c>
      <c r="J23" s="136" t="s">
        <v>586</v>
      </c>
      <c r="K23" s="135" t="s">
        <v>77</v>
      </c>
      <c r="L23" s="137">
        <v>150</v>
      </c>
      <c r="M23" s="138">
        <v>1</v>
      </c>
      <c r="N23" s="182" t="s">
        <v>78</v>
      </c>
      <c r="O23" s="315" t="s">
        <v>864</v>
      </c>
      <c r="P23" s="316">
        <v>0.25</v>
      </c>
      <c r="Q23" s="316">
        <v>0.25</v>
      </c>
      <c r="R23" s="302">
        <f aca="true" t="shared" si="4" ref="R23:R31">Q23*L23</f>
        <v>37.5</v>
      </c>
      <c r="S23" s="303">
        <f aca="true" t="shared" si="5" ref="S23:S31">Q23*M23</f>
        <v>0.25</v>
      </c>
    </row>
    <row r="24" spans="1:28" s="131" customFormat="1" ht="105" customHeight="1">
      <c r="A24" s="183" t="s">
        <v>79</v>
      </c>
      <c r="B24" s="136">
        <v>1810</v>
      </c>
      <c r="C24" s="135" t="s">
        <v>408</v>
      </c>
      <c r="D24" s="134" t="s">
        <v>74</v>
      </c>
      <c r="E24" s="135" t="s">
        <v>987</v>
      </c>
      <c r="F24" s="135" t="s">
        <v>75</v>
      </c>
      <c r="G24" s="184" t="s">
        <v>80</v>
      </c>
      <c r="H24" s="136" t="s">
        <v>868</v>
      </c>
      <c r="I24" s="136" t="s">
        <v>865</v>
      </c>
      <c r="J24" s="136" t="s">
        <v>586</v>
      </c>
      <c r="K24" s="134" t="s">
        <v>489</v>
      </c>
      <c r="L24" s="137">
        <v>150</v>
      </c>
      <c r="M24" s="138">
        <v>3</v>
      </c>
      <c r="N24" s="159"/>
      <c r="O24" s="315" t="s">
        <v>868</v>
      </c>
      <c r="P24" s="316">
        <v>0.055</v>
      </c>
      <c r="Q24" s="316">
        <v>0.055</v>
      </c>
      <c r="R24" s="302">
        <f t="shared" si="4"/>
        <v>8.25</v>
      </c>
      <c r="S24" s="303">
        <f t="shared" si="5"/>
        <v>0.165</v>
      </c>
      <c r="T24" s="159"/>
      <c r="U24" s="159"/>
      <c r="V24" s="159"/>
      <c r="W24" s="159"/>
      <c r="X24" s="159"/>
      <c r="Y24" s="159"/>
      <c r="Z24" s="159"/>
      <c r="AA24" s="159"/>
      <c r="AB24" s="159"/>
    </row>
    <row r="25" spans="1:19" s="132" customFormat="1" ht="132.75" customHeight="1">
      <c r="A25" s="185" t="s">
        <v>81</v>
      </c>
      <c r="B25" s="136">
        <v>1810</v>
      </c>
      <c r="C25" s="135" t="s">
        <v>82</v>
      </c>
      <c r="D25" s="135" t="s">
        <v>83</v>
      </c>
      <c r="E25" s="135" t="s">
        <v>987</v>
      </c>
      <c r="F25" s="135" t="s">
        <v>75</v>
      </c>
      <c r="G25" s="135"/>
      <c r="H25" s="186" t="s">
        <v>490</v>
      </c>
      <c r="I25" s="186" t="s">
        <v>869</v>
      </c>
      <c r="J25" s="187" t="s">
        <v>586</v>
      </c>
      <c r="K25" s="135"/>
      <c r="L25" s="188"/>
      <c r="M25" s="189"/>
      <c r="O25" s="315" t="s">
        <v>490</v>
      </c>
      <c r="P25" s="316">
        <v>0.005</v>
      </c>
      <c r="Q25" s="316">
        <v>0.005</v>
      </c>
      <c r="R25" s="302">
        <f t="shared" si="4"/>
        <v>0</v>
      </c>
      <c r="S25" s="303">
        <f t="shared" si="5"/>
        <v>0</v>
      </c>
    </row>
    <row r="26" spans="1:28" s="132" customFormat="1" ht="60">
      <c r="A26" s="185" t="s">
        <v>84</v>
      </c>
      <c r="B26" s="136">
        <v>1810</v>
      </c>
      <c r="C26" s="135" t="s">
        <v>85</v>
      </c>
      <c r="D26" s="134" t="s">
        <v>86</v>
      </c>
      <c r="E26" s="135" t="s">
        <v>987</v>
      </c>
      <c r="F26" s="135" t="s">
        <v>75</v>
      </c>
      <c r="G26" s="134" t="s">
        <v>87</v>
      </c>
      <c r="H26" s="160" t="s">
        <v>864</v>
      </c>
      <c r="I26" s="136" t="s">
        <v>865</v>
      </c>
      <c r="J26" s="136" t="s">
        <v>586</v>
      </c>
      <c r="K26" s="134" t="s">
        <v>88</v>
      </c>
      <c r="L26" s="137"/>
      <c r="M26" s="138">
        <v>1</v>
      </c>
      <c r="N26" s="159"/>
      <c r="O26" s="315" t="s">
        <v>864</v>
      </c>
      <c r="P26" s="316">
        <v>0.25</v>
      </c>
      <c r="Q26" s="316">
        <v>0.25</v>
      </c>
      <c r="R26" s="302">
        <f t="shared" si="4"/>
        <v>0</v>
      </c>
      <c r="S26" s="303">
        <f t="shared" si="5"/>
        <v>0.25</v>
      </c>
      <c r="T26" s="147" t="s">
        <v>89</v>
      </c>
      <c r="U26" s="147"/>
      <c r="V26" s="147"/>
      <c r="W26" s="147"/>
      <c r="X26" s="147"/>
      <c r="Y26" s="147"/>
      <c r="Z26" s="147"/>
      <c r="AA26" s="147"/>
      <c r="AB26" s="147"/>
    </row>
    <row r="27" spans="1:19" s="131" customFormat="1" ht="105">
      <c r="A27" s="185" t="s">
        <v>90</v>
      </c>
      <c r="B27" s="136">
        <v>1810</v>
      </c>
      <c r="C27" s="135" t="s">
        <v>91</v>
      </c>
      <c r="D27" s="135" t="s">
        <v>92</v>
      </c>
      <c r="E27" s="135" t="s">
        <v>987</v>
      </c>
      <c r="F27" s="135" t="s">
        <v>75</v>
      </c>
      <c r="G27" s="134" t="s">
        <v>93</v>
      </c>
      <c r="H27" s="136" t="s">
        <v>868</v>
      </c>
      <c r="I27" s="136" t="s">
        <v>875</v>
      </c>
      <c r="J27" s="136" t="s">
        <v>586</v>
      </c>
      <c r="K27" s="135" t="s">
        <v>94</v>
      </c>
      <c r="L27" s="137">
        <v>200</v>
      </c>
      <c r="M27" s="138">
        <v>3</v>
      </c>
      <c r="O27" s="315" t="s">
        <v>868</v>
      </c>
      <c r="P27" s="316">
        <v>0.055</v>
      </c>
      <c r="Q27" s="316">
        <v>0.055</v>
      </c>
      <c r="R27" s="302">
        <f t="shared" si="4"/>
        <v>11</v>
      </c>
      <c r="S27" s="303">
        <f t="shared" si="5"/>
        <v>0.165</v>
      </c>
    </row>
    <row r="28" spans="1:20" s="132" customFormat="1" ht="45">
      <c r="A28" s="185" t="s">
        <v>95</v>
      </c>
      <c r="B28" s="136">
        <v>1810</v>
      </c>
      <c r="C28" s="135" t="s">
        <v>96</v>
      </c>
      <c r="D28" s="134" t="s">
        <v>97</v>
      </c>
      <c r="E28" s="135" t="s">
        <v>987</v>
      </c>
      <c r="F28" s="135" t="s">
        <v>75</v>
      </c>
      <c r="G28" s="134" t="s">
        <v>1000</v>
      </c>
      <c r="H28" s="160" t="s">
        <v>864</v>
      </c>
      <c r="I28" s="136" t="s">
        <v>865</v>
      </c>
      <c r="J28" s="136" t="s">
        <v>586</v>
      </c>
      <c r="K28" s="134" t="s">
        <v>98</v>
      </c>
      <c r="L28" s="137"/>
      <c r="M28" s="138">
        <v>0.5</v>
      </c>
      <c r="N28" s="131"/>
      <c r="O28" s="315" t="s">
        <v>864</v>
      </c>
      <c r="P28" s="316">
        <v>0.25</v>
      </c>
      <c r="Q28" s="316">
        <v>0.25</v>
      </c>
      <c r="R28" s="302">
        <f t="shared" si="4"/>
        <v>0</v>
      </c>
      <c r="S28" s="303">
        <f t="shared" si="5"/>
        <v>0.125</v>
      </c>
      <c r="T28" s="132" t="s">
        <v>89</v>
      </c>
    </row>
    <row r="29" spans="1:28" s="132" customFormat="1" ht="45">
      <c r="A29" s="185" t="s">
        <v>99</v>
      </c>
      <c r="B29" s="136">
        <v>1810</v>
      </c>
      <c r="C29" s="135" t="s">
        <v>100</v>
      </c>
      <c r="D29" s="134" t="s">
        <v>101</v>
      </c>
      <c r="E29" s="135" t="s">
        <v>987</v>
      </c>
      <c r="F29" s="135" t="s">
        <v>75</v>
      </c>
      <c r="G29" s="134" t="s">
        <v>1000</v>
      </c>
      <c r="H29" s="160" t="s">
        <v>864</v>
      </c>
      <c r="I29" s="136" t="s">
        <v>865</v>
      </c>
      <c r="J29" s="136" t="s">
        <v>586</v>
      </c>
      <c r="K29" s="134" t="s">
        <v>102</v>
      </c>
      <c r="L29" s="137"/>
      <c r="M29" s="138">
        <v>1</v>
      </c>
      <c r="N29" s="159"/>
      <c r="O29" s="315" t="s">
        <v>864</v>
      </c>
      <c r="P29" s="316">
        <v>0.25</v>
      </c>
      <c r="Q29" s="316">
        <v>0.25</v>
      </c>
      <c r="R29" s="302">
        <f t="shared" si="4"/>
        <v>0</v>
      </c>
      <c r="S29" s="303">
        <f t="shared" si="5"/>
        <v>0.25</v>
      </c>
      <c r="T29" s="147" t="s">
        <v>89</v>
      </c>
      <c r="U29" s="147"/>
      <c r="V29" s="147"/>
      <c r="W29" s="147"/>
      <c r="X29" s="147"/>
      <c r="Y29" s="147"/>
      <c r="Z29" s="147"/>
      <c r="AA29" s="147"/>
      <c r="AB29" s="147"/>
    </row>
    <row r="30" spans="1:19" s="140" customFormat="1" ht="210.75" thickBot="1">
      <c r="A30" s="190" t="s">
        <v>103</v>
      </c>
      <c r="B30" s="191">
        <v>1810</v>
      </c>
      <c r="C30" s="192" t="s">
        <v>104</v>
      </c>
      <c r="D30" s="192" t="s">
        <v>105</v>
      </c>
      <c r="E30" s="192" t="s">
        <v>106</v>
      </c>
      <c r="F30" s="192" t="s">
        <v>75</v>
      </c>
      <c r="G30" s="192" t="s">
        <v>107</v>
      </c>
      <c r="H30" s="193" t="s">
        <v>616</v>
      </c>
      <c r="I30" s="193" t="s">
        <v>869</v>
      </c>
      <c r="J30" s="193" t="s">
        <v>586</v>
      </c>
      <c r="K30" s="192" t="s">
        <v>108</v>
      </c>
      <c r="L30" s="194">
        <v>50</v>
      </c>
      <c r="M30" s="195"/>
      <c r="N30" s="182" t="s">
        <v>109</v>
      </c>
      <c r="O30" s="315" t="s">
        <v>616</v>
      </c>
      <c r="P30" s="316">
        <v>0.6000000000000001</v>
      </c>
      <c r="Q30" s="316">
        <v>0.6000000000000001</v>
      </c>
      <c r="R30" s="302">
        <f t="shared" si="4"/>
        <v>30.000000000000004</v>
      </c>
      <c r="S30" s="303">
        <f t="shared" si="5"/>
        <v>0</v>
      </c>
    </row>
    <row r="31" spans="1:28" s="140" customFormat="1" ht="75.75" thickBot="1">
      <c r="A31" s="190" t="s">
        <v>110</v>
      </c>
      <c r="B31" s="196">
        <v>1810</v>
      </c>
      <c r="C31" s="192" t="s">
        <v>111</v>
      </c>
      <c r="D31" s="197" t="s">
        <v>112</v>
      </c>
      <c r="E31" s="197" t="s">
        <v>106</v>
      </c>
      <c r="F31" s="197" t="s">
        <v>75</v>
      </c>
      <c r="G31" s="197"/>
      <c r="H31" s="174" t="s">
        <v>490</v>
      </c>
      <c r="I31" s="174" t="s">
        <v>491</v>
      </c>
      <c r="J31" s="174" t="s">
        <v>586</v>
      </c>
      <c r="K31" s="198" t="s">
        <v>492</v>
      </c>
      <c r="L31" s="199"/>
      <c r="M31" s="200"/>
      <c r="N31" s="152"/>
      <c r="O31" s="315" t="s">
        <v>490</v>
      </c>
      <c r="P31" s="316">
        <v>0.005</v>
      </c>
      <c r="Q31" s="316">
        <v>0.005</v>
      </c>
      <c r="R31" s="302">
        <f t="shared" si="4"/>
        <v>0</v>
      </c>
      <c r="S31" s="303">
        <f t="shared" si="5"/>
        <v>0</v>
      </c>
      <c r="T31" s="153"/>
      <c r="U31" s="153"/>
      <c r="V31" s="153"/>
      <c r="W31" s="153"/>
      <c r="X31" s="153"/>
      <c r="Y31" s="153"/>
      <c r="Z31" s="153"/>
      <c r="AA31" s="153"/>
      <c r="AB31" s="153"/>
    </row>
    <row r="32" spans="1:19" s="123" customFormat="1" ht="18">
      <c r="A32" s="201" t="s">
        <v>113</v>
      </c>
      <c r="B32" s="202"/>
      <c r="C32" s="203"/>
      <c r="D32" s="202"/>
      <c r="E32" s="202"/>
      <c r="F32" s="204"/>
      <c r="G32" s="202"/>
      <c r="H32" s="202"/>
      <c r="I32" s="202"/>
      <c r="J32" s="202"/>
      <c r="K32" s="205"/>
      <c r="L32" s="206"/>
      <c r="M32" s="207"/>
      <c r="N32" s="122"/>
      <c r="O32" s="314"/>
      <c r="P32" s="314"/>
      <c r="Q32" s="303"/>
      <c r="R32" s="206"/>
      <c r="S32" s="206"/>
    </row>
    <row r="33" spans="1:19" s="131" customFormat="1" ht="135">
      <c r="A33" s="208" t="s">
        <v>114</v>
      </c>
      <c r="B33" s="136">
        <v>1810</v>
      </c>
      <c r="C33" s="135" t="s">
        <v>115</v>
      </c>
      <c r="D33" s="135" t="s">
        <v>116</v>
      </c>
      <c r="E33" s="135" t="s">
        <v>117</v>
      </c>
      <c r="F33" s="135" t="s">
        <v>75</v>
      </c>
      <c r="G33" s="136"/>
      <c r="H33" s="136" t="s">
        <v>616</v>
      </c>
      <c r="I33" s="136"/>
      <c r="J33" s="136"/>
      <c r="K33" s="135" t="s">
        <v>118</v>
      </c>
      <c r="L33" s="137">
        <v>100</v>
      </c>
      <c r="M33" s="138">
        <v>1</v>
      </c>
      <c r="O33" s="315" t="s">
        <v>616</v>
      </c>
      <c r="P33" s="316">
        <v>0.6000000000000001</v>
      </c>
      <c r="Q33" s="316">
        <v>0.6000000000000001</v>
      </c>
      <c r="R33" s="302">
        <f aca="true" t="shared" si="6" ref="R33:R38">Q33*L33</f>
        <v>60.00000000000001</v>
      </c>
      <c r="S33" s="303">
        <f aca="true" t="shared" si="7" ref="S33:S38">Q33*M33</f>
        <v>0.6000000000000001</v>
      </c>
    </row>
    <row r="34" spans="1:19" s="159" customFormat="1" ht="69" customHeight="1">
      <c r="A34" s="208" t="s">
        <v>119</v>
      </c>
      <c r="B34" s="136">
        <v>1810</v>
      </c>
      <c r="C34" s="135" t="s">
        <v>120</v>
      </c>
      <c r="D34" s="134" t="s">
        <v>121</v>
      </c>
      <c r="E34" s="135" t="s">
        <v>122</v>
      </c>
      <c r="F34" s="135" t="s">
        <v>75</v>
      </c>
      <c r="G34" s="136"/>
      <c r="H34" s="136" t="s">
        <v>868</v>
      </c>
      <c r="I34" s="136"/>
      <c r="J34" s="136"/>
      <c r="K34" s="135" t="s">
        <v>123</v>
      </c>
      <c r="L34" s="137">
        <v>50</v>
      </c>
      <c r="M34" s="138">
        <v>0.5</v>
      </c>
      <c r="O34" s="315" t="s">
        <v>868</v>
      </c>
      <c r="P34" s="316">
        <v>0.055</v>
      </c>
      <c r="Q34" s="316">
        <v>0.055</v>
      </c>
      <c r="R34" s="302">
        <f t="shared" si="6"/>
        <v>2.75</v>
      </c>
      <c r="S34" s="303">
        <f t="shared" si="7"/>
        <v>0.0275</v>
      </c>
    </row>
    <row r="35" spans="1:19" s="140" customFormat="1" ht="120">
      <c r="A35" s="208" t="s">
        <v>124</v>
      </c>
      <c r="B35" s="133">
        <v>1810</v>
      </c>
      <c r="C35" s="135" t="s">
        <v>127</v>
      </c>
      <c r="D35" s="135" t="s">
        <v>128</v>
      </c>
      <c r="E35" s="135" t="s">
        <v>129</v>
      </c>
      <c r="F35" s="135" t="s">
        <v>75</v>
      </c>
      <c r="G35" s="135"/>
      <c r="H35" s="136" t="s">
        <v>868</v>
      </c>
      <c r="I35" s="136" t="s">
        <v>869</v>
      </c>
      <c r="J35" s="136" t="s">
        <v>586</v>
      </c>
      <c r="K35" s="135" t="s">
        <v>883</v>
      </c>
      <c r="L35" s="137">
        <v>20</v>
      </c>
      <c r="M35" s="138">
        <v>0.5</v>
      </c>
      <c r="N35" s="182" t="s">
        <v>78</v>
      </c>
      <c r="O35" s="315" t="s">
        <v>868</v>
      </c>
      <c r="P35" s="316">
        <v>0.055</v>
      </c>
      <c r="Q35" s="316">
        <v>0.055</v>
      </c>
      <c r="R35" s="302">
        <f t="shared" si="6"/>
        <v>1.1</v>
      </c>
      <c r="S35" s="303">
        <f t="shared" si="7"/>
        <v>0.0275</v>
      </c>
    </row>
    <row r="36" spans="1:28" s="131" customFormat="1" ht="75">
      <c r="A36" s="209" t="s">
        <v>130</v>
      </c>
      <c r="B36" s="128">
        <v>1810</v>
      </c>
      <c r="C36" s="126" t="s">
        <v>131</v>
      </c>
      <c r="D36" s="158" t="s">
        <v>132</v>
      </c>
      <c r="E36" s="126" t="s">
        <v>133</v>
      </c>
      <c r="F36" s="126" t="s">
        <v>134</v>
      </c>
      <c r="G36" s="128"/>
      <c r="H36" s="128" t="s">
        <v>864</v>
      </c>
      <c r="I36" s="128"/>
      <c r="J36" s="128"/>
      <c r="K36" s="126" t="s">
        <v>135</v>
      </c>
      <c r="L36" s="129"/>
      <c r="M36" s="130">
        <v>0.5</v>
      </c>
      <c r="N36" s="159"/>
      <c r="O36" s="315" t="s">
        <v>864</v>
      </c>
      <c r="P36" s="316">
        <v>0.25</v>
      </c>
      <c r="Q36" s="316">
        <v>0.25</v>
      </c>
      <c r="R36" s="302">
        <f t="shared" si="6"/>
        <v>0</v>
      </c>
      <c r="S36" s="303">
        <f t="shared" si="7"/>
        <v>0.125</v>
      </c>
      <c r="T36" s="159"/>
      <c r="U36" s="159"/>
      <c r="V36" s="159"/>
      <c r="W36" s="159"/>
      <c r="X36" s="159"/>
      <c r="Y36" s="159"/>
      <c r="Z36" s="159"/>
      <c r="AA36" s="159"/>
      <c r="AB36" s="159"/>
    </row>
    <row r="37" spans="1:19" s="147" customFormat="1" ht="90">
      <c r="A37" s="208" t="s">
        <v>136</v>
      </c>
      <c r="B37" s="128">
        <v>1810</v>
      </c>
      <c r="C37" s="126" t="s">
        <v>137</v>
      </c>
      <c r="D37" s="134" t="s">
        <v>138</v>
      </c>
      <c r="E37" s="126" t="s">
        <v>122</v>
      </c>
      <c r="F37" s="135" t="s">
        <v>75</v>
      </c>
      <c r="G37" s="158"/>
      <c r="H37" s="210" t="s">
        <v>864</v>
      </c>
      <c r="I37" s="128" t="s">
        <v>865</v>
      </c>
      <c r="J37" s="128" t="s">
        <v>586</v>
      </c>
      <c r="K37" s="158" t="s">
        <v>139</v>
      </c>
      <c r="L37" s="129">
        <v>25</v>
      </c>
      <c r="M37" s="130">
        <v>1</v>
      </c>
      <c r="N37" s="159"/>
      <c r="O37" s="315" t="s">
        <v>864</v>
      </c>
      <c r="P37" s="316">
        <v>0.25</v>
      </c>
      <c r="Q37" s="316">
        <v>0.25</v>
      </c>
      <c r="R37" s="302">
        <f t="shared" si="6"/>
        <v>6.25</v>
      </c>
      <c r="S37" s="303">
        <f t="shared" si="7"/>
        <v>0.25</v>
      </c>
    </row>
    <row r="38" spans="1:28" s="131" customFormat="1" ht="120.75" thickBot="1">
      <c r="A38" s="211" t="s">
        <v>140</v>
      </c>
      <c r="B38" s="174">
        <v>1810</v>
      </c>
      <c r="C38" s="197" t="s">
        <v>141</v>
      </c>
      <c r="D38" s="212" t="s">
        <v>142</v>
      </c>
      <c r="E38" s="197" t="s">
        <v>143</v>
      </c>
      <c r="F38" s="172" t="s">
        <v>75</v>
      </c>
      <c r="G38" s="174"/>
      <c r="H38" s="174" t="s">
        <v>868</v>
      </c>
      <c r="I38" s="174"/>
      <c r="J38" s="174"/>
      <c r="K38" s="135" t="s">
        <v>144</v>
      </c>
      <c r="L38" s="137">
        <v>50</v>
      </c>
      <c r="M38" s="138">
        <v>1</v>
      </c>
      <c r="N38" s="159"/>
      <c r="O38" s="315" t="s">
        <v>868</v>
      </c>
      <c r="P38" s="316">
        <v>0.055</v>
      </c>
      <c r="Q38" s="316">
        <v>0.055</v>
      </c>
      <c r="R38" s="302">
        <f t="shared" si="6"/>
        <v>2.75</v>
      </c>
      <c r="S38" s="303">
        <f t="shared" si="7"/>
        <v>0.055</v>
      </c>
      <c r="T38" s="159"/>
      <c r="U38" s="159"/>
      <c r="V38" s="159"/>
      <c r="W38" s="159"/>
      <c r="X38" s="159"/>
      <c r="Y38" s="159"/>
      <c r="Z38" s="159"/>
      <c r="AA38" s="159"/>
      <c r="AB38" s="159"/>
    </row>
    <row r="39" spans="1:19" s="123" customFormat="1" ht="18.75" thickBot="1">
      <c r="A39" s="213" t="s">
        <v>145</v>
      </c>
      <c r="B39" s="214"/>
      <c r="C39" s="215"/>
      <c r="D39" s="214"/>
      <c r="E39" s="214"/>
      <c r="F39" s="216"/>
      <c r="G39" s="214"/>
      <c r="H39" s="214"/>
      <c r="I39" s="214"/>
      <c r="J39" s="214"/>
      <c r="K39" s="217"/>
      <c r="L39" s="218"/>
      <c r="M39" s="219"/>
      <c r="N39" s="122"/>
      <c r="O39" s="314"/>
      <c r="P39" s="314"/>
      <c r="Q39" s="303"/>
      <c r="R39" s="218"/>
      <c r="S39" s="218"/>
    </row>
    <row r="40" spans="1:19" s="131" customFormat="1" ht="105">
      <c r="A40" s="220" t="s">
        <v>146</v>
      </c>
      <c r="B40" s="221">
        <v>1815</v>
      </c>
      <c r="C40" s="222" t="s">
        <v>147</v>
      </c>
      <c r="D40" s="223" t="s">
        <v>148</v>
      </c>
      <c r="E40" s="222" t="s">
        <v>149</v>
      </c>
      <c r="F40" s="222" t="s">
        <v>150</v>
      </c>
      <c r="G40" s="221"/>
      <c r="H40" s="221" t="s">
        <v>864</v>
      </c>
      <c r="I40" s="221"/>
      <c r="J40" s="221"/>
      <c r="K40" s="222" t="s">
        <v>151</v>
      </c>
      <c r="L40" s="137"/>
      <c r="M40" s="138">
        <v>0.5</v>
      </c>
      <c r="O40" s="315" t="s">
        <v>864</v>
      </c>
      <c r="P40" s="316">
        <v>0.25</v>
      </c>
      <c r="Q40" s="316">
        <v>0.25</v>
      </c>
      <c r="R40" s="302">
        <f aca="true" t="shared" si="8" ref="R40:R48">Q40*L40</f>
        <v>0</v>
      </c>
      <c r="S40" s="303">
        <f aca="true" t="shared" si="9" ref="S40:S48">Q40*M40</f>
        <v>0.125</v>
      </c>
    </row>
    <row r="41" spans="1:28" s="132" customFormat="1" ht="45">
      <c r="A41" s="224" t="s">
        <v>152</v>
      </c>
      <c r="B41" s="136">
        <v>1815</v>
      </c>
      <c r="C41" s="135" t="s">
        <v>153</v>
      </c>
      <c r="D41" s="134" t="s">
        <v>154</v>
      </c>
      <c r="E41" s="134" t="s">
        <v>155</v>
      </c>
      <c r="F41" s="135" t="s">
        <v>75</v>
      </c>
      <c r="G41" s="134" t="s">
        <v>1000</v>
      </c>
      <c r="H41" s="160" t="s">
        <v>864</v>
      </c>
      <c r="I41" s="136" t="s">
        <v>865</v>
      </c>
      <c r="J41" s="136" t="s">
        <v>586</v>
      </c>
      <c r="K41" s="134" t="s">
        <v>156</v>
      </c>
      <c r="L41" s="137"/>
      <c r="M41" s="138">
        <v>1</v>
      </c>
      <c r="N41" s="159"/>
      <c r="O41" s="315" t="s">
        <v>864</v>
      </c>
      <c r="P41" s="316">
        <v>0.25</v>
      </c>
      <c r="Q41" s="316">
        <v>0.25</v>
      </c>
      <c r="R41" s="302">
        <f t="shared" si="8"/>
        <v>0</v>
      </c>
      <c r="S41" s="303">
        <f t="shared" si="9"/>
        <v>0.25</v>
      </c>
      <c r="T41" s="147" t="s">
        <v>89</v>
      </c>
      <c r="U41" s="147"/>
      <c r="V41" s="147"/>
      <c r="W41" s="147"/>
      <c r="X41" s="147"/>
      <c r="Y41" s="147"/>
      <c r="Z41" s="147"/>
      <c r="AA41" s="147"/>
      <c r="AB41" s="147"/>
    </row>
    <row r="42" spans="1:28" s="131" customFormat="1" ht="105">
      <c r="A42" s="224" t="s">
        <v>157</v>
      </c>
      <c r="B42" s="136">
        <v>1815</v>
      </c>
      <c r="C42" s="135" t="s">
        <v>158</v>
      </c>
      <c r="D42" s="134" t="s">
        <v>159</v>
      </c>
      <c r="E42" s="134" t="s">
        <v>160</v>
      </c>
      <c r="F42" s="135" t="s">
        <v>150</v>
      </c>
      <c r="G42" s="135" t="s">
        <v>161</v>
      </c>
      <c r="H42" s="136" t="s">
        <v>864</v>
      </c>
      <c r="I42" s="136"/>
      <c r="J42" s="136"/>
      <c r="K42" s="134" t="s">
        <v>162</v>
      </c>
      <c r="L42" s="137">
        <v>60</v>
      </c>
      <c r="M42" s="138">
        <v>0.5</v>
      </c>
      <c r="N42" s="159"/>
      <c r="O42" s="315" t="s">
        <v>864</v>
      </c>
      <c r="P42" s="316">
        <v>0.25</v>
      </c>
      <c r="Q42" s="316">
        <v>0.25</v>
      </c>
      <c r="R42" s="302">
        <f t="shared" si="8"/>
        <v>15</v>
      </c>
      <c r="S42" s="303">
        <f t="shared" si="9"/>
        <v>0.125</v>
      </c>
      <c r="T42" s="159"/>
      <c r="U42" s="159"/>
      <c r="V42" s="159"/>
      <c r="W42" s="159"/>
      <c r="X42" s="159"/>
      <c r="Y42" s="159"/>
      <c r="Z42" s="159"/>
      <c r="AA42" s="159"/>
      <c r="AB42" s="159"/>
    </row>
    <row r="43" spans="1:19" s="159" customFormat="1" ht="105">
      <c r="A43" s="224" t="s">
        <v>163</v>
      </c>
      <c r="B43" s="136">
        <v>1815</v>
      </c>
      <c r="C43" s="135" t="s">
        <v>164</v>
      </c>
      <c r="D43" s="134" t="s">
        <v>165</v>
      </c>
      <c r="E43" s="135" t="s">
        <v>166</v>
      </c>
      <c r="F43" s="135" t="s">
        <v>34</v>
      </c>
      <c r="G43" s="136"/>
      <c r="H43" s="136" t="s">
        <v>490</v>
      </c>
      <c r="I43" s="136"/>
      <c r="J43" s="136"/>
      <c r="K43" s="135"/>
      <c r="L43" s="137"/>
      <c r="M43" s="138"/>
      <c r="O43" s="315" t="s">
        <v>490</v>
      </c>
      <c r="P43" s="316">
        <v>0.005</v>
      </c>
      <c r="Q43" s="316">
        <v>0.005</v>
      </c>
      <c r="R43" s="302">
        <f t="shared" si="8"/>
        <v>0</v>
      </c>
      <c r="S43" s="303">
        <f t="shared" si="9"/>
        <v>0</v>
      </c>
    </row>
    <row r="44" spans="1:28" s="131" customFormat="1" ht="60">
      <c r="A44" s="224" t="s">
        <v>167</v>
      </c>
      <c r="B44" s="136">
        <v>1815</v>
      </c>
      <c r="C44" s="135" t="s">
        <v>168</v>
      </c>
      <c r="D44" s="134" t="s">
        <v>169</v>
      </c>
      <c r="E44" s="135" t="s">
        <v>155</v>
      </c>
      <c r="F44" s="135" t="s">
        <v>134</v>
      </c>
      <c r="G44" s="136"/>
      <c r="H44" s="136" t="s">
        <v>616</v>
      </c>
      <c r="I44" s="136"/>
      <c r="J44" s="136"/>
      <c r="K44" s="135" t="s">
        <v>170</v>
      </c>
      <c r="L44" s="137">
        <v>250</v>
      </c>
      <c r="M44" s="138"/>
      <c r="N44" s="159"/>
      <c r="O44" s="315" t="s">
        <v>616</v>
      </c>
      <c r="P44" s="316">
        <v>0.6000000000000001</v>
      </c>
      <c r="Q44" s="316">
        <v>0.6000000000000001</v>
      </c>
      <c r="R44" s="302">
        <f t="shared" si="8"/>
        <v>150.00000000000003</v>
      </c>
      <c r="S44" s="303">
        <f t="shared" si="9"/>
        <v>0</v>
      </c>
      <c r="T44" s="159"/>
      <c r="U44" s="159"/>
      <c r="V44" s="159"/>
      <c r="W44" s="159"/>
      <c r="X44" s="159"/>
      <c r="Y44" s="159"/>
      <c r="Z44" s="159"/>
      <c r="AA44" s="159"/>
      <c r="AB44" s="159"/>
    </row>
    <row r="45" spans="1:19" s="159" customFormat="1" ht="120">
      <c r="A45" s="225" t="s">
        <v>171</v>
      </c>
      <c r="B45" s="171">
        <v>1815</v>
      </c>
      <c r="C45" s="172" t="s">
        <v>172</v>
      </c>
      <c r="D45" s="173" t="s">
        <v>173</v>
      </c>
      <c r="E45" s="172" t="s">
        <v>174</v>
      </c>
      <c r="F45" s="172" t="s">
        <v>34</v>
      </c>
      <c r="G45" s="171"/>
      <c r="H45" s="171" t="s">
        <v>868</v>
      </c>
      <c r="I45" s="171"/>
      <c r="J45" s="171"/>
      <c r="K45" s="172" t="s">
        <v>175</v>
      </c>
      <c r="L45" s="226">
        <v>30</v>
      </c>
      <c r="M45" s="227"/>
      <c r="O45" s="315" t="s">
        <v>868</v>
      </c>
      <c r="P45" s="316">
        <v>0.055</v>
      </c>
      <c r="Q45" s="316">
        <v>0.055</v>
      </c>
      <c r="R45" s="302">
        <f t="shared" si="8"/>
        <v>1.65</v>
      </c>
      <c r="S45" s="303">
        <f t="shared" si="9"/>
        <v>0</v>
      </c>
    </row>
    <row r="46" spans="1:19" s="132" customFormat="1" ht="90">
      <c r="A46" s="224" t="s">
        <v>176</v>
      </c>
      <c r="B46" s="133" t="s">
        <v>493</v>
      </c>
      <c r="C46" s="135" t="s">
        <v>177</v>
      </c>
      <c r="D46" s="135" t="s">
        <v>178</v>
      </c>
      <c r="E46" s="135" t="s">
        <v>179</v>
      </c>
      <c r="F46" s="135" t="s">
        <v>75</v>
      </c>
      <c r="G46" s="135"/>
      <c r="H46" s="136" t="s">
        <v>616</v>
      </c>
      <c r="I46" s="136" t="s">
        <v>865</v>
      </c>
      <c r="J46" s="136" t="s">
        <v>586</v>
      </c>
      <c r="K46" s="135" t="s">
        <v>494</v>
      </c>
      <c r="L46" s="137">
        <v>25</v>
      </c>
      <c r="M46" s="138"/>
      <c r="N46" s="131"/>
      <c r="O46" s="315" t="s">
        <v>616</v>
      </c>
      <c r="P46" s="316">
        <v>0.6000000000000001</v>
      </c>
      <c r="Q46" s="316">
        <v>0.6000000000000001</v>
      </c>
      <c r="R46" s="302">
        <f t="shared" si="8"/>
        <v>15.000000000000002</v>
      </c>
      <c r="S46" s="303">
        <f t="shared" si="9"/>
        <v>0</v>
      </c>
    </row>
    <row r="47" spans="1:19" s="131" customFormat="1" ht="60">
      <c r="A47" s="224" t="s">
        <v>180</v>
      </c>
      <c r="B47" s="136" t="s">
        <v>181</v>
      </c>
      <c r="C47" s="135" t="s">
        <v>409</v>
      </c>
      <c r="D47" s="135" t="s">
        <v>182</v>
      </c>
      <c r="E47" s="135" t="s">
        <v>183</v>
      </c>
      <c r="F47" s="135" t="s">
        <v>184</v>
      </c>
      <c r="G47" s="134" t="s">
        <v>185</v>
      </c>
      <c r="H47" s="136" t="s">
        <v>864</v>
      </c>
      <c r="I47" s="136" t="s">
        <v>865</v>
      </c>
      <c r="J47" s="136" t="s">
        <v>874</v>
      </c>
      <c r="K47" s="135" t="s">
        <v>186</v>
      </c>
      <c r="L47" s="137">
        <v>200</v>
      </c>
      <c r="M47" s="138">
        <v>0</v>
      </c>
      <c r="O47" s="315" t="s">
        <v>864</v>
      </c>
      <c r="P47" s="316">
        <v>0.25</v>
      </c>
      <c r="Q47" s="316">
        <v>0.25</v>
      </c>
      <c r="R47" s="302">
        <f t="shared" si="8"/>
        <v>50</v>
      </c>
      <c r="S47" s="303">
        <f t="shared" si="9"/>
        <v>0</v>
      </c>
    </row>
    <row r="48" spans="1:28" s="140" customFormat="1" ht="180.75" thickBot="1">
      <c r="A48" s="228" t="s">
        <v>187</v>
      </c>
      <c r="B48" s="196">
        <v>1815</v>
      </c>
      <c r="C48" s="197" t="s">
        <v>188</v>
      </c>
      <c r="D48" s="197" t="s">
        <v>189</v>
      </c>
      <c r="E48" s="197" t="s">
        <v>190</v>
      </c>
      <c r="F48" s="197" t="s">
        <v>75</v>
      </c>
      <c r="G48" s="197"/>
      <c r="H48" s="174" t="s">
        <v>490</v>
      </c>
      <c r="I48" s="174" t="s">
        <v>491</v>
      </c>
      <c r="J48" s="174" t="s">
        <v>586</v>
      </c>
      <c r="K48" s="198" t="s">
        <v>492</v>
      </c>
      <c r="L48" s="199"/>
      <c r="M48" s="200"/>
      <c r="N48" s="152"/>
      <c r="O48" s="315" t="s">
        <v>490</v>
      </c>
      <c r="P48" s="316">
        <v>0.005</v>
      </c>
      <c r="Q48" s="316">
        <v>0.005</v>
      </c>
      <c r="R48" s="302">
        <f t="shared" si="8"/>
        <v>0</v>
      </c>
      <c r="S48" s="303">
        <f t="shared" si="9"/>
        <v>0</v>
      </c>
      <c r="T48" s="153"/>
      <c r="U48" s="153"/>
      <c r="V48" s="153"/>
      <c r="W48" s="153"/>
      <c r="X48" s="153"/>
      <c r="Y48" s="153"/>
      <c r="Z48" s="153"/>
      <c r="AA48" s="153"/>
      <c r="AB48" s="153"/>
    </row>
    <row r="49" spans="1:19" s="123" customFormat="1" ht="18">
      <c r="A49" s="229" t="s">
        <v>191</v>
      </c>
      <c r="B49" s="230"/>
      <c r="C49" s="231"/>
      <c r="D49" s="230"/>
      <c r="E49" s="230"/>
      <c r="F49" s="232"/>
      <c r="G49" s="230"/>
      <c r="H49" s="230"/>
      <c r="I49" s="230"/>
      <c r="J49" s="230"/>
      <c r="K49" s="233"/>
      <c r="L49" s="234"/>
      <c r="M49" s="235"/>
      <c r="N49" s="122"/>
      <c r="O49" s="314"/>
      <c r="P49" s="314"/>
      <c r="Q49" s="303"/>
      <c r="R49" s="234"/>
      <c r="S49" s="234"/>
    </row>
    <row r="50" spans="15:19" ht="15.75">
      <c r="O50" s="315"/>
      <c r="P50" s="311"/>
      <c r="Q50" s="303"/>
      <c r="R50" s="302"/>
      <c r="S50" s="303"/>
    </row>
    <row r="51" spans="1:19" s="159" customFormat="1" ht="93.75" customHeight="1">
      <c r="A51" s="236" t="s">
        <v>192</v>
      </c>
      <c r="B51" s="136">
        <v>7503</v>
      </c>
      <c r="C51" s="135" t="s">
        <v>193</v>
      </c>
      <c r="D51" s="135" t="s">
        <v>194</v>
      </c>
      <c r="E51" s="135" t="s">
        <v>183</v>
      </c>
      <c r="F51" s="135" t="s">
        <v>184</v>
      </c>
      <c r="G51" s="135" t="s">
        <v>195</v>
      </c>
      <c r="H51" s="136" t="s">
        <v>868</v>
      </c>
      <c r="I51" s="136" t="s">
        <v>865</v>
      </c>
      <c r="J51" s="136" t="s">
        <v>586</v>
      </c>
      <c r="K51" s="135" t="s">
        <v>196</v>
      </c>
      <c r="L51" s="237">
        <v>50</v>
      </c>
      <c r="M51" s="238"/>
      <c r="O51" s="315" t="s">
        <v>868</v>
      </c>
      <c r="P51" s="316">
        <v>0.055</v>
      </c>
      <c r="Q51" s="316">
        <v>0.055</v>
      </c>
      <c r="R51" s="302">
        <f aca="true" t="shared" si="10" ref="R51:R67">Q51*L51</f>
        <v>2.75</v>
      </c>
      <c r="S51" s="303">
        <f aca="true" t="shared" si="11" ref="S51:S67">Q51*M51</f>
        <v>0</v>
      </c>
    </row>
    <row r="52" spans="1:19" s="159" customFormat="1" ht="90">
      <c r="A52" s="236" t="s">
        <v>197</v>
      </c>
      <c r="B52" s="136">
        <v>7503</v>
      </c>
      <c r="C52" s="135" t="s">
        <v>198</v>
      </c>
      <c r="D52" s="134" t="s">
        <v>199</v>
      </c>
      <c r="E52" s="135" t="s">
        <v>200</v>
      </c>
      <c r="F52" s="135" t="s">
        <v>201</v>
      </c>
      <c r="G52" s="136"/>
      <c r="H52" s="136" t="s">
        <v>490</v>
      </c>
      <c r="I52" s="136"/>
      <c r="J52" s="136"/>
      <c r="K52" s="135" t="s">
        <v>202</v>
      </c>
      <c r="L52" s="137"/>
      <c r="M52" s="138"/>
      <c r="O52" s="315" t="s">
        <v>490</v>
      </c>
      <c r="P52" s="316">
        <v>0.005</v>
      </c>
      <c r="Q52" s="316">
        <v>0.005</v>
      </c>
      <c r="R52" s="302">
        <f t="shared" si="10"/>
        <v>0</v>
      </c>
      <c r="S52" s="303">
        <f t="shared" si="11"/>
        <v>0</v>
      </c>
    </row>
    <row r="53" spans="1:28" s="131" customFormat="1" ht="60">
      <c r="A53" s="236" t="s">
        <v>203</v>
      </c>
      <c r="B53" s="136">
        <v>7503</v>
      </c>
      <c r="C53" s="135" t="s">
        <v>204</v>
      </c>
      <c r="D53" s="134" t="s">
        <v>205</v>
      </c>
      <c r="E53" s="135" t="s">
        <v>183</v>
      </c>
      <c r="F53" s="135" t="s">
        <v>184</v>
      </c>
      <c r="G53" s="136"/>
      <c r="H53" s="136" t="s">
        <v>490</v>
      </c>
      <c r="I53" s="136"/>
      <c r="J53" s="136"/>
      <c r="K53" s="135" t="s">
        <v>206</v>
      </c>
      <c r="L53" s="137"/>
      <c r="M53" s="138"/>
      <c r="N53" s="159"/>
      <c r="O53" s="315" t="s">
        <v>490</v>
      </c>
      <c r="P53" s="316">
        <v>0.005</v>
      </c>
      <c r="Q53" s="316">
        <v>0.005</v>
      </c>
      <c r="R53" s="302">
        <f t="shared" si="10"/>
        <v>0</v>
      </c>
      <c r="S53" s="303">
        <f t="shared" si="11"/>
        <v>0</v>
      </c>
      <c r="T53" s="159"/>
      <c r="U53" s="159"/>
      <c r="V53" s="159"/>
      <c r="W53" s="159"/>
      <c r="X53" s="159"/>
      <c r="Y53" s="159"/>
      <c r="Z53" s="159"/>
      <c r="AA53" s="159"/>
      <c r="AB53" s="159"/>
    </row>
    <row r="54" spans="1:19" s="159" customFormat="1" ht="60.75" customHeight="1" thickBot="1">
      <c r="A54" s="236" t="s">
        <v>207</v>
      </c>
      <c r="B54" s="136">
        <v>7503</v>
      </c>
      <c r="C54" s="135" t="s">
        <v>208</v>
      </c>
      <c r="D54" s="134" t="s">
        <v>209</v>
      </c>
      <c r="E54" s="135" t="s">
        <v>210</v>
      </c>
      <c r="F54" s="135" t="s">
        <v>201</v>
      </c>
      <c r="G54" s="136"/>
      <c r="H54" s="136" t="s">
        <v>490</v>
      </c>
      <c r="I54" s="136"/>
      <c r="J54" s="136"/>
      <c r="K54" s="135" t="s">
        <v>211</v>
      </c>
      <c r="L54" s="137"/>
      <c r="M54" s="138"/>
      <c r="O54" s="315" t="s">
        <v>490</v>
      </c>
      <c r="P54" s="316">
        <v>0.005</v>
      </c>
      <c r="Q54" s="316">
        <v>0.005</v>
      </c>
      <c r="R54" s="302">
        <f t="shared" si="10"/>
        <v>0</v>
      </c>
      <c r="S54" s="303">
        <f t="shared" si="11"/>
        <v>0</v>
      </c>
    </row>
    <row r="55" spans="1:28" s="131" customFormat="1" ht="105">
      <c r="A55" s="236" t="s">
        <v>212</v>
      </c>
      <c r="B55" s="136">
        <v>7503</v>
      </c>
      <c r="C55" s="135" t="s">
        <v>213</v>
      </c>
      <c r="D55" s="223" t="s">
        <v>148</v>
      </c>
      <c r="E55" s="135" t="s">
        <v>149</v>
      </c>
      <c r="F55" s="135" t="s">
        <v>150</v>
      </c>
      <c r="G55" s="136"/>
      <c r="H55" s="136" t="s">
        <v>490</v>
      </c>
      <c r="I55" s="136"/>
      <c r="J55" s="136"/>
      <c r="K55" s="135" t="s">
        <v>214</v>
      </c>
      <c r="L55" s="137"/>
      <c r="M55" s="138"/>
      <c r="N55" s="159"/>
      <c r="O55" s="315" t="s">
        <v>490</v>
      </c>
      <c r="P55" s="316">
        <v>0.005</v>
      </c>
      <c r="Q55" s="316">
        <v>0.005</v>
      </c>
      <c r="R55" s="302">
        <f t="shared" si="10"/>
        <v>0</v>
      </c>
      <c r="S55" s="303">
        <f t="shared" si="11"/>
        <v>0</v>
      </c>
      <c r="T55" s="159"/>
      <c r="U55" s="159"/>
      <c r="V55" s="159"/>
      <c r="W55" s="159"/>
      <c r="X55" s="159"/>
      <c r="Y55" s="159"/>
      <c r="Z55" s="159"/>
      <c r="AA55" s="159"/>
      <c r="AB55" s="159"/>
    </row>
    <row r="56" spans="1:19" s="159" customFormat="1" ht="57.75" customHeight="1">
      <c r="A56" s="236" t="s">
        <v>215</v>
      </c>
      <c r="B56" s="136">
        <v>7503</v>
      </c>
      <c r="C56" s="135" t="s">
        <v>216</v>
      </c>
      <c r="D56" s="134" t="s">
        <v>217</v>
      </c>
      <c r="E56" s="135" t="s">
        <v>218</v>
      </c>
      <c r="F56" s="135" t="s">
        <v>219</v>
      </c>
      <c r="G56" s="136"/>
      <c r="H56" s="136" t="s">
        <v>490</v>
      </c>
      <c r="I56" s="136"/>
      <c r="J56" s="136"/>
      <c r="K56" s="135" t="s">
        <v>214</v>
      </c>
      <c r="L56" s="137"/>
      <c r="M56" s="138"/>
      <c r="O56" s="315" t="s">
        <v>490</v>
      </c>
      <c r="P56" s="316">
        <v>0.005</v>
      </c>
      <c r="Q56" s="316">
        <v>0.005</v>
      </c>
      <c r="R56" s="302">
        <f t="shared" si="10"/>
        <v>0</v>
      </c>
      <c r="S56" s="303">
        <f t="shared" si="11"/>
        <v>0</v>
      </c>
    </row>
    <row r="57" spans="1:19" s="159" customFormat="1" ht="60">
      <c r="A57" s="236" t="s">
        <v>220</v>
      </c>
      <c r="B57" s="136">
        <v>7503</v>
      </c>
      <c r="C57" s="135" t="s">
        <v>221</v>
      </c>
      <c r="D57" s="135" t="s">
        <v>222</v>
      </c>
      <c r="E57" s="135" t="s">
        <v>223</v>
      </c>
      <c r="F57" s="135" t="s">
        <v>224</v>
      </c>
      <c r="G57" s="135" t="s">
        <v>225</v>
      </c>
      <c r="H57" s="136" t="s">
        <v>868</v>
      </c>
      <c r="I57" s="136" t="s">
        <v>865</v>
      </c>
      <c r="J57" s="136" t="s">
        <v>586</v>
      </c>
      <c r="K57" s="135"/>
      <c r="L57" s="237">
        <v>0</v>
      </c>
      <c r="M57" s="238"/>
      <c r="O57" s="315" t="s">
        <v>868</v>
      </c>
      <c r="P57" s="316">
        <v>0.055</v>
      </c>
      <c r="Q57" s="316">
        <v>0.055</v>
      </c>
      <c r="R57" s="302">
        <f t="shared" si="10"/>
        <v>0</v>
      </c>
      <c r="S57" s="303">
        <f t="shared" si="11"/>
        <v>0</v>
      </c>
    </row>
    <row r="58" spans="1:19" s="159" customFormat="1" ht="141" customHeight="1">
      <c r="A58" s="236" t="s">
        <v>226</v>
      </c>
      <c r="B58" s="136">
        <v>7503</v>
      </c>
      <c r="C58" s="135" t="s">
        <v>227</v>
      </c>
      <c r="D58" s="134" t="s">
        <v>228</v>
      </c>
      <c r="E58" s="135" t="s">
        <v>229</v>
      </c>
      <c r="F58" s="135" t="s">
        <v>134</v>
      </c>
      <c r="G58" s="136"/>
      <c r="H58" s="136" t="s">
        <v>616</v>
      </c>
      <c r="I58" s="136"/>
      <c r="J58" s="136"/>
      <c r="K58" s="135" t="s">
        <v>230</v>
      </c>
      <c r="L58" s="137">
        <v>50</v>
      </c>
      <c r="M58" s="138">
        <v>1</v>
      </c>
      <c r="O58" s="315" t="s">
        <v>616</v>
      </c>
      <c r="P58" s="316">
        <v>0.6000000000000001</v>
      </c>
      <c r="Q58" s="316">
        <v>0.6000000000000001</v>
      </c>
      <c r="R58" s="302">
        <f t="shared" si="10"/>
        <v>30.000000000000004</v>
      </c>
      <c r="S58" s="303">
        <f t="shared" si="11"/>
        <v>0.6000000000000001</v>
      </c>
    </row>
    <row r="59" spans="1:19" s="159" customFormat="1" ht="60">
      <c r="A59" s="236" t="s">
        <v>231</v>
      </c>
      <c r="B59" s="136">
        <v>7503</v>
      </c>
      <c r="C59" s="135" t="s">
        <v>232</v>
      </c>
      <c r="D59" s="134" t="s">
        <v>233</v>
      </c>
      <c r="E59" s="135" t="s">
        <v>234</v>
      </c>
      <c r="F59" s="135" t="s">
        <v>24</v>
      </c>
      <c r="G59" s="136"/>
      <c r="H59" s="136" t="s">
        <v>864</v>
      </c>
      <c r="I59" s="136"/>
      <c r="J59" s="136"/>
      <c r="K59" s="135" t="s">
        <v>235</v>
      </c>
      <c r="L59" s="137"/>
      <c r="M59" s="138">
        <v>3</v>
      </c>
      <c r="O59" s="315" t="s">
        <v>864</v>
      </c>
      <c r="P59" s="316">
        <v>0.25</v>
      </c>
      <c r="Q59" s="316">
        <v>0.25</v>
      </c>
      <c r="R59" s="302">
        <f t="shared" si="10"/>
        <v>0</v>
      </c>
      <c r="S59" s="303">
        <f t="shared" si="11"/>
        <v>0.75</v>
      </c>
    </row>
    <row r="60" spans="1:19" s="131" customFormat="1" ht="105">
      <c r="A60" s="239" t="s">
        <v>236</v>
      </c>
      <c r="B60" s="171">
        <v>7503</v>
      </c>
      <c r="C60" s="172" t="s">
        <v>237</v>
      </c>
      <c r="D60" s="172" t="s">
        <v>238</v>
      </c>
      <c r="E60" s="172" t="s">
        <v>229</v>
      </c>
      <c r="F60" s="172" t="s">
        <v>134</v>
      </c>
      <c r="G60" s="173"/>
      <c r="H60" s="171"/>
      <c r="I60" s="171"/>
      <c r="J60" s="171"/>
      <c r="K60" s="173"/>
      <c r="L60" s="240"/>
      <c r="M60" s="241"/>
      <c r="O60" s="312"/>
      <c r="P60" s="312"/>
      <c r="Q60" s="303"/>
      <c r="R60" s="302">
        <f t="shared" si="10"/>
        <v>0</v>
      </c>
      <c r="S60" s="303">
        <f t="shared" si="11"/>
        <v>0</v>
      </c>
    </row>
    <row r="61" spans="1:19" s="131" customFormat="1" ht="156" customHeight="1">
      <c r="A61" s="236" t="s">
        <v>239</v>
      </c>
      <c r="B61" s="136">
        <v>7503</v>
      </c>
      <c r="C61" s="135" t="s">
        <v>240</v>
      </c>
      <c r="D61" s="134" t="s">
        <v>241</v>
      </c>
      <c r="E61" s="135" t="s">
        <v>229</v>
      </c>
      <c r="F61" s="135" t="s">
        <v>134</v>
      </c>
      <c r="G61" s="136"/>
      <c r="H61" s="136" t="s">
        <v>864</v>
      </c>
      <c r="I61" s="136"/>
      <c r="J61" s="136"/>
      <c r="K61" s="135" t="s">
        <v>242</v>
      </c>
      <c r="L61" s="137"/>
      <c r="M61" s="138"/>
      <c r="O61" s="315" t="s">
        <v>864</v>
      </c>
      <c r="P61" s="316">
        <v>0.25</v>
      </c>
      <c r="Q61" s="316">
        <v>0.25</v>
      </c>
      <c r="R61" s="302">
        <f t="shared" si="10"/>
        <v>0</v>
      </c>
      <c r="S61" s="303">
        <f t="shared" si="11"/>
        <v>0</v>
      </c>
    </row>
    <row r="62" spans="1:19" s="159" customFormat="1" ht="100.5" customHeight="1">
      <c r="A62" s="242" t="s">
        <v>243</v>
      </c>
      <c r="B62" s="128">
        <v>7503</v>
      </c>
      <c r="C62" s="126" t="s">
        <v>244</v>
      </c>
      <c r="D62" s="134" t="s">
        <v>245</v>
      </c>
      <c r="E62" s="126" t="s">
        <v>246</v>
      </c>
      <c r="F62" s="126" t="s">
        <v>134</v>
      </c>
      <c r="G62" s="128"/>
      <c r="H62" s="128" t="s">
        <v>864</v>
      </c>
      <c r="I62" s="128"/>
      <c r="J62" s="128"/>
      <c r="K62" s="126" t="s">
        <v>242</v>
      </c>
      <c r="L62" s="129"/>
      <c r="M62" s="130"/>
      <c r="O62" s="315" t="s">
        <v>864</v>
      </c>
      <c r="P62" s="316">
        <v>0.25</v>
      </c>
      <c r="Q62" s="316">
        <v>0.25</v>
      </c>
      <c r="R62" s="302">
        <f t="shared" si="10"/>
        <v>0</v>
      </c>
      <c r="S62" s="303">
        <f t="shared" si="11"/>
        <v>0</v>
      </c>
    </row>
    <row r="63" spans="1:19" s="147" customFormat="1" ht="82.5" customHeight="1">
      <c r="A63" s="236" t="s">
        <v>247</v>
      </c>
      <c r="B63" s="136">
        <v>7503</v>
      </c>
      <c r="C63" s="135" t="s">
        <v>248</v>
      </c>
      <c r="D63" s="135" t="s">
        <v>249</v>
      </c>
      <c r="E63" s="135"/>
      <c r="F63" s="135" t="s">
        <v>250</v>
      </c>
      <c r="G63" s="135" t="s">
        <v>251</v>
      </c>
      <c r="H63" s="136" t="s">
        <v>490</v>
      </c>
      <c r="I63" s="136" t="s">
        <v>491</v>
      </c>
      <c r="J63" s="136" t="s">
        <v>586</v>
      </c>
      <c r="K63" s="243"/>
      <c r="L63" s="137"/>
      <c r="M63" s="138"/>
      <c r="N63" s="159"/>
      <c r="O63" s="315" t="s">
        <v>490</v>
      </c>
      <c r="P63" s="316">
        <v>0.005</v>
      </c>
      <c r="Q63" s="316">
        <v>0.005</v>
      </c>
      <c r="R63" s="302">
        <f t="shared" si="10"/>
        <v>0</v>
      </c>
      <c r="S63" s="303">
        <f t="shared" si="11"/>
        <v>0</v>
      </c>
    </row>
    <row r="64" spans="1:19" s="153" customFormat="1" ht="90">
      <c r="A64" s="236" t="s">
        <v>252</v>
      </c>
      <c r="B64" s="136">
        <v>7503</v>
      </c>
      <c r="C64" s="135" t="s">
        <v>253</v>
      </c>
      <c r="D64" s="135" t="s">
        <v>254</v>
      </c>
      <c r="E64" s="135" t="s">
        <v>229</v>
      </c>
      <c r="F64" s="135" t="s">
        <v>24</v>
      </c>
      <c r="G64" s="135" t="s">
        <v>251</v>
      </c>
      <c r="H64" s="136" t="s">
        <v>864</v>
      </c>
      <c r="I64" s="136" t="s">
        <v>869</v>
      </c>
      <c r="J64" s="136" t="s">
        <v>586</v>
      </c>
      <c r="K64" s="135" t="s">
        <v>505</v>
      </c>
      <c r="L64" s="137">
        <v>75</v>
      </c>
      <c r="M64" s="138">
        <v>0</v>
      </c>
      <c r="N64" s="152"/>
      <c r="O64" s="315" t="s">
        <v>864</v>
      </c>
      <c r="P64" s="316">
        <v>0.25</v>
      </c>
      <c r="Q64" s="316">
        <v>0.25</v>
      </c>
      <c r="R64" s="302">
        <f t="shared" si="10"/>
        <v>18.75</v>
      </c>
      <c r="S64" s="303">
        <f t="shared" si="11"/>
        <v>0</v>
      </c>
    </row>
    <row r="65" spans="1:28" s="131" customFormat="1" ht="45">
      <c r="A65" s="236" t="s">
        <v>255</v>
      </c>
      <c r="B65" s="136">
        <v>7503</v>
      </c>
      <c r="C65" s="135" t="s">
        <v>256</v>
      </c>
      <c r="D65" s="134" t="s">
        <v>257</v>
      </c>
      <c r="E65" s="135" t="s">
        <v>258</v>
      </c>
      <c r="F65" s="135" t="s">
        <v>24</v>
      </c>
      <c r="G65" s="136"/>
      <c r="H65" s="136" t="s">
        <v>864</v>
      </c>
      <c r="I65" s="136"/>
      <c r="J65" s="136"/>
      <c r="K65" s="135" t="s">
        <v>242</v>
      </c>
      <c r="L65" s="137"/>
      <c r="M65" s="138"/>
      <c r="N65" s="159"/>
      <c r="O65" s="315" t="s">
        <v>864</v>
      </c>
      <c r="P65" s="316">
        <v>0.25</v>
      </c>
      <c r="Q65" s="316">
        <v>0.25</v>
      </c>
      <c r="R65" s="302">
        <f t="shared" si="10"/>
        <v>0</v>
      </c>
      <c r="S65" s="303">
        <f t="shared" si="11"/>
        <v>0</v>
      </c>
      <c r="T65" s="159"/>
      <c r="U65" s="159"/>
      <c r="V65" s="159"/>
      <c r="W65" s="159"/>
      <c r="X65" s="159"/>
      <c r="Y65" s="159"/>
      <c r="Z65" s="159"/>
      <c r="AA65" s="159"/>
      <c r="AB65" s="159"/>
    </row>
    <row r="66" spans="1:28" s="131" customFormat="1" ht="120">
      <c r="A66" s="244" t="s">
        <v>259</v>
      </c>
      <c r="B66" s="136">
        <v>7503</v>
      </c>
      <c r="C66" s="135" t="s">
        <v>441</v>
      </c>
      <c r="D66" s="134" t="s">
        <v>260</v>
      </c>
      <c r="E66" s="135"/>
      <c r="F66" s="135" t="s">
        <v>24</v>
      </c>
      <c r="G66" s="136"/>
      <c r="H66" s="136" t="s">
        <v>868</v>
      </c>
      <c r="I66" s="136"/>
      <c r="J66" s="136"/>
      <c r="K66" s="135"/>
      <c r="L66" s="137">
        <v>50</v>
      </c>
      <c r="M66" s="138">
        <v>4</v>
      </c>
      <c r="N66" s="159"/>
      <c r="O66" s="315" t="s">
        <v>868</v>
      </c>
      <c r="P66" s="316">
        <v>0.055</v>
      </c>
      <c r="Q66" s="316">
        <v>0.055</v>
      </c>
      <c r="R66" s="302">
        <f t="shared" si="10"/>
        <v>2.75</v>
      </c>
      <c r="S66" s="303">
        <f t="shared" si="11"/>
        <v>0.22</v>
      </c>
      <c r="T66" s="159"/>
      <c r="U66" s="159"/>
      <c r="V66" s="159"/>
      <c r="W66" s="159"/>
      <c r="X66" s="159"/>
      <c r="Y66" s="159"/>
      <c r="Z66" s="159"/>
      <c r="AA66" s="159"/>
      <c r="AB66" s="159"/>
    </row>
    <row r="67" spans="1:28" s="131" customFormat="1" ht="90.75" thickBot="1">
      <c r="A67" s="244" t="s">
        <v>261</v>
      </c>
      <c r="B67" s="136">
        <v>7503</v>
      </c>
      <c r="C67" s="135" t="s">
        <v>262</v>
      </c>
      <c r="D67" s="134" t="s">
        <v>263</v>
      </c>
      <c r="E67" s="135" t="s">
        <v>129</v>
      </c>
      <c r="F67" s="135" t="s">
        <v>69</v>
      </c>
      <c r="G67" s="136"/>
      <c r="H67" s="136" t="s">
        <v>868</v>
      </c>
      <c r="I67" s="136"/>
      <c r="J67" s="136"/>
      <c r="K67" s="135" t="s">
        <v>264</v>
      </c>
      <c r="L67" s="137"/>
      <c r="M67" s="138">
        <v>1.5</v>
      </c>
      <c r="N67" s="159"/>
      <c r="O67" s="315" t="s">
        <v>868</v>
      </c>
      <c r="P67" s="316">
        <v>0.055</v>
      </c>
      <c r="Q67" s="316">
        <v>0.055</v>
      </c>
      <c r="R67" s="302">
        <f t="shared" si="10"/>
        <v>0</v>
      </c>
      <c r="S67" s="303">
        <f t="shared" si="11"/>
        <v>0.0825</v>
      </c>
      <c r="T67" s="159"/>
      <c r="U67" s="159"/>
      <c r="V67" s="159"/>
      <c r="W67" s="159"/>
      <c r="X67" s="159"/>
      <c r="Y67" s="159"/>
      <c r="Z67" s="159"/>
      <c r="AA67" s="159"/>
      <c r="AB67" s="159"/>
    </row>
    <row r="68" spans="1:19" s="123" customFormat="1" ht="18">
      <c r="A68" s="245" t="s">
        <v>265</v>
      </c>
      <c r="B68" s="246"/>
      <c r="C68" s="247"/>
      <c r="D68" s="246"/>
      <c r="E68" s="246"/>
      <c r="F68" s="248"/>
      <c r="G68" s="246"/>
      <c r="H68" s="246"/>
      <c r="I68" s="246"/>
      <c r="J68" s="246"/>
      <c r="K68" s="249"/>
      <c r="L68" s="250"/>
      <c r="M68" s="251"/>
      <c r="N68" s="159"/>
      <c r="O68" s="314"/>
      <c r="P68" s="313"/>
      <c r="Q68" s="303"/>
      <c r="R68" s="250"/>
      <c r="S68" s="250"/>
    </row>
    <row r="69" spans="1:19" s="132" customFormat="1" ht="90">
      <c r="A69" s="252" t="s">
        <v>266</v>
      </c>
      <c r="B69" s="160">
        <v>8501</v>
      </c>
      <c r="C69" s="135" t="s">
        <v>499</v>
      </c>
      <c r="D69" s="135" t="s">
        <v>267</v>
      </c>
      <c r="E69" s="135" t="s">
        <v>268</v>
      </c>
      <c r="F69" s="135" t="s">
        <v>269</v>
      </c>
      <c r="G69" s="135" t="s">
        <v>251</v>
      </c>
      <c r="H69" s="136" t="s">
        <v>864</v>
      </c>
      <c r="I69" s="136" t="s">
        <v>865</v>
      </c>
      <c r="J69" s="136" t="s">
        <v>586</v>
      </c>
      <c r="K69" s="135" t="s">
        <v>500</v>
      </c>
      <c r="L69" s="137">
        <v>30</v>
      </c>
      <c r="M69" s="138">
        <v>1</v>
      </c>
      <c r="N69" s="131"/>
      <c r="O69" s="315" t="s">
        <v>864</v>
      </c>
      <c r="P69" s="316">
        <v>0.25</v>
      </c>
      <c r="Q69" s="316">
        <v>0.25</v>
      </c>
      <c r="R69" s="302">
        <f aca="true" t="shared" si="12" ref="R69:R83">Q69*L69</f>
        <v>7.5</v>
      </c>
      <c r="S69" s="303">
        <f aca="true" t="shared" si="13" ref="S69:S83">Q69*M69</f>
        <v>0.25</v>
      </c>
    </row>
    <row r="70" spans="1:19" s="159" customFormat="1" ht="75">
      <c r="A70" s="252" t="s">
        <v>270</v>
      </c>
      <c r="B70" s="136">
        <v>8501</v>
      </c>
      <c r="C70" s="135" t="s">
        <v>271</v>
      </c>
      <c r="D70" s="134" t="s">
        <v>272</v>
      </c>
      <c r="E70" s="135" t="s">
        <v>46</v>
      </c>
      <c r="F70" s="135" t="s">
        <v>269</v>
      </c>
      <c r="G70" s="136"/>
      <c r="H70" s="136"/>
      <c r="I70" s="136"/>
      <c r="J70" s="136"/>
      <c r="K70" s="135"/>
      <c r="L70" s="137"/>
      <c r="M70" s="138"/>
      <c r="O70" s="313"/>
      <c r="P70" s="313"/>
      <c r="Q70" s="303"/>
      <c r="R70" s="302">
        <f t="shared" si="12"/>
        <v>0</v>
      </c>
      <c r="S70" s="303">
        <f t="shared" si="13"/>
        <v>0</v>
      </c>
    </row>
    <row r="71" spans="1:19" s="147" customFormat="1" ht="195">
      <c r="A71" s="252" t="s">
        <v>273</v>
      </c>
      <c r="B71" s="160">
        <v>8501</v>
      </c>
      <c r="C71" s="135" t="s">
        <v>274</v>
      </c>
      <c r="D71" s="135" t="s">
        <v>275</v>
      </c>
      <c r="E71" s="135" t="s">
        <v>129</v>
      </c>
      <c r="F71" s="135" t="s">
        <v>276</v>
      </c>
      <c r="G71" s="135" t="s">
        <v>251</v>
      </c>
      <c r="H71" s="136" t="s">
        <v>868</v>
      </c>
      <c r="I71" s="136" t="s">
        <v>865</v>
      </c>
      <c r="J71" s="136" t="s">
        <v>586</v>
      </c>
      <c r="K71" s="135" t="s">
        <v>496</v>
      </c>
      <c r="L71" s="137">
        <v>150</v>
      </c>
      <c r="M71" s="138">
        <v>2</v>
      </c>
      <c r="N71" s="159"/>
      <c r="O71" s="315" t="s">
        <v>868</v>
      </c>
      <c r="P71" s="316">
        <v>0.055</v>
      </c>
      <c r="Q71" s="316">
        <v>0.055</v>
      </c>
      <c r="R71" s="302">
        <f t="shared" si="12"/>
        <v>8.25</v>
      </c>
      <c r="S71" s="303">
        <f t="shared" si="13"/>
        <v>0.11</v>
      </c>
    </row>
    <row r="72" spans="1:19" s="147" customFormat="1" ht="195">
      <c r="A72" s="253" t="s">
        <v>277</v>
      </c>
      <c r="B72" s="254">
        <v>8501</v>
      </c>
      <c r="C72" s="172" t="s">
        <v>498</v>
      </c>
      <c r="D72" s="172" t="s">
        <v>275</v>
      </c>
      <c r="E72" s="172" t="s">
        <v>129</v>
      </c>
      <c r="F72" s="172" t="s">
        <v>276</v>
      </c>
      <c r="G72" s="172" t="s">
        <v>278</v>
      </c>
      <c r="H72" s="171" t="s">
        <v>490</v>
      </c>
      <c r="I72" s="171" t="s">
        <v>491</v>
      </c>
      <c r="J72" s="171" t="s">
        <v>586</v>
      </c>
      <c r="K72" s="255" t="s">
        <v>492</v>
      </c>
      <c r="L72" s="226"/>
      <c r="M72" s="227"/>
      <c r="N72" s="159"/>
      <c r="O72" s="315" t="s">
        <v>490</v>
      </c>
      <c r="P72" s="316">
        <v>0.005</v>
      </c>
      <c r="Q72" s="316">
        <v>0.005</v>
      </c>
      <c r="R72" s="302">
        <f t="shared" si="12"/>
        <v>0</v>
      </c>
      <c r="S72" s="303">
        <f t="shared" si="13"/>
        <v>0</v>
      </c>
    </row>
    <row r="73" spans="1:19" s="132" customFormat="1" ht="195">
      <c r="A73" s="252" t="s">
        <v>279</v>
      </c>
      <c r="B73" s="136" t="s">
        <v>280</v>
      </c>
      <c r="C73" s="135" t="s">
        <v>495</v>
      </c>
      <c r="D73" s="135" t="s">
        <v>281</v>
      </c>
      <c r="E73" s="135" t="s">
        <v>282</v>
      </c>
      <c r="F73" s="135" t="s">
        <v>283</v>
      </c>
      <c r="G73" s="135" t="s">
        <v>284</v>
      </c>
      <c r="H73" s="136" t="s">
        <v>868</v>
      </c>
      <c r="I73" s="136" t="s">
        <v>865</v>
      </c>
      <c r="J73" s="136" t="s">
        <v>586</v>
      </c>
      <c r="K73" s="135" t="s">
        <v>496</v>
      </c>
      <c r="L73" s="137">
        <v>150</v>
      </c>
      <c r="M73" s="138">
        <v>2</v>
      </c>
      <c r="N73" s="131"/>
      <c r="O73" s="315" t="s">
        <v>868</v>
      </c>
      <c r="P73" s="316">
        <v>0.055</v>
      </c>
      <c r="Q73" s="316">
        <v>0.055</v>
      </c>
      <c r="R73" s="302">
        <f t="shared" si="12"/>
        <v>8.25</v>
      </c>
      <c r="S73" s="303">
        <f t="shared" si="13"/>
        <v>0.11</v>
      </c>
    </row>
    <row r="74" spans="1:19" s="132" customFormat="1" ht="180">
      <c r="A74" s="252" t="s">
        <v>285</v>
      </c>
      <c r="B74" s="136" t="s">
        <v>280</v>
      </c>
      <c r="C74" s="135" t="s">
        <v>497</v>
      </c>
      <c r="D74" s="135" t="s">
        <v>281</v>
      </c>
      <c r="E74" s="135" t="s">
        <v>282</v>
      </c>
      <c r="F74" s="135" t="s">
        <v>283</v>
      </c>
      <c r="G74" s="135" t="s">
        <v>284</v>
      </c>
      <c r="H74" s="136" t="s">
        <v>490</v>
      </c>
      <c r="I74" s="136" t="s">
        <v>491</v>
      </c>
      <c r="J74" s="136" t="s">
        <v>586</v>
      </c>
      <c r="K74" s="243" t="s">
        <v>492</v>
      </c>
      <c r="L74" s="137"/>
      <c r="M74" s="138"/>
      <c r="N74" s="131"/>
      <c r="O74" s="315" t="s">
        <v>490</v>
      </c>
      <c r="P74" s="316">
        <v>0.005</v>
      </c>
      <c r="Q74" s="316">
        <v>0.005</v>
      </c>
      <c r="R74" s="302">
        <f t="shared" si="12"/>
        <v>0</v>
      </c>
      <c r="S74" s="303">
        <f t="shared" si="13"/>
        <v>0</v>
      </c>
    </row>
    <row r="75" spans="1:19" s="153" customFormat="1" ht="150">
      <c r="A75" s="256" t="s">
        <v>286</v>
      </c>
      <c r="B75" s="128">
        <v>8501</v>
      </c>
      <c r="C75" s="126" t="s">
        <v>507</v>
      </c>
      <c r="D75" s="126" t="s">
        <v>287</v>
      </c>
      <c r="E75" s="126"/>
      <c r="F75" s="126" t="s">
        <v>24</v>
      </c>
      <c r="G75" s="126" t="s">
        <v>251</v>
      </c>
      <c r="H75" s="128" t="s">
        <v>490</v>
      </c>
      <c r="I75" s="128" t="s">
        <v>869</v>
      </c>
      <c r="J75" s="128" t="s">
        <v>586</v>
      </c>
      <c r="K75" s="127" t="s">
        <v>508</v>
      </c>
      <c r="L75" s="129"/>
      <c r="M75" s="130"/>
      <c r="N75" s="152"/>
      <c r="O75" s="315" t="s">
        <v>490</v>
      </c>
      <c r="P75" s="316">
        <v>0.005</v>
      </c>
      <c r="Q75" s="316">
        <v>0.005</v>
      </c>
      <c r="R75" s="302">
        <f t="shared" si="12"/>
        <v>0</v>
      </c>
      <c r="S75" s="303">
        <f t="shared" si="13"/>
        <v>0</v>
      </c>
    </row>
    <row r="76" spans="1:19" s="159" customFormat="1" ht="156" customHeight="1">
      <c r="A76" s="252" t="s">
        <v>288</v>
      </c>
      <c r="B76" s="136">
        <v>8501</v>
      </c>
      <c r="C76" s="135" t="s">
        <v>289</v>
      </c>
      <c r="D76" s="134" t="s">
        <v>290</v>
      </c>
      <c r="E76" s="135" t="s">
        <v>291</v>
      </c>
      <c r="F76" s="135" t="s">
        <v>292</v>
      </c>
      <c r="G76" s="134" t="s">
        <v>293</v>
      </c>
      <c r="H76" s="136" t="s">
        <v>509</v>
      </c>
      <c r="I76" s="136" t="s">
        <v>869</v>
      </c>
      <c r="J76" s="136" t="s">
        <v>874</v>
      </c>
      <c r="K76" s="135" t="s">
        <v>294</v>
      </c>
      <c r="L76" s="137">
        <v>10</v>
      </c>
      <c r="M76" s="138">
        <v>0.3</v>
      </c>
      <c r="O76" s="315" t="s">
        <v>509</v>
      </c>
      <c r="P76" s="316">
        <v>0.9</v>
      </c>
      <c r="Q76" s="316">
        <v>0.9</v>
      </c>
      <c r="R76" s="302">
        <f t="shared" si="12"/>
        <v>9</v>
      </c>
      <c r="S76" s="303">
        <f t="shared" si="13"/>
        <v>0.27</v>
      </c>
    </row>
    <row r="77" spans="1:19" s="159" customFormat="1" ht="115.5" customHeight="1">
      <c r="A77" s="252" t="s">
        <v>295</v>
      </c>
      <c r="B77" s="136">
        <v>8501</v>
      </c>
      <c r="C77" s="135" t="s">
        <v>296</v>
      </c>
      <c r="D77" s="134" t="s">
        <v>290</v>
      </c>
      <c r="E77" s="135" t="s">
        <v>291</v>
      </c>
      <c r="F77" s="135" t="s">
        <v>292</v>
      </c>
      <c r="G77" s="134" t="s">
        <v>293</v>
      </c>
      <c r="H77" s="136" t="s">
        <v>616</v>
      </c>
      <c r="I77" s="136" t="s">
        <v>869</v>
      </c>
      <c r="J77" s="136" t="s">
        <v>874</v>
      </c>
      <c r="K77" s="135" t="s">
        <v>294</v>
      </c>
      <c r="L77" s="137">
        <v>10</v>
      </c>
      <c r="M77" s="138">
        <v>0.3</v>
      </c>
      <c r="O77" s="315" t="s">
        <v>616</v>
      </c>
      <c r="P77" s="316">
        <v>0.6000000000000001</v>
      </c>
      <c r="Q77" s="316">
        <v>0.6000000000000001</v>
      </c>
      <c r="R77" s="302">
        <f t="shared" si="12"/>
        <v>6.000000000000001</v>
      </c>
      <c r="S77" s="303">
        <f t="shared" si="13"/>
        <v>0.18000000000000002</v>
      </c>
    </row>
    <row r="78" spans="1:19" s="159" customFormat="1" ht="115.5" customHeight="1">
      <c r="A78" s="252" t="s">
        <v>297</v>
      </c>
      <c r="B78" s="136">
        <v>8501</v>
      </c>
      <c r="C78" s="135" t="s">
        <v>298</v>
      </c>
      <c r="D78" s="134" t="s">
        <v>299</v>
      </c>
      <c r="E78" s="135" t="s">
        <v>291</v>
      </c>
      <c r="F78" s="135" t="s">
        <v>300</v>
      </c>
      <c r="G78" s="134" t="s">
        <v>293</v>
      </c>
      <c r="H78" s="136" t="s">
        <v>616</v>
      </c>
      <c r="I78" s="136" t="s">
        <v>869</v>
      </c>
      <c r="J78" s="136" t="s">
        <v>874</v>
      </c>
      <c r="K78" s="135" t="s">
        <v>294</v>
      </c>
      <c r="L78" s="137">
        <v>10</v>
      </c>
      <c r="M78" s="138">
        <v>0.3</v>
      </c>
      <c r="O78" s="315" t="s">
        <v>616</v>
      </c>
      <c r="P78" s="316">
        <v>0.6000000000000001</v>
      </c>
      <c r="Q78" s="316">
        <v>0.6000000000000001</v>
      </c>
      <c r="R78" s="302">
        <f t="shared" si="12"/>
        <v>6.000000000000001</v>
      </c>
      <c r="S78" s="303">
        <f t="shared" si="13"/>
        <v>0.18000000000000002</v>
      </c>
    </row>
    <row r="79" spans="1:19" s="159" customFormat="1" ht="115.5" customHeight="1">
      <c r="A79" s="252" t="s">
        <v>301</v>
      </c>
      <c r="B79" s="136">
        <v>8501</v>
      </c>
      <c r="C79" s="135" t="s">
        <v>302</v>
      </c>
      <c r="D79" s="134" t="s">
        <v>310</v>
      </c>
      <c r="E79" s="135" t="s">
        <v>291</v>
      </c>
      <c r="F79" s="135" t="s">
        <v>311</v>
      </c>
      <c r="G79" s="134" t="s">
        <v>312</v>
      </c>
      <c r="H79" s="136" t="s">
        <v>864</v>
      </c>
      <c r="I79" s="136" t="s">
        <v>869</v>
      </c>
      <c r="J79" s="136" t="s">
        <v>586</v>
      </c>
      <c r="K79" s="135" t="s">
        <v>294</v>
      </c>
      <c r="L79" s="137">
        <v>50</v>
      </c>
      <c r="M79" s="138">
        <v>0.5</v>
      </c>
      <c r="O79" s="315" t="s">
        <v>864</v>
      </c>
      <c r="P79" s="316">
        <v>0.25</v>
      </c>
      <c r="Q79" s="316">
        <v>0.25</v>
      </c>
      <c r="R79" s="302">
        <f t="shared" si="12"/>
        <v>12.5</v>
      </c>
      <c r="S79" s="303">
        <f t="shared" si="13"/>
        <v>0.125</v>
      </c>
    </row>
    <row r="80" spans="1:19" s="159" customFormat="1" ht="90">
      <c r="A80" s="253" t="s">
        <v>313</v>
      </c>
      <c r="B80" s="171">
        <v>8501</v>
      </c>
      <c r="C80" s="172" t="s">
        <v>314</v>
      </c>
      <c r="D80" s="173" t="s">
        <v>315</v>
      </c>
      <c r="E80" s="172" t="s">
        <v>316</v>
      </c>
      <c r="F80" s="172" t="s">
        <v>317</v>
      </c>
      <c r="G80" s="134" t="s">
        <v>318</v>
      </c>
      <c r="H80" s="171" t="s">
        <v>490</v>
      </c>
      <c r="I80" s="171"/>
      <c r="J80" s="136" t="s">
        <v>874</v>
      </c>
      <c r="K80" s="135" t="s">
        <v>410</v>
      </c>
      <c r="L80" s="226">
        <v>0</v>
      </c>
      <c r="M80" s="227">
        <v>0</v>
      </c>
      <c r="O80" s="315" t="s">
        <v>490</v>
      </c>
      <c r="P80" s="316">
        <v>0.005</v>
      </c>
      <c r="Q80" s="316">
        <v>0.005</v>
      </c>
      <c r="R80" s="302">
        <f t="shared" si="12"/>
        <v>0</v>
      </c>
      <c r="S80" s="303">
        <f t="shared" si="13"/>
        <v>0</v>
      </c>
    </row>
    <row r="81" spans="1:19" s="159" customFormat="1" ht="115.5" customHeight="1">
      <c r="A81" s="252" t="s">
        <v>319</v>
      </c>
      <c r="B81" s="136">
        <v>8501</v>
      </c>
      <c r="C81" s="135" t="s">
        <v>320</v>
      </c>
      <c r="D81" s="134" t="s">
        <v>310</v>
      </c>
      <c r="E81" s="135" t="s">
        <v>291</v>
      </c>
      <c r="F81" s="135" t="s">
        <v>311</v>
      </c>
      <c r="G81" s="134" t="s">
        <v>293</v>
      </c>
      <c r="H81" s="136" t="s">
        <v>868</v>
      </c>
      <c r="I81" s="136" t="s">
        <v>873</v>
      </c>
      <c r="J81" s="136" t="s">
        <v>874</v>
      </c>
      <c r="K81" s="135" t="s">
        <v>442</v>
      </c>
      <c r="L81" s="137">
        <v>0</v>
      </c>
      <c r="M81" s="138">
        <v>0</v>
      </c>
      <c r="O81" s="315" t="s">
        <v>868</v>
      </c>
      <c r="P81" s="316">
        <v>0.055</v>
      </c>
      <c r="Q81" s="316">
        <v>0.055</v>
      </c>
      <c r="R81" s="302">
        <f t="shared" si="12"/>
        <v>0</v>
      </c>
      <c r="S81" s="303">
        <f t="shared" si="13"/>
        <v>0</v>
      </c>
    </row>
    <row r="82" spans="1:19" s="159" customFormat="1" ht="115.5" customHeight="1">
      <c r="A82" s="252" t="s">
        <v>321</v>
      </c>
      <c r="B82" s="136">
        <v>3801</v>
      </c>
      <c r="C82" s="135" t="s">
        <v>322</v>
      </c>
      <c r="D82" s="134" t="s">
        <v>323</v>
      </c>
      <c r="E82" s="135" t="s">
        <v>324</v>
      </c>
      <c r="F82" s="135" t="s">
        <v>224</v>
      </c>
      <c r="G82" s="134" t="s">
        <v>325</v>
      </c>
      <c r="H82" s="136" t="s">
        <v>868</v>
      </c>
      <c r="I82" s="136" t="s">
        <v>865</v>
      </c>
      <c r="J82" s="136" t="s">
        <v>874</v>
      </c>
      <c r="K82" s="135" t="s">
        <v>411</v>
      </c>
      <c r="L82" s="137">
        <v>50</v>
      </c>
      <c r="M82" s="138">
        <v>3</v>
      </c>
      <c r="O82" s="315" t="s">
        <v>868</v>
      </c>
      <c r="P82" s="316">
        <v>0.055</v>
      </c>
      <c r="Q82" s="316">
        <v>0.055</v>
      </c>
      <c r="R82" s="302">
        <f t="shared" si="12"/>
        <v>2.75</v>
      </c>
      <c r="S82" s="303">
        <f t="shared" si="13"/>
        <v>0.165</v>
      </c>
    </row>
    <row r="83" spans="1:19" s="159" customFormat="1" ht="90">
      <c r="A83" s="252" t="s">
        <v>326</v>
      </c>
      <c r="B83" s="136" t="s">
        <v>880</v>
      </c>
      <c r="C83" s="135" t="s">
        <v>327</v>
      </c>
      <c r="D83" s="135" t="s">
        <v>328</v>
      </c>
      <c r="E83" s="135" t="s">
        <v>329</v>
      </c>
      <c r="F83" s="135" t="s">
        <v>75</v>
      </c>
      <c r="G83" s="134" t="s">
        <v>161</v>
      </c>
      <c r="H83" s="136" t="s">
        <v>868</v>
      </c>
      <c r="I83" s="257"/>
      <c r="J83" s="257"/>
      <c r="K83" s="257"/>
      <c r="L83" s="257"/>
      <c r="M83" s="257"/>
      <c r="O83" s="315" t="s">
        <v>868</v>
      </c>
      <c r="P83" s="316">
        <v>0.055</v>
      </c>
      <c r="Q83" s="316">
        <v>0.055</v>
      </c>
      <c r="R83" s="302">
        <f t="shared" si="12"/>
        <v>0</v>
      </c>
      <c r="S83" s="303">
        <f t="shared" si="13"/>
        <v>0</v>
      </c>
    </row>
    <row r="84" spans="1:19" s="123" customFormat="1" ht="18.75" thickBot="1">
      <c r="A84" s="258" t="s">
        <v>330</v>
      </c>
      <c r="B84" s="259"/>
      <c r="C84" s="260"/>
      <c r="D84" s="259"/>
      <c r="E84" s="259"/>
      <c r="F84" s="261"/>
      <c r="G84" s="259"/>
      <c r="H84" s="259"/>
      <c r="I84" s="259"/>
      <c r="J84" s="259"/>
      <c r="K84" s="262"/>
      <c r="L84" s="263"/>
      <c r="M84" s="264"/>
      <c r="N84" s="122"/>
      <c r="O84" s="314"/>
      <c r="P84" s="314"/>
      <c r="Q84" s="303"/>
      <c r="R84" s="263"/>
      <c r="S84" s="263"/>
    </row>
    <row r="85" spans="1:19" s="140" customFormat="1" ht="120">
      <c r="A85" s="265" t="s">
        <v>331</v>
      </c>
      <c r="B85" s="266">
        <v>1352</v>
      </c>
      <c r="C85" s="222" t="s">
        <v>512</v>
      </c>
      <c r="D85" s="222" t="s">
        <v>332</v>
      </c>
      <c r="E85" s="222" t="s">
        <v>333</v>
      </c>
      <c r="F85" s="222" t="s">
        <v>201</v>
      </c>
      <c r="G85" s="222" t="s">
        <v>251</v>
      </c>
      <c r="H85" s="221" t="s">
        <v>864</v>
      </c>
      <c r="I85" s="221" t="s">
        <v>865</v>
      </c>
      <c r="J85" s="221" t="s">
        <v>586</v>
      </c>
      <c r="K85" s="222" t="s">
        <v>513</v>
      </c>
      <c r="L85" s="267">
        <v>770</v>
      </c>
      <c r="M85" s="268">
        <v>0</v>
      </c>
      <c r="N85" s="139"/>
      <c r="O85" s="315" t="s">
        <v>864</v>
      </c>
      <c r="P85" s="316">
        <v>0.25</v>
      </c>
      <c r="Q85" s="316">
        <v>0.25</v>
      </c>
      <c r="R85" s="302">
        <f aca="true" t="shared" si="14" ref="R85:R99">Q85*L85</f>
        <v>192.5</v>
      </c>
      <c r="S85" s="303">
        <f aca="true" t="shared" si="15" ref="S85:S99">Q85*M85</f>
        <v>0</v>
      </c>
    </row>
    <row r="86" spans="1:19" s="147" customFormat="1" ht="120">
      <c r="A86" s="269" t="s">
        <v>334</v>
      </c>
      <c r="B86" s="125" t="s">
        <v>871</v>
      </c>
      <c r="C86" s="126" t="s">
        <v>872</v>
      </c>
      <c r="D86" s="126" t="s">
        <v>335</v>
      </c>
      <c r="E86" s="126" t="s">
        <v>336</v>
      </c>
      <c r="F86" s="126" t="s">
        <v>201</v>
      </c>
      <c r="G86" s="126" t="s">
        <v>251</v>
      </c>
      <c r="H86" s="270" t="s">
        <v>868</v>
      </c>
      <c r="I86" s="270" t="s">
        <v>869</v>
      </c>
      <c r="J86" s="271" t="s">
        <v>586</v>
      </c>
      <c r="K86" s="126" t="s">
        <v>870</v>
      </c>
      <c r="L86" s="129">
        <v>35</v>
      </c>
      <c r="M86" s="130">
        <v>0</v>
      </c>
      <c r="N86" s="159"/>
      <c r="O86" s="315" t="s">
        <v>868</v>
      </c>
      <c r="P86" s="316">
        <v>0.055</v>
      </c>
      <c r="Q86" s="316">
        <v>0.055</v>
      </c>
      <c r="R86" s="302">
        <f t="shared" si="14"/>
        <v>1.925</v>
      </c>
      <c r="S86" s="303">
        <f t="shared" si="15"/>
        <v>0</v>
      </c>
    </row>
    <row r="87" spans="1:19" s="147" customFormat="1" ht="90">
      <c r="A87" s="272" t="s">
        <v>337</v>
      </c>
      <c r="B87" s="133" t="s">
        <v>866</v>
      </c>
      <c r="C87" s="135" t="s">
        <v>867</v>
      </c>
      <c r="D87" s="135" t="s">
        <v>338</v>
      </c>
      <c r="E87" s="135" t="s">
        <v>339</v>
      </c>
      <c r="F87" s="135" t="s">
        <v>150</v>
      </c>
      <c r="G87" s="135" t="s">
        <v>340</v>
      </c>
      <c r="H87" s="186" t="s">
        <v>868</v>
      </c>
      <c r="I87" s="186" t="s">
        <v>869</v>
      </c>
      <c r="J87" s="187" t="s">
        <v>586</v>
      </c>
      <c r="K87" s="135" t="s">
        <v>870</v>
      </c>
      <c r="L87" s="137">
        <v>35</v>
      </c>
      <c r="M87" s="138">
        <v>0</v>
      </c>
      <c r="N87" s="159"/>
      <c r="O87" s="315" t="s">
        <v>868</v>
      </c>
      <c r="P87" s="316">
        <v>0.055</v>
      </c>
      <c r="Q87" s="316">
        <v>0.055</v>
      </c>
      <c r="R87" s="302">
        <f t="shared" si="14"/>
        <v>1.925</v>
      </c>
      <c r="S87" s="303">
        <f t="shared" si="15"/>
        <v>0</v>
      </c>
    </row>
    <row r="88" spans="1:19" s="147" customFormat="1" ht="75">
      <c r="A88" s="272" t="s">
        <v>341</v>
      </c>
      <c r="B88" s="133" t="s">
        <v>876</v>
      </c>
      <c r="C88" s="135" t="s">
        <v>878</v>
      </c>
      <c r="D88" s="135" t="s">
        <v>342</v>
      </c>
      <c r="E88" s="135" t="s">
        <v>343</v>
      </c>
      <c r="F88" s="135" t="s">
        <v>201</v>
      </c>
      <c r="G88" s="135" t="s">
        <v>344</v>
      </c>
      <c r="H88" s="186" t="s">
        <v>864</v>
      </c>
      <c r="I88" s="186" t="s">
        <v>869</v>
      </c>
      <c r="J88" s="187" t="s">
        <v>586</v>
      </c>
      <c r="K88" s="135" t="s">
        <v>879</v>
      </c>
      <c r="L88" s="137">
        <v>30</v>
      </c>
      <c r="M88" s="138">
        <v>0</v>
      </c>
      <c r="N88" s="159"/>
      <c r="O88" s="315" t="s">
        <v>864</v>
      </c>
      <c r="P88" s="316">
        <v>0.25</v>
      </c>
      <c r="Q88" s="316">
        <v>0.25</v>
      </c>
      <c r="R88" s="302">
        <f t="shared" si="14"/>
        <v>7.5</v>
      </c>
      <c r="S88" s="303">
        <f t="shared" si="15"/>
        <v>0</v>
      </c>
    </row>
    <row r="89" spans="1:19" s="147" customFormat="1" ht="90">
      <c r="A89" s="272" t="s">
        <v>345</v>
      </c>
      <c r="B89" s="133" t="s">
        <v>876</v>
      </c>
      <c r="C89" s="135" t="s">
        <v>443</v>
      </c>
      <c r="D89" s="135" t="s">
        <v>346</v>
      </c>
      <c r="E89" s="135" t="s">
        <v>347</v>
      </c>
      <c r="F89" s="135" t="s">
        <v>201</v>
      </c>
      <c r="G89" s="135" t="s">
        <v>348</v>
      </c>
      <c r="H89" s="186" t="s">
        <v>490</v>
      </c>
      <c r="I89" s="186" t="s">
        <v>875</v>
      </c>
      <c r="J89" s="187" t="s">
        <v>874</v>
      </c>
      <c r="K89" s="135" t="s">
        <v>877</v>
      </c>
      <c r="L89" s="137">
        <v>0</v>
      </c>
      <c r="M89" s="138">
        <v>0</v>
      </c>
      <c r="N89" s="159"/>
      <c r="O89" s="315" t="s">
        <v>490</v>
      </c>
      <c r="P89" s="316">
        <v>0.005</v>
      </c>
      <c r="Q89" s="316">
        <v>0.005</v>
      </c>
      <c r="R89" s="302">
        <f t="shared" si="14"/>
        <v>0</v>
      </c>
      <c r="S89" s="303">
        <f t="shared" si="15"/>
        <v>0</v>
      </c>
    </row>
    <row r="90" spans="1:19" s="159" customFormat="1" ht="105">
      <c r="A90" s="272" t="s">
        <v>349</v>
      </c>
      <c r="B90" s="136">
        <v>1701</v>
      </c>
      <c r="C90" s="135" t="s">
        <v>350</v>
      </c>
      <c r="D90" s="134" t="s">
        <v>351</v>
      </c>
      <c r="E90" s="135" t="s">
        <v>46</v>
      </c>
      <c r="F90" s="273" t="s">
        <v>269</v>
      </c>
      <c r="G90" s="274"/>
      <c r="H90" s="274"/>
      <c r="I90" s="274"/>
      <c r="J90" s="274"/>
      <c r="K90" s="274"/>
      <c r="L90" s="137"/>
      <c r="M90" s="138"/>
      <c r="O90" s="313"/>
      <c r="P90" s="313"/>
      <c r="Q90" s="303"/>
      <c r="R90" s="302">
        <f t="shared" si="14"/>
        <v>0</v>
      </c>
      <c r="S90" s="303">
        <f t="shared" si="15"/>
        <v>0</v>
      </c>
    </row>
    <row r="91" spans="1:28" s="131" customFormat="1" ht="60">
      <c r="A91" s="272" t="s">
        <v>352</v>
      </c>
      <c r="B91" s="136">
        <v>2201</v>
      </c>
      <c r="C91" s="135" t="s">
        <v>353</v>
      </c>
      <c r="D91" s="134" t="s">
        <v>354</v>
      </c>
      <c r="E91" s="135" t="s">
        <v>355</v>
      </c>
      <c r="F91" s="273" t="s">
        <v>356</v>
      </c>
      <c r="G91" s="274"/>
      <c r="H91" s="274"/>
      <c r="I91" s="274"/>
      <c r="J91" s="274"/>
      <c r="K91" s="274"/>
      <c r="L91" s="137"/>
      <c r="M91" s="138"/>
      <c r="N91" s="159"/>
      <c r="O91" s="312"/>
      <c r="P91" s="313"/>
      <c r="Q91" s="303"/>
      <c r="R91" s="302">
        <f t="shared" si="14"/>
        <v>0</v>
      </c>
      <c r="S91" s="303">
        <f t="shared" si="15"/>
        <v>0</v>
      </c>
      <c r="T91" s="159"/>
      <c r="U91" s="159"/>
      <c r="V91" s="159"/>
      <c r="W91" s="159"/>
      <c r="X91" s="159"/>
      <c r="Y91" s="159"/>
      <c r="Z91" s="159"/>
      <c r="AA91" s="159"/>
      <c r="AB91" s="159"/>
    </row>
    <row r="92" spans="1:19" s="159" customFormat="1" ht="60">
      <c r="A92" s="272" t="s">
        <v>357</v>
      </c>
      <c r="B92" s="136">
        <v>4301</v>
      </c>
      <c r="C92" s="135" t="s">
        <v>358</v>
      </c>
      <c r="D92" s="134" t="s">
        <v>359</v>
      </c>
      <c r="E92" s="135" t="s">
        <v>360</v>
      </c>
      <c r="F92" s="273" t="s">
        <v>292</v>
      </c>
      <c r="G92" s="274"/>
      <c r="H92" s="274"/>
      <c r="I92" s="274"/>
      <c r="J92" s="274"/>
      <c r="K92" s="274"/>
      <c r="L92" s="137"/>
      <c r="M92" s="138"/>
      <c r="O92" s="313"/>
      <c r="P92" s="313"/>
      <c r="Q92" s="303"/>
      <c r="R92" s="302">
        <f t="shared" si="14"/>
        <v>0</v>
      </c>
      <c r="S92" s="303">
        <f t="shared" si="15"/>
        <v>0</v>
      </c>
    </row>
    <row r="93" spans="1:19" s="159" customFormat="1" ht="30">
      <c r="A93" s="272" t="s">
        <v>361</v>
      </c>
      <c r="B93" s="136">
        <v>4401</v>
      </c>
      <c r="C93" s="135" t="s">
        <v>362</v>
      </c>
      <c r="D93" s="134" t="s">
        <v>363</v>
      </c>
      <c r="E93" s="135" t="s">
        <v>360</v>
      </c>
      <c r="F93" s="273" t="s">
        <v>292</v>
      </c>
      <c r="G93" s="274"/>
      <c r="H93" s="274"/>
      <c r="I93" s="274"/>
      <c r="J93" s="274"/>
      <c r="K93" s="274"/>
      <c r="L93" s="137"/>
      <c r="M93" s="138"/>
      <c r="O93" s="313"/>
      <c r="P93" s="313"/>
      <c r="Q93" s="303"/>
      <c r="R93" s="302">
        <f t="shared" si="14"/>
        <v>0</v>
      </c>
      <c r="S93" s="303">
        <f t="shared" si="15"/>
        <v>0</v>
      </c>
    </row>
    <row r="94" spans="1:19" s="132" customFormat="1" ht="93.75" customHeight="1">
      <c r="A94" s="275" t="s">
        <v>364</v>
      </c>
      <c r="B94" s="160">
        <v>1260</v>
      </c>
      <c r="C94" s="135" t="s">
        <v>412</v>
      </c>
      <c r="D94" s="134" t="s">
        <v>365</v>
      </c>
      <c r="E94" s="274" t="s">
        <v>1000</v>
      </c>
      <c r="F94" s="134" t="s">
        <v>219</v>
      </c>
      <c r="G94" s="274"/>
      <c r="H94" s="136" t="s">
        <v>864</v>
      </c>
      <c r="I94" s="274"/>
      <c r="J94" s="274"/>
      <c r="K94" s="135" t="s">
        <v>413</v>
      </c>
      <c r="L94" s="276">
        <v>60</v>
      </c>
      <c r="M94" s="138">
        <v>0</v>
      </c>
      <c r="N94" s="131"/>
      <c r="O94" s="315" t="s">
        <v>864</v>
      </c>
      <c r="P94" s="316">
        <v>0.25</v>
      </c>
      <c r="Q94" s="316">
        <v>0.25</v>
      </c>
      <c r="R94" s="302">
        <f t="shared" si="14"/>
        <v>15</v>
      </c>
      <c r="S94" s="303">
        <f t="shared" si="15"/>
        <v>0</v>
      </c>
    </row>
    <row r="95" spans="1:19" s="131" customFormat="1" ht="69.75" customHeight="1">
      <c r="A95" s="275" t="s">
        <v>366</v>
      </c>
      <c r="B95" s="134" t="s">
        <v>367</v>
      </c>
      <c r="C95" s="134" t="s">
        <v>368</v>
      </c>
      <c r="D95" s="134" t="s">
        <v>369</v>
      </c>
      <c r="E95" s="274" t="s">
        <v>1000</v>
      </c>
      <c r="F95" s="134" t="s">
        <v>219</v>
      </c>
      <c r="G95" s="274"/>
      <c r="H95" s="136" t="s">
        <v>509</v>
      </c>
      <c r="I95" s="274"/>
      <c r="J95" s="274"/>
      <c r="K95" s="135" t="s">
        <v>370</v>
      </c>
      <c r="L95" s="276">
        <v>30</v>
      </c>
      <c r="M95" s="138">
        <v>0</v>
      </c>
      <c r="O95" s="315" t="s">
        <v>509</v>
      </c>
      <c r="P95" s="316">
        <v>0.9</v>
      </c>
      <c r="Q95" s="316">
        <v>0.9</v>
      </c>
      <c r="R95" s="302">
        <f t="shared" si="14"/>
        <v>27</v>
      </c>
      <c r="S95" s="303">
        <f t="shared" si="15"/>
        <v>0</v>
      </c>
    </row>
    <row r="96" spans="1:19" s="132" customFormat="1" ht="90">
      <c r="A96" s="277" t="s">
        <v>371</v>
      </c>
      <c r="B96" s="254" t="s">
        <v>372</v>
      </c>
      <c r="C96" s="172" t="s">
        <v>373</v>
      </c>
      <c r="D96" s="171" t="s">
        <v>374</v>
      </c>
      <c r="E96" s="278" t="s">
        <v>1000</v>
      </c>
      <c r="F96" s="173" t="s">
        <v>219</v>
      </c>
      <c r="G96" s="278"/>
      <c r="H96" s="171" t="s">
        <v>616</v>
      </c>
      <c r="I96" s="278"/>
      <c r="J96" s="278"/>
      <c r="K96" s="172" t="s">
        <v>414</v>
      </c>
      <c r="L96" s="279">
        <v>60</v>
      </c>
      <c r="M96" s="227">
        <v>0</v>
      </c>
      <c r="N96" s="131"/>
      <c r="O96" s="315" t="s">
        <v>616</v>
      </c>
      <c r="P96" s="316">
        <v>0.6000000000000001</v>
      </c>
      <c r="Q96" s="316">
        <v>0.6000000000000001</v>
      </c>
      <c r="R96" s="302">
        <f t="shared" si="14"/>
        <v>36.00000000000001</v>
      </c>
      <c r="S96" s="303">
        <f t="shared" si="15"/>
        <v>0</v>
      </c>
    </row>
    <row r="97" spans="1:19" s="147" customFormat="1" ht="90">
      <c r="A97" s="277" t="s">
        <v>375</v>
      </c>
      <c r="B97" s="160" t="s">
        <v>376</v>
      </c>
      <c r="C97" s="135" t="s">
        <v>377</v>
      </c>
      <c r="D97" s="135" t="s">
        <v>14</v>
      </c>
      <c r="E97" s="135" t="s">
        <v>378</v>
      </c>
      <c r="F97" s="135" t="s">
        <v>184</v>
      </c>
      <c r="G97" s="135" t="s">
        <v>379</v>
      </c>
      <c r="H97" s="136" t="s">
        <v>509</v>
      </c>
      <c r="I97" s="136" t="s">
        <v>865</v>
      </c>
      <c r="J97" s="136" t="s">
        <v>874</v>
      </c>
      <c r="K97" s="135" t="s">
        <v>380</v>
      </c>
      <c r="L97" s="137">
        <v>500</v>
      </c>
      <c r="M97" s="138">
        <v>0</v>
      </c>
      <c r="N97" s="159" t="s">
        <v>381</v>
      </c>
      <c r="O97" s="315" t="s">
        <v>509</v>
      </c>
      <c r="P97" s="316">
        <v>0.9</v>
      </c>
      <c r="Q97" s="316">
        <v>0.9</v>
      </c>
      <c r="R97" s="302">
        <f t="shared" si="14"/>
        <v>450</v>
      </c>
      <c r="S97" s="303">
        <f t="shared" si="15"/>
        <v>0</v>
      </c>
    </row>
    <row r="98" spans="1:19" s="147" customFormat="1" ht="90">
      <c r="A98" s="277" t="s">
        <v>382</v>
      </c>
      <c r="B98" s="254" t="s">
        <v>383</v>
      </c>
      <c r="C98" s="172" t="s">
        <v>510</v>
      </c>
      <c r="D98" s="172" t="s">
        <v>14</v>
      </c>
      <c r="E98" s="172" t="s">
        <v>384</v>
      </c>
      <c r="F98" s="172"/>
      <c r="G98" s="172" t="s">
        <v>385</v>
      </c>
      <c r="H98" s="171" t="s">
        <v>509</v>
      </c>
      <c r="I98" s="171" t="s">
        <v>869</v>
      </c>
      <c r="J98" s="171" t="s">
        <v>586</v>
      </c>
      <c r="K98" s="172" t="s">
        <v>386</v>
      </c>
      <c r="L98" s="226">
        <v>225</v>
      </c>
      <c r="M98" s="227">
        <v>0</v>
      </c>
      <c r="N98" s="159" t="s">
        <v>387</v>
      </c>
      <c r="O98" s="315" t="s">
        <v>509</v>
      </c>
      <c r="P98" s="316">
        <v>0.9</v>
      </c>
      <c r="Q98" s="316">
        <v>0.9</v>
      </c>
      <c r="R98" s="302">
        <f t="shared" si="14"/>
        <v>202.5</v>
      </c>
      <c r="S98" s="303">
        <f t="shared" si="15"/>
        <v>0</v>
      </c>
    </row>
    <row r="99" spans="1:19" s="159" customFormat="1" ht="96" customHeight="1">
      <c r="A99" s="277" t="s">
        <v>388</v>
      </c>
      <c r="B99" s="174">
        <v>1354</v>
      </c>
      <c r="C99" s="197" t="s">
        <v>389</v>
      </c>
      <c r="D99" s="197" t="s">
        <v>390</v>
      </c>
      <c r="E99" s="197" t="s">
        <v>391</v>
      </c>
      <c r="F99" s="197" t="s">
        <v>75</v>
      </c>
      <c r="G99" s="197"/>
      <c r="H99" s="174" t="s">
        <v>864</v>
      </c>
      <c r="I99" s="174" t="s">
        <v>875</v>
      </c>
      <c r="J99" s="174" t="s">
        <v>874</v>
      </c>
      <c r="K99" s="197" t="s">
        <v>392</v>
      </c>
      <c r="L99" s="280"/>
      <c r="M99" s="281"/>
      <c r="O99" s="315" t="s">
        <v>864</v>
      </c>
      <c r="P99" s="316">
        <v>0.25</v>
      </c>
      <c r="Q99" s="316">
        <v>0.25</v>
      </c>
      <c r="R99" s="302">
        <f t="shared" si="14"/>
        <v>0</v>
      </c>
      <c r="S99" s="303">
        <f t="shared" si="15"/>
        <v>0</v>
      </c>
    </row>
    <row r="100" spans="1:14" s="287" customFormat="1" ht="15.75">
      <c r="A100" s="282"/>
      <c r="B100" s="282"/>
      <c r="C100" s="283"/>
      <c r="D100" s="283"/>
      <c r="E100" s="283"/>
      <c r="F100" s="283"/>
      <c r="G100" s="283"/>
      <c r="H100" s="284"/>
      <c r="I100" s="282"/>
      <c r="J100" s="282"/>
      <c r="K100" s="282"/>
      <c r="L100" s="285"/>
      <c r="M100" s="286"/>
      <c r="N100" s="283"/>
    </row>
    <row r="101" spans="1:19" s="287" customFormat="1" ht="15.75">
      <c r="A101" s="282"/>
      <c r="B101" s="282"/>
      <c r="C101" s="283"/>
      <c r="D101" s="283"/>
      <c r="E101" s="283"/>
      <c r="F101" s="283"/>
      <c r="G101" s="283"/>
      <c r="H101" s="284"/>
      <c r="I101" s="282"/>
      <c r="J101" s="282"/>
      <c r="K101" s="282"/>
      <c r="L101" s="285"/>
      <c r="M101" s="286"/>
      <c r="N101" s="283"/>
      <c r="R101" s="304">
        <f>SUM(R3:R99)</f>
        <v>1916.4249999999997</v>
      </c>
      <c r="S101" s="305">
        <f>SUM(S3:S99)</f>
        <v>9.309999999999995</v>
      </c>
    </row>
    <row r="102" spans="1:14" s="287" customFormat="1" ht="15.75">
      <c r="A102" s="282"/>
      <c r="B102" s="282"/>
      <c r="C102" s="283"/>
      <c r="D102" s="283"/>
      <c r="E102" s="283"/>
      <c r="F102" s="283"/>
      <c r="G102" s="283"/>
      <c r="H102" s="284"/>
      <c r="I102" s="282"/>
      <c r="J102" s="282"/>
      <c r="K102" s="282"/>
      <c r="L102" s="285"/>
      <c r="M102" s="286"/>
      <c r="N102" s="283"/>
    </row>
    <row r="103" spans="1:14" s="287" customFormat="1" ht="15.75">
      <c r="A103" s="282"/>
      <c r="B103" s="282"/>
      <c r="C103" s="283"/>
      <c r="D103" s="283"/>
      <c r="E103" s="283"/>
      <c r="F103" s="283"/>
      <c r="G103" s="283"/>
      <c r="H103" s="284"/>
      <c r="I103" s="282"/>
      <c r="J103" s="282"/>
      <c r="K103" s="282"/>
      <c r="L103" s="285"/>
      <c r="M103" s="286"/>
      <c r="N103" s="283"/>
    </row>
    <row r="104" spans="1:14" s="287" customFormat="1" ht="15.75">
      <c r="A104" s="282"/>
      <c r="B104" s="282"/>
      <c r="C104" s="283"/>
      <c r="D104" s="283"/>
      <c r="E104" s="283"/>
      <c r="F104" s="283"/>
      <c r="G104" s="283"/>
      <c r="H104" s="284"/>
      <c r="I104" s="282"/>
      <c r="J104" s="282"/>
      <c r="K104" s="282"/>
      <c r="L104" s="285"/>
      <c r="M104" s="286"/>
      <c r="N104" s="283"/>
    </row>
    <row r="105" spans="1:14" s="287" customFormat="1" ht="15.75">
      <c r="A105" s="282"/>
      <c r="B105" s="282"/>
      <c r="C105" s="283"/>
      <c r="D105" s="283"/>
      <c r="E105" s="283"/>
      <c r="F105" s="283"/>
      <c r="G105" s="283"/>
      <c r="H105" s="282"/>
      <c r="I105" s="282"/>
      <c r="J105" s="282"/>
      <c r="K105" s="282"/>
      <c r="L105" s="285"/>
      <c r="M105" s="286"/>
      <c r="N105" s="283"/>
    </row>
    <row r="106" spans="1:14" s="287" customFormat="1" ht="15.75">
      <c r="A106" s="282"/>
      <c r="B106" s="282"/>
      <c r="C106" s="283"/>
      <c r="D106" s="283"/>
      <c r="E106" s="283"/>
      <c r="F106" s="283"/>
      <c r="G106" s="283"/>
      <c r="H106" s="282"/>
      <c r="I106" s="282"/>
      <c r="J106" s="282"/>
      <c r="L106" s="288"/>
      <c r="M106" s="289"/>
      <c r="N106" s="283"/>
    </row>
    <row r="107" spans="1:14" s="287" customFormat="1" ht="15.75">
      <c r="A107" s="282"/>
      <c r="B107" s="282"/>
      <c r="C107" s="283"/>
      <c r="D107" s="283"/>
      <c r="E107" s="283"/>
      <c r="F107" s="283"/>
      <c r="G107" s="283"/>
      <c r="H107" s="282"/>
      <c r="I107" s="282"/>
      <c r="J107" s="282"/>
      <c r="L107" s="288"/>
      <c r="M107" s="289"/>
      <c r="N107" s="283"/>
    </row>
    <row r="108" spans="1:14" s="115" customFormat="1" ht="15.75">
      <c r="A108" s="290"/>
      <c r="B108" s="290"/>
      <c r="C108" s="107"/>
      <c r="D108" s="107"/>
      <c r="E108" s="107"/>
      <c r="F108" s="107"/>
      <c r="G108" s="107"/>
      <c r="H108" s="290"/>
      <c r="I108" s="290"/>
      <c r="J108" s="290"/>
      <c r="L108" s="291"/>
      <c r="M108" s="292"/>
      <c r="N108" s="107"/>
    </row>
    <row r="109" spans="1:14" s="295" customFormat="1" ht="15.75">
      <c r="A109" s="293"/>
      <c r="B109" s="293"/>
      <c r="C109" s="294"/>
      <c r="D109" s="294"/>
      <c r="E109" s="294"/>
      <c r="F109" s="294"/>
      <c r="G109" s="294"/>
      <c r="H109" s="290"/>
      <c r="I109" s="293"/>
      <c r="J109" s="293"/>
      <c r="L109" s="296"/>
      <c r="M109" s="297"/>
      <c r="N109" s="294"/>
    </row>
    <row r="110" spans="1:14" s="295" customFormat="1" ht="15.75">
      <c r="A110" s="293"/>
      <c r="B110" s="293"/>
      <c r="C110" s="294"/>
      <c r="D110" s="294"/>
      <c r="E110" s="294"/>
      <c r="F110" s="294"/>
      <c r="G110" s="294"/>
      <c r="H110" s="290"/>
      <c r="I110" s="293"/>
      <c r="J110" s="293"/>
      <c r="L110" s="296"/>
      <c r="M110" s="297"/>
      <c r="N110" s="294"/>
    </row>
    <row r="111" spans="1:14" s="295" customFormat="1" ht="15.75">
      <c r="A111" s="293"/>
      <c r="B111" s="293"/>
      <c r="C111" s="294"/>
      <c r="D111" s="294"/>
      <c r="E111" s="294"/>
      <c r="F111" s="294"/>
      <c r="G111" s="294"/>
      <c r="H111" s="290"/>
      <c r="I111" s="293"/>
      <c r="J111" s="293"/>
      <c r="L111" s="296"/>
      <c r="M111" s="297"/>
      <c r="N111" s="294"/>
    </row>
    <row r="112" spans="1:14" s="295" customFormat="1" ht="15.75">
      <c r="A112" s="293"/>
      <c r="B112" s="293"/>
      <c r="C112" s="294"/>
      <c r="D112" s="294"/>
      <c r="E112" s="294"/>
      <c r="F112" s="294"/>
      <c r="G112" s="294"/>
      <c r="H112" s="290"/>
      <c r="I112" s="293"/>
      <c r="J112" s="293"/>
      <c r="L112" s="296"/>
      <c r="M112" s="297"/>
      <c r="N112" s="294"/>
    </row>
    <row r="113" spans="1:14" s="295" customFormat="1" ht="15.75">
      <c r="A113" s="293"/>
      <c r="B113" s="293"/>
      <c r="C113" s="294"/>
      <c r="D113" s="294"/>
      <c r="E113" s="294"/>
      <c r="F113" s="294"/>
      <c r="G113" s="294"/>
      <c r="H113" s="290"/>
      <c r="I113" s="293"/>
      <c r="J113" s="293"/>
      <c r="L113" s="296"/>
      <c r="M113" s="297"/>
      <c r="N113" s="294"/>
    </row>
    <row r="114" spans="1:14" s="295" customFormat="1" ht="15.75">
      <c r="A114" s="293"/>
      <c r="B114" s="293"/>
      <c r="C114" s="294"/>
      <c r="D114" s="294"/>
      <c r="E114" s="294"/>
      <c r="F114" s="294"/>
      <c r="G114" s="294"/>
      <c r="H114" s="290"/>
      <c r="I114" s="293"/>
      <c r="J114" s="293"/>
      <c r="L114" s="296"/>
      <c r="M114" s="297"/>
      <c r="N114" s="294"/>
    </row>
    <row r="115" spans="1:14" s="295" customFormat="1" ht="15.75">
      <c r="A115" s="293"/>
      <c r="B115" s="293"/>
      <c r="C115" s="294"/>
      <c r="D115" s="294"/>
      <c r="E115" s="294"/>
      <c r="F115" s="294"/>
      <c r="G115" s="294"/>
      <c r="H115" s="290"/>
      <c r="I115" s="293"/>
      <c r="J115" s="293"/>
      <c r="L115" s="296"/>
      <c r="M115" s="297"/>
      <c r="N115" s="294"/>
    </row>
    <row r="116" spans="1:14" s="295" customFormat="1" ht="15.75">
      <c r="A116" s="293"/>
      <c r="B116" s="293"/>
      <c r="C116" s="294"/>
      <c r="D116" s="294"/>
      <c r="E116" s="294"/>
      <c r="F116" s="294"/>
      <c r="G116" s="294"/>
      <c r="H116" s="290"/>
      <c r="I116" s="293"/>
      <c r="J116" s="293"/>
      <c r="L116" s="296"/>
      <c r="M116" s="297"/>
      <c r="N116" s="294"/>
    </row>
    <row r="117" spans="1:14" s="295" customFormat="1" ht="15.75">
      <c r="A117" s="293"/>
      <c r="B117" s="293"/>
      <c r="C117" s="294"/>
      <c r="D117" s="294"/>
      <c r="E117" s="294"/>
      <c r="F117" s="294"/>
      <c r="G117" s="294"/>
      <c r="H117" s="290"/>
      <c r="I117" s="293"/>
      <c r="J117" s="293"/>
      <c r="L117" s="296"/>
      <c r="M117" s="297"/>
      <c r="N117" s="294"/>
    </row>
    <row r="118" spans="6:15" ht="15.75">
      <c r="F118" s="294"/>
      <c r="G118" s="294"/>
      <c r="O118" s="317"/>
    </row>
    <row r="119" spans="6:15" ht="15.75">
      <c r="F119" s="294"/>
      <c r="G119" s="294"/>
      <c r="O119" s="317"/>
    </row>
    <row r="120" spans="6:7" ht="15.75">
      <c r="F120" s="294"/>
      <c r="G120" s="294"/>
    </row>
    <row r="121" spans="6:7" ht="15.75">
      <c r="F121" s="294"/>
      <c r="G121" s="294"/>
    </row>
    <row r="122" spans="6:7" ht="15.75">
      <c r="F122" s="294"/>
      <c r="G122" s="294"/>
    </row>
    <row r="123" spans="6:7" ht="15.75">
      <c r="F123" s="294"/>
      <c r="G123" s="294"/>
    </row>
    <row r="124" spans="6:7" ht="15.75">
      <c r="F124" s="294"/>
      <c r="G124" s="294"/>
    </row>
    <row r="125" spans="6:7" ht="15.75">
      <c r="F125" s="294"/>
      <c r="G125" s="294"/>
    </row>
    <row r="126" spans="6:7" ht="15.75">
      <c r="F126" s="294"/>
      <c r="G126" s="294"/>
    </row>
    <row r="127" spans="6:7" ht="15.75">
      <c r="F127" s="294"/>
      <c r="G127" s="294"/>
    </row>
    <row r="128" spans="6:7" ht="15.75">
      <c r="F128" s="294"/>
      <c r="G128" s="294"/>
    </row>
    <row r="129" spans="6:7" ht="15.75">
      <c r="F129" s="294"/>
      <c r="G129" s="294"/>
    </row>
    <row r="130" spans="6:7" ht="15.75">
      <c r="F130" s="294"/>
      <c r="G130" s="294"/>
    </row>
    <row r="131" spans="6:7" ht="15.75">
      <c r="F131" s="294"/>
      <c r="G131" s="294"/>
    </row>
    <row r="132" spans="6:7" ht="15.75">
      <c r="F132" s="294"/>
      <c r="G132" s="294"/>
    </row>
    <row r="133" spans="6:7" ht="15.75">
      <c r="F133" s="294"/>
      <c r="G133" s="294"/>
    </row>
    <row r="134" spans="6:7" ht="15.75">
      <c r="F134" s="294"/>
      <c r="G134" s="294"/>
    </row>
    <row r="135" spans="6:7" ht="15.75">
      <c r="F135" s="294"/>
      <c r="G135" s="294"/>
    </row>
    <row r="136" spans="6:7" ht="15.75">
      <c r="F136" s="294"/>
      <c r="G136" s="294"/>
    </row>
    <row r="137" spans="6:7" ht="15.75">
      <c r="F137" s="294"/>
      <c r="G137" s="294"/>
    </row>
    <row r="138" spans="6:7" ht="15.75">
      <c r="F138" s="294"/>
      <c r="G138" s="294"/>
    </row>
    <row r="139" spans="6:7" ht="15.75">
      <c r="F139" s="294"/>
      <c r="G139" s="294"/>
    </row>
    <row r="140" spans="6:7" ht="15.75">
      <c r="F140" s="294"/>
      <c r="G140" s="294"/>
    </row>
    <row r="141" spans="6:7" ht="15.75">
      <c r="F141" s="294"/>
      <c r="G141" s="294"/>
    </row>
    <row r="142" spans="6:7" ht="15.75">
      <c r="F142" s="294"/>
      <c r="G142" s="294"/>
    </row>
    <row r="143" spans="6:7" ht="15.75">
      <c r="F143" s="294"/>
      <c r="G143" s="294"/>
    </row>
    <row r="144" spans="6:7" ht="15.75">
      <c r="F144" s="294"/>
      <c r="G144" s="294"/>
    </row>
    <row r="145" spans="6:7" ht="15.75">
      <c r="F145" s="294"/>
      <c r="G145" s="294"/>
    </row>
    <row r="146" spans="6:7" ht="15.75">
      <c r="F146" s="294"/>
      <c r="G146" s="294"/>
    </row>
    <row r="147" spans="6:7" ht="15.75">
      <c r="F147" s="294"/>
      <c r="G147" s="294"/>
    </row>
    <row r="148" spans="6:7" ht="15.75">
      <c r="F148" s="294"/>
      <c r="G148" s="294"/>
    </row>
    <row r="149" spans="6:7" ht="15.75">
      <c r="F149" s="294"/>
      <c r="G149" s="294"/>
    </row>
    <row r="150" spans="6:7" ht="15.75">
      <c r="F150" s="294"/>
      <c r="G150" s="294"/>
    </row>
    <row r="151" spans="6:7" ht="15.75">
      <c r="F151" s="294"/>
      <c r="G151" s="294"/>
    </row>
    <row r="152" spans="6:7" ht="15.75">
      <c r="F152" s="294"/>
      <c r="G152" s="294"/>
    </row>
    <row r="153" spans="6:7" ht="15.75">
      <c r="F153" s="294"/>
      <c r="G153" s="294"/>
    </row>
    <row r="154" spans="6:7" ht="15.75">
      <c r="F154" s="294"/>
      <c r="G154" s="294"/>
    </row>
    <row r="155" spans="6:7" ht="15.75">
      <c r="F155" s="294"/>
      <c r="G155" s="294"/>
    </row>
    <row r="156" spans="6:7" ht="15.75">
      <c r="F156" s="294"/>
      <c r="G156" s="294"/>
    </row>
    <row r="157" spans="6:7" ht="15.75">
      <c r="F157" s="294"/>
      <c r="G157" s="294"/>
    </row>
  </sheetData>
  <sheetProtection/>
  <mergeCells count="1">
    <mergeCell ref="I1:J1"/>
  </mergeCells>
  <printOptions/>
  <pageMargins left="0.75" right="0.75" top="0.75" bottom="0.75" header="0.5" footer="0.5"/>
  <pageSetup fitToHeight="0" fitToWidth="1" horizontalDpi="600" verticalDpi="600" orientation="landscape" paperSize="17" scale="74" r:id="rId2"/>
  <headerFooter alignWithMargins="0">
    <oddHeader>&amp;C&amp;"Arial,Bold"&amp;14NCSX Risk Register</oddHeader>
    <oddFooter>&amp;R&amp;"Arial,Bold"&amp;12&amp;F   Page &amp;P
&amp;D</oddFooter>
  </headerFooter>
  <rowBreaks count="5" manualBreakCount="5">
    <brk id="14" max="255" man="1"/>
    <brk id="21" max="255" man="1"/>
    <brk id="31" max="12" man="1"/>
    <brk id="67" max="13" man="1"/>
    <brk id="83" max="13" man="1"/>
  </rowBreaks>
  <drawing r:id="rId1"/>
</worksheet>
</file>

<file path=xl/worksheets/sheet9.xml><?xml version="1.0" encoding="utf-8"?>
<worksheet xmlns="http://schemas.openxmlformats.org/spreadsheetml/2006/main" xmlns:r="http://schemas.openxmlformats.org/officeDocument/2006/relationships">
  <dimension ref="A1:F306"/>
  <sheetViews>
    <sheetView zoomScalePageLayoutView="0" workbookViewId="0" topLeftCell="A43">
      <selection activeCell="D48" sqref="D48"/>
    </sheetView>
  </sheetViews>
  <sheetFormatPr defaultColWidth="9.140625" defaultRowHeight="12.75"/>
  <cols>
    <col min="1" max="1" width="54.00390625" style="0" bestFit="1" customWidth="1"/>
    <col min="2" max="2" width="26.28125" style="0" customWidth="1"/>
    <col min="3" max="3" width="17.57421875" style="0" customWidth="1"/>
    <col min="4" max="4" width="21.7109375" style="0" customWidth="1"/>
    <col min="5" max="5" width="30.28125" style="0" bestFit="1" customWidth="1"/>
    <col min="6" max="6" width="23.421875" style="0" bestFit="1" customWidth="1"/>
    <col min="8" max="8" width="32.8515625" style="0" customWidth="1"/>
    <col min="9" max="9" width="22.421875" style="0" customWidth="1"/>
    <col min="10" max="10" width="15.8515625" style="0" customWidth="1"/>
  </cols>
  <sheetData>
    <row r="1" spans="1:6" ht="12.75">
      <c r="A1" s="15" t="s">
        <v>824</v>
      </c>
      <c r="B1" s="15" t="s">
        <v>895</v>
      </c>
      <c r="C1" s="15" t="s">
        <v>394</v>
      </c>
      <c r="D1" s="15" t="s">
        <v>395</v>
      </c>
      <c r="E1" s="15" t="s">
        <v>822</v>
      </c>
      <c r="F1" s="15" t="s">
        <v>823</v>
      </c>
    </row>
    <row r="2" spans="1:6" ht="12.75">
      <c r="A2" s="12" t="s">
        <v>825</v>
      </c>
      <c r="B2" s="13">
        <v>63315.70412628126</v>
      </c>
      <c r="C2" s="306">
        <v>-1230</v>
      </c>
      <c r="D2" s="14">
        <v>0.275</v>
      </c>
      <c r="E2" s="93">
        <v>0</v>
      </c>
      <c r="F2" s="93">
        <v>42.4468085958879</v>
      </c>
    </row>
    <row r="3" spans="1:6" ht="12.75">
      <c r="A3" s="12" t="s">
        <v>826</v>
      </c>
      <c r="B3" s="13">
        <v>66093.85389138795</v>
      </c>
      <c r="C3" s="306">
        <v>585</v>
      </c>
      <c r="D3" s="14">
        <v>4.374999999999999</v>
      </c>
      <c r="E3" s="93">
        <v>26.29839536617412</v>
      </c>
      <c r="F3" s="93">
        <v>45.34454098128003</v>
      </c>
    </row>
    <row r="4" spans="1:6" ht="12.75">
      <c r="A4" s="12" t="s">
        <v>827</v>
      </c>
      <c r="B4" s="13">
        <v>66613.99838368657</v>
      </c>
      <c r="C4" s="306">
        <v>840</v>
      </c>
      <c r="D4" s="14">
        <v>5.374999999999999</v>
      </c>
      <c r="E4" s="93">
        <v>53.96469588301164</v>
      </c>
      <c r="F4" s="93">
        <v>46.23893029511007</v>
      </c>
    </row>
    <row r="5" spans="1:6" ht="12.75">
      <c r="A5" s="12" t="s">
        <v>828</v>
      </c>
      <c r="B5" s="13">
        <v>66983.53684116072</v>
      </c>
      <c r="C5" s="306">
        <v>1050</v>
      </c>
      <c r="D5" s="14">
        <v>5.899999999999999</v>
      </c>
      <c r="E5" s="93">
        <v>77.33861500464597</v>
      </c>
      <c r="F5" s="93">
        <v>46.9067912875379</v>
      </c>
    </row>
    <row r="6" spans="1:6" ht="12.75">
      <c r="A6" s="12" t="s">
        <v>829</v>
      </c>
      <c r="B6" s="13">
        <v>67285.14287841518</v>
      </c>
      <c r="C6" s="306">
        <v>1235</v>
      </c>
      <c r="D6" s="14">
        <v>6.574999999999999</v>
      </c>
      <c r="E6" s="93">
        <v>96.33</v>
      </c>
      <c r="F6" s="93">
        <v>47.51128483578391</v>
      </c>
    </row>
    <row r="7" spans="1:6" ht="12.75">
      <c r="A7" s="12" t="s">
        <v>830</v>
      </c>
      <c r="B7" s="13">
        <v>67550.28611939684</v>
      </c>
      <c r="C7" s="306">
        <v>1405</v>
      </c>
      <c r="D7" s="14">
        <v>7.074999999999999</v>
      </c>
      <c r="E7" s="93">
        <v>98.73103023233543</v>
      </c>
      <c r="F7" s="93">
        <v>48.059127183957514</v>
      </c>
    </row>
    <row r="8" spans="1:6" ht="12.75">
      <c r="A8" s="12" t="s">
        <v>831</v>
      </c>
      <c r="B8" s="13">
        <v>67786.21245499598</v>
      </c>
      <c r="C8" s="306">
        <v>1520</v>
      </c>
      <c r="D8" s="14">
        <v>7.449999999999999</v>
      </c>
      <c r="E8" s="93">
        <v>109.03417852430371</v>
      </c>
      <c r="F8" s="93">
        <v>48.57885055534182</v>
      </c>
    </row>
    <row r="9" spans="1:6" ht="12.75">
      <c r="A9" s="12" t="s">
        <v>832</v>
      </c>
      <c r="B9" s="13">
        <v>67992.8506701832</v>
      </c>
      <c r="C9" s="306">
        <v>1620</v>
      </c>
      <c r="D9" s="14">
        <v>7.874999999999999</v>
      </c>
      <c r="E9" s="93">
        <v>118.89656804431492</v>
      </c>
      <c r="F9" s="93">
        <v>49.05661310823693</v>
      </c>
    </row>
    <row r="10" spans="1:6" ht="12.75">
      <c r="A10" s="12" t="s">
        <v>833</v>
      </c>
      <c r="B10" s="13">
        <v>68185.93453995009</v>
      </c>
      <c r="C10" s="306">
        <v>1705</v>
      </c>
      <c r="D10" s="14">
        <v>8.275</v>
      </c>
      <c r="E10" s="93">
        <v>128.44</v>
      </c>
      <c r="F10" s="93">
        <v>49.59355724399255</v>
      </c>
    </row>
    <row r="11" spans="1:6" ht="12.75">
      <c r="A11" s="12" t="s">
        <v>834</v>
      </c>
      <c r="B11" s="13">
        <v>68387.40678290467</v>
      </c>
      <c r="C11" s="306">
        <v>1785</v>
      </c>
      <c r="D11" s="14">
        <v>8.725</v>
      </c>
      <c r="E11" s="93">
        <v>137.9303370799101</v>
      </c>
      <c r="F11" s="93">
        <v>50.11182793187264</v>
      </c>
    </row>
    <row r="12" spans="1:6" ht="12.75">
      <c r="A12" s="12" t="s">
        <v>835</v>
      </c>
      <c r="B12" s="13">
        <v>68584.07331503312</v>
      </c>
      <c r="C12" s="306">
        <v>1875</v>
      </c>
      <c r="D12" s="14">
        <v>9.075000000000003</v>
      </c>
      <c r="E12" s="93">
        <v>147.34615188002414</v>
      </c>
      <c r="F12" s="93">
        <v>50.62794350500435</v>
      </c>
    </row>
    <row r="13" spans="1:6" ht="12.75">
      <c r="A13" s="12" t="s">
        <v>836</v>
      </c>
      <c r="B13" s="13">
        <v>68781.86890267645</v>
      </c>
      <c r="C13" s="306">
        <v>1960</v>
      </c>
      <c r="D13" s="14">
        <v>9.575000000000003</v>
      </c>
      <c r="E13" s="93">
        <v>157.4958993068836</v>
      </c>
      <c r="F13" s="93">
        <v>51.16370377826448</v>
      </c>
    </row>
    <row r="14" spans="1:6" ht="12.75">
      <c r="A14" s="12" t="s">
        <v>837</v>
      </c>
      <c r="B14" s="13">
        <v>68989.67915684146</v>
      </c>
      <c r="C14" s="306">
        <v>2080</v>
      </c>
      <c r="D14" s="14">
        <v>9.900000000000002</v>
      </c>
      <c r="E14" s="93">
        <v>167.66785308387983</v>
      </c>
      <c r="F14" s="93">
        <v>51.69312112097466</v>
      </c>
    </row>
    <row r="15" spans="1:6" ht="12.75">
      <c r="A15" s="12" t="s">
        <v>838</v>
      </c>
      <c r="B15" s="13">
        <v>69221.4277934155</v>
      </c>
      <c r="C15" s="306">
        <v>2230</v>
      </c>
      <c r="D15" s="14">
        <v>10.375000000000002</v>
      </c>
      <c r="E15" s="93">
        <v>178.99070252380318</v>
      </c>
      <c r="F15" s="93">
        <v>52.260725895004946</v>
      </c>
    </row>
    <row r="16" spans="1:6" ht="12.75">
      <c r="A16" s="12" t="s">
        <v>839</v>
      </c>
      <c r="B16" s="13">
        <v>69466.10526674158</v>
      </c>
      <c r="C16" s="306">
        <v>2390</v>
      </c>
      <c r="D16" s="14">
        <v>10.875000000000002</v>
      </c>
      <c r="E16" s="93">
        <v>190.45539530329063</v>
      </c>
      <c r="F16" s="93">
        <v>52.84608892739268</v>
      </c>
    </row>
    <row r="17" spans="1:6" ht="12.75">
      <c r="A17" s="12" t="s">
        <v>840</v>
      </c>
      <c r="B17" s="13">
        <v>69731.29907928826</v>
      </c>
      <c r="C17" s="306">
        <v>2520</v>
      </c>
      <c r="D17" s="14">
        <v>11.375000000000002</v>
      </c>
      <c r="E17" s="93">
        <v>198.0204179352378</v>
      </c>
      <c r="F17" s="93">
        <v>53.46551375089708</v>
      </c>
    </row>
    <row r="18" spans="1:6" ht="12.75">
      <c r="A18" s="12" t="s">
        <v>841</v>
      </c>
      <c r="B18" s="13">
        <v>70007.3017198302</v>
      </c>
      <c r="C18" s="306">
        <v>2630</v>
      </c>
      <c r="D18" s="14">
        <v>11.975</v>
      </c>
      <c r="E18" s="93">
        <v>210.524868253591</v>
      </c>
      <c r="F18" s="93">
        <v>54.19340247427908</v>
      </c>
    </row>
    <row r="19" spans="1:6" ht="12.75">
      <c r="A19" s="12" t="s">
        <v>842</v>
      </c>
      <c r="B19" s="13">
        <v>70354.0635084842</v>
      </c>
      <c r="C19" s="306">
        <v>2740</v>
      </c>
      <c r="D19" s="14">
        <v>12.575000000000003</v>
      </c>
      <c r="E19" s="93">
        <v>224.76999999999998</v>
      </c>
      <c r="F19" s="93">
        <v>55.01468414535422</v>
      </c>
    </row>
    <row r="20" spans="1:6" ht="12.75">
      <c r="A20" s="12" t="s">
        <v>843</v>
      </c>
      <c r="B20" s="13">
        <v>70788.59159998281</v>
      </c>
      <c r="C20" s="306">
        <v>2875</v>
      </c>
      <c r="D20" s="14">
        <v>13.575000000000003</v>
      </c>
      <c r="E20" s="93">
        <v>239.9569431525959</v>
      </c>
      <c r="F20" s="93">
        <v>56.13702186742124</v>
      </c>
    </row>
    <row r="21" spans="1:6" ht="12.75">
      <c r="A21" s="12" t="s">
        <v>844</v>
      </c>
      <c r="B21" s="13">
        <v>71424.53168700833</v>
      </c>
      <c r="C21" s="306">
        <v>3200</v>
      </c>
      <c r="D21" s="14">
        <v>14.875000000000002</v>
      </c>
      <c r="E21" s="93">
        <v>268.0634224489489</v>
      </c>
      <c r="F21" s="93">
        <v>57.760456804364594</v>
      </c>
    </row>
    <row r="22" spans="1:6" ht="12.75">
      <c r="A22" s="12" t="s">
        <v>845</v>
      </c>
      <c r="B22" s="13">
        <v>76106.92124219936</v>
      </c>
      <c r="C22" s="306">
        <v>4265</v>
      </c>
      <c r="D22" s="14">
        <v>22.400000000000006</v>
      </c>
      <c r="E22" s="93">
        <v>321.0999999999999</v>
      </c>
      <c r="F22" s="93">
        <v>65.22818662950552</v>
      </c>
    </row>
    <row r="25" spans="1:6" ht="12.75">
      <c r="A25" s="319"/>
      <c r="B25" s="320"/>
      <c r="C25" s="320"/>
      <c r="D25" s="320"/>
      <c r="E25" s="320"/>
      <c r="F25" s="320"/>
    </row>
    <row r="26" spans="1:6" s="7" customFormat="1" ht="12.75">
      <c r="A26" s="15"/>
      <c r="B26" s="15"/>
      <c r="C26" s="15"/>
      <c r="D26" s="15"/>
      <c r="E26" s="15"/>
      <c r="F26" s="15"/>
    </row>
    <row r="27" spans="1:5" ht="12.75">
      <c r="A27" s="321" t="s">
        <v>416</v>
      </c>
      <c r="C27" s="7"/>
      <c r="E27" s="7"/>
    </row>
    <row r="28" spans="1:3" ht="12.75">
      <c r="A28" s="10" t="s">
        <v>415</v>
      </c>
      <c r="B28" s="322" t="s">
        <v>417</v>
      </c>
      <c r="C28" s="322" t="s">
        <v>418</v>
      </c>
    </row>
    <row r="29" spans="1:3" ht="12.75">
      <c r="A29" t="s">
        <v>419</v>
      </c>
      <c r="B29" s="324">
        <v>0.242723763837817</v>
      </c>
      <c r="C29">
        <v>0.548039609636396</v>
      </c>
    </row>
    <row r="30" spans="1:3" ht="12.75">
      <c r="A30" t="s">
        <v>771</v>
      </c>
      <c r="B30" s="324">
        <v>0.108951533886689</v>
      </c>
      <c r="C30">
        <v>0.367174467563745</v>
      </c>
    </row>
    <row r="31" spans="1:3" ht="12.75">
      <c r="A31" t="s">
        <v>962</v>
      </c>
      <c r="B31" s="324">
        <v>0.102925930371734</v>
      </c>
      <c r="C31">
        <v>0.356876704636767</v>
      </c>
    </row>
    <row r="32" spans="1:3" ht="12.75">
      <c r="A32" t="s">
        <v>776</v>
      </c>
      <c r="B32" s="324">
        <v>0.0417985290544096</v>
      </c>
      <c r="C32">
        <v>0.22742400256224</v>
      </c>
    </row>
    <row r="33" spans="1:3" ht="12.75">
      <c r="A33" t="s">
        <v>425</v>
      </c>
      <c r="B33" s="324">
        <v>0.0371106822329552</v>
      </c>
      <c r="C33">
        <v>0.214291659714917</v>
      </c>
    </row>
    <row r="34" spans="1:3" ht="12.75">
      <c r="A34" t="s">
        <v>423</v>
      </c>
      <c r="B34" s="324">
        <v>0.0364828377109074</v>
      </c>
      <c r="C34">
        <v>0.212471216760712</v>
      </c>
    </row>
    <row r="35" spans="1:3" ht="12.75">
      <c r="A35" t="s">
        <v>420</v>
      </c>
      <c r="B35" s="324">
        <v>0.0356733125401052</v>
      </c>
      <c r="C35">
        <v>0.210100709365007</v>
      </c>
    </row>
    <row r="36" spans="1:3" ht="12.75">
      <c r="A36" t="s">
        <v>424</v>
      </c>
      <c r="B36" s="324">
        <v>0.0350763134675605</v>
      </c>
      <c r="C36">
        <v>0.208335256003353</v>
      </c>
    </row>
    <row r="37" spans="1:3" ht="12.75">
      <c r="A37" t="s">
        <v>422</v>
      </c>
      <c r="B37" s="324">
        <v>0.0342336668344493</v>
      </c>
      <c r="C37">
        <v>0.205817599782176</v>
      </c>
    </row>
    <row r="38" spans="1:3" ht="12.75">
      <c r="A38" t="s">
        <v>421</v>
      </c>
      <c r="B38" s="324">
        <v>0.0327562097681094</v>
      </c>
      <c r="C38">
        <v>0.201327277701273</v>
      </c>
    </row>
    <row r="39" spans="1:3" ht="12.75">
      <c r="A39" t="s">
        <v>740</v>
      </c>
      <c r="B39" s="324">
        <v>0.0310424817275242</v>
      </c>
      <c r="C39">
        <v>0.1959900467079</v>
      </c>
    </row>
    <row r="40" spans="1:3" ht="12.75">
      <c r="A40" t="s">
        <v>772</v>
      </c>
      <c r="B40" s="324">
        <v>0.0253768282949494</v>
      </c>
      <c r="C40">
        <v>0.177204387212044</v>
      </c>
    </row>
    <row r="41" spans="1:3" ht="12.75">
      <c r="A41" t="s">
        <v>427</v>
      </c>
      <c r="B41" s="324">
        <v>0.0218724753049532</v>
      </c>
      <c r="C41">
        <v>0.164514721561147</v>
      </c>
    </row>
    <row r="42" spans="1:3" ht="12.75">
      <c r="A42" t="s">
        <v>426</v>
      </c>
      <c r="B42" s="324">
        <v>0.0217481989882924</v>
      </c>
      <c r="C42">
        <v>0.164046681068467</v>
      </c>
    </row>
    <row r="43" spans="1:3" ht="12.75">
      <c r="A43" t="s">
        <v>897</v>
      </c>
      <c r="B43" s="324">
        <v>0.0211439317516047</v>
      </c>
      <c r="C43">
        <v>0.161751632853516</v>
      </c>
    </row>
    <row r="44" spans="1:3" ht="12.75">
      <c r="A44" t="s">
        <v>429</v>
      </c>
      <c r="B44" s="324">
        <v>0.0201229551663696</v>
      </c>
      <c r="C44">
        <v>0.157798067093981</v>
      </c>
    </row>
    <row r="45" spans="1:3" ht="12.75">
      <c r="A45" t="s">
        <v>430</v>
      </c>
      <c r="B45" s="324">
        <v>0.0199598853768262</v>
      </c>
      <c r="C45">
        <v>0.157157394767574</v>
      </c>
    </row>
    <row r="46" spans="1:3" ht="12.75">
      <c r="A46" t="s">
        <v>428</v>
      </c>
      <c r="B46" s="324">
        <v>0.0178241345773366</v>
      </c>
      <c r="C46">
        <v>0.148511479833115</v>
      </c>
    </row>
    <row r="47" spans="1:3" ht="12.75">
      <c r="A47" t="s">
        <v>485</v>
      </c>
      <c r="B47" s="324">
        <v>0.0137580345910501</v>
      </c>
      <c r="C47">
        <v>0.13047701058877</v>
      </c>
    </row>
    <row r="48" spans="1:2" ht="12.75">
      <c r="A48" t="s">
        <v>431</v>
      </c>
      <c r="B48" s="324">
        <v>0.0994182945163565</v>
      </c>
    </row>
    <row r="49" spans="1:6" ht="12.75">
      <c r="A49" s="12"/>
      <c r="F49" s="11"/>
    </row>
    <row r="50" spans="1:6" ht="12.75">
      <c r="A50" s="12"/>
      <c r="B50" s="7"/>
      <c r="F50" s="11"/>
    </row>
    <row r="51" spans="1:6" ht="12.75">
      <c r="A51" s="321" t="s">
        <v>432</v>
      </c>
      <c r="B51" s="7"/>
      <c r="C51" s="7"/>
      <c r="F51" s="11"/>
    </row>
    <row r="52" spans="1:6" ht="12.75">
      <c r="A52" s="10" t="s">
        <v>415</v>
      </c>
      <c r="B52" s="322" t="s">
        <v>417</v>
      </c>
      <c r="C52" s="322" t="s">
        <v>418</v>
      </c>
      <c r="F52" s="11"/>
    </row>
    <row r="53" spans="1:6" ht="12.75">
      <c r="A53" t="s">
        <v>49</v>
      </c>
      <c r="B53" s="324">
        <v>0.318217571329823</v>
      </c>
      <c r="C53">
        <v>-0.554938089189801</v>
      </c>
      <c r="F53" s="339"/>
    </row>
    <row r="54" spans="1:6" ht="12.75">
      <c r="A54" t="s">
        <v>17</v>
      </c>
      <c r="B54" s="324">
        <v>0.291208957150267</v>
      </c>
      <c r="C54">
        <v>-0.530865889109526</v>
      </c>
      <c r="F54" s="11"/>
    </row>
    <row r="55" spans="1:6" ht="12.75">
      <c r="A55" t="s">
        <v>331</v>
      </c>
      <c r="B55" s="324">
        <v>0.16659758589668</v>
      </c>
      <c r="C55">
        <v>0.40152889901546</v>
      </c>
      <c r="F55" s="11"/>
    </row>
    <row r="56" spans="1:6" ht="12.75">
      <c r="A56" t="s">
        <v>43</v>
      </c>
      <c r="B56" s="324">
        <v>0.0606089386781903</v>
      </c>
      <c r="C56">
        <v>0.242186982163651</v>
      </c>
      <c r="F56" s="11"/>
    </row>
    <row r="57" spans="1:6" ht="12.75">
      <c r="A57" t="s">
        <v>37</v>
      </c>
      <c r="B57" s="324">
        <v>0.033987434621982</v>
      </c>
      <c r="C57">
        <v>0.181360059086614</v>
      </c>
      <c r="F57" s="11"/>
    </row>
    <row r="58" spans="1:6" ht="12.75">
      <c r="A58" t="s">
        <v>433</v>
      </c>
      <c r="B58" s="324">
        <v>0.0329625718487419</v>
      </c>
      <c r="C58">
        <v>0.178604748334359</v>
      </c>
      <c r="F58" s="11"/>
    </row>
    <row r="59" spans="1:6" ht="12.75">
      <c r="A59" t="s">
        <v>167</v>
      </c>
      <c r="B59" s="324">
        <v>0.0228782362136819</v>
      </c>
      <c r="C59">
        <v>0.148796846054181</v>
      </c>
      <c r="F59" s="11"/>
    </row>
    <row r="60" spans="1:6" ht="12.75">
      <c r="A60" t="s">
        <v>180</v>
      </c>
      <c r="B60" s="324">
        <v>0.014692847573789</v>
      </c>
      <c r="C60">
        <v>0.119243699822811</v>
      </c>
      <c r="F60" s="11"/>
    </row>
    <row r="61" spans="1:6" ht="12.75">
      <c r="A61" t="s">
        <v>30</v>
      </c>
      <c r="B61" s="324">
        <v>0.0104557685849946</v>
      </c>
      <c r="C61">
        <v>0.100591303812877</v>
      </c>
      <c r="D61" s="11"/>
      <c r="E61" s="11"/>
      <c r="F61" s="11"/>
    </row>
    <row r="62" spans="1:6" ht="12.75">
      <c r="A62" s="12" t="s">
        <v>431</v>
      </c>
      <c r="B62" s="324">
        <v>0.0483900881018507</v>
      </c>
      <c r="C62" s="11"/>
      <c r="D62" s="11"/>
      <c r="E62" s="11"/>
      <c r="F62" s="11"/>
    </row>
    <row r="63" spans="1:6" ht="12.75">
      <c r="A63" s="12"/>
      <c r="B63" s="11"/>
      <c r="C63" s="11"/>
      <c r="D63" s="11"/>
      <c r="E63" s="11"/>
      <c r="F63" s="11"/>
    </row>
    <row r="64" spans="1:6" ht="12.75">
      <c r="A64" s="12"/>
      <c r="B64" s="11"/>
      <c r="C64" s="11"/>
      <c r="D64" s="11"/>
      <c r="E64" s="11"/>
      <c r="F64" s="11"/>
    </row>
    <row r="65" spans="1:6" ht="12.75">
      <c r="A65" s="12"/>
      <c r="B65" s="11"/>
      <c r="C65" s="11"/>
      <c r="D65" s="11"/>
      <c r="E65" s="11"/>
      <c r="F65" s="11"/>
    </row>
    <row r="66" spans="1:6" ht="12.75">
      <c r="A66" s="12"/>
      <c r="B66" s="11"/>
      <c r="C66" s="11"/>
      <c r="D66" s="11"/>
      <c r="E66" s="11"/>
      <c r="F66" s="11"/>
    </row>
    <row r="67" spans="1:6" ht="12.75">
      <c r="A67" s="12"/>
      <c r="B67" s="11"/>
      <c r="C67" s="11"/>
      <c r="D67" s="11"/>
      <c r="E67" s="11"/>
      <c r="F67" s="11"/>
    </row>
    <row r="68" spans="1:6" ht="12.75">
      <c r="A68" s="12"/>
      <c r="B68" s="11"/>
      <c r="C68" s="11"/>
      <c r="D68" s="11"/>
      <c r="E68" s="11"/>
      <c r="F68" s="11"/>
    </row>
    <row r="69" spans="1:6" ht="12.75">
      <c r="A69" s="12"/>
      <c r="B69" s="11"/>
      <c r="C69" s="11"/>
      <c r="D69" s="11"/>
      <c r="E69" s="11"/>
      <c r="F69" s="11"/>
    </row>
    <row r="70" spans="1:6" ht="12.75">
      <c r="A70" s="12"/>
      <c r="B70" s="11"/>
      <c r="C70" s="11"/>
      <c r="D70" s="11"/>
      <c r="E70" s="11"/>
      <c r="F70" s="11"/>
    </row>
    <row r="71" spans="1:6" ht="12.75">
      <c r="A71" s="12"/>
      <c r="B71" s="11"/>
      <c r="C71" s="11"/>
      <c r="D71" s="11"/>
      <c r="E71" s="11"/>
      <c r="F71" s="11"/>
    </row>
    <row r="72" spans="1:6" ht="12.75">
      <c r="A72" s="12"/>
      <c r="B72" s="11"/>
      <c r="C72" s="11"/>
      <c r="D72" s="11"/>
      <c r="E72" s="11"/>
      <c r="F72" s="11"/>
    </row>
    <row r="73" spans="1:6" ht="12.75">
      <c r="A73" s="12"/>
      <c r="B73" s="11"/>
      <c r="C73" s="11"/>
      <c r="D73" s="11"/>
      <c r="E73" s="11"/>
      <c r="F73" s="11"/>
    </row>
    <row r="74" spans="1:6" ht="12.75">
      <c r="A74" s="12"/>
      <c r="B74" s="11"/>
      <c r="C74" s="11"/>
      <c r="D74" s="11"/>
      <c r="E74" s="11"/>
      <c r="F74" s="11"/>
    </row>
    <row r="75" spans="1:6" ht="12.75">
      <c r="A75" s="12"/>
      <c r="B75" s="11"/>
      <c r="C75" s="11"/>
      <c r="D75" s="11"/>
      <c r="E75" s="11"/>
      <c r="F75" s="11"/>
    </row>
    <row r="76" spans="1:6" ht="12.75">
      <c r="A76" s="12"/>
      <c r="B76" s="11"/>
      <c r="C76" s="11"/>
      <c r="D76" s="11"/>
      <c r="E76" s="11"/>
      <c r="F76" s="11"/>
    </row>
    <row r="77" spans="1:6" ht="12.75">
      <c r="A77" s="12"/>
      <c r="B77" s="11"/>
      <c r="C77" s="11"/>
      <c r="D77" s="11"/>
      <c r="E77" s="11"/>
      <c r="F77" s="11"/>
    </row>
    <row r="78" spans="1:6" ht="12.75">
      <c r="A78" s="12"/>
      <c r="B78" s="11"/>
      <c r="C78" s="11"/>
      <c r="D78" s="11"/>
      <c r="E78" s="11"/>
      <c r="F78" s="11"/>
    </row>
    <row r="79" spans="1:6" ht="12.75">
      <c r="A79" s="12"/>
      <c r="B79" s="11"/>
      <c r="C79" s="11"/>
      <c r="D79" s="11"/>
      <c r="E79" s="11"/>
      <c r="F79" s="11"/>
    </row>
    <row r="80" spans="1:6" ht="12.75">
      <c r="A80" s="12"/>
      <c r="B80" s="11"/>
      <c r="C80" s="11"/>
      <c r="D80" s="11"/>
      <c r="E80" s="11"/>
      <c r="F80" s="11"/>
    </row>
    <row r="81" spans="1:6" ht="12.75">
      <c r="A81" s="12"/>
      <c r="B81" s="11"/>
      <c r="C81" s="11"/>
      <c r="D81" s="11"/>
      <c r="E81" s="11"/>
      <c r="F81" s="11"/>
    </row>
    <row r="82" spans="1:6" ht="12.75">
      <c r="A82" s="12"/>
      <c r="B82" s="11"/>
      <c r="C82" s="11"/>
      <c r="D82" s="11"/>
      <c r="E82" s="11"/>
      <c r="F82" s="11"/>
    </row>
    <row r="83" spans="1:6" ht="12.75">
      <c r="A83" s="12"/>
      <c r="B83" s="11"/>
      <c r="C83" s="11"/>
      <c r="D83" s="11"/>
      <c r="E83" s="11"/>
      <c r="F83" s="11"/>
    </row>
    <row r="84" spans="1:6" ht="12.75">
      <c r="A84" s="12"/>
      <c r="B84" s="11"/>
      <c r="C84" s="11"/>
      <c r="D84" s="11"/>
      <c r="E84" s="11"/>
      <c r="F84" s="11"/>
    </row>
    <row r="85" spans="1:6" ht="12.75">
      <c r="A85" s="12"/>
      <c r="B85" s="11"/>
      <c r="C85" s="11"/>
      <c r="D85" s="11"/>
      <c r="E85" s="11"/>
      <c r="F85" s="11"/>
    </row>
    <row r="86" spans="1:6" ht="12.75">
      <c r="A86" s="12"/>
      <c r="B86" s="11"/>
      <c r="C86" s="11"/>
      <c r="D86" s="11"/>
      <c r="E86" s="11"/>
      <c r="F86" s="11"/>
    </row>
    <row r="87" spans="1:6" ht="12.75">
      <c r="A87" s="12"/>
      <c r="B87" s="11"/>
      <c r="C87" s="11"/>
      <c r="D87" s="11"/>
      <c r="E87" s="11"/>
      <c r="F87" s="11"/>
    </row>
    <row r="88" spans="1:6" ht="12.75">
      <c r="A88" s="12"/>
      <c r="B88" s="11"/>
      <c r="C88" s="11"/>
      <c r="D88" s="11"/>
      <c r="E88" s="11"/>
      <c r="F88" s="11"/>
    </row>
    <row r="89" spans="1:6" ht="12.75">
      <c r="A89" s="12"/>
      <c r="B89" s="11"/>
      <c r="C89" s="11"/>
      <c r="D89" s="11"/>
      <c r="E89" s="11"/>
      <c r="F89" s="11"/>
    </row>
    <row r="90" spans="1:6" ht="12.75">
      <c r="A90" s="12"/>
      <c r="B90" s="11"/>
      <c r="C90" s="11"/>
      <c r="D90" s="11"/>
      <c r="E90" s="11"/>
      <c r="F90" s="11"/>
    </row>
    <row r="91" spans="1:6" ht="12.75">
      <c r="A91" s="12"/>
      <c r="B91" s="11"/>
      <c r="C91" s="11"/>
      <c r="D91" s="11"/>
      <c r="E91" s="11"/>
      <c r="F91" s="11"/>
    </row>
    <row r="92" spans="1:6" ht="12.75">
      <c r="A92" s="12"/>
      <c r="B92" s="11"/>
      <c r="C92" s="11"/>
      <c r="D92" s="11"/>
      <c r="E92" s="11"/>
      <c r="F92" s="11"/>
    </row>
    <row r="93" spans="1:6" ht="12.75">
      <c r="A93" s="12"/>
      <c r="B93" s="11"/>
      <c r="C93" s="11"/>
      <c r="D93" s="11"/>
      <c r="E93" s="11"/>
      <c r="F93" s="11"/>
    </row>
    <row r="94" spans="1:6" ht="12.75">
      <c r="A94" s="12"/>
      <c r="B94" s="11"/>
      <c r="C94" s="11"/>
      <c r="D94" s="11"/>
      <c r="E94" s="11"/>
      <c r="F94" s="11"/>
    </row>
    <row r="95" spans="1:6" ht="12.75">
      <c r="A95" s="12"/>
      <c r="B95" s="11"/>
      <c r="C95" s="11"/>
      <c r="D95" s="11"/>
      <c r="E95" s="11"/>
      <c r="F95" s="11"/>
    </row>
    <row r="96" spans="1:6" ht="12.75">
      <c r="A96" s="12"/>
      <c r="B96" s="11"/>
      <c r="C96" s="11"/>
      <c r="D96" s="11"/>
      <c r="E96" s="11"/>
      <c r="F96" s="11"/>
    </row>
    <row r="97" spans="1:6" ht="12.75">
      <c r="A97" s="12"/>
      <c r="B97" s="11"/>
      <c r="C97" s="11"/>
      <c r="D97" s="11"/>
      <c r="E97" s="11"/>
      <c r="F97" s="11"/>
    </row>
    <row r="98" spans="1:6" ht="12.75">
      <c r="A98" s="12"/>
      <c r="B98" s="11"/>
      <c r="C98" s="11"/>
      <c r="D98" s="11"/>
      <c r="E98" s="11"/>
      <c r="F98" s="11"/>
    </row>
    <row r="99" spans="1:6" ht="12.75">
      <c r="A99" s="12"/>
      <c r="B99" s="11"/>
      <c r="C99" s="11"/>
      <c r="D99" s="11"/>
      <c r="E99" s="11"/>
      <c r="F99" s="11"/>
    </row>
    <row r="100" spans="1:6" ht="12.75">
      <c r="A100" s="12"/>
      <c r="B100" s="11"/>
      <c r="C100" s="11"/>
      <c r="D100" s="11"/>
      <c r="E100" s="11"/>
      <c r="F100" s="11"/>
    </row>
    <row r="101" spans="1:6" ht="12.75">
      <c r="A101" s="12"/>
      <c r="B101" s="11"/>
      <c r="C101" s="11"/>
      <c r="D101" s="11"/>
      <c r="E101" s="11"/>
      <c r="F101" s="11"/>
    </row>
    <row r="102" spans="1:6" ht="12.75">
      <c r="A102" s="12"/>
      <c r="B102" s="11"/>
      <c r="C102" s="11"/>
      <c r="D102" s="11"/>
      <c r="E102" s="11"/>
      <c r="F102" s="11"/>
    </row>
    <row r="103" spans="1:6" ht="12.75">
      <c r="A103" s="12"/>
      <c r="B103" s="11"/>
      <c r="C103" s="11"/>
      <c r="D103" s="11"/>
      <c r="E103" s="11"/>
      <c r="F103" s="11"/>
    </row>
    <row r="104" spans="1:6" ht="12.75">
      <c r="A104" s="12"/>
      <c r="B104" s="11"/>
      <c r="C104" s="11"/>
      <c r="D104" s="11"/>
      <c r="E104" s="11"/>
      <c r="F104" s="11"/>
    </row>
    <row r="105" spans="1:6" ht="12.75">
      <c r="A105" s="12"/>
      <c r="B105" s="11"/>
      <c r="C105" s="11"/>
      <c r="D105" s="11"/>
      <c r="E105" s="11"/>
      <c r="F105" s="11"/>
    </row>
    <row r="106" spans="1:6" ht="12.75">
      <c r="A106" s="12"/>
      <c r="B106" s="11"/>
      <c r="C106" s="11"/>
      <c r="D106" s="11"/>
      <c r="E106" s="11"/>
      <c r="F106" s="11"/>
    </row>
    <row r="107" spans="1:6" ht="12.75">
      <c r="A107" s="12"/>
      <c r="B107" s="11"/>
      <c r="C107" s="11"/>
      <c r="D107" s="11"/>
      <c r="E107" s="11"/>
      <c r="F107" s="11"/>
    </row>
    <row r="108" spans="1:6" ht="12.75">
      <c r="A108" s="12"/>
      <c r="B108" s="11"/>
      <c r="C108" s="11"/>
      <c r="D108" s="11"/>
      <c r="E108" s="11"/>
      <c r="F108" s="11"/>
    </row>
    <row r="109" spans="1:6" ht="12.75">
      <c r="A109" s="12"/>
      <c r="B109" s="11"/>
      <c r="C109" s="11"/>
      <c r="D109" s="11"/>
      <c r="E109" s="11"/>
      <c r="F109" s="11"/>
    </row>
    <row r="110" spans="1:6" ht="12.75">
      <c r="A110" s="12"/>
      <c r="B110" s="11"/>
      <c r="C110" s="11"/>
      <c r="D110" s="11"/>
      <c r="E110" s="11"/>
      <c r="F110" s="11"/>
    </row>
    <row r="111" spans="1:6" ht="12.75">
      <c r="A111" s="12"/>
      <c r="B111" s="11"/>
      <c r="C111" s="11"/>
      <c r="D111" s="11"/>
      <c r="E111" s="11"/>
      <c r="F111" s="11"/>
    </row>
    <row r="112" spans="1:6" ht="12.75">
      <c r="A112" s="12"/>
      <c r="B112" s="11"/>
      <c r="C112" s="11"/>
      <c r="D112" s="11"/>
      <c r="E112" s="11"/>
      <c r="F112" s="11"/>
    </row>
    <row r="113" spans="1:6" ht="12.75">
      <c r="A113" s="12"/>
      <c r="B113" s="11"/>
      <c r="C113" s="11"/>
      <c r="D113" s="11"/>
      <c r="E113" s="11"/>
      <c r="F113" s="11"/>
    </row>
    <row r="114" spans="1:6" ht="12.75">
      <c r="A114" s="12"/>
      <c r="B114" s="11"/>
      <c r="C114" s="11"/>
      <c r="D114" s="11"/>
      <c r="E114" s="11"/>
      <c r="F114" s="11"/>
    </row>
    <row r="115" spans="1:6" ht="12.75">
      <c r="A115" s="12"/>
      <c r="B115" s="11"/>
      <c r="C115" s="11"/>
      <c r="D115" s="11"/>
      <c r="E115" s="11"/>
      <c r="F115" s="11"/>
    </row>
    <row r="116" spans="1:6" ht="12.75">
      <c r="A116" s="12"/>
      <c r="B116" s="11"/>
      <c r="C116" s="11"/>
      <c r="D116" s="11"/>
      <c r="E116" s="11"/>
      <c r="F116" s="11"/>
    </row>
    <row r="117" spans="1:6" ht="12.75">
      <c r="A117" s="12"/>
      <c r="B117" s="11"/>
      <c r="C117" s="11"/>
      <c r="D117" s="11"/>
      <c r="E117" s="11"/>
      <c r="F117" s="11"/>
    </row>
    <row r="118" spans="1:6" ht="12.75">
      <c r="A118" s="12"/>
      <c r="B118" s="11"/>
      <c r="C118" s="11"/>
      <c r="D118" s="11"/>
      <c r="E118" s="11"/>
      <c r="F118" s="11"/>
    </row>
    <row r="119" spans="1:6" ht="12.75">
      <c r="A119" s="12"/>
      <c r="B119" s="11"/>
      <c r="C119" s="11"/>
      <c r="D119" s="11"/>
      <c r="E119" s="11"/>
      <c r="F119" s="11"/>
    </row>
    <row r="120" spans="1:6" ht="12.75">
      <c r="A120" s="12"/>
      <c r="B120" s="11"/>
      <c r="C120" s="11"/>
      <c r="D120" s="11"/>
      <c r="E120" s="11"/>
      <c r="F120" s="11"/>
    </row>
    <row r="121" spans="1:6" ht="12.75">
      <c r="A121" s="12"/>
      <c r="B121" s="11"/>
      <c r="C121" s="11"/>
      <c r="D121" s="11"/>
      <c r="E121" s="11"/>
      <c r="F121" s="11"/>
    </row>
    <row r="122" spans="1:6" ht="12.75">
      <c r="A122" s="12"/>
      <c r="B122" s="11"/>
      <c r="C122" s="11"/>
      <c r="D122" s="11"/>
      <c r="E122" s="11"/>
      <c r="F122" s="11"/>
    </row>
    <row r="123" spans="1:6" ht="12.75">
      <c r="A123" s="12"/>
      <c r="B123" s="11"/>
      <c r="C123" s="11"/>
      <c r="D123" s="11"/>
      <c r="E123" s="11"/>
      <c r="F123" s="11"/>
    </row>
    <row r="124" spans="1:6" ht="12.75">
      <c r="A124" s="12"/>
      <c r="B124" s="11"/>
      <c r="C124" s="11"/>
      <c r="D124" s="11"/>
      <c r="E124" s="11"/>
      <c r="F124" s="11"/>
    </row>
    <row r="125" spans="1:6" ht="12.75">
      <c r="A125" s="12"/>
      <c r="B125" s="11"/>
      <c r="C125" s="11"/>
      <c r="D125" s="11"/>
      <c r="E125" s="11"/>
      <c r="F125" s="11"/>
    </row>
    <row r="126" spans="1:6" ht="12.75">
      <c r="A126" s="12"/>
      <c r="B126" s="11"/>
      <c r="C126" s="11"/>
      <c r="D126" s="11"/>
      <c r="E126" s="11"/>
      <c r="F126" s="11"/>
    </row>
    <row r="127" spans="1:6" ht="12.75">
      <c r="A127" s="12"/>
      <c r="B127" s="11"/>
      <c r="C127" s="11"/>
      <c r="D127" s="11"/>
      <c r="E127" s="11"/>
      <c r="F127" s="11"/>
    </row>
    <row r="128" spans="1:6" ht="12.75">
      <c r="A128" s="12"/>
      <c r="B128" s="11"/>
      <c r="C128" s="11"/>
      <c r="D128" s="11"/>
      <c r="E128" s="11"/>
      <c r="F128" s="11"/>
    </row>
    <row r="129" spans="1:6" ht="12.75">
      <c r="A129" s="12"/>
      <c r="B129" s="11"/>
      <c r="C129" s="11"/>
      <c r="D129" s="11"/>
      <c r="E129" s="11"/>
      <c r="F129" s="11"/>
    </row>
    <row r="130" spans="1:6" ht="12.75">
      <c r="A130" s="12"/>
      <c r="B130" s="11"/>
      <c r="C130" s="11"/>
      <c r="D130" s="11"/>
      <c r="E130" s="11"/>
      <c r="F130" s="11"/>
    </row>
    <row r="131" spans="1:6" ht="12.75">
      <c r="A131" s="12"/>
      <c r="B131" s="11"/>
      <c r="C131" s="11"/>
      <c r="D131" s="11"/>
      <c r="E131" s="11"/>
      <c r="F131" s="11"/>
    </row>
    <row r="132" spans="1:6" ht="12.75">
      <c r="A132" s="12"/>
      <c r="B132" s="11"/>
      <c r="C132" s="11"/>
      <c r="D132" s="11"/>
      <c r="E132" s="11"/>
      <c r="F132" s="11"/>
    </row>
    <row r="133" spans="1:6" ht="12.75">
      <c r="A133" s="12"/>
      <c r="B133" s="11"/>
      <c r="C133" s="11"/>
      <c r="D133" s="11"/>
      <c r="E133" s="11"/>
      <c r="F133" s="11"/>
    </row>
    <row r="134" spans="1:6" ht="12.75">
      <c r="A134" s="12"/>
      <c r="B134" s="11"/>
      <c r="C134" s="11"/>
      <c r="D134" s="11"/>
      <c r="E134" s="11"/>
      <c r="F134" s="11"/>
    </row>
    <row r="135" spans="1:6" ht="12.75">
      <c r="A135" s="12"/>
      <c r="B135" s="11"/>
      <c r="C135" s="11"/>
      <c r="D135" s="11"/>
      <c r="E135" s="11"/>
      <c r="F135" s="11"/>
    </row>
    <row r="136" spans="1:6" ht="12.75">
      <c r="A136" s="12"/>
      <c r="B136" s="11"/>
      <c r="C136" s="11"/>
      <c r="D136" s="11"/>
      <c r="E136" s="11"/>
      <c r="F136" s="11"/>
    </row>
    <row r="137" spans="1:6" ht="12.75">
      <c r="A137" s="12"/>
      <c r="B137" s="11"/>
      <c r="C137" s="11"/>
      <c r="D137" s="11"/>
      <c r="E137" s="11"/>
      <c r="F137" s="11"/>
    </row>
    <row r="138" spans="1:6" ht="12.75">
      <c r="A138" s="12"/>
      <c r="B138" s="11"/>
      <c r="C138" s="11"/>
      <c r="D138" s="11"/>
      <c r="E138" s="11"/>
      <c r="F138" s="11"/>
    </row>
    <row r="139" spans="1:6" ht="12.75">
      <c r="A139" s="12"/>
      <c r="B139" s="11"/>
      <c r="C139" s="11"/>
      <c r="D139" s="11"/>
      <c r="E139" s="11"/>
      <c r="F139" s="11"/>
    </row>
    <row r="140" spans="1:6" ht="12.75">
      <c r="A140" s="12"/>
      <c r="B140" s="11"/>
      <c r="C140" s="11"/>
      <c r="D140" s="11"/>
      <c r="E140" s="11"/>
      <c r="F140" s="11"/>
    </row>
    <row r="141" spans="1:6" ht="12.75">
      <c r="A141" s="12"/>
      <c r="B141" s="11"/>
      <c r="C141" s="11"/>
      <c r="D141" s="11"/>
      <c r="E141" s="11"/>
      <c r="F141" s="11"/>
    </row>
    <row r="142" spans="1:6" ht="12.75">
      <c r="A142" s="12"/>
      <c r="B142" s="11"/>
      <c r="C142" s="11"/>
      <c r="D142" s="11"/>
      <c r="E142" s="11"/>
      <c r="F142" s="11"/>
    </row>
    <row r="143" spans="1:6" ht="12.75">
      <c r="A143" s="12"/>
      <c r="B143" s="11"/>
      <c r="C143" s="11"/>
      <c r="D143" s="11"/>
      <c r="E143" s="11"/>
      <c r="F143" s="11"/>
    </row>
    <row r="144" spans="1:6" ht="12.75">
      <c r="A144" s="12"/>
      <c r="B144" s="11"/>
      <c r="C144" s="11"/>
      <c r="D144" s="11"/>
      <c r="E144" s="11"/>
      <c r="F144" s="11"/>
    </row>
    <row r="145" spans="1:6" ht="12.75">
      <c r="A145" s="12"/>
      <c r="B145" s="11"/>
      <c r="C145" s="11"/>
      <c r="D145" s="11"/>
      <c r="E145" s="11"/>
      <c r="F145" s="11"/>
    </row>
    <row r="146" spans="1:6" ht="12.75">
      <c r="A146" s="12"/>
      <c r="B146" s="11"/>
      <c r="C146" s="11"/>
      <c r="D146" s="11"/>
      <c r="E146" s="11"/>
      <c r="F146" s="11"/>
    </row>
    <row r="147" spans="1:6" ht="12.75">
      <c r="A147" s="12"/>
      <c r="B147" s="11"/>
      <c r="C147" s="11"/>
      <c r="D147" s="11"/>
      <c r="E147" s="11"/>
      <c r="F147" s="11"/>
    </row>
    <row r="148" spans="1:6" ht="12.75">
      <c r="A148" s="12"/>
      <c r="B148" s="11"/>
      <c r="C148" s="11"/>
      <c r="D148" s="11"/>
      <c r="E148" s="11"/>
      <c r="F148" s="11"/>
    </row>
    <row r="149" spans="1:6" ht="12.75">
      <c r="A149" s="318"/>
      <c r="B149" s="11"/>
      <c r="C149" s="11"/>
      <c r="D149" s="11"/>
      <c r="E149" s="11"/>
      <c r="F149" s="11"/>
    </row>
    <row r="150" spans="1:6" ht="12.75">
      <c r="A150" s="12"/>
      <c r="B150" s="11"/>
      <c r="C150" s="11"/>
      <c r="D150" s="11"/>
      <c r="E150" s="11"/>
      <c r="F150" s="11"/>
    </row>
    <row r="151" spans="1:6" ht="12.75">
      <c r="A151" s="12"/>
      <c r="B151" s="11"/>
      <c r="C151" s="11"/>
      <c r="D151" s="11"/>
      <c r="E151" s="11"/>
      <c r="F151" s="11"/>
    </row>
    <row r="152" spans="1:6" ht="12.75">
      <c r="A152" s="12"/>
      <c r="B152" s="11"/>
      <c r="C152" s="11"/>
      <c r="D152" s="11"/>
      <c r="E152" s="11"/>
      <c r="F152" s="11"/>
    </row>
    <row r="153" spans="1:6" ht="12.75">
      <c r="A153" s="12"/>
      <c r="B153" s="11"/>
      <c r="C153" s="11"/>
      <c r="D153" s="11"/>
      <c r="E153" s="11"/>
      <c r="F153" s="11"/>
    </row>
    <row r="154" spans="1:6" ht="12.75">
      <c r="A154" s="12"/>
      <c r="B154" s="11"/>
      <c r="C154" s="11"/>
      <c r="D154" s="11"/>
      <c r="E154" s="11"/>
      <c r="F154" s="11"/>
    </row>
    <row r="155" spans="1:6" ht="12.75">
      <c r="A155" s="12"/>
      <c r="B155" s="11"/>
      <c r="C155" s="11"/>
      <c r="D155" s="11"/>
      <c r="E155" s="11"/>
      <c r="F155" s="11"/>
    </row>
    <row r="156" spans="1:6" ht="12.75">
      <c r="A156" s="12"/>
      <c r="B156" s="11"/>
      <c r="C156" s="11"/>
      <c r="D156" s="11"/>
      <c r="E156" s="11"/>
      <c r="F156" s="11"/>
    </row>
    <row r="157" spans="1:6" ht="12.75">
      <c r="A157" s="12"/>
      <c r="B157" s="11"/>
      <c r="C157" s="11"/>
      <c r="D157" s="11"/>
      <c r="E157" s="11"/>
      <c r="F157" s="11"/>
    </row>
    <row r="158" spans="1:6" ht="12.75">
      <c r="A158" s="12"/>
      <c r="B158" s="11"/>
      <c r="C158" s="11"/>
      <c r="D158" s="11"/>
      <c r="E158" s="11"/>
      <c r="F158" s="11"/>
    </row>
    <row r="159" spans="1:6" ht="12.75">
      <c r="A159" s="12"/>
      <c r="B159" s="11"/>
      <c r="C159" s="11"/>
      <c r="D159" s="11"/>
      <c r="E159" s="11"/>
      <c r="F159" s="11"/>
    </row>
    <row r="160" spans="1:6" ht="12.75">
      <c r="A160" s="12"/>
      <c r="B160" s="11"/>
      <c r="C160" s="11"/>
      <c r="D160" s="11"/>
      <c r="E160" s="11"/>
      <c r="F160" s="11"/>
    </row>
    <row r="161" spans="1:6" ht="12.75">
      <c r="A161" s="12"/>
      <c r="B161" s="11"/>
      <c r="C161" s="11"/>
      <c r="D161" s="11"/>
      <c r="E161" s="11"/>
      <c r="F161" s="11"/>
    </row>
    <row r="162" spans="1:6" ht="12.75">
      <c r="A162" s="12"/>
      <c r="B162" s="11"/>
      <c r="C162" s="11"/>
      <c r="D162" s="11"/>
      <c r="E162" s="11"/>
      <c r="F162" s="11"/>
    </row>
    <row r="163" spans="1:6" ht="12.75">
      <c r="A163" s="12"/>
      <c r="B163" s="11"/>
      <c r="C163" s="11"/>
      <c r="D163" s="11"/>
      <c r="E163" s="11"/>
      <c r="F163" s="11"/>
    </row>
    <row r="164" spans="1:6" ht="12.75">
      <c r="A164" s="12"/>
      <c r="B164" s="11"/>
      <c r="C164" s="11"/>
      <c r="D164" s="11"/>
      <c r="E164" s="11"/>
      <c r="F164" s="11"/>
    </row>
    <row r="165" spans="1:6" ht="12.75">
      <c r="A165" s="12"/>
      <c r="B165" s="11"/>
      <c r="C165" s="11"/>
      <c r="D165" s="11"/>
      <c r="E165" s="11"/>
      <c r="F165" s="11"/>
    </row>
    <row r="166" spans="1:6" ht="12.75">
      <c r="A166" s="12"/>
      <c r="B166" s="11"/>
      <c r="C166" s="11"/>
      <c r="D166" s="11"/>
      <c r="E166" s="11"/>
      <c r="F166" s="11"/>
    </row>
    <row r="167" spans="1:6" ht="12.75">
      <c r="A167" s="12"/>
      <c r="B167" s="11"/>
      <c r="C167" s="11"/>
      <c r="D167" s="11"/>
      <c r="E167" s="11"/>
      <c r="F167" s="11"/>
    </row>
    <row r="168" spans="1:6" ht="12.75">
      <c r="A168" s="12"/>
      <c r="B168" s="11"/>
      <c r="C168" s="11"/>
      <c r="D168" s="11"/>
      <c r="E168" s="11"/>
      <c r="F168" s="11"/>
    </row>
    <row r="169" spans="1:6" ht="12.75">
      <c r="A169" s="12"/>
      <c r="B169" s="11"/>
      <c r="C169" s="11"/>
      <c r="D169" s="11"/>
      <c r="E169" s="11"/>
      <c r="F169" s="11"/>
    </row>
    <row r="170" spans="1:6" ht="12.75">
      <c r="A170" s="12"/>
      <c r="B170" s="11"/>
      <c r="C170" s="11"/>
      <c r="D170" s="11"/>
      <c r="E170" s="11"/>
      <c r="F170" s="11"/>
    </row>
    <row r="171" spans="1:6" ht="12.75">
      <c r="A171" s="12"/>
      <c r="B171" s="11"/>
      <c r="C171" s="11"/>
      <c r="D171" s="11"/>
      <c r="E171" s="11"/>
      <c r="F171" s="11"/>
    </row>
    <row r="172" spans="1:6" ht="12.75">
      <c r="A172" s="12"/>
      <c r="B172" s="11"/>
      <c r="C172" s="11"/>
      <c r="D172" s="11"/>
      <c r="E172" s="11"/>
      <c r="F172" s="11"/>
    </row>
    <row r="173" spans="1:6" ht="12.75">
      <c r="A173" s="12"/>
      <c r="B173" s="11"/>
      <c r="C173" s="11"/>
      <c r="D173" s="11"/>
      <c r="E173" s="11"/>
      <c r="F173" s="11"/>
    </row>
    <row r="174" spans="1:6" ht="12.75">
      <c r="A174" s="12"/>
      <c r="B174" s="11"/>
      <c r="C174" s="11"/>
      <c r="D174" s="11"/>
      <c r="E174" s="11"/>
      <c r="F174" s="11"/>
    </row>
    <row r="175" spans="1:6" ht="12.75">
      <c r="A175" s="12"/>
      <c r="B175" s="11"/>
      <c r="C175" s="11"/>
      <c r="D175" s="11"/>
      <c r="E175" s="11"/>
      <c r="F175" s="11"/>
    </row>
    <row r="176" spans="1:6" ht="12.75">
      <c r="A176" s="12"/>
      <c r="B176" s="11"/>
      <c r="C176" s="11"/>
      <c r="D176" s="11"/>
      <c r="E176" s="11"/>
      <c r="F176" s="11"/>
    </row>
    <row r="177" spans="1:6" ht="12.75">
      <c r="A177" s="12"/>
      <c r="B177" s="11"/>
      <c r="C177" s="11"/>
      <c r="D177" s="11"/>
      <c r="E177" s="11"/>
      <c r="F177" s="11"/>
    </row>
    <row r="178" spans="1:6" ht="12.75">
      <c r="A178" s="12"/>
      <c r="B178" s="11"/>
      <c r="C178" s="11"/>
      <c r="D178" s="11"/>
      <c r="E178" s="11"/>
      <c r="F178" s="11"/>
    </row>
    <row r="179" spans="1:6" ht="12.75">
      <c r="A179" s="12"/>
      <c r="B179" s="11"/>
      <c r="C179" s="11"/>
      <c r="D179" s="11"/>
      <c r="E179" s="11"/>
      <c r="F179" s="11"/>
    </row>
    <row r="180" spans="1:6" ht="12.75">
      <c r="A180" s="12"/>
      <c r="B180" s="11"/>
      <c r="C180" s="11"/>
      <c r="D180" s="11"/>
      <c r="E180" s="11"/>
      <c r="F180" s="11"/>
    </row>
    <row r="181" spans="1:6" ht="12.75">
      <c r="A181" s="12"/>
      <c r="B181" s="11"/>
      <c r="C181" s="11"/>
      <c r="D181" s="11"/>
      <c r="E181" s="11"/>
      <c r="F181" s="11"/>
    </row>
    <row r="182" spans="1:6" ht="12.75">
      <c r="A182" s="12"/>
      <c r="B182" s="11"/>
      <c r="C182" s="11"/>
      <c r="D182" s="11"/>
      <c r="E182" s="11"/>
      <c r="F182" s="11"/>
    </row>
    <row r="183" spans="1:6" ht="12.75">
      <c r="A183" s="12"/>
      <c r="B183" s="11"/>
      <c r="C183" s="11"/>
      <c r="D183" s="11"/>
      <c r="E183" s="11"/>
      <c r="F183" s="11"/>
    </row>
    <row r="184" spans="1:6" ht="12.75">
      <c r="A184" s="12"/>
      <c r="B184" s="11"/>
      <c r="C184" s="11"/>
      <c r="D184" s="11"/>
      <c r="E184" s="11"/>
      <c r="F184" s="11"/>
    </row>
    <row r="185" spans="1:6" ht="12.75">
      <c r="A185" s="12"/>
      <c r="B185" s="11"/>
      <c r="C185" s="11"/>
      <c r="D185" s="11"/>
      <c r="E185" s="11"/>
      <c r="F185" s="11"/>
    </row>
    <row r="186" spans="1:6" ht="12.75">
      <c r="A186" s="12"/>
      <c r="B186" s="11"/>
      <c r="C186" s="11"/>
      <c r="D186" s="11"/>
      <c r="E186" s="11"/>
      <c r="F186" s="11"/>
    </row>
    <row r="187" spans="1:6" ht="12.75">
      <c r="A187" s="12"/>
      <c r="B187" s="11"/>
      <c r="C187" s="11"/>
      <c r="D187" s="11"/>
      <c r="E187" s="11"/>
      <c r="F187" s="11"/>
    </row>
    <row r="188" spans="1:6" ht="12.75">
      <c r="A188" s="12"/>
      <c r="B188" s="11"/>
      <c r="C188" s="11"/>
      <c r="D188" s="11"/>
      <c r="E188" s="11"/>
      <c r="F188" s="11"/>
    </row>
    <row r="189" spans="1:6" ht="12.75">
      <c r="A189" s="12"/>
      <c r="B189" s="11"/>
      <c r="C189" s="11"/>
      <c r="D189" s="11"/>
      <c r="E189" s="11"/>
      <c r="F189" s="11"/>
    </row>
    <row r="190" spans="1:6" ht="12.75">
      <c r="A190" s="12"/>
      <c r="B190" s="11"/>
      <c r="C190" s="11"/>
      <c r="D190" s="11"/>
      <c r="E190" s="11"/>
      <c r="F190" s="11"/>
    </row>
    <row r="191" spans="1:6" ht="12.75">
      <c r="A191" s="12"/>
      <c r="B191" s="11"/>
      <c r="C191" s="11"/>
      <c r="D191" s="11"/>
      <c r="E191" s="11"/>
      <c r="F191" s="11"/>
    </row>
    <row r="192" spans="1:6" ht="12.75">
      <c r="A192" s="12"/>
      <c r="B192" s="11"/>
      <c r="C192" s="11"/>
      <c r="D192" s="11"/>
      <c r="E192" s="11"/>
      <c r="F192" s="11"/>
    </row>
    <row r="193" spans="1:6" ht="12.75">
      <c r="A193" s="12"/>
      <c r="B193" s="11"/>
      <c r="C193" s="11"/>
      <c r="D193" s="11"/>
      <c r="E193" s="11"/>
      <c r="F193" s="11"/>
    </row>
    <row r="194" spans="1:6" ht="12.75">
      <c r="A194" s="12"/>
      <c r="B194" s="11"/>
      <c r="C194" s="11"/>
      <c r="D194" s="11"/>
      <c r="E194" s="11"/>
      <c r="F194" s="11"/>
    </row>
    <row r="195" spans="1:6" ht="12.75">
      <c r="A195" s="12"/>
      <c r="B195" s="11"/>
      <c r="C195" s="11"/>
      <c r="D195" s="11"/>
      <c r="E195" s="11"/>
      <c r="F195" s="11"/>
    </row>
    <row r="196" spans="1:6" ht="12.75">
      <c r="A196" s="12"/>
      <c r="B196" s="11"/>
      <c r="C196" s="11"/>
      <c r="D196" s="11"/>
      <c r="E196" s="11"/>
      <c r="F196" s="11"/>
    </row>
    <row r="197" spans="1:6" ht="12.75">
      <c r="A197" s="12"/>
      <c r="B197" s="11"/>
      <c r="C197" s="11"/>
      <c r="D197" s="11"/>
      <c r="E197" s="11"/>
      <c r="F197" s="11"/>
    </row>
    <row r="198" spans="1:6" ht="12.75">
      <c r="A198" s="12"/>
      <c r="B198" s="11"/>
      <c r="C198" s="11"/>
      <c r="D198" s="11"/>
      <c r="E198" s="11"/>
      <c r="F198" s="11"/>
    </row>
    <row r="199" spans="1:6" ht="12.75">
      <c r="A199" s="12"/>
      <c r="B199" s="11"/>
      <c r="C199" s="11"/>
      <c r="D199" s="11"/>
      <c r="E199" s="11"/>
      <c r="F199" s="11"/>
    </row>
    <row r="200" spans="1:6" ht="12.75">
      <c r="A200" s="12"/>
      <c r="B200" s="11"/>
      <c r="C200" s="11"/>
      <c r="D200" s="11"/>
      <c r="E200" s="11"/>
      <c r="F200" s="11"/>
    </row>
    <row r="201" spans="1:6" ht="12.75">
      <c r="A201" s="12"/>
      <c r="B201" s="11"/>
      <c r="C201" s="11"/>
      <c r="D201" s="11"/>
      <c r="E201" s="11"/>
      <c r="F201" s="11"/>
    </row>
    <row r="202" spans="1:6" ht="12.75">
      <c r="A202" s="12"/>
      <c r="B202" s="11"/>
      <c r="C202" s="11"/>
      <c r="D202" s="11"/>
      <c r="E202" s="11"/>
      <c r="F202" s="11"/>
    </row>
    <row r="203" spans="1:6" ht="12.75">
      <c r="A203" s="12"/>
      <c r="B203" s="11"/>
      <c r="C203" s="11"/>
      <c r="D203" s="11"/>
      <c r="E203" s="11"/>
      <c r="F203" s="11"/>
    </row>
    <row r="204" spans="1:6" ht="12.75">
      <c r="A204" s="12"/>
      <c r="B204" s="11"/>
      <c r="C204" s="11"/>
      <c r="D204" s="11"/>
      <c r="E204" s="11"/>
      <c r="F204" s="11"/>
    </row>
    <row r="205" spans="1:6" ht="12.75">
      <c r="A205" s="12"/>
      <c r="B205" s="11"/>
      <c r="C205" s="11"/>
      <c r="D205" s="11"/>
      <c r="E205" s="11"/>
      <c r="F205" s="11"/>
    </row>
    <row r="206" spans="1:6" ht="12.75">
      <c r="A206" s="12"/>
      <c r="B206" s="11"/>
      <c r="C206" s="11"/>
      <c r="D206" s="11"/>
      <c r="E206" s="11"/>
      <c r="F206" s="11"/>
    </row>
    <row r="207" spans="1:6" ht="12.75">
      <c r="A207" s="12"/>
      <c r="B207" s="11"/>
      <c r="C207" s="11"/>
      <c r="D207" s="11"/>
      <c r="E207" s="11"/>
      <c r="F207" s="11"/>
    </row>
    <row r="208" spans="1:6" ht="12.75">
      <c r="A208" s="12"/>
      <c r="B208" s="11"/>
      <c r="C208" s="11"/>
      <c r="D208" s="11"/>
      <c r="E208" s="11"/>
      <c r="F208" s="11"/>
    </row>
    <row r="209" spans="1:6" ht="12.75">
      <c r="A209" s="12"/>
      <c r="B209" s="11"/>
      <c r="C209" s="11"/>
      <c r="D209" s="11"/>
      <c r="E209" s="11"/>
      <c r="F209" s="11"/>
    </row>
    <row r="210" spans="1:6" ht="12.75">
      <c r="A210" s="12"/>
      <c r="B210" s="11"/>
      <c r="C210" s="11"/>
      <c r="D210" s="11"/>
      <c r="E210" s="11"/>
      <c r="F210" s="11"/>
    </row>
    <row r="211" spans="1:6" ht="12.75">
      <c r="A211" s="12"/>
      <c r="B211" s="11"/>
      <c r="C211" s="11"/>
      <c r="D211" s="11"/>
      <c r="E211" s="11"/>
      <c r="F211" s="11"/>
    </row>
    <row r="212" spans="1:6" ht="12.75">
      <c r="A212" s="12"/>
      <c r="B212" s="11"/>
      <c r="C212" s="11"/>
      <c r="D212" s="11"/>
      <c r="E212" s="11"/>
      <c r="F212" s="11"/>
    </row>
    <row r="213" spans="1:6" ht="12.75">
      <c r="A213" s="12"/>
      <c r="B213" s="11"/>
      <c r="C213" s="11"/>
      <c r="D213" s="11"/>
      <c r="E213" s="11"/>
      <c r="F213" s="11"/>
    </row>
    <row r="214" spans="1:6" ht="12.75">
      <c r="A214" s="12"/>
      <c r="B214" s="11"/>
      <c r="C214" s="11"/>
      <c r="D214" s="11"/>
      <c r="E214" s="11"/>
      <c r="F214" s="11"/>
    </row>
    <row r="215" spans="1:6" ht="12.75">
      <c r="A215" s="12"/>
      <c r="B215" s="11"/>
      <c r="C215" s="11"/>
      <c r="D215" s="11"/>
      <c r="E215" s="11"/>
      <c r="F215" s="11"/>
    </row>
    <row r="216" spans="1:6" ht="12.75">
      <c r="A216" s="12"/>
      <c r="B216" s="11"/>
      <c r="C216" s="11"/>
      <c r="D216" s="11"/>
      <c r="E216" s="11"/>
      <c r="F216" s="11"/>
    </row>
    <row r="217" spans="1:6" ht="12.75">
      <c r="A217" s="12"/>
      <c r="B217" s="11"/>
      <c r="C217" s="11"/>
      <c r="D217" s="11"/>
      <c r="E217" s="11"/>
      <c r="F217" s="11"/>
    </row>
    <row r="218" spans="1:6" ht="12.75">
      <c r="A218" s="12"/>
      <c r="B218" s="11"/>
      <c r="C218" s="11"/>
      <c r="D218" s="11"/>
      <c r="E218" s="11"/>
      <c r="F218" s="11"/>
    </row>
    <row r="219" spans="1:6" ht="12.75">
      <c r="A219" s="12"/>
      <c r="B219" s="11"/>
      <c r="C219" s="11"/>
      <c r="D219" s="11"/>
      <c r="E219" s="11"/>
      <c r="F219" s="11"/>
    </row>
    <row r="220" spans="1:6" ht="12.75">
      <c r="A220" s="12"/>
      <c r="B220" s="11"/>
      <c r="C220" s="11"/>
      <c r="D220" s="11"/>
      <c r="E220" s="11"/>
      <c r="F220" s="11"/>
    </row>
    <row r="221" spans="1:6" ht="12.75">
      <c r="A221" s="12"/>
      <c r="B221" s="11"/>
      <c r="C221" s="11"/>
      <c r="D221" s="11"/>
      <c r="E221" s="11"/>
      <c r="F221" s="11"/>
    </row>
    <row r="222" spans="1:6" ht="12.75">
      <c r="A222" s="12"/>
      <c r="B222" s="11"/>
      <c r="C222" s="11"/>
      <c r="D222" s="11"/>
      <c r="E222" s="11"/>
      <c r="F222" s="11"/>
    </row>
    <row r="223" spans="1:6" ht="12.75">
      <c r="A223" s="12"/>
      <c r="B223" s="11"/>
      <c r="C223" s="11"/>
      <c r="D223" s="11"/>
      <c r="E223" s="11"/>
      <c r="F223" s="11"/>
    </row>
    <row r="224" spans="1:6" ht="12.75">
      <c r="A224" s="12"/>
      <c r="B224" s="11"/>
      <c r="C224" s="11"/>
      <c r="D224" s="11"/>
      <c r="E224" s="11"/>
      <c r="F224" s="11"/>
    </row>
    <row r="225" spans="1:6" ht="12.75">
      <c r="A225" s="12"/>
      <c r="B225" s="11"/>
      <c r="C225" s="11"/>
      <c r="D225" s="11"/>
      <c r="E225" s="11"/>
      <c r="F225" s="11"/>
    </row>
    <row r="226" spans="1:6" ht="12.75">
      <c r="A226" s="318"/>
      <c r="B226" s="11"/>
      <c r="C226" s="11"/>
      <c r="D226" s="11"/>
      <c r="E226" s="11"/>
      <c r="F226" s="11"/>
    </row>
    <row r="227" spans="1:6" ht="12.75">
      <c r="A227" s="12"/>
      <c r="B227" s="11"/>
      <c r="C227" s="11"/>
      <c r="D227" s="11"/>
      <c r="E227" s="11"/>
      <c r="F227" s="11"/>
    </row>
    <row r="228" spans="1:6" ht="12.75">
      <c r="A228" s="12"/>
      <c r="B228" s="11"/>
      <c r="C228" s="11"/>
      <c r="D228" s="11"/>
      <c r="E228" s="11"/>
      <c r="F228" s="11"/>
    </row>
    <row r="229" spans="1:6" ht="12.75">
      <c r="A229" s="12"/>
      <c r="B229" s="11"/>
      <c r="C229" s="11"/>
      <c r="D229" s="11"/>
      <c r="E229" s="11"/>
      <c r="F229" s="11"/>
    </row>
    <row r="230" spans="1:6" ht="12.75">
      <c r="A230" s="12"/>
      <c r="B230" s="11"/>
      <c r="C230" s="11"/>
      <c r="D230" s="11"/>
      <c r="E230" s="11"/>
      <c r="F230" s="11"/>
    </row>
    <row r="231" spans="1:6" ht="12.75">
      <c r="A231" s="12"/>
      <c r="B231" s="11"/>
      <c r="C231" s="11"/>
      <c r="D231" s="11"/>
      <c r="E231" s="11"/>
      <c r="F231" s="11"/>
    </row>
    <row r="232" spans="1:6" ht="12.75">
      <c r="A232" s="12"/>
      <c r="B232" s="11"/>
      <c r="C232" s="11"/>
      <c r="D232" s="11"/>
      <c r="E232" s="11"/>
      <c r="F232" s="11"/>
    </row>
    <row r="233" spans="1:6" ht="12.75">
      <c r="A233" s="12"/>
      <c r="B233" s="11"/>
      <c r="C233" s="11"/>
      <c r="D233" s="11"/>
      <c r="E233" s="11"/>
      <c r="F233" s="11"/>
    </row>
    <row r="234" spans="1:6" ht="12.75">
      <c r="A234" s="12"/>
      <c r="B234" s="11"/>
      <c r="C234" s="11"/>
      <c r="D234" s="11"/>
      <c r="E234" s="11"/>
      <c r="F234" s="11"/>
    </row>
    <row r="235" spans="1:6" ht="12.75">
      <c r="A235" s="12"/>
      <c r="B235" s="11"/>
      <c r="C235" s="11"/>
      <c r="D235" s="11"/>
      <c r="E235" s="11"/>
      <c r="F235" s="11"/>
    </row>
    <row r="236" spans="1:6" ht="12.75">
      <c r="A236" s="12"/>
      <c r="B236" s="11"/>
      <c r="C236" s="11"/>
      <c r="D236" s="11"/>
      <c r="E236" s="11"/>
      <c r="F236" s="11"/>
    </row>
    <row r="237" spans="1:6" ht="12.75">
      <c r="A237" s="318"/>
      <c r="B237" s="11"/>
      <c r="C237" s="11"/>
      <c r="D237" s="11"/>
      <c r="E237" s="11"/>
      <c r="F237" s="11"/>
    </row>
    <row r="238" spans="1:6" ht="12.75">
      <c r="A238" s="318"/>
      <c r="B238" s="11"/>
      <c r="C238" s="11"/>
      <c r="D238" s="11"/>
      <c r="E238" s="11"/>
      <c r="F238" s="11"/>
    </row>
    <row r="239" spans="1:6" ht="12.75">
      <c r="A239" s="318"/>
      <c r="B239" s="11"/>
      <c r="C239" s="11"/>
      <c r="D239" s="11"/>
      <c r="E239" s="11"/>
      <c r="F239" s="11"/>
    </row>
    <row r="240" spans="1:6" ht="12.75">
      <c r="A240" s="318"/>
      <c r="B240" s="11"/>
      <c r="C240" s="11"/>
      <c r="D240" s="11"/>
      <c r="E240" s="11"/>
      <c r="F240" s="11"/>
    </row>
    <row r="241" spans="1:6" ht="12.75">
      <c r="A241" s="318"/>
      <c r="B241" s="11"/>
      <c r="C241" s="11"/>
      <c r="D241" s="11"/>
      <c r="E241" s="11"/>
      <c r="F241" s="11"/>
    </row>
    <row r="242" spans="1:6" ht="12.75">
      <c r="A242" s="318"/>
      <c r="B242" s="11"/>
      <c r="C242" s="11"/>
      <c r="D242" s="11"/>
      <c r="E242" s="11"/>
      <c r="F242" s="11"/>
    </row>
    <row r="243" spans="1:6" ht="12.75">
      <c r="A243" s="12"/>
      <c r="B243" s="11"/>
      <c r="C243" s="11"/>
      <c r="D243" s="11"/>
      <c r="E243" s="11"/>
      <c r="F243" s="11"/>
    </row>
    <row r="244" spans="1:6" ht="12.75">
      <c r="A244" s="12"/>
      <c r="B244" s="11"/>
      <c r="C244" s="11"/>
      <c r="D244" s="11"/>
      <c r="E244" s="11"/>
      <c r="F244" s="11"/>
    </row>
    <row r="245" spans="1:6" ht="12.75">
      <c r="A245" s="12"/>
      <c r="B245" s="11"/>
      <c r="C245" s="11"/>
      <c r="D245" s="11"/>
      <c r="E245" s="11"/>
      <c r="F245" s="11"/>
    </row>
    <row r="246" spans="1:6" ht="12.75">
      <c r="A246" s="12"/>
      <c r="B246" s="11"/>
      <c r="C246" s="11"/>
      <c r="D246" s="11"/>
      <c r="E246" s="11"/>
      <c r="F246" s="11"/>
    </row>
    <row r="247" spans="1:6" ht="12.75">
      <c r="A247" s="12"/>
      <c r="B247" s="11"/>
      <c r="C247" s="11"/>
      <c r="D247" s="11"/>
      <c r="E247" s="11"/>
      <c r="F247" s="11"/>
    </row>
    <row r="248" spans="1:6" ht="12.75">
      <c r="A248" s="12"/>
      <c r="B248" s="11"/>
      <c r="C248" s="11"/>
      <c r="D248" s="11"/>
      <c r="E248" s="11"/>
      <c r="F248" s="11"/>
    </row>
    <row r="249" spans="1:6" ht="12.75">
      <c r="A249" s="12"/>
      <c r="B249" s="11"/>
      <c r="C249" s="11"/>
      <c r="D249" s="11"/>
      <c r="E249" s="11"/>
      <c r="F249" s="11"/>
    </row>
    <row r="250" spans="1:6" ht="12.75">
      <c r="A250" s="12"/>
      <c r="B250" s="11"/>
      <c r="C250" s="11"/>
      <c r="D250" s="11"/>
      <c r="E250" s="11"/>
      <c r="F250" s="11"/>
    </row>
    <row r="251" spans="1:6" ht="12.75">
      <c r="A251" s="12"/>
      <c r="B251" s="11"/>
      <c r="C251" s="11"/>
      <c r="D251" s="11"/>
      <c r="E251" s="11"/>
      <c r="F251" s="11"/>
    </row>
    <row r="252" spans="1:6" ht="12.75">
      <c r="A252" s="12"/>
      <c r="B252" s="11"/>
      <c r="C252" s="11"/>
      <c r="D252" s="11"/>
      <c r="E252" s="11"/>
      <c r="F252" s="11"/>
    </row>
    <row r="253" spans="1:6" ht="12.75">
      <c r="A253" s="12"/>
      <c r="B253" s="11"/>
      <c r="C253" s="11"/>
      <c r="D253" s="11"/>
      <c r="E253" s="11"/>
      <c r="F253" s="11"/>
    </row>
    <row r="254" spans="1:6" ht="12.75">
      <c r="A254" s="12"/>
      <c r="B254" s="11"/>
      <c r="C254" s="11"/>
      <c r="D254" s="11"/>
      <c r="E254" s="11"/>
      <c r="F254" s="11"/>
    </row>
    <row r="255" spans="1:6" ht="12.75">
      <c r="A255" s="12"/>
      <c r="B255" s="11"/>
      <c r="C255" s="11"/>
      <c r="D255" s="11"/>
      <c r="E255" s="11"/>
      <c r="F255" s="11"/>
    </row>
    <row r="256" spans="1:6" ht="12.75">
      <c r="A256" s="12"/>
      <c r="B256" s="11"/>
      <c r="C256" s="11"/>
      <c r="D256" s="11"/>
      <c r="E256" s="11"/>
      <c r="F256" s="11"/>
    </row>
    <row r="257" spans="1:6" ht="12.75">
      <c r="A257" s="12"/>
      <c r="B257" s="11"/>
      <c r="C257" s="11"/>
      <c r="D257" s="11"/>
      <c r="E257" s="11"/>
      <c r="F257" s="11"/>
    </row>
    <row r="258" spans="1:6" ht="12.75">
      <c r="A258" s="12"/>
      <c r="B258" s="11"/>
      <c r="C258" s="11"/>
      <c r="D258" s="11"/>
      <c r="E258" s="11"/>
      <c r="F258" s="11"/>
    </row>
    <row r="259" spans="1:6" ht="12.75">
      <c r="A259" s="12"/>
      <c r="B259" s="11"/>
      <c r="C259" s="11"/>
      <c r="D259" s="11"/>
      <c r="E259" s="11"/>
      <c r="F259" s="11"/>
    </row>
    <row r="260" spans="1:6" ht="12.75">
      <c r="A260" s="12"/>
      <c r="B260" s="11"/>
      <c r="C260" s="11"/>
      <c r="D260" s="11"/>
      <c r="E260" s="11"/>
      <c r="F260" s="11"/>
    </row>
    <row r="261" spans="1:6" ht="12.75">
      <c r="A261" s="12"/>
      <c r="B261" s="11"/>
      <c r="C261" s="11"/>
      <c r="D261" s="11"/>
      <c r="E261" s="11"/>
      <c r="F261" s="11"/>
    </row>
    <row r="262" spans="1:6" ht="12.75">
      <c r="A262" s="12"/>
      <c r="B262" s="11"/>
      <c r="C262" s="11"/>
      <c r="D262" s="11"/>
      <c r="E262" s="11"/>
      <c r="F262" s="11"/>
    </row>
    <row r="263" spans="1:6" ht="12.75">
      <c r="A263" s="12"/>
      <c r="B263" s="11"/>
      <c r="C263" s="11"/>
      <c r="D263" s="11"/>
      <c r="E263" s="11"/>
      <c r="F263" s="11"/>
    </row>
    <row r="264" spans="1:6" ht="12.75">
      <c r="A264" s="12"/>
      <c r="B264" s="11"/>
      <c r="C264" s="11"/>
      <c r="D264" s="11"/>
      <c r="E264" s="11"/>
      <c r="F264" s="11"/>
    </row>
    <row r="265" spans="1:6" ht="12.75">
      <c r="A265" s="12"/>
      <c r="B265" s="11"/>
      <c r="C265" s="11"/>
      <c r="D265" s="11"/>
      <c r="E265" s="11"/>
      <c r="F265" s="11"/>
    </row>
    <row r="266" spans="1:6" ht="12.75">
      <c r="A266" s="12"/>
      <c r="B266" s="11"/>
      <c r="C266" s="11"/>
      <c r="D266" s="11"/>
      <c r="E266" s="11"/>
      <c r="F266" s="11"/>
    </row>
    <row r="267" spans="1:6" ht="12.75">
      <c r="A267" s="12"/>
      <c r="B267" s="11"/>
      <c r="C267" s="11"/>
      <c r="D267" s="11"/>
      <c r="E267" s="11"/>
      <c r="F267" s="11"/>
    </row>
    <row r="268" spans="1:6" ht="12.75">
      <c r="A268" s="12"/>
      <c r="B268" s="11"/>
      <c r="C268" s="11"/>
      <c r="D268" s="11"/>
      <c r="E268" s="11"/>
      <c r="F268" s="11"/>
    </row>
    <row r="269" spans="1:6" ht="12.75">
      <c r="A269" s="12"/>
      <c r="B269" s="11"/>
      <c r="C269" s="11"/>
      <c r="D269" s="11"/>
      <c r="E269" s="11"/>
      <c r="F269" s="11"/>
    </row>
    <row r="270" spans="1:6" ht="12.75">
      <c r="A270" s="12"/>
      <c r="B270" s="11"/>
      <c r="C270" s="11"/>
      <c r="D270" s="11"/>
      <c r="E270" s="11"/>
      <c r="F270" s="11"/>
    </row>
    <row r="271" spans="1:6" ht="12.75">
      <c r="A271" s="12"/>
      <c r="B271" s="11"/>
      <c r="C271" s="11"/>
      <c r="D271" s="11"/>
      <c r="E271" s="11"/>
      <c r="F271" s="11"/>
    </row>
    <row r="272" spans="1:6" ht="12.75">
      <c r="A272" s="12"/>
      <c r="B272" s="11"/>
      <c r="C272" s="11"/>
      <c r="D272" s="11"/>
      <c r="E272" s="11"/>
      <c r="F272" s="11"/>
    </row>
    <row r="273" spans="1:6" ht="12.75">
      <c r="A273" s="12"/>
      <c r="B273" s="11"/>
      <c r="C273" s="11"/>
      <c r="D273" s="11"/>
      <c r="E273" s="11"/>
      <c r="F273" s="11"/>
    </row>
    <row r="274" spans="1:6" ht="12.75">
      <c r="A274" s="12"/>
      <c r="B274" s="11"/>
      <c r="C274" s="11"/>
      <c r="D274" s="11"/>
      <c r="E274" s="11"/>
      <c r="F274" s="11"/>
    </row>
    <row r="275" spans="1:6" ht="12.75">
      <c r="A275" s="12"/>
      <c r="B275" s="11"/>
      <c r="C275" s="11"/>
      <c r="D275" s="11"/>
      <c r="E275" s="11"/>
      <c r="F275" s="11"/>
    </row>
    <row r="276" spans="1:6" ht="12.75">
      <c r="A276" s="12"/>
      <c r="B276" s="11"/>
      <c r="C276" s="11"/>
      <c r="D276" s="11"/>
      <c r="E276" s="11"/>
      <c r="F276" s="11"/>
    </row>
    <row r="277" spans="1:6" ht="12.75">
      <c r="A277" s="12"/>
      <c r="B277" s="11"/>
      <c r="C277" s="11"/>
      <c r="D277" s="11"/>
      <c r="E277" s="11"/>
      <c r="F277" s="11"/>
    </row>
    <row r="278" spans="1:6" ht="12.75">
      <c r="A278" s="12"/>
      <c r="B278" s="11"/>
      <c r="C278" s="11"/>
      <c r="D278" s="11"/>
      <c r="E278" s="11"/>
      <c r="F278" s="11"/>
    </row>
    <row r="279" spans="1:6" ht="12.75">
      <c r="A279" s="12"/>
      <c r="B279" s="11"/>
      <c r="C279" s="11"/>
      <c r="D279" s="11"/>
      <c r="E279" s="11"/>
      <c r="F279" s="11"/>
    </row>
    <row r="280" spans="1:6" ht="12.75">
      <c r="A280" s="12"/>
      <c r="B280" s="11"/>
      <c r="C280" s="11"/>
      <c r="D280" s="11"/>
      <c r="E280" s="11"/>
      <c r="F280" s="11"/>
    </row>
    <row r="281" spans="1:6" ht="12.75">
      <c r="A281" s="12"/>
      <c r="B281" s="11"/>
      <c r="C281" s="11"/>
      <c r="D281" s="11"/>
      <c r="E281" s="11"/>
      <c r="F281" s="11"/>
    </row>
    <row r="282" spans="1:6" ht="12.75">
      <c r="A282" s="12"/>
      <c r="B282" s="11"/>
      <c r="C282" s="11"/>
      <c r="D282" s="11"/>
      <c r="E282" s="11"/>
      <c r="F282" s="11"/>
    </row>
    <row r="283" spans="1:6" ht="12.75">
      <c r="A283" s="12"/>
      <c r="B283" s="11"/>
      <c r="C283" s="11"/>
      <c r="D283" s="11"/>
      <c r="E283" s="11"/>
      <c r="F283" s="11"/>
    </row>
    <row r="284" spans="1:6" ht="12.75">
      <c r="A284" s="12"/>
      <c r="B284" s="11"/>
      <c r="C284" s="11"/>
      <c r="D284" s="11"/>
      <c r="E284" s="11"/>
      <c r="F284" s="11"/>
    </row>
    <row r="285" spans="1:6" ht="12.75">
      <c r="A285" s="12"/>
      <c r="B285" s="11"/>
      <c r="C285" s="11"/>
      <c r="D285" s="11"/>
      <c r="E285" s="11"/>
      <c r="F285" s="11"/>
    </row>
    <row r="286" spans="1:6" ht="12.75">
      <c r="A286" s="12"/>
      <c r="B286" s="11"/>
      <c r="C286" s="11"/>
      <c r="D286" s="11"/>
      <c r="E286" s="11"/>
      <c r="F286" s="11"/>
    </row>
    <row r="287" spans="1:6" ht="12.75">
      <c r="A287" s="12"/>
      <c r="B287" s="11"/>
      <c r="C287" s="11"/>
      <c r="D287" s="11"/>
      <c r="E287" s="11"/>
      <c r="F287" s="11"/>
    </row>
    <row r="288" spans="1:6" ht="12.75">
      <c r="A288" s="12"/>
      <c r="B288" s="11"/>
      <c r="C288" s="11"/>
      <c r="D288" s="11"/>
      <c r="E288" s="11"/>
      <c r="F288" s="11"/>
    </row>
    <row r="289" spans="1:6" ht="12.75">
      <c r="A289" s="12"/>
      <c r="B289" s="11"/>
      <c r="C289" s="11"/>
      <c r="D289" s="11"/>
      <c r="E289" s="11"/>
      <c r="F289" s="11"/>
    </row>
    <row r="290" spans="1:6" ht="12.75">
      <c r="A290" s="12"/>
      <c r="B290" s="11"/>
      <c r="C290" s="11"/>
      <c r="D290" s="11"/>
      <c r="E290" s="11"/>
      <c r="F290" s="11"/>
    </row>
    <row r="291" spans="1:6" ht="12.75">
      <c r="A291" s="12"/>
      <c r="B291" s="11"/>
      <c r="C291" s="11"/>
      <c r="D291" s="11"/>
      <c r="E291" s="11"/>
      <c r="F291" s="11"/>
    </row>
    <row r="292" spans="1:6" ht="12.75">
      <c r="A292" s="12"/>
      <c r="B292" s="11"/>
      <c r="C292" s="11"/>
      <c r="D292" s="11"/>
      <c r="E292" s="11"/>
      <c r="F292" s="11"/>
    </row>
    <row r="293" spans="1:6" ht="12.75">
      <c r="A293" s="12"/>
      <c r="B293" s="11"/>
      <c r="C293" s="11"/>
      <c r="D293" s="11"/>
      <c r="E293" s="11"/>
      <c r="F293" s="11"/>
    </row>
    <row r="294" spans="1:6" ht="12.75">
      <c r="A294" s="12"/>
      <c r="B294" s="11"/>
      <c r="C294" s="11"/>
      <c r="D294" s="11"/>
      <c r="E294" s="11"/>
      <c r="F294" s="11"/>
    </row>
    <row r="295" spans="1:6" ht="12.75">
      <c r="A295" s="12"/>
      <c r="B295" s="11"/>
      <c r="C295" s="11"/>
      <c r="D295" s="11"/>
      <c r="E295" s="11"/>
      <c r="F295" s="11"/>
    </row>
    <row r="296" spans="1:6" ht="12.75">
      <c r="A296" s="12"/>
      <c r="B296" s="11"/>
      <c r="C296" s="11"/>
      <c r="D296" s="11"/>
      <c r="E296" s="11"/>
      <c r="F296" s="11"/>
    </row>
    <row r="297" spans="1:6" ht="12.75">
      <c r="A297" s="12"/>
      <c r="B297" s="11"/>
      <c r="C297" s="11"/>
      <c r="D297" s="11"/>
      <c r="E297" s="11"/>
      <c r="F297" s="11"/>
    </row>
    <row r="298" spans="1:6" ht="12.75">
      <c r="A298" s="12"/>
      <c r="B298" s="11"/>
      <c r="C298" s="11"/>
      <c r="D298" s="11"/>
      <c r="E298" s="11"/>
      <c r="F298" s="11"/>
    </row>
    <row r="299" spans="1:6" ht="12.75">
      <c r="A299" s="12"/>
      <c r="B299" s="11"/>
      <c r="C299" s="11"/>
      <c r="D299" s="11"/>
      <c r="E299" s="11"/>
      <c r="F299" s="11"/>
    </row>
    <row r="300" spans="1:6" ht="12.75">
      <c r="A300" s="12"/>
      <c r="B300" s="11"/>
      <c r="C300" s="11"/>
      <c r="D300" s="11"/>
      <c r="E300" s="11"/>
      <c r="F300" s="11"/>
    </row>
    <row r="301" spans="1:6" ht="12.75">
      <c r="A301" s="12"/>
      <c r="B301" s="11"/>
      <c r="C301" s="11"/>
      <c r="D301" s="11"/>
      <c r="E301" s="11"/>
      <c r="F301" s="11"/>
    </row>
    <row r="302" spans="1:6" ht="12.75">
      <c r="A302" s="12"/>
      <c r="B302" s="11"/>
      <c r="C302" s="11"/>
      <c r="D302" s="11"/>
      <c r="E302" s="11"/>
      <c r="F302" s="11"/>
    </row>
    <row r="303" spans="1:6" ht="12.75">
      <c r="A303" s="12"/>
      <c r="B303" s="11"/>
      <c r="C303" s="11"/>
      <c r="D303" s="11"/>
      <c r="E303" s="11"/>
      <c r="F303" s="11"/>
    </row>
    <row r="304" spans="1:6" ht="12.75">
      <c r="A304" s="12"/>
      <c r="B304" s="11"/>
      <c r="C304" s="11"/>
      <c r="D304" s="11"/>
      <c r="E304" s="11"/>
      <c r="F304" s="11"/>
    </row>
    <row r="305" spans="1:6" ht="12.75">
      <c r="A305" s="12"/>
      <c r="B305" s="11"/>
      <c r="C305" s="11"/>
      <c r="D305" s="11"/>
      <c r="E305" s="11"/>
      <c r="F305" s="11"/>
    </row>
    <row r="306" spans="1:6" ht="12.75">
      <c r="A306" s="12"/>
      <c r="B306" s="11"/>
      <c r="C306" s="11"/>
      <c r="D306" s="11"/>
      <c r="E306" s="11"/>
      <c r="F306" s="1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O. Gruber</dc:creator>
  <cp:keywords/>
  <dc:description/>
  <cp:lastModifiedBy>rstrykowsky</cp:lastModifiedBy>
  <cp:lastPrinted>2008-03-21T18:46:00Z</cp:lastPrinted>
  <dcterms:created xsi:type="dcterms:W3CDTF">2007-05-16T14:21:14Z</dcterms:created>
  <dcterms:modified xsi:type="dcterms:W3CDTF">2008-03-21T19:53:47Z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1077807779</vt:i4>
  </property>
  <property fmtid="{D5CDD505-2E9C-101B-9397-08002B2CF9AE}" pid="3" name="_EmailSubject">
    <vt:lpwstr>FW: </vt:lpwstr>
  </property>
  <property fmtid="{D5CDD505-2E9C-101B-9397-08002B2CF9AE}" pid="4" name="_AuthorEmail">
    <vt:lpwstr>rstrykowsky@comcast.net</vt:lpwstr>
  </property>
  <property fmtid="{D5CDD505-2E9C-101B-9397-08002B2CF9AE}" pid="5" name="_AuthorEmailDisplayName">
    <vt:lpwstr>Ron Strykowsky</vt:lpwstr>
  </property>
  <property fmtid="{D5CDD505-2E9C-101B-9397-08002B2CF9AE}" pid="6" name="_ReviewingToolsShownOnce">
    <vt:lpwstr/>
  </property>
</Properties>
</file>