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890" windowHeight="11880" activeTab="2"/>
  </bookViews>
  <sheets>
    <sheet name="Sheet1" sheetId="1" r:id="rId1"/>
    <sheet name="rls" sheetId="2" r:id="rId2"/>
    <sheet name="x" sheetId="3" r:id="rId3"/>
  </sheets>
  <externalReferences>
    <externalReference r:id="rId6"/>
  </externalReferences>
  <definedNames>
    <definedName name="_xlnm.Print_Area" localSheetId="1">'rls'!$A$11:$N$78</definedName>
    <definedName name="_xlnm.Print_Area" localSheetId="0">'Sheet1'!$A$9:$N$36</definedName>
    <definedName name="_xlnm.Print_Area" localSheetId="2">'x'!$B$6:$E$26</definedName>
  </definedNames>
  <calcPr fullCalcOnLoad="1"/>
</workbook>
</file>

<file path=xl/sharedStrings.xml><?xml version="1.0" encoding="utf-8"?>
<sst xmlns="http://schemas.openxmlformats.org/spreadsheetml/2006/main" count="197" uniqueCount="68">
  <si>
    <t>Unanticipated</t>
  </si>
  <si>
    <t xml:space="preserve"> Improved estimates to correct previous errors/oversights </t>
  </si>
  <si>
    <t>Better design maturity and/or interface definition</t>
  </si>
  <si>
    <t>Job #</t>
  </si>
  <si>
    <t>BUDGET to COMPLETE  $K (from May 1,2007)</t>
  </si>
  <si>
    <t>Increase ($K)</t>
  </si>
  <si>
    <t>Anticipated (identified in your waf's estimate uncertainty and risk)  (%)</t>
  </si>
  <si>
    <t>Unanticipated (%)</t>
  </si>
  <si>
    <t>Anticipated (identified in your waf's estimate uncertainty and risk) (%)</t>
  </si>
  <si>
    <t>Proactive measures (New tasks) to reduce risks (%)</t>
  </si>
  <si>
    <t>New tasks from implementing recommendations from Lehman, Constructability, and design reviews (%)</t>
  </si>
  <si>
    <t>Project schedule stretch-out due to other WBS's schedule growth (%)</t>
  </si>
  <si>
    <t>Other (%)</t>
  </si>
  <si>
    <t>Comments</t>
  </si>
  <si>
    <t>Bottoms up EAC $K (Feb 22, 2008)</t>
  </si>
  <si>
    <t>% Sum</t>
  </si>
  <si>
    <t xml:space="preserve"> </t>
  </si>
  <si>
    <t>Total</t>
  </si>
  <si>
    <t>1260 Transition Ducts GORANSON</t>
  </si>
  <si>
    <t>1270 Heater Controls GORANSON</t>
  </si>
  <si>
    <t>1354 Trim Coils KALISH</t>
  </si>
  <si>
    <t>1802/1810/1815 Assy VIOLA</t>
  </si>
  <si>
    <t>1803/1805- FPA Tooling/Constr-BROWN/DUDEK</t>
  </si>
  <si>
    <t xml:space="preserve"> 7401 - TC Prep &amp; Mach Assy Planning-PERRY</t>
  </si>
  <si>
    <t xml:space="preserve"> 8202 - Engr Mgmt &amp; Sys Eng Support-HEITZENRO</t>
  </si>
  <si>
    <t xml:space="preserve"> 8101 Project Management &amp; Controls  REJ</t>
  </si>
  <si>
    <t xml:space="preserve"> 8203 Design Integration - BROWN</t>
  </si>
  <si>
    <t xml:space="preserve"> Corrections</t>
  </si>
  <si>
    <t>Design Maturity</t>
  </si>
  <si>
    <t>Risk Reduction</t>
  </si>
  <si>
    <t>New Tasks</t>
  </si>
  <si>
    <t>Schedule Stretch</t>
  </si>
  <si>
    <t>Procurement</t>
  </si>
  <si>
    <t>Vendor Prices Higher</t>
  </si>
  <si>
    <t>WBS 5 I&amp;C Scope add-backs</t>
  </si>
  <si>
    <t>1601 coil services</t>
  </si>
  <si>
    <t>ancilliary systems 6101/2201/2101 water vacuum fueling</t>
  </si>
  <si>
    <t>wbs 4 power systems</t>
  </si>
  <si>
    <t>total erc</t>
  </si>
  <si>
    <t>8102 ORNL Project management</t>
  </si>
  <si>
    <t>8998 allocations</t>
  </si>
  <si>
    <t>strykowsky assessment</t>
  </si>
  <si>
    <t>wbs 19 stellarator core mngt &amp; integr</t>
  </si>
  <si>
    <t>2201/2101 fueling and vacuum pumping</t>
  </si>
  <si>
    <t>6101 water</t>
  </si>
  <si>
    <t>other</t>
  </si>
  <si>
    <t>x</t>
  </si>
  <si>
    <t xml:space="preserve">  Vacuum Vessel</t>
  </si>
  <si>
    <t xml:space="preserve">  Conventional Coils</t>
  </si>
  <si>
    <t xml:space="preserve">  Modular Coils</t>
  </si>
  <si>
    <t xml:space="preserve">  Structures</t>
  </si>
  <si>
    <t xml:space="preserve">  Coil Services</t>
  </si>
  <si>
    <t xml:space="preserve">  Cryostat &amp; Base Support Structure</t>
  </si>
  <si>
    <t xml:space="preserve">  Field Period Assembly</t>
  </si>
  <si>
    <t xml:space="preserve">  Stellarator Core Mgmt &amp; Integr</t>
  </si>
  <si>
    <t>Auxiliary Systems</t>
  </si>
  <si>
    <t>Diagnostics</t>
  </si>
  <si>
    <t>Electrical Power Systems</t>
  </si>
  <si>
    <t>I&amp;C Systems</t>
  </si>
  <si>
    <t>Facility Systems</t>
  </si>
  <si>
    <t>Test Cell Prep &amp; Machine Assy</t>
  </si>
  <si>
    <t xml:space="preserve">  Project Management and Oversight</t>
  </si>
  <si>
    <t xml:space="preserve">  Project Engineering</t>
  </si>
  <si>
    <t xml:space="preserve">  Integrated Systems Testing</t>
  </si>
  <si>
    <t>August 2007 (ETC from 5/1/07)</t>
  </si>
  <si>
    <t>March 2008 (ETC from 5/1/07)</t>
  </si>
  <si>
    <t xml:space="preserve">  Cryostat &amp; Base Suprt Structure</t>
  </si>
  <si>
    <t>New Scope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</si>
</sst>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m/d/yy;@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&quot;$&quot;#,##0"/>
    <numFmt numFmtId="171" formatCode="0.000"/>
    <numFmt numFmtId="172" formatCode="0.0"/>
    <numFmt numFmtId="173" formatCode="0.0000"/>
  </numFmts>
  <fonts count="2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75"/>
      <name val="Arial"/>
      <family val="0"/>
    </font>
    <font>
      <sz val="18"/>
      <name val="Arial"/>
      <family val="2"/>
    </font>
    <font>
      <sz val="14"/>
      <name val="Arial"/>
      <family val="2"/>
    </font>
    <font>
      <b/>
      <sz val="14.75"/>
      <name val="Arial"/>
      <family val="0"/>
    </font>
    <font>
      <b/>
      <sz val="14"/>
      <name val="Arial"/>
      <family val="2"/>
    </font>
    <font>
      <sz val="20"/>
      <name val="Arial"/>
      <family val="2"/>
    </font>
    <font>
      <b/>
      <sz val="8.75"/>
      <name val="Arial"/>
      <family val="0"/>
    </font>
    <font>
      <sz val="8"/>
      <name val="Arial"/>
      <family val="0"/>
    </font>
    <font>
      <sz val="10.25"/>
      <name val="Arial"/>
      <family val="2"/>
    </font>
    <font>
      <b/>
      <sz val="17.25"/>
      <name val="Arial"/>
      <family val="2"/>
    </font>
    <font>
      <sz val="19.75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6" fontId="0" fillId="0" borderId="0" xfId="0" applyNumberFormat="1" applyAlignment="1">
      <alignment wrapText="1"/>
    </xf>
    <xf numFmtId="168" fontId="0" fillId="0" borderId="0" xfId="15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0" fontId="0" fillId="0" borderId="2" xfId="0" applyBorder="1" applyAlignment="1">
      <alignment horizontal="centerContinuous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 horizontal="right" wrapText="1"/>
    </xf>
    <xf numFmtId="9" fontId="1" fillId="0" borderId="0" xfId="0" applyNumberFormat="1" applyFont="1" applyAlignment="1">
      <alignment horizontal="right" vertical="top" wrapText="1"/>
    </xf>
    <xf numFmtId="9" fontId="0" fillId="0" borderId="0" xfId="0" applyNumberFormat="1" applyAlignment="1">
      <alignment wrapText="1"/>
    </xf>
    <xf numFmtId="9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9" fontId="2" fillId="0" borderId="0" xfId="0" applyNumberFormat="1" applyFont="1" applyAlignment="1">
      <alignment wrapText="1"/>
    </xf>
    <xf numFmtId="166" fontId="0" fillId="0" borderId="0" xfId="0" applyNumberFormat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9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1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9" fontId="1" fillId="0" borderId="0" xfId="21" applyFont="1" applyAlignment="1">
      <alignment wrapText="1"/>
    </xf>
    <xf numFmtId="0" fontId="0" fillId="2" borderId="0" xfId="0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right"/>
    </xf>
    <xf numFmtId="9" fontId="1" fillId="2" borderId="0" xfId="0" applyNumberFormat="1" applyFont="1" applyFill="1" applyAlignment="1">
      <alignment wrapText="1"/>
    </xf>
    <xf numFmtId="9" fontId="1" fillId="2" borderId="0" xfId="0" applyNumberFormat="1" applyFont="1" applyFill="1" applyAlignment="1">
      <alignment horizontal="right" wrapText="1"/>
    </xf>
    <xf numFmtId="1" fontId="1" fillId="2" borderId="0" xfId="0" applyNumberFormat="1" applyFont="1" applyFill="1" applyAlignment="1">
      <alignment wrapText="1"/>
    </xf>
    <xf numFmtId="1" fontId="0" fillId="2" borderId="0" xfId="0" applyNumberFormat="1" applyFill="1" applyAlignment="1">
      <alignment wrapText="1"/>
    </xf>
    <xf numFmtId="9" fontId="8" fillId="2" borderId="0" xfId="0" applyNumberFormat="1" applyFont="1" applyFill="1" applyAlignment="1">
      <alignment wrapText="1"/>
    </xf>
    <xf numFmtId="0" fontId="0" fillId="0" borderId="0" xfId="0" applyAlignment="1">
      <alignment vertical="distributed" wrapText="1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left" wrapText="1"/>
    </xf>
    <xf numFmtId="170" fontId="0" fillId="0" borderId="0" xfId="0" applyNumberFormat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9" fontId="15" fillId="0" borderId="0" xfId="0" applyNumberFormat="1" applyFont="1" applyFill="1" applyBorder="1" applyAlignment="1">
      <alignment wrapText="1"/>
    </xf>
    <xf numFmtId="170" fontId="15" fillId="0" borderId="0" xfId="0" applyNumberFormat="1" applyFont="1" applyFill="1" applyBorder="1" applyAlignment="1">
      <alignment horizontal="center" vertical="top"/>
    </xf>
    <xf numFmtId="0" fontId="0" fillId="0" borderId="1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168" fontId="1" fillId="2" borderId="0" xfId="15" applyNumberFormat="1" applyFont="1" applyFill="1" applyAlignment="1">
      <alignment wrapText="1"/>
    </xf>
    <xf numFmtId="168" fontId="1" fillId="2" borderId="0" xfId="15" applyNumberFormat="1" applyFont="1" applyFill="1" applyAlignment="1">
      <alignment horizontal="right"/>
    </xf>
    <xf numFmtId="0" fontId="0" fillId="3" borderId="0" xfId="0" applyFill="1" applyAlignment="1">
      <alignment wrapText="1"/>
    </xf>
    <xf numFmtId="168" fontId="1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68" fontId="2" fillId="0" borderId="0" xfId="15" applyNumberFormat="1" applyFont="1" applyAlignment="1">
      <alignment wrapText="1"/>
    </xf>
    <xf numFmtId="1" fontId="1" fillId="0" borderId="0" xfId="0" applyNumberFormat="1" applyFont="1" applyAlignment="1">
      <alignment/>
    </xf>
    <xf numFmtId="0" fontId="8" fillId="0" borderId="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vertical="top"/>
    </xf>
    <xf numFmtId="170" fontId="8" fillId="0" borderId="0" xfId="0" applyNumberFormat="1" applyFont="1" applyFill="1" applyBorder="1" applyAlignment="1">
      <alignment horizontal="center" vertical="top"/>
    </xf>
    <xf numFmtId="9" fontId="8" fillId="0" borderId="0" xfId="21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8" fillId="0" borderId="0" xfId="0" applyFont="1" applyFill="1" applyBorder="1" applyAlignment="1">
      <alignment vertical="top" wrapText="1"/>
    </xf>
    <xf numFmtId="9" fontId="1" fillId="0" borderId="8" xfId="0" applyNumberFormat="1" applyFont="1" applyBorder="1" applyAlignment="1">
      <alignment wrapText="1"/>
    </xf>
    <xf numFmtId="9" fontId="1" fillId="0" borderId="9" xfId="0" applyNumberFormat="1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170" fontId="6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6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9" fontId="8" fillId="0" borderId="2" xfId="0" applyNumberFormat="1" applyFont="1" applyFill="1" applyBorder="1" applyAlignment="1">
      <alignment wrapText="1"/>
    </xf>
    <xf numFmtId="9" fontId="8" fillId="0" borderId="11" xfId="21" applyFont="1" applyFill="1" applyBorder="1" applyAlignment="1">
      <alignment wrapText="1"/>
    </xf>
    <xf numFmtId="9" fontId="8" fillId="0" borderId="0" xfId="21" applyFont="1" applyFill="1" applyBorder="1" applyAlignment="1">
      <alignment wrapText="1"/>
    </xf>
    <xf numFmtId="9" fontId="8" fillId="0" borderId="12" xfId="0" applyNumberFormat="1" applyFont="1" applyFill="1" applyBorder="1" applyAlignment="1">
      <alignment wrapText="1"/>
    </xf>
    <xf numFmtId="9" fontId="8" fillId="0" borderId="13" xfId="21" applyFont="1" applyFill="1" applyBorder="1" applyAlignment="1">
      <alignment wrapText="1"/>
    </xf>
    <xf numFmtId="170" fontId="6" fillId="0" borderId="0" xfId="0" applyNumberFormat="1" applyFont="1" applyAlignment="1">
      <alignment wrapText="1"/>
    </xf>
    <xf numFmtId="9" fontId="18" fillId="0" borderId="7" xfId="21" applyNumberFormat="1" applyFont="1" applyFill="1" applyBorder="1" applyAlignment="1">
      <alignment horizontal="center" vertical="top"/>
    </xf>
    <xf numFmtId="169" fontId="18" fillId="0" borderId="0" xfId="0" applyNumberFormat="1" applyFont="1" applyAlignment="1">
      <alignment wrapText="1"/>
    </xf>
    <xf numFmtId="9" fontId="19" fillId="0" borderId="0" xfId="21" applyFont="1" applyAlignment="1">
      <alignment wrapText="1"/>
    </xf>
    <xf numFmtId="0" fontId="6" fillId="0" borderId="2" xfId="0" applyFont="1" applyBorder="1" applyAlignment="1">
      <alignment wrapText="1"/>
    </xf>
    <xf numFmtId="9" fontId="8" fillId="0" borderId="12" xfId="21" applyFont="1" applyFill="1" applyBorder="1" applyAlignment="1">
      <alignment wrapText="1"/>
    </xf>
    <xf numFmtId="17" fontId="0" fillId="0" borderId="5" xfId="0" applyNumberFormat="1" applyBorder="1" applyAlignment="1" quotePrefix="1">
      <alignment horizontal="center" vertical="center" wrapText="1"/>
    </xf>
    <xf numFmtId="9" fontId="18" fillId="0" borderId="6" xfId="21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 wrapText="1"/>
    </xf>
    <xf numFmtId="170" fontId="6" fillId="0" borderId="15" xfId="0" applyNumberFormat="1" applyFont="1" applyFill="1" applyBorder="1" applyAlignment="1">
      <alignment horizontal="center" vertical="top"/>
    </xf>
    <xf numFmtId="170" fontId="15" fillId="0" borderId="15" xfId="0" applyNumberFormat="1" applyFont="1" applyFill="1" applyBorder="1" applyAlignment="1">
      <alignment horizontal="center" vertical="top"/>
    </xf>
    <xf numFmtId="9" fontId="8" fillId="0" borderId="16" xfId="21" applyFont="1" applyFill="1" applyBorder="1" applyAlignment="1">
      <alignment wrapText="1"/>
    </xf>
    <xf numFmtId="9" fontId="8" fillId="0" borderId="15" xfId="21" applyFont="1" applyFill="1" applyBorder="1" applyAlignment="1">
      <alignment wrapText="1"/>
    </xf>
    <xf numFmtId="9" fontId="8" fillId="0" borderId="17" xfId="21" applyFont="1" applyFill="1" applyBorder="1" applyAlignment="1">
      <alignment wrapText="1"/>
    </xf>
    <xf numFmtId="9" fontId="8" fillId="0" borderId="17" xfId="0" applyNumberFormat="1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 wrapText="1"/>
    </xf>
    <xf numFmtId="0" fontId="15" fillId="0" borderId="15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top"/>
    </xf>
    <xf numFmtId="170" fontId="0" fillId="0" borderId="15" xfId="0" applyNumberFormat="1" applyBorder="1" applyAlignment="1">
      <alignment wrapText="1"/>
    </xf>
    <xf numFmtId="0" fontId="6" fillId="0" borderId="14" xfId="0" applyFont="1" applyBorder="1" applyAlignment="1">
      <alignment horizontal="right" vertical="top"/>
    </xf>
    <xf numFmtId="0" fontId="6" fillId="0" borderId="15" xfId="0" applyFont="1" applyFill="1" applyBorder="1" applyAlignment="1">
      <alignment vertical="top" wrapText="1"/>
    </xf>
    <xf numFmtId="170" fontId="6" fillId="0" borderId="18" xfId="0" applyNumberFormat="1" applyFont="1" applyFill="1" applyBorder="1" applyAlignment="1">
      <alignment horizontal="center" vertical="top"/>
    </xf>
    <xf numFmtId="0" fontId="6" fillId="0" borderId="19" xfId="0" applyFont="1" applyBorder="1" applyAlignment="1">
      <alignment vertical="top"/>
    </xf>
    <xf numFmtId="0" fontId="6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horizontal="right" vertical="top"/>
    </xf>
    <xf numFmtId="0" fontId="1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What happened since the last Lehman Review?
Evaluation of 67% of the EAC Increase</a:t>
            </a:r>
          </a:p>
        </c:rich>
      </c:tx>
      <c:layout>
        <c:manualLayout>
          <c:xMode val="factor"/>
          <c:yMode val="factor"/>
          <c:x val="-0.16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715"/>
          <c:w val="0.5745"/>
          <c:h val="0.75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000000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Sheet1!$E$37:$J$37</c:f>
              <c:strCache/>
            </c:strRef>
          </c:cat>
          <c:val>
            <c:numRef>
              <c:f>Sheet1!$E$38:$J$38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5"/>
          <c:y val="0.0485"/>
          <c:w val="0.3175"/>
          <c:h val="0.8972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What happened since the last Lehman Review?
Evaluation of 67% of the EAC Increase</a:t>
            </a:r>
          </a:p>
        </c:rich>
      </c:tx>
      <c:layout>
        <c:manualLayout>
          <c:xMode val="factor"/>
          <c:yMode val="factor"/>
          <c:x val="-0.16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87"/>
          <c:w val="0.614"/>
          <c:h val="0.74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Sheet1!$E$37:$J$37</c:f>
              <c:strCache>
                <c:ptCount val="6"/>
                <c:pt idx="0">
                  <c:v> Corrections</c:v>
                </c:pt>
                <c:pt idx="1">
                  <c:v>Design Maturity</c:v>
                </c:pt>
                <c:pt idx="2">
                  <c:v>Risk Reduction</c:v>
                </c:pt>
                <c:pt idx="3">
                  <c:v>New Tasks</c:v>
                </c:pt>
                <c:pt idx="4">
                  <c:v>Schedule Stretch</c:v>
                </c:pt>
                <c:pt idx="5">
                  <c:v>Procurement</c:v>
                </c:pt>
              </c:strCache>
            </c:strRef>
          </c:cat>
          <c:val>
            <c:numRef>
              <c:f>Sheet1!$E$38:$J$38</c:f>
              <c:numCache>
                <c:ptCount val="6"/>
                <c:pt idx="0">
                  <c:v>0.23956315867596856</c:v>
                </c:pt>
                <c:pt idx="1">
                  <c:v>0.12382930087576072</c:v>
                </c:pt>
                <c:pt idx="2">
                  <c:v>0.17728120825293156</c:v>
                </c:pt>
                <c:pt idx="3">
                  <c:v>0.2812474395131364</c:v>
                </c:pt>
                <c:pt idx="4">
                  <c:v>0.16375500964821135</c:v>
                </c:pt>
                <c:pt idx="5">
                  <c:v>0.01432388303399139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75"/>
          <c:y val="0.055"/>
          <c:w val="0.2805"/>
          <c:h val="0.896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What happened since the last Lehman Review?
Evaluation of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90%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of the EAC Increase</a:t>
            </a:r>
          </a:p>
        </c:rich>
      </c:tx>
      <c:layout>
        <c:manualLayout>
          <c:xMode val="factor"/>
          <c:yMode val="factor"/>
          <c:x val="-0.16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73"/>
          <c:w val="0.651"/>
          <c:h val="0.75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rls!$E$51:$J$51</c:f>
              <c:strCache/>
            </c:strRef>
          </c:cat>
          <c:val>
            <c:numRef>
              <c:f>rls!$E$52:$J$52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"/>
          <c:w val="0.22825"/>
          <c:h val="1"/>
        </c:manualLayout>
      </c:layout>
      <c:overlay val="0"/>
      <c:spPr>
        <a:solidFill>
          <a:srgbClr val="FFFF99"/>
        </a:solidFill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What happened since the last Lehman Review?
Evaluation of 67% of the EAC Increase</a:t>
            </a:r>
          </a:p>
        </c:rich>
      </c:tx>
      <c:layout>
        <c:manualLayout>
          <c:xMode val="factor"/>
          <c:yMode val="factor"/>
          <c:x val="-0.16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5175"/>
          <c:w val="0.46525"/>
          <c:h val="0.78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Sheet1!$E$37:$J$37</c:f>
              <c:strCache>
                <c:ptCount val="6"/>
                <c:pt idx="0">
                  <c:v> Corrections</c:v>
                </c:pt>
                <c:pt idx="1">
                  <c:v>Design Maturity</c:v>
                </c:pt>
                <c:pt idx="2">
                  <c:v>Risk Reduction</c:v>
                </c:pt>
                <c:pt idx="3">
                  <c:v>New Tasks</c:v>
                </c:pt>
                <c:pt idx="4">
                  <c:v>Schedule Stretch</c:v>
                </c:pt>
                <c:pt idx="5">
                  <c:v>Procurement</c:v>
                </c:pt>
              </c:strCache>
            </c:strRef>
          </c:cat>
          <c:val>
            <c:numRef>
              <c:f>Sheet1!$E$38:$J$38</c:f>
              <c:numCache>
                <c:ptCount val="6"/>
                <c:pt idx="0">
                  <c:v>0.23956315867596856</c:v>
                </c:pt>
                <c:pt idx="1">
                  <c:v>0.12382930087576072</c:v>
                </c:pt>
                <c:pt idx="2">
                  <c:v>0.17728120825293156</c:v>
                </c:pt>
                <c:pt idx="3">
                  <c:v>0.2812474395131364</c:v>
                </c:pt>
                <c:pt idx="4">
                  <c:v>0.16375500964821135</c:v>
                </c:pt>
                <c:pt idx="5">
                  <c:v>0.01432388303399139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55"/>
          <c:y val="0.06425"/>
          <c:w val="0.4685"/>
          <c:h val="0.896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Increases from the August 2007 Lehman Review
</a:t>
            </a:r>
          </a:p>
        </c:rich>
      </c:tx>
      <c:layout>
        <c:manualLayout>
          <c:xMode val="factor"/>
          <c:yMode val="factor"/>
          <c:x val="-0.16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75"/>
          <c:y val="0.1425"/>
          <c:w val="0.35375"/>
          <c:h val="0.77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x!$G$73:$L$73</c:f>
              <c:strCache>
                <c:ptCount val="6"/>
                <c:pt idx="0">
                  <c:v> Corrections</c:v>
                </c:pt>
                <c:pt idx="1">
                  <c:v>Design Maturity</c:v>
                </c:pt>
                <c:pt idx="2">
                  <c:v>Risk Reduction</c:v>
                </c:pt>
                <c:pt idx="3">
                  <c:v>New Tasks</c:v>
                </c:pt>
                <c:pt idx="4">
                  <c:v>Schedule Stretch</c:v>
                </c:pt>
                <c:pt idx="5">
                  <c:v>other</c:v>
                </c:pt>
              </c:strCache>
            </c:strRef>
          </c:cat>
          <c:val>
            <c:numRef>
              <c:f>x!$G$74:$L$74</c:f>
              <c:numCache>
                <c:ptCount val="6"/>
                <c:pt idx="0">
                  <c:v>0.19054040713395592</c:v>
                </c:pt>
                <c:pt idx="1">
                  <c:v>0.14995194372584214</c:v>
                </c:pt>
                <c:pt idx="2">
                  <c:v>0.1595780565128547</c:v>
                </c:pt>
                <c:pt idx="3">
                  <c:v>0.3010209308599935</c:v>
                </c:pt>
                <c:pt idx="4">
                  <c:v>0.18930483342290133</c:v>
                </c:pt>
                <c:pt idx="5">
                  <c:v>0.00960382834445241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Increases from the August 2007 Lehman Review
</a:t>
            </a:r>
          </a:p>
        </c:rich>
      </c:tx>
      <c:layout>
        <c:manualLayout>
          <c:xMode val="factor"/>
          <c:yMode val="factor"/>
          <c:x val="-0.16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"/>
          <c:y val="0.1225"/>
          <c:w val="0.351"/>
          <c:h val="0.75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x!$G$73:$L$73</c:f>
              <c:strCache>
                <c:ptCount val="6"/>
                <c:pt idx="0">
                  <c:v> Corrections</c:v>
                </c:pt>
                <c:pt idx="1">
                  <c:v>Design Maturity</c:v>
                </c:pt>
                <c:pt idx="2">
                  <c:v>Risk Reduction</c:v>
                </c:pt>
                <c:pt idx="3">
                  <c:v>New Tasks</c:v>
                </c:pt>
                <c:pt idx="4">
                  <c:v>Schedule Stretch</c:v>
                </c:pt>
                <c:pt idx="5">
                  <c:v>other</c:v>
                </c:pt>
              </c:strCache>
            </c:strRef>
          </c:cat>
          <c:val>
            <c:numRef>
              <c:f>x!$G$74:$L$74</c:f>
              <c:numCache>
                <c:ptCount val="6"/>
                <c:pt idx="0">
                  <c:v>0.19054040713395592</c:v>
                </c:pt>
                <c:pt idx="1">
                  <c:v>0.14995194372584214</c:v>
                </c:pt>
                <c:pt idx="2">
                  <c:v>0.1595780565128547</c:v>
                </c:pt>
                <c:pt idx="3">
                  <c:v>0.3010209308599935</c:v>
                </c:pt>
                <c:pt idx="4">
                  <c:v>0.18930483342290133</c:v>
                </c:pt>
                <c:pt idx="5">
                  <c:v>0.00960382834445241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x!$G$96:$K$96</c:f>
              <c:strCache>
                <c:ptCount val="5"/>
                <c:pt idx="0">
                  <c:v> Corrections</c:v>
                </c:pt>
                <c:pt idx="1">
                  <c:v>Design Maturity</c:v>
                </c:pt>
                <c:pt idx="2">
                  <c:v>Risk Reduction</c:v>
                </c:pt>
                <c:pt idx="3">
                  <c:v>New Scope</c:v>
                </c:pt>
                <c:pt idx="4">
                  <c:v>Schedule Stretch</c:v>
                </c:pt>
              </c:strCache>
            </c:strRef>
          </c:cat>
          <c:val>
            <c:numRef>
              <c:f>x!$G$114:$K$114</c:f>
              <c:numCache>
                <c:ptCount val="5"/>
                <c:pt idx="0">
                  <c:v>0.1910982249040403</c:v>
                </c:pt>
                <c:pt idx="1">
                  <c:v>0.17570752807782594</c:v>
                </c:pt>
                <c:pt idx="2">
                  <c:v>0.1737939853758683</c:v>
                </c:pt>
                <c:pt idx="3">
                  <c:v>0.30662566600539204</c:v>
                </c:pt>
                <c:pt idx="4">
                  <c:v>0.1527745956368736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39</xdr:row>
      <xdr:rowOff>76200</xdr:rowOff>
    </xdr:from>
    <xdr:to>
      <xdr:col>12</xdr:col>
      <xdr:colOff>333375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5238750" y="9096375"/>
        <a:ext cx="67627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82</xdr:row>
      <xdr:rowOff>66675</xdr:rowOff>
    </xdr:from>
    <xdr:to>
      <xdr:col>5</xdr:col>
      <xdr:colOff>390525</xdr:colOff>
      <xdr:row>110</xdr:row>
      <xdr:rowOff>38100</xdr:rowOff>
    </xdr:to>
    <xdr:graphicFrame>
      <xdr:nvGraphicFramePr>
        <xdr:cNvPr id="1" name="Chart 1"/>
        <xdr:cNvGraphicFramePr/>
      </xdr:nvGraphicFramePr>
      <xdr:xfrm>
        <a:off x="190500" y="15982950"/>
        <a:ext cx="76581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52</xdr:row>
      <xdr:rowOff>123825</xdr:rowOff>
    </xdr:from>
    <xdr:to>
      <xdr:col>14</xdr:col>
      <xdr:colOff>9525</xdr:colOff>
      <xdr:row>77</xdr:row>
      <xdr:rowOff>104775</xdr:rowOff>
    </xdr:to>
    <xdr:graphicFrame>
      <xdr:nvGraphicFramePr>
        <xdr:cNvPr id="2" name="Chart 2"/>
        <xdr:cNvGraphicFramePr/>
      </xdr:nvGraphicFramePr>
      <xdr:xfrm>
        <a:off x="8382000" y="10725150"/>
        <a:ext cx="880110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158</xdr:row>
      <xdr:rowOff>38100</xdr:rowOff>
    </xdr:from>
    <xdr:to>
      <xdr:col>6</xdr:col>
      <xdr:colOff>790575</xdr:colOff>
      <xdr:row>186</xdr:row>
      <xdr:rowOff>9525</xdr:rowOff>
    </xdr:to>
    <xdr:graphicFrame>
      <xdr:nvGraphicFramePr>
        <xdr:cNvPr id="1" name="Chart 1"/>
        <xdr:cNvGraphicFramePr/>
      </xdr:nvGraphicFramePr>
      <xdr:xfrm>
        <a:off x="276225" y="37595175"/>
        <a:ext cx="46101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17</xdr:col>
      <xdr:colOff>161925</xdr:colOff>
      <xdr:row>111</xdr:row>
      <xdr:rowOff>57150</xdr:rowOff>
    </xdr:from>
    <xdr:to>
      <xdr:col>24</xdr:col>
      <xdr:colOff>828675</xdr:colOff>
      <xdr:row>146</xdr:row>
      <xdr:rowOff>38100</xdr:rowOff>
    </xdr:to>
    <xdr:graphicFrame>
      <xdr:nvGraphicFramePr>
        <xdr:cNvPr id="2" name="Chart 2"/>
        <xdr:cNvGraphicFramePr/>
      </xdr:nvGraphicFramePr>
      <xdr:xfrm>
        <a:off x="13896975" y="29251275"/>
        <a:ext cx="8801100" cy="640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11</xdr:col>
      <xdr:colOff>628650</xdr:colOff>
      <xdr:row>124</xdr:row>
      <xdr:rowOff>9525</xdr:rowOff>
    </xdr:from>
    <xdr:to>
      <xdr:col>16</xdr:col>
      <xdr:colOff>1009650</xdr:colOff>
      <xdr:row>151</xdr:row>
      <xdr:rowOff>133350</xdr:rowOff>
    </xdr:to>
    <xdr:graphicFrame>
      <xdr:nvGraphicFramePr>
        <xdr:cNvPr id="3" name="Chart 3"/>
        <xdr:cNvGraphicFramePr/>
      </xdr:nvGraphicFramePr>
      <xdr:xfrm>
        <a:off x="8705850" y="31927800"/>
        <a:ext cx="4505325" cy="4629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95250</xdr:colOff>
      <xdr:row>94</xdr:row>
      <xdr:rowOff>85725</xdr:rowOff>
    </xdr:from>
    <xdr:to>
      <xdr:col>20</xdr:col>
      <xdr:colOff>952500</xdr:colOff>
      <xdr:row>122</xdr:row>
      <xdr:rowOff>104775</xdr:rowOff>
    </xdr:to>
    <xdr:graphicFrame>
      <xdr:nvGraphicFramePr>
        <xdr:cNvPr id="4" name="Chart 4"/>
        <xdr:cNvGraphicFramePr/>
      </xdr:nvGraphicFramePr>
      <xdr:xfrm>
        <a:off x="9467850" y="24564975"/>
        <a:ext cx="8705850" cy="7115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strykowsky\Desktop\OECM%202008%20review\Coward%20review%20material\NCSX%20Performance%20and%20EAC%20Summary%20Tables%20MASTER%20200803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FY08"/>
      <sheetName val="Summary"/>
      <sheetName val="BCWS by JOB"/>
      <sheetName val="FY08 MR worksheet"/>
      <sheetName val="ACWP by JOB"/>
      <sheetName val="BCWP by JOB"/>
      <sheetName val="critical path watch list"/>
      <sheetName val="FUNDING PROFILE"/>
      <sheetName val="Procurement free float"/>
      <sheetName val="EAC MASTER"/>
      <sheetName val="bottoms-up ETC"/>
      <sheetName val="COST PERFORMANCE BY RLM &amp; JOB"/>
      <sheetName val="TOTAL PROJECT REPORT"/>
      <sheetName val="Monthly Report-JIM"/>
      <sheetName val="Monthly Report-LARRY"/>
      <sheetName val="Monthly Report- PHIL"/>
      <sheetName val="Monthly Report-AL"/>
      <sheetName val="Contingency"/>
      <sheetName val="EAC calculation"/>
      <sheetName val="Summary analysis"/>
      <sheetName val="Baseline Reconciliation"/>
    </sheetNames>
    <sheetDataSet>
      <sheetData sheetId="12">
        <row r="14">
          <cell r="S14">
            <v>408</v>
          </cell>
          <cell r="AB14">
            <v>463.8109061597236</v>
          </cell>
        </row>
        <row r="15">
          <cell r="S15">
            <v>-252</v>
          </cell>
          <cell r="AB15">
            <v>-251.77029999848764</v>
          </cell>
        </row>
        <row r="18">
          <cell r="S18">
            <v>350</v>
          </cell>
          <cell r="AB18">
            <v>271.61339687830605</v>
          </cell>
        </row>
        <row r="19">
          <cell r="S19">
            <v>1039</v>
          </cell>
          <cell r="AB19">
            <v>1569.11489</v>
          </cell>
        </row>
        <row r="20">
          <cell r="S20">
            <v>2867</v>
          </cell>
          <cell r="AB20">
            <v>2623.464693632146</v>
          </cell>
        </row>
        <row r="21">
          <cell r="S21">
            <v>501</v>
          </cell>
          <cell r="AB21">
            <v>715.6449940026223</v>
          </cell>
        </row>
        <row r="28">
          <cell r="S28">
            <v>291</v>
          </cell>
          <cell r="AB28">
            <v>558.0566203844124</v>
          </cell>
        </row>
        <row r="29">
          <cell r="S29">
            <v>31</v>
          </cell>
          <cell r="AB29">
            <v>29</v>
          </cell>
        </row>
        <row r="30">
          <cell r="S30">
            <v>263</v>
          </cell>
          <cell r="AB30">
            <v>257</v>
          </cell>
        </row>
        <row r="31">
          <cell r="S31">
            <v>132</v>
          </cell>
          <cell r="AB31">
            <v>147.40821395875065</v>
          </cell>
        </row>
        <row r="33">
          <cell r="S33">
            <v>655</v>
          </cell>
          <cell r="AB33">
            <v>983</v>
          </cell>
        </row>
        <row r="34">
          <cell r="S34">
            <v>105</v>
          </cell>
          <cell r="AB34">
            <v>109</v>
          </cell>
        </row>
        <row r="35">
          <cell r="S35">
            <v>573</v>
          </cell>
          <cell r="AB35">
            <v>633</v>
          </cell>
        </row>
        <row r="36">
          <cell r="S36">
            <v>204</v>
          </cell>
          <cell r="AB36">
            <v>214</v>
          </cell>
        </row>
        <row r="37">
          <cell r="S37">
            <v>1417</v>
          </cell>
          <cell r="AB37">
            <v>2069.9247457022343</v>
          </cell>
        </row>
        <row r="38">
          <cell r="S38">
            <v>1407</v>
          </cell>
          <cell r="AB38">
            <v>1323</v>
          </cell>
        </row>
        <row r="39">
          <cell r="S39">
            <v>4511</v>
          </cell>
          <cell r="AB39">
            <v>4318</v>
          </cell>
        </row>
        <row r="40">
          <cell r="S40">
            <v>412</v>
          </cell>
          <cell r="AB40">
            <v>406</v>
          </cell>
        </row>
        <row r="43">
          <cell r="S43">
            <v>257</v>
          </cell>
          <cell r="AB43">
            <v>165.03300320238492</v>
          </cell>
        </row>
        <row r="44">
          <cell r="S44">
            <v>1630</v>
          </cell>
          <cell r="AB44">
            <v>1652.832</v>
          </cell>
        </row>
        <row r="45">
          <cell r="S45">
            <v>337</v>
          </cell>
          <cell r="AB45">
            <v>356</v>
          </cell>
        </row>
        <row r="47">
          <cell r="S47">
            <v>73</v>
          </cell>
          <cell r="AB47">
            <v>110</v>
          </cell>
        </row>
        <row r="48">
          <cell r="S48">
            <v>1003</v>
          </cell>
          <cell r="AB48">
            <v>1101.5475264827978</v>
          </cell>
        </row>
        <row r="49">
          <cell r="S49">
            <v>-36</v>
          </cell>
        </row>
        <row r="50">
          <cell r="S50">
            <v>-80</v>
          </cell>
          <cell r="AB50">
            <v>-65.11263713691103</v>
          </cell>
        </row>
        <row r="51">
          <cell r="S51">
            <v>280</v>
          </cell>
          <cell r="AB51">
            <v>324.26588</v>
          </cell>
        </row>
        <row r="52">
          <cell r="S52">
            <v>1207</v>
          </cell>
          <cell r="AB52">
            <v>1089.0957076727493</v>
          </cell>
        </row>
        <row r="53">
          <cell r="S53">
            <v>118</v>
          </cell>
          <cell r="AB53">
            <v>114.6232157124458</v>
          </cell>
        </row>
        <row r="54">
          <cell r="S54">
            <v>186</v>
          </cell>
          <cell r="AB54">
            <v>327.5641054058865</v>
          </cell>
        </row>
        <row r="55">
          <cell r="S55">
            <v>1076</v>
          </cell>
          <cell r="AB55">
            <v>1451</v>
          </cell>
        </row>
        <row r="57">
          <cell r="S57">
            <v>207</v>
          </cell>
          <cell r="AB57">
            <v>407.23322140145746</v>
          </cell>
        </row>
        <row r="58">
          <cell r="S58">
            <v>163</v>
          </cell>
          <cell r="AB58">
            <v>91.979</v>
          </cell>
        </row>
        <row r="59">
          <cell r="S59">
            <v>325</v>
          </cell>
          <cell r="AB59">
            <v>436</v>
          </cell>
        </row>
        <row r="60">
          <cell r="S60">
            <v>89</v>
          </cell>
          <cell r="AB60">
            <v>192</v>
          </cell>
        </row>
        <row r="61">
          <cell r="S61">
            <v>514</v>
          </cell>
          <cell r="AB61">
            <v>365.422</v>
          </cell>
        </row>
        <row r="65">
          <cell r="S65">
            <v>1154</v>
          </cell>
          <cell r="AB65">
            <v>1450.833298250104</v>
          </cell>
        </row>
        <row r="66">
          <cell r="S66">
            <v>598</v>
          </cell>
          <cell r="AB66">
            <v>674.7801077235146</v>
          </cell>
        </row>
        <row r="67">
          <cell r="S67">
            <v>19</v>
          </cell>
          <cell r="AB67">
            <v>55.446514202244316</v>
          </cell>
        </row>
        <row r="68">
          <cell r="S68">
            <v>121</v>
          </cell>
          <cell r="AB68">
            <v>193</v>
          </cell>
        </row>
        <row r="72">
          <cell r="S72">
            <v>55</v>
          </cell>
          <cell r="AB72">
            <v>45.897310000000004</v>
          </cell>
        </row>
        <row r="73">
          <cell r="S73">
            <v>603</v>
          </cell>
          <cell r="AB73">
            <v>585</v>
          </cell>
        </row>
        <row r="74">
          <cell r="S74">
            <v>1084</v>
          </cell>
          <cell r="AB74">
            <v>1057</v>
          </cell>
        </row>
        <row r="75">
          <cell r="S75">
            <v>683</v>
          </cell>
          <cell r="AB75">
            <v>881.4441911199534</v>
          </cell>
        </row>
        <row r="76">
          <cell r="S76">
            <v>150</v>
          </cell>
          <cell r="AB76">
            <v>222</v>
          </cell>
        </row>
        <row r="77">
          <cell r="S77">
            <v>196</v>
          </cell>
          <cell r="AB77">
            <v>411</v>
          </cell>
        </row>
        <row r="78">
          <cell r="S78">
            <v>165</v>
          </cell>
          <cell r="AB78">
            <v>165</v>
          </cell>
        </row>
        <row r="79">
          <cell r="S79">
            <v>205</v>
          </cell>
          <cell r="AB79">
            <v>357</v>
          </cell>
        </row>
        <row r="80">
          <cell r="S80">
            <v>129</v>
          </cell>
          <cell r="AB80">
            <v>503</v>
          </cell>
        </row>
        <row r="81">
          <cell r="S81">
            <v>222</v>
          </cell>
          <cell r="AB81">
            <v>374</v>
          </cell>
        </row>
        <row r="82">
          <cell r="S82">
            <v>69</v>
          </cell>
          <cell r="AB82">
            <v>65</v>
          </cell>
        </row>
        <row r="83">
          <cell r="S83">
            <v>765</v>
          </cell>
          <cell r="AB83">
            <v>771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4"/>
  <sheetViews>
    <sheetView zoomScale="75" zoomScaleNormal="75" workbookViewId="0" topLeftCell="A13">
      <selection activeCell="A13" sqref="A1:IV16384"/>
    </sheetView>
  </sheetViews>
  <sheetFormatPr defaultColWidth="9.140625" defaultRowHeight="12.75"/>
  <cols>
    <col min="1" max="1" width="53.28125" style="1" customWidth="1"/>
    <col min="2" max="2" width="11.8515625" style="4" customWidth="1"/>
    <col min="3" max="3" width="12.421875" style="4" customWidth="1"/>
    <col min="4" max="4" width="9.00390625" style="4" customWidth="1"/>
    <col min="5" max="5" width="11.8515625" style="4" customWidth="1"/>
    <col min="6" max="6" width="9.57421875" style="4" customWidth="1"/>
    <col min="7" max="7" width="12.140625" style="4" customWidth="1"/>
    <col min="8" max="8" width="10.7109375" style="4" customWidth="1"/>
    <col min="9" max="9" width="10.57421875" style="4" customWidth="1"/>
    <col min="10" max="10" width="13.8515625" style="4" customWidth="1"/>
    <col min="11" max="11" width="10.28125" style="4" customWidth="1"/>
    <col min="12" max="12" width="9.421875" style="4" customWidth="1"/>
    <col min="13" max="13" width="11.7109375" style="4" customWidth="1"/>
    <col min="14" max="16384" width="17.421875" style="4" customWidth="1"/>
  </cols>
  <sheetData>
    <row r="3" spans="1:5" ht="12.75">
      <c r="A3" s="25"/>
      <c r="B3" s="2"/>
      <c r="C3" s="2"/>
      <c r="D3" s="2"/>
      <c r="E3" s="3"/>
    </row>
    <row r="10" ht="13.5" thickBot="1"/>
    <row r="11" spans="1:14" ht="38.25">
      <c r="A11" s="26"/>
      <c r="B11" s="9"/>
      <c r="C11" s="9"/>
      <c r="D11" s="9"/>
      <c r="E11" s="5" t="s">
        <v>1</v>
      </c>
      <c r="F11" s="6"/>
      <c r="G11" s="5" t="s">
        <v>2</v>
      </c>
      <c r="H11" s="6"/>
      <c r="I11" s="9"/>
      <c r="J11" s="9"/>
      <c r="K11" s="9"/>
      <c r="L11" s="9"/>
      <c r="M11" s="9"/>
      <c r="N11" s="9"/>
    </row>
    <row r="12" spans="1:14" ht="115.5" thickBot="1">
      <c r="A12" s="11" t="s">
        <v>3</v>
      </c>
      <c r="B12" s="11" t="s">
        <v>4</v>
      </c>
      <c r="C12" s="11" t="s">
        <v>14</v>
      </c>
      <c r="D12" s="11" t="s">
        <v>5</v>
      </c>
      <c r="E12" s="7" t="s">
        <v>6</v>
      </c>
      <c r="F12" s="8" t="s">
        <v>7</v>
      </c>
      <c r="G12" s="7" t="s">
        <v>8</v>
      </c>
      <c r="H12" s="8" t="s">
        <v>0</v>
      </c>
      <c r="I12" s="10" t="s">
        <v>9</v>
      </c>
      <c r="J12" s="10" t="s">
        <v>10</v>
      </c>
      <c r="K12" s="10" t="s">
        <v>11</v>
      </c>
      <c r="L12" s="10" t="s">
        <v>12</v>
      </c>
      <c r="M12" s="10" t="s">
        <v>15</v>
      </c>
      <c r="N12" s="10" t="s">
        <v>13</v>
      </c>
    </row>
    <row r="13" spans="1:13" ht="15">
      <c r="A13" s="1" t="s">
        <v>18</v>
      </c>
      <c r="B13" s="12">
        <v>0</v>
      </c>
      <c r="C13" s="22">
        <v>508</v>
      </c>
      <c r="D13" s="14">
        <f aca="true" t="shared" si="0" ref="D13:D21">C13-B13</f>
        <v>508</v>
      </c>
      <c r="E13" s="18"/>
      <c r="F13" s="18"/>
      <c r="G13" s="18"/>
      <c r="H13" s="18"/>
      <c r="I13" s="18"/>
      <c r="J13" s="18">
        <v>1</v>
      </c>
      <c r="K13" s="18"/>
      <c r="L13" s="18"/>
      <c r="M13" s="18">
        <f>SUM(J13:L13)</f>
        <v>1</v>
      </c>
    </row>
    <row r="14" spans="1:13" ht="15">
      <c r="A14" s="1" t="s">
        <v>19</v>
      </c>
      <c r="B14" s="12">
        <v>0</v>
      </c>
      <c r="C14" s="22">
        <v>626</v>
      </c>
      <c r="D14" s="14">
        <f t="shared" si="0"/>
        <v>626</v>
      </c>
      <c r="E14" s="18"/>
      <c r="F14" s="18"/>
      <c r="G14" s="18"/>
      <c r="H14" s="18"/>
      <c r="I14" s="18"/>
      <c r="J14" s="18">
        <v>1</v>
      </c>
      <c r="K14" s="18"/>
      <c r="L14" s="18"/>
      <c r="M14" s="18">
        <f>SUM(J14:L14)</f>
        <v>1</v>
      </c>
    </row>
    <row r="15" spans="1:13" ht="15">
      <c r="A15" s="1" t="s">
        <v>20</v>
      </c>
      <c r="B15" s="12">
        <v>162</v>
      </c>
      <c r="C15" s="22">
        <v>1692</v>
      </c>
      <c r="D15" s="14">
        <f t="shared" si="0"/>
        <v>1530</v>
      </c>
      <c r="E15" s="18"/>
      <c r="F15" s="18"/>
      <c r="G15" s="18"/>
      <c r="H15" s="18"/>
      <c r="I15" s="18"/>
      <c r="J15" s="18">
        <v>1</v>
      </c>
      <c r="K15" s="18"/>
      <c r="L15" s="18"/>
      <c r="M15" s="18">
        <f>SUM(J15:L15)</f>
        <v>1</v>
      </c>
    </row>
    <row r="16" spans="1:13" ht="15">
      <c r="A16" s="1" t="s">
        <v>21</v>
      </c>
      <c r="B16" s="12">
        <f>1989+5745+1334</f>
        <v>9068</v>
      </c>
      <c r="C16" s="22">
        <v>14967</v>
      </c>
      <c r="D16" s="14">
        <f t="shared" si="0"/>
        <v>5899</v>
      </c>
      <c r="E16" s="28">
        <v>0.163</v>
      </c>
      <c r="F16" s="28">
        <v>0.163</v>
      </c>
      <c r="G16" s="28">
        <v>0.061</v>
      </c>
      <c r="H16" s="28">
        <v>0.163</v>
      </c>
      <c r="I16" s="28">
        <v>0.163</v>
      </c>
      <c r="J16" s="28">
        <v>0.102</v>
      </c>
      <c r="K16" s="28">
        <v>0.185</v>
      </c>
      <c r="L16" s="28"/>
      <c r="M16" s="18">
        <f aca="true" t="shared" si="1" ref="M16:M21">SUM(E16:L16)</f>
        <v>1</v>
      </c>
    </row>
    <row r="17" spans="1:14" ht="25.5">
      <c r="A17" s="1" t="s">
        <v>22</v>
      </c>
      <c r="B17" s="12">
        <v>522</v>
      </c>
      <c r="C17" s="22">
        <v>1294</v>
      </c>
      <c r="D17" s="22">
        <f t="shared" si="0"/>
        <v>772</v>
      </c>
      <c r="E17" s="18"/>
      <c r="F17" s="18">
        <v>0.05</v>
      </c>
      <c r="G17" s="18"/>
      <c r="H17" s="18">
        <v>0.3</v>
      </c>
      <c r="I17" s="18">
        <v>0.4</v>
      </c>
      <c r="J17" s="18"/>
      <c r="K17" s="18"/>
      <c r="L17" s="18">
        <v>0.25</v>
      </c>
      <c r="M17" s="18">
        <f t="shared" si="1"/>
        <v>1</v>
      </c>
      <c r="N17" s="4" t="s">
        <v>33</v>
      </c>
    </row>
    <row r="18" spans="1:13" ht="15">
      <c r="A18" s="1" t="s">
        <v>23</v>
      </c>
      <c r="B18" s="13">
        <v>1417</v>
      </c>
      <c r="C18" s="14">
        <v>2070</v>
      </c>
      <c r="D18" s="14">
        <f t="shared" si="0"/>
        <v>653</v>
      </c>
      <c r="E18" s="15"/>
      <c r="F18" s="15"/>
      <c r="G18" s="15"/>
      <c r="H18" s="15"/>
      <c r="I18" s="15"/>
      <c r="J18" s="16">
        <v>0.36</v>
      </c>
      <c r="K18" s="16">
        <v>0.64</v>
      </c>
      <c r="L18" s="15"/>
      <c r="M18" s="15">
        <f t="shared" si="1"/>
        <v>1</v>
      </c>
    </row>
    <row r="19" spans="1:13" ht="15">
      <c r="A19" s="1" t="s">
        <v>26</v>
      </c>
      <c r="B19" s="13">
        <v>1408</v>
      </c>
      <c r="C19" s="14">
        <v>2702</v>
      </c>
      <c r="D19" s="14">
        <f t="shared" si="0"/>
        <v>1294</v>
      </c>
      <c r="E19" s="15"/>
      <c r="F19" s="15">
        <v>0.8</v>
      </c>
      <c r="G19" s="15"/>
      <c r="H19" s="15"/>
      <c r="I19" s="15"/>
      <c r="J19" s="16">
        <v>0</v>
      </c>
      <c r="K19" s="16">
        <v>0.2</v>
      </c>
      <c r="L19" s="13"/>
      <c r="M19" s="15">
        <f t="shared" si="1"/>
        <v>1</v>
      </c>
    </row>
    <row r="20" spans="1:13" ht="15">
      <c r="A20" s="1" t="s">
        <v>24</v>
      </c>
      <c r="B20" s="13">
        <v>2649</v>
      </c>
      <c r="C20" s="14">
        <v>3804</v>
      </c>
      <c r="D20" s="14">
        <f t="shared" si="0"/>
        <v>1155</v>
      </c>
      <c r="E20" s="13">
        <v>0</v>
      </c>
      <c r="F20" s="15">
        <v>0.2</v>
      </c>
      <c r="G20" s="15">
        <v>0.1</v>
      </c>
      <c r="H20" s="15" t="s">
        <v>16</v>
      </c>
      <c r="I20" s="15">
        <v>0.25</v>
      </c>
      <c r="J20" s="15">
        <v>0.25</v>
      </c>
      <c r="K20" s="15">
        <v>0.2</v>
      </c>
      <c r="L20" s="15">
        <v>0</v>
      </c>
      <c r="M20" s="15">
        <f t="shared" si="1"/>
        <v>1</v>
      </c>
    </row>
    <row r="21" spans="1:13" ht="15">
      <c r="A21" s="1" t="s">
        <v>25</v>
      </c>
      <c r="B21" s="12">
        <v>3843</v>
      </c>
      <c r="C21" s="12">
        <v>4880</v>
      </c>
      <c r="D21" s="14">
        <f t="shared" si="0"/>
        <v>1037</v>
      </c>
      <c r="E21" s="12"/>
      <c r="F21" s="18">
        <v>0</v>
      </c>
      <c r="G21" s="18"/>
      <c r="H21" s="18"/>
      <c r="I21" s="18">
        <v>0.8</v>
      </c>
      <c r="J21" s="18"/>
      <c r="K21" s="18">
        <v>0.2</v>
      </c>
      <c r="L21" s="18"/>
      <c r="M21" s="15">
        <f t="shared" si="1"/>
        <v>1</v>
      </c>
    </row>
    <row r="22" spans="1:13" s="21" customFormat="1" ht="15.75">
      <c r="A22" s="20" t="s">
        <v>17</v>
      </c>
      <c r="B22" s="23">
        <f>SUM(B13:B21)</f>
        <v>19069</v>
      </c>
      <c r="C22" s="23">
        <f>SUM(C13:C21)</f>
        <v>32543</v>
      </c>
      <c r="D22" s="23">
        <f>SUM(D13:D21)</f>
        <v>13474</v>
      </c>
      <c r="E22" s="23"/>
      <c r="F22" s="24"/>
      <c r="G22" s="24"/>
      <c r="H22" s="24"/>
      <c r="I22" s="24"/>
      <c r="J22" s="24"/>
      <c r="K22" s="24"/>
      <c r="L22" s="24"/>
      <c r="M22" s="24"/>
    </row>
    <row r="23" spans="2:13" ht="1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4" ht="15">
      <c r="A24" s="1" t="str">
        <f>A13</f>
        <v>1260 Transition Ducts GORANSON</v>
      </c>
      <c r="B24" s="12">
        <f>B13</f>
        <v>0</v>
      </c>
      <c r="C24" s="22">
        <f>C13</f>
        <v>508</v>
      </c>
      <c r="D24" s="14">
        <f aca="true" t="shared" si="2" ref="D24:D32">C24-B24</f>
        <v>508</v>
      </c>
      <c r="E24" s="29">
        <f>E13*D13</f>
        <v>0</v>
      </c>
      <c r="F24" s="29">
        <f>F13*D13</f>
        <v>0</v>
      </c>
      <c r="G24" s="29">
        <f>G13*D13</f>
        <v>0</v>
      </c>
      <c r="H24" s="29">
        <f>H13*D13</f>
        <v>0</v>
      </c>
      <c r="I24" s="29">
        <f>I13*D13</f>
        <v>0</v>
      </c>
      <c r="J24" s="29">
        <f>J13*D13</f>
        <v>508</v>
      </c>
      <c r="K24" s="29">
        <f>K13*D13</f>
        <v>0</v>
      </c>
      <c r="L24" s="29">
        <f>L13*D13</f>
        <v>0</v>
      </c>
      <c r="M24" s="29">
        <f>SUM(E24:L24)</f>
        <v>508</v>
      </c>
      <c r="N24" s="30"/>
    </row>
    <row r="25" spans="1:14" ht="15">
      <c r="A25" s="1" t="str">
        <f>A14</f>
        <v>1270 Heater Controls GORANSON</v>
      </c>
      <c r="B25" s="12">
        <f aca="true" t="shared" si="3" ref="B25:C32">B14</f>
        <v>0</v>
      </c>
      <c r="C25" s="22">
        <f t="shared" si="3"/>
        <v>626</v>
      </c>
      <c r="D25" s="14">
        <f t="shared" si="2"/>
        <v>626</v>
      </c>
      <c r="E25" s="29">
        <f>E14*D14</f>
        <v>0</v>
      </c>
      <c r="F25" s="29">
        <f aca="true" t="shared" si="4" ref="F25:F32">F14*D14</f>
        <v>0</v>
      </c>
      <c r="G25" s="29">
        <f aca="true" t="shared" si="5" ref="G25:G32">G14*D14</f>
        <v>0</v>
      </c>
      <c r="H25" s="29">
        <f aca="true" t="shared" si="6" ref="H25:H32">H14*D14</f>
        <v>0</v>
      </c>
      <c r="I25" s="29">
        <f aca="true" t="shared" si="7" ref="I25:I32">I14*D14</f>
        <v>0</v>
      </c>
      <c r="J25" s="29">
        <f aca="true" t="shared" si="8" ref="J25:J32">J14*D14</f>
        <v>626</v>
      </c>
      <c r="K25" s="29">
        <f aca="true" t="shared" si="9" ref="K25:K32">K14*D14</f>
        <v>0</v>
      </c>
      <c r="L25" s="29">
        <f aca="true" t="shared" si="10" ref="L25:L32">L14*D14</f>
        <v>0</v>
      </c>
      <c r="M25" s="29">
        <f aca="true" t="shared" si="11" ref="M25:M32">SUM(E25:L25)</f>
        <v>626</v>
      </c>
      <c r="N25" s="30"/>
    </row>
    <row r="26" spans="1:14" ht="15">
      <c r="A26" s="1" t="str">
        <f aca="true" t="shared" si="12" ref="A26:A31">A15</f>
        <v>1354 Trim Coils KALISH</v>
      </c>
      <c r="B26" s="12">
        <f t="shared" si="3"/>
        <v>162</v>
      </c>
      <c r="C26" s="22">
        <f t="shared" si="3"/>
        <v>1692</v>
      </c>
      <c r="D26" s="14">
        <f t="shared" si="2"/>
        <v>1530</v>
      </c>
      <c r="E26" s="29">
        <f aca="true" t="shared" si="13" ref="E26:E32">E15*D15</f>
        <v>0</v>
      </c>
      <c r="F26" s="29">
        <f t="shared" si="4"/>
        <v>0</v>
      </c>
      <c r="G26" s="29">
        <f t="shared" si="5"/>
        <v>0</v>
      </c>
      <c r="H26" s="29">
        <f t="shared" si="6"/>
        <v>0</v>
      </c>
      <c r="I26" s="29">
        <f t="shared" si="7"/>
        <v>0</v>
      </c>
      <c r="J26" s="29">
        <f t="shared" si="8"/>
        <v>1530</v>
      </c>
      <c r="K26" s="29">
        <f t="shared" si="9"/>
        <v>0</v>
      </c>
      <c r="L26" s="29">
        <f t="shared" si="10"/>
        <v>0</v>
      </c>
      <c r="M26" s="29">
        <f t="shared" si="11"/>
        <v>1530</v>
      </c>
      <c r="N26" s="30"/>
    </row>
    <row r="27" spans="1:14" ht="15">
      <c r="A27" s="1" t="str">
        <f t="shared" si="12"/>
        <v>1802/1810/1815 Assy VIOLA</v>
      </c>
      <c r="B27" s="12">
        <f t="shared" si="3"/>
        <v>9068</v>
      </c>
      <c r="C27" s="22">
        <f t="shared" si="3"/>
        <v>14967</v>
      </c>
      <c r="D27" s="14">
        <f t="shared" si="2"/>
        <v>5899</v>
      </c>
      <c r="E27" s="29">
        <f t="shared" si="13"/>
        <v>961.537</v>
      </c>
      <c r="F27" s="29">
        <f t="shared" si="4"/>
        <v>961.537</v>
      </c>
      <c r="G27" s="29">
        <f t="shared" si="5"/>
        <v>359.839</v>
      </c>
      <c r="H27" s="29">
        <f t="shared" si="6"/>
        <v>961.537</v>
      </c>
      <c r="I27" s="29">
        <f t="shared" si="7"/>
        <v>961.537</v>
      </c>
      <c r="J27" s="29">
        <f t="shared" si="8"/>
        <v>601.698</v>
      </c>
      <c r="K27" s="29">
        <f t="shared" si="9"/>
        <v>1091.315</v>
      </c>
      <c r="L27" s="29">
        <f t="shared" si="10"/>
        <v>0</v>
      </c>
      <c r="M27" s="29">
        <f t="shared" si="11"/>
        <v>5899</v>
      </c>
      <c r="N27" s="30"/>
    </row>
    <row r="28" spans="1:14" ht="15">
      <c r="A28" s="1" t="str">
        <f t="shared" si="12"/>
        <v>1803/1805- FPA Tooling/Constr-BROWN/DUDEK</v>
      </c>
      <c r="B28" s="12">
        <f t="shared" si="3"/>
        <v>522</v>
      </c>
      <c r="C28" s="22">
        <f t="shared" si="3"/>
        <v>1294</v>
      </c>
      <c r="D28" s="14">
        <f t="shared" si="2"/>
        <v>772</v>
      </c>
      <c r="E28" s="29">
        <f t="shared" si="13"/>
        <v>0</v>
      </c>
      <c r="F28" s="29">
        <f t="shared" si="4"/>
        <v>38.6</v>
      </c>
      <c r="G28" s="29">
        <f t="shared" si="5"/>
        <v>0</v>
      </c>
      <c r="H28" s="29">
        <f t="shared" si="6"/>
        <v>231.6</v>
      </c>
      <c r="I28" s="29">
        <f t="shared" si="7"/>
        <v>308.8</v>
      </c>
      <c r="J28" s="29">
        <f t="shared" si="8"/>
        <v>0</v>
      </c>
      <c r="K28" s="29">
        <f t="shared" si="9"/>
        <v>0</v>
      </c>
      <c r="L28" s="29">
        <f t="shared" si="10"/>
        <v>193</v>
      </c>
      <c r="M28" s="29">
        <f t="shared" si="11"/>
        <v>772</v>
      </c>
      <c r="N28" s="30"/>
    </row>
    <row r="29" spans="1:14" ht="15">
      <c r="A29" s="1" t="str">
        <f t="shared" si="12"/>
        <v> 7401 - TC Prep &amp; Mach Assy Planning-PERRY</v>
      </c>
      <c r="B29" s="12">
        <f t="shared" si="3"/>
        <v>1417</v>
      </c>
      <c r="C29" s="22">
        <f t="shared" si="3"/>
        <v>2070</v>
      </c>
      <c r="D29" s="14">
        <f t="shared" si="2"/>
        <v>653</v>
      </c>
      <c r="E29" s="29">
        <f t="shared" si="13"/>
        <v>0</v>
      </c>
      <c r="F29" s="29">
        <f t="shared" si="4"/>
        <v>0</v>
      </c>
      <c r="G29" s="29">
        <f t="shared" si="5"/>
        <v>0</v>
      </c>
      <c r="H29" s="29">
        <f t="shared" si="6"/>
        <v>0</v>
      </c>
      <c r="I29" s="29">
        <f t="shared" si="7"/>
        <v>0</v>
      </c>
      <c r="J29" s="29">
        <f t="shared" si="8"/>
        <v>235.07999999999998</v>
      </c>
      <c r="K29" s="29">
        <f t="shared" si="9"/>
        <v>417.92</v>
      </c>
      <c r="L29" s="29">
        <f t="shared" si="10"/>
        <v>0</v>
      </c>
      <c r="M29" s="29">
        <f t="shared" si="11"/>
        <v>653</v>
      </c>
      <c r="N29" s="30"/>
    </row>
    <row r="30" spans="1:14" ht="15">
      <c r="A30" s="1" t="str">
        <f t="shared" si="12"/>
        <v> 8203 Design Integration - BROWN</v>
      </c>
      <c r="B30" s="12">
        <f t="shared" si="3"/>
        <v>1408</v>
      </c>
      <c r="C30" s="22">
        <f t="shared" si="3"/>
        <v>2702</v>
      </c>
      <c r="D30" s="14">
        <f t="shared" si="2"/>
        <v>1294</v>
      </c>
      <c r="E30" s="29">
        <f t="shared" si="13"/>
        <v>0</v>
      </c>
      <c r="F30" s="29">
        <f t="shared" si="4"/>
        <v>1035.2</v>
      </c>
      <c r="G30" s="29">
        <f t="shared" si="5"/>
        <v>0</v>
      </c>
      <c r="H30" s="29">
        <f t="shared" si="6"/>
        <v>0</v>
      </c>
      <c r="I30" s="29">
        <f t="shared" si="7"/>
        <v>0</v>
      </c>
      <c r="J30" s="29">
        <f t="shared" si="8"/>
        <v>0</v>
      </c>
      <c r="K30" s="29">
        <f t="shared" si="9"/>
        <v>258.8</v>
      </c>
      <c r="L30" s="29">
        <f t="shared" si="10"/>
        <v>0</v>
      </c>
      <c r="M30" s="29">
        <f t="shared" si="11"/>
        <v>1294</v>
      </c>
      <c r="N30" s="30"/>
    </row>
    <row r="31" spans="1:14" ht="15">
      <c r="A31" s="1" t="str">
        <f t="shared" si="12"/>
        <v> 8202 - Engr Mgmt &amp; Sys Eng Support-HEITZENRO</v>
      </c>
      <c r="B31" s="12">
        <f t="shared" si="3"/>
        <v>2649</v>
      </c>
      <c r="C31" s="22">
        <f t="shared" si="3"/>
        <v>3804</v>
      </c>
      <c r="D31" s="14">
        <f t="shared" si="2"/>
        <v>1155</v>
      </c>
      <c r="E31" s="29">
        <f t="shared" si="13"/>
        <v>0</v>
      </c>
      <c r="F31" s="29">
        <f t="shared" si="4"/>
        <v>231</v>
      </c>
      <c r="G31" s="29">
        <f t="shared" si="5"/>
        <v>115.5</v>
      </c>
      <c r="H31" s="29">
        <f>H204</f>
        <v>0</v>
      </c>
      <c r="I31" s="29">
        <f t="shared" si="7"/>
        <v>288.75</v>
      </c>
      <c r="J31" s="29">
        <f t="shared" si="8"/>
        <v>288.75</v>
      </c>
      <c r="K31" s="29">
        <f t="shared" si="9"/>
        <v>231</v>
      </c>
      <c r="L31" s="29">
        <f t="shared" si="10"/>
        <v>0</v>
      </c>
      <c r="M31" s="29">
        <f t="shared" si="11"/>
        <v>1155</v>
      </c>
      <c r="N31" s="30"/>
    </row>
    <row r="32" spans="1:14" ht="15">
      <c r="A32" s="1" t="str">
        <f>A21</f>
        <v> 8101 Project Management &amp; Controls  REJ</v>
      </c>
      <c r="B32" s="12">
        <f t="shared" si="3"/>
        <v>3843</v>
      </c>
      <c r="C32" s="22">
        <f t="shared" si="3"/>
        <v>4880</v>
      </c>
      <c r="D32" s="14">
        <f t="shared" si="2"/>
        <v>1037</v>
      </c>
      <c r="E32" s="29">
        <f t="shared" si="13"/>
        <v>0</v>
      </c>
      <c r="F32" s="29">
        <f t="shared" si="4"/>
        <v>0</v>
      </c>
      <c r="G32" s="29">
        <f t="shared" si="5"/>
        <v>0</v>
      </c>
      <c r="H32" s="29">
        <f t="shared" si="6"/>
        <v>0</v>
      </c>
      <c r="I32" s="29">
        <f t="shared" si="7"/>
        <v>829.6</v>
      </c>
      <c r="J32" s="29">
        <f t="shared" si="8"/>
        <v>0</v>
      </c>
      <c r="K32" s="29">
        <f t="shared" si="9"/>
        <v>207.4</v>
      </c>
      <c r="L32" s="29">
        <f t="shared" si="10"/>
        <v>0</v>
      </c>
      <c r="M32" s="29">
        <f t="shared" si="11"/>
        <v>1037</v>
      </c>
      <c r="N32" s="30"/>
    </row>
    <row r="33" spans="1:14" s="19" customFormat="1" ht="15.75">
      <c r="A33" s="27" t="s">
        <v>17</v>
      </c>
      <c r="B33" s="23">
        <f aca="true" t="shared" si="14" ref="B33:L33">SUM(B24:B32)</f>
        <v>19069</v>
      </c>
      <c r="C33" s="23">
        <f t="shared" si="14"/>
        <v>32543</v>
      </c>
      <c r="D33" s="23">
        <f t="shared" si="14"/>
        <v>13474</v>
      </c>
      <c r="E33" s="31">
        <f t="shared" si="14"/>
        <v>961.537</v>
      </c>
      <c r="F33" s="31">
        <f t="shared" si="14"/>
        <v>2266.337</v>
      </c>
      <c r="G33" s="31">
        <f t="shared" si="14"/>
        <v>475.339</v>
      </c>
      <c r="H33" s="31">
        <f t="shared" si="14"/>
        <v>1193.137</v>
      </c>
      <c r="I33" s="31">
        <f t="shared" si="14"/>
        <v>2388.687</v>
      </c>
      <c r="J33" s="31">
        <f t="shared" si="14"/>
        <v>3789.528</v>
      </c>
      <c r="K33" s="31">
        <f t="shared" si="14"/>
        <v>2206.435</v>
      </c>
      <c r="L33" s="31">
        <f t="shared" si="14"/>
        <v>193</v>
      </c>
      <c r="M33" s="32">
        <f>SUM(E33:L33)</f>
        <v>13473.999999999998</v>
      </c>
      <c r="N33" s="32">
        <f>SUM(M24:M32)</f>
        <v>13474</v>
      </c>
    </row>
    <row r="34" spans="2:13" ht="15">
      <c r="B34" s="12"/>
      <c r="C34" s="12"/>
      <c r="D34" s="12"/>
      <c r="E34" s="18">
        <f>E33/D33</f>
        <v>0.07136240166246104</v>
      </c>
      <c r="F34" s="18">
        <f>F33/D33</f>
        <v>0.1682007570135075</v>
      </c>
      <c r="G34" s="18">
        <f>G33/D33</f>
        <v>0.03527823957251002</v>
      </c>
      <c r="H34" s="18">
        <f>H33/D33</f>
        <v>0.0885510613032507</v>
      </c>
      <c r="I34" s="18">
        <f>I33/D33</f>
        <v>0.17728120825293156</v>
      </c>
      <c r="J34" s="18">
        <f>J33/D33</f>
        <v>0.2812474395131364</v>
      </c>
      <c r="K34" s="18">
        <f>K33/D33</f>
        <v>0.16375500964821135</v>
      </c>
      <c r="L34" s="18">
        <f>L33/D33</f>
        <v>0.01432388303399139</v>
      </c>
      <c r="M34" s="18">
        <f>SUM(E34:L34)</f>
        <v>0.9999999999999999</v>
      </c>
    </row>
    <row r="35" spans="2:13" ht="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7"/>
    </row>
    <row r="36" spans="2:13" ht="1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7"/>
    </row>
    <row r="37" spans="2:13" ht="26.25" thickBot="1">
      <c r="B37" s="12"/>
      <c r="C37" s="12"/>
      <c r="D37" s="12"/>
      <c r="E37" s="7" t="s">
        <v>27</v>
      </c>
      <c r="F37" s="8" t="s">
        <v>28</v>
      </c>
      <c r="G37" s="7" t="s">
        <v>29</v>
      </c>
      <c r="H37" s="8" t="s">
        <v>30</v>
      </c>
      <c r="I37" s="10" t="s">
        <v>31</v>
      </c>
      <c r="J37" s="10" t="s">
        <v>32</v>
      </c>
      <c r="K37" s="10"/>
      <c r="L37" s="10"/>
      <c r="M37" s="17"/>
    </row>
    <row r="38" spans="2:13" ht="15">
      <c r="B38" s="12"/>
      <c r="C38" s="12"/>
      <c r="D38" s="12"/>
      <c r="E38" s="18">
        <f>E34+F34</f>
        <v>0.23956315867596856</v>
      </c>
      <c r="F38" s="18">
        <f>G34+H34</f>
        <v>0.12382930087576072</v>
      </c>
      <c r="G38" s="18">
        <f>I34</f>
        <v>0.17728120825293156</v>
      </c>
      <c r="H38" s="18">
        <f>J34</f>
        <v>0.2812474395131364</v>
      </c>
      <c r="I38" s="18">
        <f>K34</f>
        <v>0.16375500964821135</v>
      </c>
      <c r="J38" s="18">
        <f>L34</f>
        <v>0.01432388303399139</v>
      </c>
      <c r="K38" s="18"/>
      <c r="L38" s="18"/>
      <c r="M38" s="18">
        <f>SUM(E38:L38)</f>
        <v>0.9999999999999999</v>
      </c>
    </row>
    <row r="39" spans="2:12" ht="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ht="1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ht="1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ht="1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ht="1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ht="1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ht="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ht="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ht="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ht="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ht="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ht="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ht="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ht="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</sheetData>
  <printOptions horizontalCentered="1" verticalCentered="1"/>
  <pageMargins left="0.19" right="0.17" top="0.48" bottom="0.19" header="0.5" footer="0.5"/>
  <pageSetup fitToHeight="1" fitToWidth="1" horizontalDpi="600" verticalDpi="600"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68"/>
  <sheetViews>
    <sheetView zoomScale="70" zoomScaleNormal="70" workbookViewId="0" topLeftCell="A88">
      <selection activeCell="A4" sqref="A1:IV16384"/>
    </sheetView>
  </sheetViews>
  <sheetFormatPr defaultColWidth="9.140625" defaultRowHeight="12.75"/>
  <cols>
    <col min="1" max="1" width="53.28125" style="1" customWidth="1"/>
    <col min="2" max="2" width="11.8515625" style="4" customWidth="1"/>
    <col min="3" max="3" width="12.421875" style="4" customWidth="1"/>
    <col min="4" max="4" width="9.00390625" style="4" customWidth="1"/>
    <col min="5" max="5" width="25.28125" style="4" customWidth="1"/>
    <col min="6" max="6" width="9.57421875" style="4" customWidth="1"/>
    <col min="7" max="7" width="23.57421875" style="4" customWidth="1"/>
    <col min="8" max="8" width="10.7109375" style="4" customWidth="1"/>
    <col min="9" max="9" width="14.8515625" style="4" customWidth="1"/>
    <col min="10" max="10" width="26.140625" style="4" customWidth="1"/>
    <col min="11" max="11" width="18.421875" style="4" customWidth="1"/>
    <col min="12" max="12" width="9.421875" style="4" customWidth="1"/>
    <col min="13" max="13" width="11.7109375" style="4" customWidth="1"/>
    <col min="14" max="14" width="21.28125" style="4" customWidth="1"/>
    <col min="15" max="15" width="23.00390625" style="4" customWidth="1"/>
    <col min="16" max="16384" width="17.421875" style="4" customWidth="1"/>
  </cols>
  <sheetData>
    <row r="3" spans="1:5" ht="12.75">
      <c r="A3" s="25"/>
      <c r="B3" s="2"/>
      <c r="C3" s="2"/>
      <c r="D3" s="2"/>
      <c r="E3" s="3"/>
    </row>
    <row r="10" ht="13.5" thickBot="1"/>
    <row r="11" spans="1:14" ht="25.5">
      <c r="A11" s="26"/>
      <c r="B11" s="9"/>
      <c r="C11" s="9"/>
      <c r="D11" s="9"/>
      <c r="E11" s="5" t="s">
        <v>1</v>
      </c>
      <c r="F11" s="6"/>
      <c r="G11" s="5" t="s">
        <v>2</v>
      </c>
      <c r="H11" s="6"/>
      <c r="I11" s="9"/>
      <c r="J11" s="9"/>
      <c r="K11" s="9"/>
      <c r="L11" s="9"/>
      <c r="M11" s="9"/>
      <c r="N11" s="9"/>
    </row>
    <row r="12" spans="1:14" ht="51.75" thickBot="1">
      <c r="A12" s="11" t="s">
        <v>3</v>
      </c>
      <c r="B12" s="11" t="s">
        <v>4</v>
      </c>
      <c r="C12" s="11" t="s">
        <v>14</v>
      </c>
      <c r="D12" s="11" t="s">
        <v>5</v>
      </c>
      <c r="E12" s="7" t="s">
        <v>6</v>
      </c>
      <c r="F12" s="8" t="s">
        <v>7</v>
      </c>
      <c r="G12" s="7" t="s">
        <v>8</v>
      </c>
      <c r="H12" s="8" t="s">
        <v>0</v>
      </c>
      <c r="I12" s="10" t="s">
        <v>9</v>
      </c>
      <c r="J12" s="10" t="s">
        <v>10</v>
      </c>
      <c r="K12" s="10" t="s">
        <v>11</v>
      </c>
      <c r="L12" s="10" t="s">
        <v>12</v>
      </c>
      <c r="M12" s="10" t="s">
        <v>15</v>
      </c>
      <c r="N12" s="10" t="s">
        <v>13</v>
      </c>
    </row>
    <row r="13" spans="1:13" ht="15">
      <c r="A13" s="1" t="s">
        <v>18</v>
      </c>
      <c r="B13" s="12">
        <v>0</v>
      </c>
      <c r="C13" s="22">
        <v>508</v>
      </c>
      <c r="D13" s="14">
        <f aca="true" t="shared" si="0" ref="D13:D28">C13-B13</f>
        <v>508</v>
      </c>
      <c r="E13" s="18"/>
      <c r="F13" s="18"/>
      <c r="G13" s="18"/>
      <c r="H13" s="18"/>
      <c r="I13" s="18"/>
      <c r="J13" s="18">
        <v>1</v>
      </c>
      <c r="K13" s="18"/>
      <c r="L13" s="18"/>
      <c r="M13" s="18">
        <f>SUM(J13:L13)</f>
        <v>1</v>
      </c>
    </row>
    <row r="14" spans="1:13" ht="15">
      <c r="A14" s="1" t="s">
        <v>19</v>
      </c>
      <c r="B14" s="12">
        <v>0</v>
      </c>
      <c r="C14" s="22">
        <v>626</v>
      </c>
      <c r="D14" s="14">
        <f t="shared" si="0"/>
        <v>626</v>
      </c>
      <c r="E14" s="18"/>
      <c r="F14" s="18"/>
      <c r="G14" s="18"/>
      <c r="H14" s="18"/>
      <c r="I14" s="18"/>
      <c r="J14" s="18">
        <v>1</v>
      </c>
      <c r="K14" s="18"/>
      <c r="L14" s="18"/>
      <c r="M14" s="18">
        <f>SUM(J14:L14)</f>
        <v>1</v>
      </c>
    </row>
    <row r="15" spans="1:13" ht="15">
      <c r="A15" s="1" t="s">
        <v>20</v>
      </c>
      <c r="B15" s="12">
        <v>162</v>
      </c>
      <c r="C15" s="22">
        <v>1692</v>
      </c>
      <c r="D15" s="14">
        <f t="shared" si="0"/>
        <v>1530</v>
      </c>
      <c r="E15" s="18"/>
      <c r="F15" s="18"/>
      <c r="G15" s="18"/>
      <c r="H15" s="18"/>
      <c r="I15" s="18"/>
      <c r="J15" s="18">
        <v>1</v>
      </c>
      <c r="K15" s="18"/>
      <c r="L15" s="18"/>
      <c r="M15" s="18">
        <f>SUM(J15:L15)</f>
        <v>1</v>
      </c>
    </row>
    <row r="16" spans="1:13" ht="15">
      <c r="A16" s="1" t="s">
        <v>21</v>
      </c>
      <c r="B16" s="12">
        <f>1989+5745+1334</f>
        <v>9068</v>
      </c>
      <c r="C16" s="22">
        <v>14967</v>
      </c>
      <c r="D16" s="14">
        <f t="shared" si="0"/>
        <v>5899</v>
      </c>
      <c r="E16" s="28">
        <v>0.163</v>
      </c>
      <c r="F16" s="28">
        <v>0.163</v>
      </c>
      <c r="G16" s="28">
        <v>0.061</v>
      </c>
      <c r="H16" s="28">
        <v>0.163</v>
      </c>
      <c r="I16" s="28">
        <v>0.163</v>
      </c>
      <c r="J16" s="28">
        <v>0.102</v>
      </c>
      <c r="K16" s="28">
        <v>0.185</v>
      </c>
      <c r="L16" s="28"/>
      <c r="M16" s="18">
        <f aca="true" t="shared" si="1" ref="M16:M21">SUM(E16:L16)</f>
        <v>1</v>
      </c>
    </row>
    <row r="17" spans="1:14" ht="15">
      <c r="A17" s="1" t="s">
        <v>22</v>
      </c>
      <c r="B17" s="12">
        <v>522</v>
      </c>
      <c r="C17" s="22">
        <v>1294</v>
      </c>
      <c r="D17" s="22">
        <f t="shared" si="0"/>
        <v>772</v>
      </c>
      <c r="E17" s="18"/>
      <c r="F17" s="18">
        <v>0.05</v>
      </c>
      <c r="G17" s="18"/>
      <c r="H17" s="18">
        <v>0.3</v>
      </c>
      <c r="I17" s="18">
        <v>0.4</v>
      </c>
      <c r="J17" s="18"/>
      <c r="K17" s="18"/>
      <c r="L17" s="18">
        <v>0.25</v>
      </c>
      <c r="M17" s="18">
        <f t="shared" si="1"/>
        <v>1</v>
      </c>
      <c r="N17" s="4" t="s">
        <v>33</v>
      </c>
    </row>
    <row r="18" spans="1:13" ht="15">
      <c r="A18" s="1" t="s">
        <v>23</v>
      </c>
      <c r="B18" s="13">
        <v>1417</v>
      </c>
      <c r="C18" s="14">
        <v>2070</v>
      </c>
      <c r="D18" s="14">
        <f t="shared" si="0"/>
        <v>653</v>
      </c>
      <c r="E18" s="15"/>
      <c r="F18" s="15"/>
      <c r="G18" s="15"/>
      <c r="H18" s="15"/>
      <c r="I18" s="15"/>
      <c r="J18" s="16">
        <v>0.36</v>
      </c>
      <c r="K18" s="16">
        <v>0.64</v>
      </c>
      <c r="L18" s="15"/>
      <c r="M18" s="15">
        <f t="shared" si="1"/>
        <v>1</v>
      </c>
    </row>
    <row r="19" spans="1:13" ht="15">
      <c r="A19" s="1" t="s">
        <v>26</v>
      </c>
      <c r="B19" s="13">
        <v>1408</v>
      </c>
      <c r="C19" s="14">
        <v>2702</v>
      </c>
      <c r="D19" s="14">
        <f t="shared" si="0"/>
        <v>1294</v>
      </c>
      <c r="E19" s="15"/>
      <c r="F19" s="15">
        <v>0.8</v>
      </c>
      <c r="G19" s="15"/>
      <c r="H19" s="15"/>
      <c r="I19" s="15"/>
      <c r="J19" s="16">
        <v>0</v>
      </c>
      <c r="K19" s="16">
        <v>0.2</v>
      </c>
      <c r="L19" s="13"/>
      <c r="M19" s="15">
        <f t="shared" si="1"/>
        <v>1</v>
      </c>
    </row>
    <row r="20" spans="1:13" ht="15">
      <c r="A20" s="1" t="s">
        <v>24</v>
      </c>
      <c r="B20" s="13">
        <v>2649</v>
      </c>
      <c r="C20" s="14">
        <v>3804</v>
      </c>
      <c r="D20" s="14">
        <f t="shared" si="0"/>
        <v>1155</v>
      </c>
      <c r="E20" s="13">
        <v>0</v>
      </c>
      <c r="F20" s="15">
        <v>0.2</v>
      </c>
      <c r="G20" s="15">
        <v>0.1</v>
      </c>
      <c r="H20" s="15" t="s">
        <v>16</v>
      </c>
      <c r="I20" s="15">
        <v>0.25</v>
      </c>
      <c r="J20" s="15">
        <v>0.25</v>
      </c>
      <c r="K20" s="15">
        <v>0.2</v>
      </c>
      <c r="L20" s="15">
        <v>0</v>
      </c>
      <c r="M20" s="15">
        <f t="shared" si="1"/>
        <v>1</v>
      </c>
    </row>
    <row r="21" spans="1:13" ht="15">
      <c r="A21" s="1" t="s">
        <v>25</v>
      </c>
      <c r="B21" s="12">
        <v>3843</v>
      </c>
      <c r="C21" s="12">
        <v>4880</v>
      </c>
      <c r="D21" s="14">
        <f t="shared" si="0"/>
        <v>1037</v>
      </c>
      <c r="E21" s="12"/>
      <c r="F21" s="18">
        <v>0</v>
      </c>
      <c r="G21" s="18"/>
      <c r="H21" s="18"/>
      <c r="I21" s="18">
        <v>0.8</v>
      </c>
      <c r="J21" s="18"/>
      <c r="K21" s="18">
        <v>0.2</v>
      </c>
      <c r="L21" s="18"/>
      <c r="M21" s="15">
        <f t="shared" si="1"/>
        <v>1</v>
      </c>
    </row>
    <row r="22" spans="1:14" ht="18.75" customHeight="1">
      <c r="A22" s="34" t="s">
        <v>34</v>
      </c>
      <c r="B22" s="35">
        <v>1067</v>
      </c>
      <c r="C22" s="35">
        <v>2032</v>
      </c>
      <c r="D22" s="36">
        <f t="shared" si="0"/>
        <v>965</v>
      </c>
      <c r="E22" s="35"/>
      <c r="F22" s="37"/>
      <c r="G22" s="41"/>
      <c r="H22" s="41"/>
      <c r="I22" s="41"/>
      <c r="J22" s="41">
        <v>1</v>
      </c>
      <c r="K22" s="41"/>
      <c r="L22" s="37"/>
      <c r="M22" s="38"/>
      <c r="N22" s="42" t="s">
        <v>41</v>
      </c>
    </row>
    <row r="23" spans="1:14" ht="18.75" customHeight="1">
      <c r="A23" s="34" t="s">
        <v>35</v>
      </c>
      <c r="B23" s="35">
        <v>861</v>
      </c>
      <c r="C23" s="35">
        <v>1141</v>
      </c>
      <c r="D23" s="36">
        <f t="shared" si="0"/>
        <v>280</v>
      </c>
      <c r="E23" s="35"/>
      <c r="F23" s="37"/>
      <c r="G23" s="41"/>
      <c r="H23" s="41"/>
      <c r="I23" s="41"/>
      <c r="J23" s="41">
        <v>1</v>
      </c>
      <c r="K23" s="41"/>
      <c r="L23" s="37"/>
      <c r="M23" s="38"/>
      <c r="N23" s="42" t="s">
        <v>41</v>
      </c>
    </row>
    <row r="24" spans="1:14" ht="18.75" customHeight="1">
      <c r="A24" s="34" t="s">
        <v>36</v>
      </c>
      <c r="B24" s="35">
        <v>287</v>
      </c>
      <c r="C24" s="35">
        <v>941</v>
      </c>
      <c r="D24" s="36">
        <f t="shared" si="0"/>
        <v>654</v>
      </c>
      <c r="E24" s="35"/>
      <c r="F24" s="37"/>
      <c r="G24" s="41"/>
      <c r="H24" s="41"/>
      <c r="I24" s="41"/>
      <c r="J24" s="41">
        <v>1</v>
      </c>
      <c r="K24" s="41"/>
      <c r="L24" s="37"/>
      <c r="M24" s="38"/>
      <c r="N24" s="42" t="s">
        <v>41</v>
      </c>
    </row>
    <row r="25" spans="1:14" ht="18.75" customHeight="1">
      <c r="A25" s="34" t="s">
        <v>37</v>
      </c>
      <c r="B25" s="35">
        <v>2425</v>
      </c>
      <c r="C25" s="35">
        <v>2569</v>
      </c>
      <c r="D25" s="36">
        <f t="shared" si="0"/>
        <v>144</v>
      </c>
      <c r="E25" s="35"/>
      <c r="F25" s="37"/>
      <c r="G25" s="41"/>
      <c r="H25" s="41"/>
      <c r="I25" s="41"/>
      <c r="J25" s="41">
        <v>1</v>
      </c>
      <c r="K25" s="41"/>
      <c r="L25" s="37"/>
      <c r="M25" s="38"/>
      <c r="N25" s="42" t="s">
        <v>41</v>
      </c>
    </row>
    <row r="26" spans="1:14" ht="18.75" customHeight="1">
      <c r="A26" s="34" t="s">
        <v>42</v>
      </c>
      <c r="B26" s="35">
        <v>1620</v>
      </c>
      <c r="C26" s="35">
        <v>2444</v>
      </c>
      <c r="D26" s="36">
        <f t="shared" si="0"/>
        <v>824</v>
      </c>
      <c r="E26" s="35"/>
      <c r="F26" s="37"/>
      <c r="G26" s="41"/>
      <c r="H26" s="41"/>
      <c r="I26" s="41"/>
      <c r="J26" s="41"/>
      <c r="K26" s="41">
        <v>1</v>
      </c>
      <c r="L26" s="37"/>
      <c r="M26" s="38"/>
      <c r="N26" s="42" t="s">
        <v>41</v>
      </c>
    </row>
    <row r="27" spans="1:14" ht="18.75" customHeight="1">
      <c r="A27" s="34" t="s">
        <v>39</v>
      </c>
      <c r="B27" s="35">
        <v>499</v>
      </c>
      <c r="C27" s="35">
        <v>1341</v>
      </c>
      <c r="D27" s="36">
        <f t="shared" si="0"/>
        <v>842</v>
      </c>
      <c r="E27" s="35"/>
      <c r="F27" s="37"/>
      <c r="G27" s="41"/>
      <c r="H27" s="41"/>
      <c r="I27" s="41">
        <v>0.8</v>
      </c>
      <c r="J27" s="41"/>
      <c r="K27" s="41">
        <v>0.2</v>
      </c>
      <c r="L27" s="37"/>
      <c r="M27" s="38"/>
      <c r="N27" s="42" t="s">
        <v>41</v>
      </c>
    </row>
    <row r="28" spans="1:14" ht="18.75" customHeight="1">
      <c r="A28" s="34" t="s">
        <v>40</v>
      </c>
      <c r="B28" s="35">
        <v>1453</v>
      </c>
      <c r="C28" s="35">
        <v>2239</v>
      </c>
      <c r="D28" s="36">
        <f t="shared" si="0"/>
        <v>786</v>
      </c>
      <c r="E28" s="35"/>
      <c r="F28" s="37"/>
      <c r="G28" s="41">
        <v>0.13</v>
      </c>
      <c r="H28" s="41"/>
      <c r="I28" s="41"/>
      <c r="J28" s="41"/>
      <c r="K28" s="41">
        <v>0.87</v>
      </c>
      <c r="L28" s="37"/>
      <c r="M28" s="38"/>
      <c r="N28" s="42" t="s">
        <v>41</v>
      </c>
    </row>
    <row r="29" spans="1:13" s="21" customFormat="1" ht="15.75">
      <c r="A29" s="20" t="s">
        <v>17</v>
      </c>
      <c r="B29" s="23">
        <f>SUM(B13:B28)</f>
        <v>27281</v>
      </c>
      <c r="C29" s="23">
        <f>SUM(C13:C28)</f>
        <v>45250</v>
      </c>
      <c r="D29" s="23">
        <f>SUM(D13:D28)</f>
        <v>17969</v>
      </c>
      <c r="E29" s="23"/>
      <c r="F29" s="24"/>
      <c r="G29" s="24"/>
      <c r="H29" s="24"/>
      <c r="I29" s="24"/>
      <c r="J29" s="24"/>
      <c r="K29" s="24"/>
      <c r="L29" s="24"/>
      <c r="M29" s="24"/>
    </row>
    <row r="30" spans="2:13" ht="5.25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4" ht="15">
      <c r="A31" s="43" t="str">
        <f>A13</f>
        <v>1260 Transition Ducts GORANSON</v>
      </c>
      <c r="B31" s="12">
        <f>B13</f>
        <v>0</v>
      </c>
      <c r="C31" s="22">
        <f>C13</f>
        <v>508</v>
      </c>
      <c r="D31" s="14">
        <f aca="true" t="shared" si="2" ref="D31:D39">C31-B31</f>
        <v>508</v>
      </c>
      <c r="E31" s="29">
        <f>E13*D13</f>
        <v>0</v>
      </c>
      <c r="F31" s="29">
        <f>F13*D13</f>
        <v>0</v>
      </c>
      <c r="G31" s="29">
        <f>G13*D13</f>
        <v>0</v>
      </c>
      <c r="H31" s="29">
        <f>H13*D13</f>
        <v>0</v>
      </c>
      <c r="I31" s="29">
        <f>I13*D13</f>
        <v>0</v>
      </c>
      <c r="J31" s="29">
        <f>J13*D13</f>
        <v>508</v>
      </c>
      <c r="K31" s="29">
        <f>K13*D13</f>
        <v>0</v>
      </c>
      <c r="L31" s="29">
        <f>L13*D13</f>
        <v>0</v>
      </c>
      <c r="M31" s="29">
        <f>SUM(E31:L31)</f>
        <v>508</v>
      </c>
      <c r="N31" s="30"/>
    </row>
    <row r="32" spans="1:14" ht="15">
      <c r="A32" s="43" t="str">
        <f>A14</f>
        <v>1270 Heater Controls GORANSON</v>
      </c>
      <c r="B32" s="12">
        <f aca="true" t="shared" si="3" ref="B32:C39">B14</f>
        <v>0</v>
      </c>
      <c r="C32" s="22">
        <f t="shared" si="3"/>
        <v>626</v>
      </c>
      <c r="D32" s="14">
        <f t="shared" si="2"/>
        <v>626</v>
      </c>
      <c r="E32" s="29">
        <f>E14*D14</f>
        <v>0</v>
      </c>
      <c r="F32" s="29">
        <f aca="true" t="shared" si="4" ref="F32:F39">F14*D14</f>
        <v>0</v>
      </c>
      <c r="G32" s="29">
        <f aca="true" t="shared" si="5" ref="G32:G39">G14*D14</f>
        <v>0</v>
      </c>
      <c r="H32" s="29">
        <f aca="true" t="shared" si="6" ref="H32:H39">H14*D14</f>
        <v>0</v>
      </c>
      <c r="I32" s="29">
        <f aca="true" t="shared" si="7" ref="I32:I39">I14*D14</f>
        <v>0</v>
      </c>
      <c r="J32" s="29">
        <f aca="true" t="shared" si="8" ref="J32:J39">J14*D14</f>
        <v>626</v>
      </c>
      <c r="K32" s="29">
        <f aca="true" t="shared" si="9" ref="K32:K39">K14*D14</f>
        <v>0</v>
      </c>
      <c r="L32" s="29">
        <f aca="true" t="shared" si="10" ref="L32:L39">L14*D14</f>
        <v>0</v>
      </c>
      <c r="M32" s="29">
        <f aca="true" t="shared" si="11" ref="M32:M39">SUM(E32:L32)</f>
        <v>626</v>
      </c>
      <c r="N32" s="30"/>
    </row>
    <row r="33" spans="1:14" ht="15">
      <c r="A33" s="43" t="str">
        <f aca="true" t="shared" si="12" ref="A33:A38">A15</f>
        <v>1354 Trim Coils KALISH</v>
      </c>
      <c r="B33" s="12">
        <f t="shared" si="3"/>
        <v>162</v>
      </c>
      <c r="C33" s="22">
        <f t="shared" si="3"/>
        <v>1692</v>
      </c>
      <c r="D33" s="14">
        <f t="shared" si="2"/>
        <v>1530</v>
      </c>
      <c r="E33" s="29">
        <f aca="true" t="shared" si="13" ref="E33:E39">E15*D15</f>
        <v>0</v>
      </c>
      <c r="F33" s="29">
        <f t="shared" si="4"/>
        <v>0</v>
      </c>
      <c r="G33" s="29">
        <f t="shared" si="5"/>
        <v>0</v>
      </c>
      <c r="H33" s="29">
        <f t="shared" si="6"/>
        <v>0</v>
      </c>
      <c r="I33" s="29">
        <f t="shared" si="7"/>
        <v>0</v>
      </c>
      <c r="J33" s="29">
        <f t="shared" si="8"/>
        <v>1530</v>
      </c>
      <c r="K33" s="29">
        <f t="shared" si="9"/>
        <v>0</v>
      </c>
      <c r="L33" s="29">
        <f t="shared" si="10"/>
        <v>0</v>
      </c>
      <c r="M33" s="29">
        <f t="shared" si="11"/>
        <v>1530</v>
      </c>
      <c r="N33" s="30"/>
    </row>
    <row r="34" spans="1:14" ht="15">
      <c r="A34" s="43" t="str">
        <f t="shared" si="12"/>
        <v>1802/1810/1815 Assy VIOLA</v>
      </c>
      <c r="B34" s="12">
        <f t="shared" si="3"/>
        <v>9068</v>
      </c>
      <c r="C34" s="22">
        <f t="shared" si="3"/>
        <v>14967</v>
      </c>
      <c r="D34" s="14">
        <f t="shared" si="2"/>
        <v>5899</v>
      </c>
      <c r="E34" s="29">
        <f t="shared" si="13"/>
        <v>961.537</v>
      </c>
      <c r="F34" s="29">
        <f t="shared" si="4"/>
        <v>961.537</v>
      </c>
      <c r="G34" s="29">
        <f t="shared" si="5"/>
        <v>359.839</v>
      </c>
      <c r="H34" s="29">
        <f t="shared" si="6"/>
        <v>961.537</v>
      </c>
      <c r="I34" s="29">
        <f t="shared" si="7"/>
        <v>961.537</v>
      </c>
      <c r="J34" s="29">
        <f t="shared" si="8"/>
        <v>601.698</v>
      </c>
      <c r="K34" s="29">
        <f t="shared" si="9"/>
        <v>1091.315</v>
      </c>
      <c r="L34" s="29">
        <f t="shared" si="10"/>
        <v>0</v>
      </c>
      <c r="M34" s="29">
        <f t="shared" si="11"/>
        <v>5899</v>
      </c>
      <c r="N34" s="30"/>
    </row>
    <row r="35" spans="1:14" ht="15">
      <c r="A35" s="43" t="str">
        <f t="shared" si="12"/>
        <v>1803/1805- FPA Tooling/Constr-BROWN/DUDEK</v>
      </c>
      <c r="B35" s="12">
        <f t="shared" si="3"/>
        <v>522</v>
      </c>
      <c r="C35" s="22">
        <f t="shared" si="3"/>
        <v>1294</v>
      </c>
      <c r="D35" s="14">
        <f t="shared" si="2"/>
        <v>772</v>
      </c>
      <c r="E35" s="29">
        <f t="shared" si="13"/>
        <v>0</v>
      </c>
      <c r="F35" s="29">
        <f t="shared" si="4"/>
        <v>38.6</v>
      </c>
      <c r="G35" s="29">
        <f t="shared" si="5"/>
        <v>0</v>
      </c>
      <c r="H35" s="29">
        <f t="shared" si="6"/>
        <v>231.6</v>
      </c>
      <c r="I35" s="29">
        <f t="shared" si="7"/>
        <v>308.8</v>
      </c>
      <c r="J35" s="29">
        <f t="shared" si="8"/>
        <v>0</v>
      </c>
      <c r="K35" s="29">
        <f t="shared" si="9"/>
        <v>0</v>
      </c>
      <c r="L35" s="29">
        <f t="shared" si="10"/>
        <v>193</v>
      </c>
      <c r="M35" s="29">
        <f t="shared" si="11"/>
        <v>772</v>
      </c>
      <c r="N35" s="30"/>
    </row>
    <row r="36" spans="1:14" ht="15">
      <c r="A36" s="43" t="str">
        <f t="shared" si="12"/>
        <v> 7401 - TC Prep &amp; Mach Assy Planning-PERRY</v>
      </c>
      <c r="B36" s="12">
        <f t="shared" si="3"/>
        <v>1417</v>
      </c>
      <c r="C36" s="22">
        <f t="shared" si="3"/>
        <v>2070</v>
      </c>
      <c r="D36" s="14">
        <f t="shared" si="2"/>
        <v>653</v>
      </c>
      <c r="E36" s="29">
        <f t="shared" si="13"/>
        <v>0</v>
      </c>
      <c r="F36" s="29">
        <f t="shared" si="4"/>
        <v>0</v>
      </c>
      <c r="G36" s="29">
        <f t="shared" si="5"/>
        <v>0</v>
      </c>
      <c r="H36" s="29">
        <f t="shared" si="6"/>
        <v>0</v>
      </c>
      <c r="I36" s="29">
        <f t="shared" si="7"/>
        <v>0</v>
      </c>
      <c r="J36" s="29">
        <f t="shared" si="8"/>
        <v>235.07999999999998</v>
      </c>
      <c r="K36" s="29">
        <f t="shared" si="9"/>
        <v>417.92</v>
      </c>
      <c r="L36" s="29">
        <f t="shared" si="10"/>
        <v>0</v>
      </c>
      <c r="M36" s="29">
        <f t="shared" si="11"/>
        <v>653</v>
      </c>
      <c r="N36" s="30"/>
    </row>
    <row r="37" spans="1:14" ht="15">
      <c r="A37" s="43" t="str">
        <f t="shared" si="12"/>
        <v> 8203 Design Integration - BROWN</v>
      </c>
      <c r="B37" s="12">
        <f t="shared" si="3"/>
        <v>1408</v>
      </c>
      <c r="C37" s="22">
        <f t="shared" si="3"/>
        <v>2702</v>
      </c>
      <c r="D37" s="14">
        <f t="shared" si="2"/>
        <v>1294</v>
      </c>
      <c r="E37" s="29">
        <f t="shared" si="13"/>
        <v>0</v>
      </c>
      <c r="F37" s="29">
        <f t="shared" si="4"/>
        <v>1035.2</v>
      </c>
      <c r="G37" s="29">
        <f t="shared" si="5"/>
        <v>0</v>
      </c>
      <c r="H37" s="29">
        <f t="shared" si="6"/>
        <v>0</v>
      </c>
      <c r="I37" s="29">
        <f t="shared" si="7"/>
        <v>0</v>
      </c>
      <c r="J37" s="29">
        <f t="shared" si="8"/>
        <v>0</v>
      </c>
      <c r="K37" s="29">
        <f t="shared" si="9"/>
        <v>258.8</v>
      </c>
      <c r="L37" s="29">
        <f t="shared" si="10"/>
        <v>0</v>
      </c>
      <c r="M37" s="29">
        <f t="shared" si="11"/>
        <v>1294</v>
      </c>
      <c r="N37" s="30"/>
    </row>
    <row r="38" spans="1:14" ht="15">
      <c r="A38" s="43" t="str">
        <f t="shared" si="12"/>
        <v> 8202 - Engr Mgmt &amp; Sys Eng Support-HEITZENRO</v>
      </c>
      <c r="B38" s="12">
        <f t="shared" si="3"/>
        <v>2649</v>
      </c>
      <c r="C38" s="22">
        <f t="shared" si="3"/>
        <v>3804</v>
      </c>
      <c r="D38" s="14">
        <f t="shared" si="2"/>
        <v>1155</v>
      </c>
      <c r="E38" s="29">
        <f t="shared" si="13"/>
        <v>0</v>
      </c>
      <c r="F38" s="29">
        <f t="shared" si="4"/>
        <v>231</v>
      </c>
      <c r="G38" s="29">
        <f t="shared" si="5"/>
        <v>115.5</v>
      </c>
      <c r="H38" s="29">
        <f>H218</f>
        <v>0</v>
      </c>
      <c r="I38" s="29">
        <f t="shared" si="7"/>
        <v>288.75</v>
      </c>
      <c r="J38" s="29">
        <f t="shared" si="8"/>
        <v>288.75</v>
      </c>
      <c r="K38" s="29">
        <f t="shared" si="9"/>
        <v>231</v>
      </c>
      <c r="L38" s="29">
        <f t="shared" si="10"/>
        <v>0</v>
      </c>
      <c r="M38" s="29">
        <f t="shared" si="11"/>
        <v>1155</v>
      </c>
      <c r="N38" s="30"/>
    </row>
    <row r="39" spans="1:14" ht="15">
      <c r="A39" s="43" t="str">
        <f>A21</f>
        <v> 8101 Project Management &amp; Controls  REJ</v>
      </c>
      <c r="B39" s="12">
        <f t="shared" si="3"/>
        <v>3843</v>
      </c>
      <c r="C39" s="22">
        <f t="shared" si="3"/>
        <v>4880</v>
      </c>
      <c r="D39" s="14">
        <f t="shared" si="2"/>
        <v>1037</v>
      </c>
      <c r="E39" s="29">
        <f t="shared" si="13"/>
        <v>0</v>
      </c>
      <c r="F39" s="29">
        <f t="shared" si="4"/>
        <v>0</v>
      </c>
      <c r="G39" s="29">
        <f t="shared" si="5"/>
        <v>0</v>
      </c>
      <c r="H39" s="29">
        <f t="shared" si="6"/>
        <v>0</v>
      </c>
      <c r="I39" s="29">
        <f t="shared" si="7"/>
        <v>829.6</v>
      </c>
      <c r="J39" s="29">
        <f t="shared" si="8"/>
        <v>0</v>
      </c>
      <c r="K39" s="29">
        <f t="shared" si="9"/>
        <v>207.4</v>
      </c>
      <c r="L39" s="29">
        <f t="shared" si="10"/>
        <v>0</v>
      </c>
      <c r="M39" s="29">
        <f t="shared" si="11"/>
        <v>1037</v>
      </c>
      <c r="N39" s="30"/>
    </row>
    <row r="40" spans="1:14" ht="15">
      <c r="A40" s="44" t="str">
        <f aca="true" t="shared" si="14" ref="A40:D42">+A22</f>
        <v>WBS 5 I&amp;C Scope add-backs</v>
      </c>
      <c r="B40" s="34">
        <f t="shared" si="14"/>
        <v>1067</v>
      </c>
      <c r="C40" s="34">
        <f t="shared" si="14"/>
        <v>2032</v>
      </c>
      <c r="D40" s="34">
        <f t="shared" si="14"/>
        <v>965</v>
      </c>
      <c r="E40" s="39">
        <f aca="true" t="shared" si="15" ref="E40:E46">E22*D22</f>
        <v>0</v>
      </c>
      <c r="F40" s="39">
        <f aca="true" t="shared" si="16" ref="F40:F46">F22*D22</f>
        <v>0</v>
      </c>
      <c r="G40" s="39">
        <f aca="true" t="shared" si="17" ref="G40:G46">G22*D22</f>
        <v>0</v>
      </c>
      <c r="H40" s="39">
        <f aca="true" t="shared" si="18" ref="H40:H46">H22*D22</f>
        <v>0</v>
      </c>
      <c r="I40" s="39">
        <f aca="true" t="shared" si="19" ref="I40:I46">I22*D22</f>
        <v>0</v>
      </c>
      <c r="J40" s="39">
        <f aca="true" t="shared" si="20" ref="J40:J46">J22*D22</f>
        <v>965</v>
      </c>
      <c r="K40" s="39">
        <f aca="true" t="shared" si="21" ref="K40:K46">K22*D22</f>
        <v>0</v>
      </c>
      <c r="L40" s="39">
        <f aca="true" t="shared" si="22" ref="L40:L46">L22*D22</f>
        <v>0</v>
      </c>
      <c r="M40" s="39">
        <f aca="true" t="shared" si="23" ref="M40:M46">SUM(E40:L40)</f>
        <v>965</v>
      </c>
      <c r="N40" s="40"/>
    </row>
    <row r="41" spans="1:14" ht="15">
      <c r="A41" s="44" t="str">
        <f t="shared" si="14"/>
        <v>1601 coil services</v>
      </c>
      <c r="B41" s="34">
        <f t="shared" si="14"/>
        <v>861</v>
      </c>
      <c r="C41" s="34">
        <f t="shared" si="14"/>
        <v>1141</v>
      </c>
      <c r="D41" s="34">
        <f t="shared" si="14"/>
        <v>280</v>
      </c>
      <c r="E41" s="39">
        <f t="shared" si="15"/>
        <v>0</v>
      </c>
      <c r="F41" s="39">
        <f t="shared" si="16"/>
        <v>0</v>
      </c>
      <c r="G41" s="39">
        <f t="shared" si="17"/>
        <v>0</v>
      </c>
      <c r="H41" s="39">
        <f t="shared" si="18"/>
        <v>0</v>
      </c>
      <c r="I41" s="39">
        <f t="shared" si="19"/>
        <v>0</v>
      </c>
      <c r="J41" s="39">
        <f t="shared" si="20"/>
        <v>280</v>
      </c>
      <c r="K41" s="39">
        <f t="shared" si="21"/>
        <v>0</v>
      </c>
      <c r="L41" s="39">
        <f t="shared" si="22"/>
        <v>0</v>
      </c>
      <c r="M41" s="39">
        <f t="shared" si="23"/>
        <v>280</v>
      </c>
      <c r="N41" s="40"/>
    </row>
    <row r="42" spans="1:14" ht="15">
      <c r="A42" s="44" t="str">
        <f t="shared" si="14"/>
        <v>ancilliary systems 6101/2201/2101 water vacuum fueling</v>
      </c>
      <c r="B42" s="34">
        <f t="shared" si="14"/>
        <v>287</v>
      </c>
      <c r="C42" s="34">
        <f t="shared" si="14"/>
        <v>941</v>
      </c>
      <c r="D42" s="34">
        <f t="shared" si="14"/>
        <v>654</v>
      </c>
      <c r="E42" s="39">
        <f t="shared" si="15"/>
        <v>0</v>
      </c>
      <c r="F42" s="39">
        <f t="shared" si="16"/>
        <v>0</v>
      </c>
      <c r="G42" s="39">
        <f t="shared" si="17"/>
        <v>0</v>
      </c>
      <c r="H42" s="39">
        <f t="shared" si="18"/>
        <v>0</v>
      </c>
      <c r="I42" s="39">
        <f t="shared" si="19"/>
        <v>0</v>
      </c>
      <c r="J42" s="39">
        <f t="shared" si="20"/>
        <v>654</v>
      </c>
      <c r="K42" s="39">
        <f t="shared" si="21"/>
        <v>0</v>
      </c>
      <c r="L42" s="39">
        <f t="shared" si="22"/>
        <v>0</v>
      </c>
      <c r="M42" s="39">
        <f t="shared" si="23"/>
        <v>654</v>
      </c>
      <c r="N42" s="40"/>
    </row>
    <row r="43" spans="1:14" ht="15">
      <c r="A43" s="44" t="s">
        <v>37</v>
      </c>
      <c r="B43" s="34">
        <f>+B25</f>
        <v>2425</v>
      </c>
      <c r="C43" s="34">
        <f>+C25</f>
        <v>2569</v>
      </c>
      <c r="D43" s="34">
        <f>+D25</f>
        <v>144</v>
      </c>
      <c r="E43" s="39">
        <f t="shared" si="15"/>
        <v>0</v>
      </c>
      <c r="F43" s="39">
        <f t="shared" si="16"/>
        <v>0</v>
      </c>
      <c r="G43" s="39">
        <f t="shared" si="17"/>
        <v>0</v>
      </c>
      <c r="H43" s="39">
        <f t="shared" si="18"/>
        <v>0</v>
      </c>
      <c r="I43" s="39">
        <f t="shared" si="19"/>
        <v>0</v>
      </c>
      <c r="J43" s="39">
        <f t="shared" si="20"/>
        <v>144</v>
      </c>
      <c r="K43" s="39">
        <f t="shared" si="21"/>
        <v>0</v>
      </c>
      <c r="L43" s="39">
        <f t="shared" si="22"/>
        <v>0</v>
      </c>
      <c r="M43" s="39">
        <f t="shared" si="23"/>
        <v>144</v>
      </c>
      <c r="N43" s="40"/>
    </row>
    <row r="44" spans="1:14" ht="15">
      <c r="A44" s="44" t="str">
        <f>+A26</f>
        <v>wbs 19 stellarator core mngt &amp; integr</v>
      </c>
      <c r="B44" s="34">
        <f aca="true" t="shared" si="24" ref="B44:D46">+B26</f>
        <v>1620</v>
      </c>
      <c r="C44" s="34">
        <f t="shared" si="24"/>
        <v>2444</v>
      </c>
      <c r="D44" s="34">
        <f t="shared" si="24"/>
        <v>824</v>
      </c>
      <c r="E44" s="39">
        <f t="shared" si="15"/>
        <v>0</v>
      </c>
      <c r="F44" s="39">
        <f t="shared" si="16"/>
        <v>0</v>
      </c>
      <c r="G44" s="39">
        <f t="shared" si="17"/>
        <v>0</v>
      </c>
      <c r="H44" s="39">
        <f t="shared" si="18"/>
        <v>0</v>
      </c>
      <c r="I44" s="39">
        <f t="shared" si="19"/>
        <v>0</v>
      </c>
      <c r="J44" s="39">
        <f t="shared" si="20"/>
        <v>0</v>
      </c>
      <c r="K44" s="39">
        <f t="shared" si="21"/>
        <v>824</v>
      </c>
      <c r="L44" s="39">
        <f t="shared" si="22"/>
        <v>0</v>
      </c>
      <c r="M44" s="39">
        <f t="shared" si="23"/>
        <v>824</v>
      </c>
      <c r="N44" s="40"/>
    </row>
    <row r="45" spans="1:14" ht="15">
      <c r="A45" s="44" t="str">
        <f>+A27</f>
        <v>8102 ORNL Project management</v>
      </c>
      <c r="B45" s="34">
        <f t="shared" si="24"/>
        <v>499</v>
      </c>
      <c r="C45" s="34">
        <f t="shared" si="24"/>
        <v>1341</v>
      </c>
      <c r="D45" s="34">
        <f t="shared" si="24"/>
        <v>842</v>
      </c>
      <c r="E45" s="39">
        <f t="shared" si="15"/>
        <v>0</v>
      </c>
      <c r="F45" s="39">
        <f t="shared" si="16"/>
        <v>0</v>
      </c>
      <c r="G45" s="39">
        <f t="shared" si="17"/>
        <v>0</v>
      </c>
      <c r="H45" s="39">
        <f t="shared" si="18"/>
        <v>0</v>
      </c>
      <c r="I45" s="39">
        <f t="shared" si="19"/>
        <v>673.6</v>
      </c>
      <c r="J45" s="39">
        <f t="shared" si="20"/>
        <v>0</v>
      </c>
      <c r="K45" s="39">
        <f t="shared" si="21"/>
        <v>168.4</v>
      </c>
      <c r="L45" s="39">
        <f t="shared" si="22"/>
        <v>0</v>
      </c>
      <c r="M45" s="39">
        <f t="shared" si="23"/>
        <v>842</v>
      </c>
      <c r="N45" s="40"/>
    </row>
    <row r="46" spans="1:14" ht="15">
      <c r="A46" s="44" t="str">
        <f>+A28</f>
        <v>8998 allocations</v>
      </c>
      <c r="B46" s="34">
        <f>+B28</f>
        <v>1453</v>
      </c>
      <c r="C46" s="34">
        <f t="shared" si="24"/>
        <v>2239</v>
      </c>
      <c r="D46" s="34">
        <f t="shared" si="24"/>
        <v>786</v>
      </c>
      <c r="E46" s="39">
        <f t="shared" si="15"/>
        <v>0</v>
      </c>
      <c r="F46" s="39">
        <f t="shared" si="16"/>
        <v>0</v>
      </c>
      <c r="G46" s="39">
        <f t="shared" si="17"/>
        <v>102.18</v>
      </c>
      <c r="H46" s="39">
        <f t="shared" si="18"/>
        <v>0</v>
      </c>
      <c r="I46" s="39">
        <f t="shared" si="19"/>
        <v>0</v>
      </c>
      <c r="J46" s="39">
        <f t="shared" si="20"/>
        <v>0</v>
      </c>
      <c r="K46" s="39">
        <f t="shared" si="21"/>
        <v>683.82</v>
      </c>
      <c r="L46" s="39">
        <f t="shared" si="22"/>
        <v>0</v>
      </c>
      <c r="M46" s="39">
        <f t="shared" si="23"/>
        <v>786</v>
      </c>
      <c r="N46" s="40"/>
    </row>
    <row r="47" spans="2:14" ht="15">
      <c r="B47" s="12"/>
      <c r="C47" s="22"/>
      <c r="D47" s="14"/>
      <c r="E47" s="29"/>
      <c r="F47" s="29"/>
      <c r="G47" s="29"/>
      <c r="H47" s="29"/>
      <c r="I47" s="29"/>
      <c r="J47" s="29"/>
      <c r="K47" s="29"/>
      <c r="L47" s="29"/>
      <c r="M47" s="29"/>
      <c r="N47" s="30"/>
    </row>
    <row r="48" spans="1:14" s="19" customFormat="1" ht="15.75">
      <c r="A48" s="27" t="s">
        <v>17</v>
      </c>
      <c r="B48" s="23">
        <f>SUM(B31:B47)</f>
        <v>27281</v>
      </c>
      <c r="C48" s="23">
        <f>SUM(C31:C47)</f>
        <v>45250</v>
      </c>
      <c r="D48" s="23">
        <f>SUM(D31:D47)</f>
        <v>17969</v>
      </c>
      <c r="E48" s="31">
        <f>SUM(E31:E47)</f>
        <v>961.537</v>
      </c>
      <c r="F48" s="31">
        <f aca="true" t="shared" si="25" ref="F48:M48">SUM(F31:F47)</f>
        <v>2266.337</v>
      </c>
      <c r="G48" s="31">
        <f t="shared" si="25"/>
        <v>577.519</v>
      </c>
      <c r="H48" s="31">
        <f t="shared" si="25"/>
        <v>1193.137</v>
      </c>
      <c r="I48" s="31">
        <f t="shared" si="25"/>
        <v>3062.287</v>
      </c>
      <c r="J48" s="31">
        <f t="shared" si="25"/>
        <v>5832.528</v>
      </c>
      <c r="K48" s="31">
        <f t="shared" si="25"/>
        <v>3882.655</v>
      </c>
      <c r="L48" s="31">
        <f t="shared" si="25"/>
        <v>193</v>
      </c>
      <c r="M48" s="31">
        <f t="shared" si="25"/>
        <v>17969</v>
      </c>
      <c r="N48" s="32">
        <f>SUM(M31:M47)</f>
        <v>17969</v>
      </c>
    </row>
    <row r="49" spans="1:13" ht="15">
      <c r="A49" s="1" t="s">
        <v>38</v>
      </c>
      <c r="B49" s="12"/>
      <c r="C49" s="12"/>
      <c r="D49" s="12">
        <v>20071</v>
      </c>
      <c r="E49" s="18">
        <f>E48/D48</f>
        <v>0.05351087984862819</v>
      </c>
      <c r="F49" s="18">
        <f>F48/D48</f>
        <v>0.12612482608937614</v>
      </c>
      <c r="G49" s="18">
        <f>G48/D48</f>
        <v>0.03213974066447771</v>
      </c>
      <c r="H49" s="18">
        <f>H48/D48</f>
        <v>0.06639974400356169</v>
      </c>
      <c r="I49" s="18">
        <f>I48/D48</f>
        <v>0.17042055762702432</v>
      </c>
      <c r="J49" s="18">
        <f>J48/D48</f>
        <v>0.32458834659691693</v>
      </c>
      <c r="K49" s="18">
        <f>K48/D48</f>
        <v>0.21607518504090378</v>
      </c>
      <c r="L49" s="18">
        <f>L48/D48</f>
        <v>0.010740720129111246</v>
      </c>
      <c r="M49" s="18">
        <f>SUM(E49:L49)</f>
        <v>1</v>
      </c>
    </row>
    <row r="50" spans="2:13" ht="15">
      <c r="B50" s="12"/>
      <c r="C50" s="12"/>
      <c r="D50" s="33">
        <f>+D48/D49</f>
        <v>0.8952717851626725</v>
      </c>
      <c r="E50" s="12"/>
      <c r="F50" s="12"/>
      <c r="G50" s="12"/>
      <c r="H50" s="12"/>
      <c r="I50" s="12"/>
      <c r="J50" s="12"/>
      <c r="K50" s="12"/>
      <c r="L50" s="12"/>
      <c r="M50" s="17"/>
    </row>
    <row r="51" spans="2:13" ht="26.25" customHeight="1" thickBot="1">
      <c r="B51" s="12"/>
      <c r="C51" s="12"/>
      <c r="D51" s="12"/>
      <c r="E51" s="7" t="s">
        <v>27</v>
      </c>
      <c r="F51" s="8" t="s">
        <v>28</v>
      </c>
      <c r="G51" s="7" t="s">
        <v>29</v>
      </c>
      <c r="H51" s="8" t="s">
        <v>30</v>
      </c>
      <c r="I51" s="10" t="s">
        <v>31</v>
      </c>
      <c r="J51" s="10" t="s">
        <v>32</v>
      </c>
      <c r="K51" s="10"/>
      <c r="L51" s="10"/>
      <c r="M51" s="17"/>
    </row>
    <row r="52" spans="2:13" ht="15">
      <c r="B52" s="12"/>
      <c r="C52" s="12"/>
      <c r="D52" s="12"/>
      <c r="E52" s="18">
        <f>E49+F49</f>
        <v>0.17963570593800432</v>
      </c>
      <c r="F52" s="18">
        <f>G49+H49</f>
        <v>0.0985394846680394</v>
      </c>
      <c r="G52" s="18">
        <f>I49</f>
        <v>0.17042055762702432</v>
      </c>
      <c r="H52" s="18">
        <f>J49</f>
        <v>0.32458834659691693</v>
      </c>
      <c r="I52" s="18">
        <f>K49</f>
        <v>0.21607518504090378</v>
      </c>
      <c r="J52" s="18">
        <f>L49</f>
        <v>0.010740720129111246</v>
      </c>
      <c r="K52" s="18"/>
      <c r="L52" s="18"/>
      <c r="M52" s="18">
        <f>SUM(E52:L52)</f>
        <v>1</v>
      </c>
    </row>
    <row r="53" spans="2:12" ht="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5">
      <c r="A54" s="1">
        <v>12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5">
      <c r="A55" s="1">
        <v>13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">
      <c r="A56" s="1">
        <v>14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5">
      <c r="A57" s="1">
        <v>15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5">
      <c r="A58" s="1">
        <v>16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5">
      <c r="A59" s="1">
        <v>17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5">
      <c r="A60" s="1">
        <v>18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5">
      <c r="A61" s="1">
        <v>19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5">
      <c r="A62" s="1">
        <v>2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5">
      <c r="A63" s="1">
        <v>3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5">
      <c r="A64" s="1">
        <v>4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5">
      <c r="A65" s="1">
        <v>5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5">
      <c r="A66" s="1">
        <v>6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5">
      <c r="A67" s="1">
        <v>7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5">
      <c r="A68" s="1">
        <v>8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</sheetData>
  <printOptions gridLines="1"/>
  <pageMargins left="0.26" right="0.2" top="0.5" bottom="0.28" header="0.5" footer="0.17"/>
  <pageSetup fitToHeight="1" fitToWidth="1" horizontalDpi="600" verticalDpi="600" orientation="landscape" scale="53" r:id="rId2"/>
  <headerFooter alignWithMargins="0">
    <oddFooter>&amp;R&amp;F  &amp;A  &amp;D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F146"/>
  <sheetViews>
    <sheetView tabSelected="1" zoomScale="70" zoomScaleNormal="70" workbookViewId="0" topLeftCell="A94">
      <selection activeCell="A96" sqref="A96:K114"/>
    </sheetView>
  </sheetViews>
  <sheetFormatPr defaultColWidth="9.140625" defaultRowHeight="12.75"/>
  <cols>
    <col min="1" max="1" width="6.8515625" style="4" customWidth="1"/>
    <col min="2" max="2" width="38.140625" style="1" customWidth="1"/>
    <col min="3" max="3" width="11.8515625" style="4" hidden="1" customWidth="1"/>
    <col min="4" max="4" width="12.421875" style="4" hidden="1" customWidth="1"/>
    <col min="5" max="5" width="14.00390625" style="4" customWidth="1"/>
    <col min="6" max="6" width="2.421875" style="4" customWidth="1"/>
    <col min="7" max="7" width="11.8515625" style="4" customWidth="1"/>
    <col min="8" max="8" width="11.421875" style="4" customWidth="1"/>
    <col min="9" max="9" width="13.140625" style="4" customWidth="1"/>
    <col min="10" max="10" width="10.140625" style="4" customWidth="1"/>
    <col min="11" max="11" width="13.140625" style="4" customWidth="1"/>
    <col min="12" max="12" width="10.8515625" style="4" customWidth="1"/>
    <col min="13" max="13" width="8.57421875" style="4" customWidth="1"/>
    <col min="14" max="14" width="9.421875" style="4" customWidth="1"/>
    <col min="15" max="15" width="11.7109375" style="4" customWidth="1"/>
    <col min="16" max="16" width="21.28125" style="4" customWidth="1"/>
    <col min="17" max="17" width="23.00390625" style="4" customWidth="1"/>
    <col min="18" max="16384" width="17.421875" style="4" customWidth="1"/>
  </cols>
  <sheetData>
    <row r="1" ht="12.75"/>
    <row r="2" ht="12.75"/>
    <row r="3" spans="2:7" ht="12.75">
      <c r="B3" s="25"/>
      <c r="C3" s="2"/>
      <c r="D3" s="2"/>
      <c r="E3" s="2"/>
      <c r="F3" s="2"/>
      <c r="G3" s="3"/>
    </row>
    <row r="4" ht="12.75"/>
    <row r="5" ht="12.75"/>
    <row r="6" ht="12.75"/>
    <row r="7" ht="12.75"/>
    <row r="8" ht="12.75"/>
    <row r="9" ht="12.75"/>
    <row r="10" ht="13.5" thickBot="1"/>
    <row r="11" spans="2:16" ht="38.25">
      <c r="B11" s="26"/>
      <c r="C11" s="9"/>
      <c r="D11" s="9"/>
      <c r="E11" s="9"/>
      <c r="F11" s="50"/>
      <c r="G11" s="5" t="s">
        <v>1</v>
      </c>
      <c r="H11" s="6"/>
      <c r="I11" s="5" t="s">
        <v>2</v>
      </c>
      <c r="J11" s="6"/>
      <c r="K11" s="9"/>
      <c r="L11" s="9"/>
      <c r="M11" s="9"/>
      <c r="N11" s="9"/>
      <c r="O11" s="9"/>
      <c r="P11" s="9"/>
    </row>
    <row r="12" spans="2:16" ht="214.5" thickBot="1">
      <c r="B12" s="11" t="s">
        <v>3</v>
      </c>
      <c r="C12" s="11" t="s">
        <v>4</v>
      </c>
      <c r="D12" s="11" t="s">
        <v>14</v>
      </c>
      <c r="E12" s="11" t="s">
        <v>5</v>
      </c>
      <c r="F12" s="51"/>
      <c r="G12" s="84" t="s">
        <v>6</v>
      </c>
      <c r="H12" s="85" t="s">
        <v>7</v>
      </c>
      <c r="I12" s="84" t="s">
        <v>8</v>
      </c>
      <c r="J12" s="85" t="s">
        <v>0</v>
      </c>
      <c r="K12" s="86" t="s">
        <v>9</v>
      </c>
      <c r="L12" s="86" t="s">
        <v>10</v>
      </c>
      <c r="M12" s="86" t="s">
        <v>11</v>
      </c>
      <c r="N12" s="86" t="s">
        <v>12</v>
      </c>
      <c r="O12" s="10" t="s">
        <v>15</v>
      </c>
      <c r="P12" s="10" t="s">
        <v>13</v>
      </c>
    </row>
    <row r="13" spans="1:15" ht="15">
      <c r="A13" s="54">
        <v>12</v>
      </c>
      <c r="B13" s="43" t="s">
        <v>18</v>
      </c>
      <c r="C13" s="12">
        <v>0</v>
      </c>
      <c r="D13" s="22">
        <v>508</v>
      </c>
      <c r="E13" s="14">
        <v>508</v>
      </c>
      <c r="F13" s="14"/>
      <c r="G13" s="18"/>
      <c r="H13" s="18"/>
      <c r="I13" s="18"/>
      <c r="J13" s="18"/>
      <c r="K13" s="18"/>
      <c r="L13" s="18">
        <v>1</v>
      </c>
      <c r="M13" s="18"/>
      <c r="N13" s="18"/>
      <c r="O13" s="18">
        <f>SUM(G13:N13)</f>
        <v>1</v>
      </c>
    </row>
    <row r="14" spans="1:15" ht="15">
      <c r="A14" s="54">
        <v>12</v>
      </c>
      <c r="B14" s="43" t="s">
        <v>19</v>
      </c>
      <c r="C14" s="12">
        <v>0</v>
      </c>
      <c r="D14" s="22">
        <v>626</v>
      </c>
      <c r="E14" s="55">
        <v>626</v>
      </c>
      <c r="F14" s="14"/>
      <c r="G14" s="18"/>
      <c r="H14" s="18"/>
      <c r="I14" s="18"/>
      <c r="J14" s="18"/>
      <c r="K14" s="18"/>
      <c r="L14" s="18">
        <v>1</v>
      </c>
      <c r="M14" s="18"/>
      <c r="N14" s="18"/>
      <c r="O14" s="18">
        <f aca="true" t="shared" si="0" ref="O14:O39">SUM(G14:N14)</f>
        <v>1</v>
      </c>
    </row>
    <row r="15" spans="1:15" ht="15">
      <c r="A15" s="54">
        <v>12</v>
      </c>
      <c r="B15" s="43"/>
      <c r="C15" s="12">
        <v>156</v>
      </c>
      <c r="D15" s="58">
        <v>212.04060616123593</v>
      </c>
      <c r="E15" s="55">
        <v>56.04060616123593</v>
      </c>
      <c r="F15" s="14"/>
      <c r="G15" s="18"/>
      <c r="H15" s="18"/>
      <c r="I15" s="18"/>
      <c r="J15" s="18"/>
      <c r="K15" s="18"/>
      <c r="L15" s="18">
        <v>1</v>
      </c>
      <c r="M15" s="18"/>
      <c r="N15" s="18"/>
      <c r="O15" s="18">
        <f t="shared" si="0"/>
        <v>1</v>
      </c>
    </row>
    <row r="16" spans="1:15" ht="15">
      <c r="A16" s="54">
        <v>13</v>
      </c>
      <c r="B16" s="43" t="s">
        <v>20</v>
      </c>
      <c r="C16" s="12">
        <v>162</v>
      </c>
      <c r="D16" s="22">
        <v>1692</v>
      </c>
      <c r="E16" s="14">
        <v>1530</v>
      </c>
      <c r="F16" s="14"/>
      <c r="G16" s="18"/>
      <c r="H16" s="18"/>
      <c r="I16" s="18"/>
      <c r="J16" s="18"/>
      <c r="K16" s="18"/>
      <c r="L16" s="18">
        <v>1</v>
      </c>
      <c r="M16" s="18"/>
      <c r="N16" s="18"/>
      <c r="O16" s="18">
        <f t="shared" si="0"/>
        <v>1</v>
      </c>
    </row>
    <row r="17" spans="1:15" ht="15">
      <c r="A17" s="54">
        <v>13</v>
      </c>
      <c r="B17" s="43"/>
      <c r="C17" s="12">
        <v>3300</v>
      </c>
      <c r="D17" s="56">
        <v>3385.412529685183</v>
      </c>
      <c r="E17" s="55">
        <v>85.41252968518302</v>
      </c>
      <c r="F17" s="14"/>
      <c r="G17" s="18"/>
      <c r="H17" s="18"/>
      <c r="I17" s="18"/>
      <c r="J17" s="18"/>
      <c r="K17" s="18"/>
      <c r="L17" s="18">
        <v>1</v>
      </c>
      <c r="M17" s="18"/>
      <c r="N17" s="18"/>
      <c r="O17" s="18">
        <f t="shared" si="0"/>
        <v>1</v>
      </c>
    </row>
    <row r="18" spans="1:15" ht="15">
      <c r="A18" s="54">
        <v>14</v>
      </c>
      <c r="B18" s="43"/>
      <c r="C18" s="12">
        <v>6246</v>
      </c>
      <c r="D18" s="56">
        <v>6642.710140761358</v>
      </c>
      <c r="E18" s="55">
        <v>396.71014076135816</v>
      </c>
      <c r="F18" s="14"/>
      <c r="G18" s="18">
        <v>0.5</v>
      </c>
      <c r="H18" s="18"/>
      <c r="I18" s="18">
        <v>0.5</v>
      </c>
      <c r="J18" s="18"/>
      <c r="K18" s="18"/>
      <c r="L18" s="18"/>
      <c r="M18" s="18"/>
      <c r="N18" s="18"/>
      <c r="O18" s="18">
        <f t="shared" si="0"/>
        <v>1</v>
      </c>
    </row>
    <row r="19" spans="1:15" ht="15">
      <c r="A19" s="54">
        <v>15</v>
      </c>
      <c r="B19" s="43"/>
      <c r="C19" s="12">
        <v>1262</v>
      </c>
      <c r="D19" s="56">
        <v>1778.5641054058865</v>
      </c>
      <c r="E19" s="55">
        <v>516.5641054058865</v>
      </c>
      <c r="F19" s="14"/>
      <c r="G19" s="18"/>
      <c r="H19" s="18">
        <v>0.5</v>
      </c>
      <c r="I19" s="18">
        <v>0.25</v>
      </c>
      <c r="J19" s="18"/>
      <c r="K19" s="18"/>
      <c r="L19" s="18">
        <v>0.25</v>
      </c>
      <c r="M19" s="18"/>
      <c r="N19" s="18"/>
      <c r="O19" s="18">
        <f t="shared" si="0"/>
        <v>1</v>
      </c>
    </row>
    <row r="20" spans="1:15" ht="15">
      <c r="A20" s="54">
        <v>17</v>
      </c>
      <c r="B20" s="43"/>
      <c r="C20" s="12">
        <v>784</v>
      </c>
      <c r="D20" s="56">
        <v>1127.2122214014576</v>
      </c>
      <c r="E20" s="55">
        <v>343.21222140145755</v>
      </c>
      <c r="F20" s="14"/>
      <c r="G20" s="18"/>
      <c r="H20" s="18"/>
      <c r="I20" s="18">
        <v>1</v>
      </c>
      <c r="J20" s="18"/>
      <c r="K20" s="18"/>
      <c r="L20" s="18"/>
      <c r="M20" s="18"/>
      <c r="N20" s="18"/>
      <c r="O20" s="18">
        <f t="shared" si="0"/>
        <v>1</v>
      </c>
    </row>
    <row r="21" spans="1:15" ht="15">
      <c r="A21" s="54">
        <v>18</v>
      </c>
      <c r="B21" s="43" t="s">
        <v>21</v>
      </c>
      <c r="C21" s="12">
        <v>9068</v>
      </c>
      <c r="D21" s="22">
        <v>14967</v>
      </c>
      <c r="E21" s="14">
        <v>5899</v>
      </c>
      <c r="F21" s="14"/>
      <c r="G21" s="28">
        <v>0.163</v>
      </c>
      <c r="H21" s="28">
        <v>0.163</v>
      </c>
      <c r="I21" s="28">
        <v>0.061</v>
      </c>
      <c r="J21" s="28">
        <v>0.163</v>
      </c>
      <c r="K21" s="28">
        <v>0.163</v>
      </c>
      <c r="L21" s="28">
        <v>0.102</v>
      </c>
      <c r="M21" s="28">
        <v>0.185</v>
      </c>
      <c r="N21" s="28"/>
      <c r="O21" s="18">
        <f t="shared" si="0"/>
        <v>1</v>
      </c>
    </row>
    <row r="22" spans="1:16" ht="25.5">
      <c r="A22" s="54">
        <v>18</v>
      </c>
      <c r="B22" s="43" t="s">
        <v>22</v>
      </c>
      <c r="C22" s="12">
        <v>522</v>
      </c>
      <c r="D22" s="22">
        <v>1294</v>
      </c>
      <c r="E22" s="22">
        <v>772</v>
      </c>
      <c r="F22" s="22"/>
      <c r="G22" s="18"/>
      <c r="H22" s="18">
        <v>0.05</v>
      </c>
      <c r="I22" s="18"/>
      <c r="J22" s="18">
        <v>0.3</v>
      </c>
      <c r="K22" s="18">
        <v>0.4</v>
      </c>
      <c r="L22" s="18"/>
      <c r="M22" s="18"/>
      <c r="N22" s="18">
        <v>0.25</v>
      </c>
      <c r="O22" s="18">
        <f t="shared" si="0"/>
        <v>1</v>
      </c>
      <c r="P22" s="4" t="s">
        <v>33</v>
      </c>
    </row>
    <row r="23" spans="1:15" ht="15">
      <c r="A23" s="54">
        <v>18</v>
      </c>
      <c r="B23" s="43">
        <v>1806</v>
      </c>
      <c r="C23" s="12">
        <v>514</v>
      </c>
      <c r="D23" s="56">
        <v>365.422</v>
      </c>
      <c r="E23" s="56">
        <v>-148.57799999999997</v>
      </c>
      <c r="F23" s="22"/>
      <c r="G23" s="18"/>
      <c r="H23" s="18"/>
      <c r="I23" s="18">
        <v>1</v>
      </c>
      <c r="J23" s="18"/>
      <c r="K23" s="18"/>
      <c r="L23" s="18"/>
      <c r="M23" s="18"/>
      <c r="N23" s="18"/>
      <c r="O23" s="18">
        <f t="shared" si="0"/>
        <v>1</v>
      </c>
    </row>
    <row r="24" spans="1:15" ht="25.5">
      <c r="A24" s="54">
        <v>7</v>
      </c>
      <c r="B24" s="43" t="s">
        <v>23</v>
      </c>
      <c r="C24" s="13">
        <v>7951</v>
      </c>
      <c r="D24" s="55">
        <v>8330.924745702234</v>
      </c>
      <c r="E24" s="55">
        <v>379.92474570223385</v>
      </c>
      <c r="F24" s="14"/>
      <c r="G24" s="15"/>
      <c r="H24" s="15"/>
      <c r="I24" s="15"/>
      <c r="J24" s="15"/>
      <c r="K24" s="15"/>
      <c r="L24" s="16">
        <v>0.36</v>
      </c>
      <c r="M24" s="16">
        <v>0.64</v>
      </c>
      <c r="N24" s="15"/>
      <c r="O24" s="18">
        <f t="shared" si="0"/>
        <v>1</v>
      </c>
    </row>
    <row r="25" spans="1:15" ht="15">
      <c r="A25" s="54">
        <v>82</v>
      </c>
      <c r="B25" s="43" t="s">
        <v>26</v>
      </c>
      <c r="C25" s="13">
        <v>1408</v>
      </c>
      <c r="D25" s="55">
        <v>2702</v>
      </c>
      <c r="E25" s="55">
        <v>1294</v>
      </c>
      <c r="F25" s="14"/>
      <c r="G25" s="15"/>
      <c r="H25" s="15">
        <v>0.8</v>
      </c>
      <c r="I25" s="15"/>
      <c r="J25" s="15"/>
      <c r="K25" s="15"/>
      <c r="L25" s="16">
        <v>0</v>
      </c>
      <c r="M25" s="16">
        <v>0.2</v>
      </c>
      <c r="N25" s="13"/>
      <c r="O25" s="18">
        <f t="shared" si="0"/>
        <v>1</v>
      </c>
    </row>
    <row r="26" spans="1:15" ht="25.5">
      <c r="A26" s="54">
        <v>82</v>
      </c>
      <c r="B26" s="43" t="s">
        <v>24</v>
      </c>
      <c r="C26" s="13">
        <v>2649</v>
      </c>
      <c r="D26" s="55">
        <v>3804</v>
      </c>
      <c r="E26" s="55">
        <v>1155</v>
      </c>
      <c r="F26" s="14"/>
      <c r="G26" s="13">
        <v>0</v>
      </c>
      <c r="H26" s="15">
        <v>0.2</v>
      </c>
      <c r="I26" s="15">
        <v>0.1</v>
      </c>
      <c r="J26" s="15" t="s">
        <v>16</v>
      </c>
      <c r="K26" s="15">
        <v>0.25</v>
      </c>
      <c r="L26" s="15">
        <v>0.25</v>
      </c>
      <c r="M26" s="15">
        <v>0.2</v>
      </c>
      <c r="N26" s="15">
        <v>0</v>
      </c>
      <c r="O26" s="18">
        <f t="shared" si="0"/>
        <v>1</v>
      </c>
    </row>
    <row r="27" spans="1:15" ht="15">
      <c r="A27" s="54">
        <v>82</v>
      </c>
      <c r="B27" s="43"/>
      <c r="C27" s="13">
        <v>1892</v>
      </c>
      <c r="D27" s="55">
        <v>2374.059920175863</v>
      </c>
      <c r="E27" s="55">
        <v>482.0599201758632</v>
      </c>
      <c r="F27" s="14"/>
      <c r="G27" s="13">
        <v>0.3</v>
      </c>
      <c r="H27" s="15"/>
      <c r="I27" s="15">
        <v>0.1</v>
      </c>
      <c r="J27" s="15"/>
      <c r="K27" s="15">
        <v>0.3</v>
      </c>
      <c r="L27" s="15">
        <v>0.1</v>
      </c>
      <c r="M27" s="15">
        <v>0.2</v>
      </c>
      <c r="N27" s="15"/>
      <c r="O27" s="18">
        <f t="shared" si="0"/>
        <v>1</v>
      </c>
    </row>
    <row r="28" spans="1:15" ht="25.5">
      <c r="A28" s="54">
        <v>81</v>
      </c>
      <c r="B28" s="43" t="s">
        <v>25</v>
      </c>
      <c r="C28" s="12">
        <v>3843</v>
      </c>
      <c r="D28" s="12">
        <v>4880</v>
      </c>
      <c r="E28" s="14">
        <v>1037</v>
      </c>
      <c r="F28" s="14"/>
      <c r="G28" s="12"/>
      <c r="H28" s="18">
        <v>0</v>
      </c>
      <c r="I28" s="18"/>
      <c r="J28" s="18"/>
      <c r="K28" s="18">
        <v>0.8</v>
      </c>
      <c r="L28" s="18"/>
      <c r="M28" s="18">
        <v>0.2</v>
      </c>
      <c r="N28" s="18"/>
      <c r="O28" s="18">
        <f t="shared" si="0"/>
        <v>1</v>
      </c>
    </row>
    <row r="29" spans="1:16" ht="18.75" customHeight="1">
      <c r="A29" s="54">
        <v>5</v>
      </c>
      <c r="B29" s="44" t="s">
        <v>34</v>
      </c>
      <c r="C29" s="35">
        <v>1136</v>
      </c>
      <c r="D29" s="35">
        <v>2097</v>
      </c>
      <c r="E29" s="36">
        <v>961</v>
      </c>
      <c r="F29" s="36"/>
      <c r="G29" s="35"/>
      <c r="H29" s="37"/>
      <c r="I29" s="41"/>
      <c r="J29" s="41"/>
      <c r="K29" s="41"/>
      <c r="L29" s="41">
        <v>1</v>
      </c>
      <c r="M29" s="41"/>
      <c r="N29" s="37"/>
      <c r="O29" s="18">
        <f t="shared" si="0"/>
        <v>1</v>
      </c>
      <c r="P29" s="42" t="s">
        <v>41</v>
      </c>
    </row>
    <row r="30" spans="1:16" ht="18.75" customHeight="1">
      <c r="A30" s="54">
        <v>16</v>
      </c>
      <c r="B30" s="44" t="s">
        <v>35</v>
      </c>
      <c r="C30" s="35">
        <v>861</v>
      </c>
      <c r="D30" s="35">
        <v>1141</v>
      </c>
      <c r="E30" s="36">
        <v>280</v>
      </c>
      <c r="F30" s="36"/>
      <c r="G30" s="35"/>
      <c r="H30" s="37"/>
      <c r="I30" s="41"/>
      <c r="J30" s="41"/>
      <c r="K30" s="41"/>
      <c r="L30" s="41">
        <v>1</v>
      </c>
      <c r="M30" s="41"/>
      <c r="N30" s="37"/>
      <c r="O30" s="18">
        <f t="shared" si="0"/>
        <v>1</v>
      </c>
      <c r="P30" s="42" t="s">
        <v>41</v>
      </c>
    </row>
    <row r="31" spans="1:16" ht="18.75" customHeight="1">
      <c r="A31" s="54">
        <v>2</v>
      </c>
      <c r="B31" s="44" t="s">
        <v>43</v>
      </c>
      <c r="C31" s="35">
        <v>241</v>
      </c>
      <c r="D31" s="35">
        <v>828</v>
      </c>
      <c r="E31" s="36">
        <v>587</v>
      </c>
      <c r="F31" s="36"/>
      <c r="G31" s="35"/>
      <c r="H31" s="37"/>
      <c r="I31" s="41"/>
      <c r="J31" s="41"/>
      <c r="K31" s="41"/>
      <c r="L31" s="41">
        <v>1</v>
      </c>
      <c r="M31" s="41"/>
      <c r="N31" s="37"/>
      <c r="O31" s="18">
        <f t="shared" si="0"/>
        <v>1</v>
      </c>
      <c r="P31" s="42"/>
    </row>
    <row r="32" spans="1:16" ht="18.75" customHeight="1">
      <c r="A32" s="54">
        <v>6</v>
      </c>
      <c r="B32" s="44" t="s">
        <v>44</v>
      </c>
      <c r="C32" s="35">
        <v>46</v>
      </c>
      <c r="D32" s="35">
        <v>113</v>
      </c>
      <c r="E32" s="36">
        <v>67</v>
      </c>
      <c r="F32" s="36"/>
      <c r="G32" s="35"/>
      <c r="H32" s="37"/>
      <c r="I32" s="41"/>
      <c r="J32" s="41"/>
      <c r="K32" s="41"/>
      <c r="L32" s="41">
        <v>1</v>
      </c>
      <c r="M32" s="41"/>
      <c r="N32" s="37"/>
      <c r="O32" s="18">
        <f t="shared" si="0"/>
        <v>1</v>
      </c>
      <c r="P32" s="42"/>
    </row>
    <row r="33" spans="1:16" ht="18.75" customHeight="1">
      <c r="A33" s="54">
        <v>6</v>
      </c>
      <c r="B33" s="44"/>
      <c r="C33" s="35">
        <v>1333</v>
      </c>
      <c r="D33" s="35">
        <v>1725</v>
      </c>
      <c r="E33" s="36">
        <v>392</v>
      </c>
      <c r="F33" s="36"/>
      <c r="G33" s="35"/>
      <c r="H33" s="37"/>
      <c r="I33" s="41">
        <v>1</v>
      </c>
      <c r="J33" s="41"/>
      <c r="K33" s="41"/>
      <c r="L33" s="41"/>
      <c r="M33" s="41"/>
      <c r="N33" s="37"/>
      <c r="O33" s="18">
        <f t="shared" si="0"/>
        <v>1</v>
      </c>
      <c r="P33" s="42"/>
    </row>
    <row r="34" spans="1:16" ht="18.75" customHeight="1">
      <c r="A34" s="54">
        <v>3</v>
      </c>
      <c r="B34" s="44">
        <v>3</v>
      </c>
      <c r="C34" s="52">
        <v>717</v>
      </c>
      <c r="D34" s="52">
        <v>991.4648343431631</v>
      </c>
      <c r="E34" s="53">
        <v>274.46483434316315</v>
      </c>
      <c r="F34" s="36"/>
      <c r="G34" s="35"/>
      <c r="H34" s="37"/>
      <c r="I34" s="41">
        <v>1</v>
      </c>
      <c r="J34" s="41"/>
      <c r="K34" s="41"/>
      <c r="L34" s="41"/>
      <c r="M34" s="41"/>
      <c r="N34" s="37"/>
      <c r="O34" s="18">
        <f t="shared" si="0"/>
        <v>1</v>
      </c>
      <c r="P34" s="42" t="s">
        <v>41</v>
      </c>
    </row>
    <row r="35" spans="1:16" ht="18.75" customHeight="1">
      <c r="A35" s="54">
        <v>4</v>
      </c>
      <c r="B35" s="44" t="s">
        <v>37</v>
      </c>
      <c r="C35" s="35">
        <v>2425</v>
      </c>
      <c r="D35" s="35">
        <v>2569.3415011199536</v>
      </c>
      <c r="E35" s="36">
        <v>144.3415011199536</v>
      </c>
      <c r="F35" s="36"/>
      <c r="G35" s="35"/>
      <c r="H35" s="37"/>
      <c r="I35" s="41"/>
      <c r="J35" s="41"/>
      <c r="K35" s="41"/>
      <c r="L35" s="41">
        <v>1</v>
      </c>
      <c r="M35" s="41"/>
      <c r="N35" s="37"/>
      <c r="O35" s="18">
        <f t="shared" si="0"/>
        <v>1</v>
      </c>
      <c r="P35" s="42" t="s">
        <v>41</v>
      </c>
    </row>
    <row r="36" spans="1:16" ht="18.75" customHeight="1">
      <c r="A36" s="54">
        <v>19</v>
      </c>
      <c r="B36" s="44" t="s">
        <v>42</v>
      </c>
      <c r="C36" s="35">
        <v>1620</v>
      </c>
      <c r="D36" s="35">
        <v>2444</v>
      </c>
      <c r="E36" s="36">
        <v>824</v>
      </c>
      <c r="F36" s="36"/>
      <c r="G36" s="35"/>
      <c r="H36" s="37"/>
      <c r="I36" s="41"/>
      <c r="J36" s="41"/>
      <c r="K36" s="41"/>
      <c r="L36" s="41"/>
      <c r="M36" s="41">
        <v>1</v>
      </c>
      <c r="N36" s="37"/>
      <c r="O36" s="18">
        <f t="shared" si="0"/>
        <v>1</v>
      </c>
      <c r="P36" s="42" t="s">
        <v>41</v>
      </c>
    </row>
    <row r="37" spans="1:16" ht="18.75" customHeight="1">
      <c r="A37" s="54">
        <v>85</v>
      </c>
      <c r="B37" s="44"/>
      <c r="C37" s="35">
        <v>765</v>
      </c>
      <c r="D37" s="35">
        <v>771</v>
      </c>
      <c r="E37" s="36">
        <v>6</v>
      </c>
      <c r="F37" s="36"/>
      <c r="G37" s="35"/>
      <c r="H37" s="37"/>
      <c r="I37" s="41">
        <v>1</v>
      </c>
      <c r="J37" s="41"/>
      <c r="K37" s="41"/>
      <c r="L37" s="41"/>
      <c r="M37" s="41"/>
      <c r="N37" s="37"/>
      <c r="O37" s="18">
        <f t="shared" si="0"/>
        <v>1</v>
      </c>
      <c r="P37" s="42"/>
    </row>
    <row r="38" spans="1:16" ht="18.75" customHeight="1">
      <c r="A38" s="54">
        <v>81</v>
      </c>
      <c r="B38" s="44" t="s">
        <v>39</v>
      </c>
      <c r="C38" s="35">
        <v>499</v>
      </c>
      <c r="D38" s="35">
        <v>1341</v>
      </c>
      <c r="E38" s="36">
        <v>842</v>
      </c>
      <c r="F38" s="36"/>
      <c r="G38" s="35"/>
      <c r="H38" s="37"/>
      <c r="I38" s="41"/>
      <c r="J38" s="41"/>
      <c r="K38" s="41">
        <v>0.8</v>
      </c>
      <c r="L38" s="41"/>
      <c r="M38" s="41">
        <v>0.2</v>
      </c>
      <c r="N38" s="37"/>
      <c r="O38" s="18">
        <f t="shared" si="0"/>
        <v>1</v>
      </c>
      <c r="P38" s="42" t="s">
        <v>41</v>
      </c>
    </row>
    <row r="39" spans="1:16" ht="18.75" customHeight="1">
      <c r="A39" s="54">
        <v>89</v>
      </c>
      <c r="B39" s="44" t="s">
        <v>40</v>
      </c>
      <c r="C39" s="35">
        <v>1453</v>
      </c>
      <c r="D39" s="35">
        <v>2239</v>
      </c>
      <c r="E39" s="36">
        <v>786</v>
      </c>
      <c r="F39" s="36"/>
      <c r="G39" s="35"/>
      <c r="H39" s="37"/>
      <c r="I39" s="41">
        <v>0.13</v>
      </c>
      <c r="J39" s="41"/>
      <c r="K39" s="41"/>
      <c r="L39" s="41"/>
      <c r="M39" s="41">
        <v>0.87</v>
      </c>
      <c r="N39" s="37"/>
      <c r="O39" s="18">
        <f t="shared" si="0"/>
        <v>1</v>
      </c>
      <c r="P39" s="42" t="s">
        <v>41</v>
      </c>
    </row>
    <row r="40" spans="2:15" s="21" customFormat="1" ht="15.75">
      <c r="B40" s="20" t="s">
        <v>17</v>
      </c>
      <c r="C40" s="57">
        <f>SUM(C13:C39)</f>
        <v>50853</v>
      </c>
      <c r="D40" s="57">
        <f>SUM(D13:D39)</f>
        <v>70949.15260475634</v>
      </c>
      <c r="E40" s="57">
        <f>SUM(E13:E39)</f>
        <v>20096.152604756335</v>
      </c>
      <c r="F40" s="23"/>
      <c r="G40" s="23"/>
      <c r="H40" s="24"/>
      <c r="I40" s="24"/>
      <c r="J40" s="24"/>
      <c r="K40" s="24"/>
      <c r="L40" s="24"/>
      <c r="M40" s="24"/>
      <c r="N40" s="24"/>
      <c r="O40" s="24"/>
    </row>
    <row r="41" spans="3:15" ht="5.25" customHeight="1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6" ht="15">
      <c r="A42" s="4">
        <v>12</v>
      </c>
      <c r="B42" s="43" t="s">
        <v>18</v>
      </c>
      <c r="C42" s="12">
        <v>0</v>
      </c>
      <c r="D42" s="22">
        <v>508</v>
      </c>
      <c r="E42" s="14">
        <f aca="true" t="shared" si="1" ref="E42:E68">D42-C42</f>
        <v>508</v>
      </c>
      <c r="F42" s="14"/>
      <c r="G42" s="29">
        <f aca="true" t="shared" si="2" ref="G42:G53">G13*$E13</f>
        <v>0</v>
      </c>
      <c r="H42" s="29">
        <f aca="true" t="shared" si="3" ref="H42:N42">H13*$E13</f>
        <v>0</v>
      </c>
      <c r="I42" s="29">
        <f t="shared" si="3"/>
        <v>0</v>
      </c>
      <c r="J42" s="29">
        <f t="shared" si="3"/>
        <v>0</v>
      </c>
      <c r="K42" s="29">
        <f t="shared" si="3"/>
        <v>0</v>
      </c>
      <c r="L42" s="29">
        <f t="shared" si="3"/>
        <v>508</v>
      </c>
      <c r="M42" s="29">
        <f t="shared" si="3"/>
        <v>0</v>
      </c>
      <c r="N42" s="29">
        <f t="shared" si="3"/>
        <v>0</v>
      </c>
      <c r="O42" s="29">
        <f aca="true" t="shared" si="4" ref="O42:O68">O13*$E13</f>
        <v>508</v>
      </c>
      <c r="P42" s="30"/>
    </row>
    <row r="43" spans="1:16" ht="15">
      <c r="A43" s="4">
        <v>12</v>
      </c>
      <c r="B43" s="43" t="s">
        <v>19</v>
      </c>
      <c r="C43" s="12">
        <v>0</v>
      </c>
      <c r="D43" s="22">
        <v>626</v>
      </c>
      <c r="E43" s="55">
        <f t="shared" si="1"/>
        <v>626</v>
      </c>
      <c r="F43" s="14"/>
      <c r="G43" s="29">
        <f t="shared" si="2"/>
        <v>0</v>
      </c>
      <c r="H43" s="29">
        <f aca="true" t="shared" si="5" ref="H43:N53">H14*$E14</f>
        <v>0</v>
      </c>
      <c r="I43" s="29">
        <f t="shared" si="5"/>
        <v>0</v>
      </c>
      <c r="J43" s="29">
        <f t="shared" si="5"/>
        <v>0</v>
      </c>
      <c r="K43" s="29">
        <f t="shared" si="5"/>
        <v>0</v>
      </c>
      <c r="L43" s="29">
        <f t="shared" si="5"/>
        <v>626</v>
      </c>
      <c r="M43" s="29">
        <f t="shared" si="5"/>
        <v>0</v>
      </c>
      <c r="N43" s="29">
        <f t="shared" si="5"/>
        <v>0</v>
      </c>
      <c r="O43" s="29">
        <f t="shared" si="4"/>
        <v>626</v>
      </c>
      <c r="P43" s="30"/>
    </row>
    <row r="44" spans="1:16" ht="15">
      <c r="A44" s="4">
        <v>12</v>
      </c>
      <c r="B44" s="43"/>
      <c r="C44" s="12">
        <f>SUM('[1]COST PERFORMANCE BY RLM &amp; JOB'!$S$14:$S$15)</f>
        <v>156</v>
      </c>
      <c r="D44" s="58">
        <f>SUM('[1]COST PERFORMANCE BY RLM &amp; JOB'!$AB$14:$AB$15)</f>
        <v>212.04060616123593</v>
      </c>
      <c r="E44" s="55">
        <f t="shared" si="1"/>
        <v>56.04060616123593</v>
      </c>
      <c r="F44" s="14"/>
      <c r="G44" s="29">
        <f t="shared" si="2"/>
        <v>0</v>
      </c>
      <c r="H44" s="29">
        <f t="shared" si="5"/>
        <v>0</v>
      </c>
      <c r="I44" s="29">
        <f t="shared" si="5"/>
        <v>0</v>
      </c>
      <c r="J44" s="29">
        <f t="shared" si="5"/>
        <v>0</v>
      </c>
      <c r="K44" s="29">
        <f t="shared" si="5"/>
        <v>0</v>
      </c>
      <c r="L44" s="29">
        <f t="shared" si="5"/>
        <v>56.04060616123593</v>
      </c>
      <c r="M44" s="29">
        <f t="shared" si="5"/>
        <v>0</v>
      </c>
      <c r="N44" s="29">
        <f t="shared" si="5"/>
        <v>0</v>
      </c>
      <c r="O44" s="29">
        <f t="shared" si="4"/>
        <v>56.04060616123593</v>
      </c>
      <c r="P44" s="30"/>
    </row>
    <row r="45" spans="1:16" ht="15">
      <c r="A45" s="4">
        <v>13</v>
      </c>
      <c r="B45" s="43" t="s">
        <v>20</v>
      </c>
      <c r="C45" s="12">
        <v>162</v>
      </c>
      <c r="D45" s="22">
        <v>1692</v>
      </c>
      <c r="E45" s="14">
        <f t="shared" si="1"/>
        <v>1530</v>
      </c>
      <c r="F45" s="14"/>
      <c r="G45" s="29">
        <f t="shared" si="2"/>
        <v>0</v>
      </c>
      <c r="H45" s="29">
        <f t="shared" si="5"/>
        <v>0</v>
      </c>
      <c r="I45" s="29">
        <f t="shared" si="5"/>
        <v>0</v>
      </c>
      <c r="J45" s="29">
        <f t="shared" si="5"/>
        <v>0</v>
      </c>
      <c r="K45" s="29">
        <f t="shared" si="5"/>
        <v>0</v>
      </c>
      <c r="L45" s="29">
        <f t="shared" si="5"/>
        <v>1530</v>
      </c>
      <c r="M45" s="29">
        <f t="shared" si="5"/>
        <v>0</v>
      </c>
      <c r="N45" s="29">
        <f t="shared" si="5"/>
        <v>0</v>
      </c>
      <c r="O45" s="29">
        <f t="shared" si="4"/>
        <v>1530</v>
      </c>
      <c r="P45" s="30"/>
    </row>
    <row r="46" spans="1:16" ht="15">
      <c r="A46" s="4">
        <v>13</v>
      </c>
      <c r="B46" s="43"/>
      <c r="C46" s="12">
        <f>SUM('[1]COST PERFORMANCE BY RLM &amp; JOB'!$S$43:$S$45,'[1]COST PERFORMANCE BY RLM &amp; JOB'!$S$47,'[1]COST PERFORMANCE BY RLM &amp; JOB'!$S$48)</f>
        <v>3300</v>
      </c>
      <c r="D46" s="56">
        <f>SUM('[1]COST PERFORMANCE BY RLM &amp; JOB'!$AB$43:$AB$45,'[1]COST PERFORMANCE BY RLM &amp; JOB'!$AB$47:$AB$48)</f>
        <v>3385.412529685183</v>
      </c>
      <c r="E46" s="55">
        <f t="shared" si="1"/>
        <v>85.41252968518302</v>
      </c>
      <c r="F46" s="14"/>
      <c r="G46" s="29">
        <f t="shared" si="2"/>
        <v>0</v>
      </c>
      <c r="H46" s="29">
        <f t="shared" si="5"/>
        <v>0</v>
      </c>
      <c r="I46" s="29">
        <f t="shared" si="5"/>
        <v>0</v>
      </c>
      <c r="J46" s="29">
        <f t="shared" si="5"/>
        <v>0</v>
      </c>
      <c r="K46" s="29">
        <f t="shared" si="5"/>
        <v>0</v>
      </c>
      <c r="L46" s="29">
        <f t="shared" si="5"/>
        <v>85.41252968518302</v>
      </c>
      <c r="M46" s="29">
        <f t="shared" si="5"/>
        <v>0</v>
      </c>
      <c r="N46" s="29">
        <f t="shared" si="5"/>
        <v>0</v>
      </c>
      <c r="O46" s="29">
        <f t="shared" si="4"/>
        <v>85.41252968518302</v>
      </c>
      <c r="P46" s="30"/>
    </row>
    <row r="47" spans="1:16" ht="15">
      <c r="A47" s="4">
        <v>14</v>
      </c>
      <c r="B47" s="43"/>
      <c r="C47" s="12">
        <f>SUM('[1]COST PERFORMANCE BY RLM &amp; JOB'!$S$18:$S$21,'[1]COST PERFORMANCE BY RLM &amp; JOB'!$S$49:$S$53)</f>
        <v>6246</v>
      </c>
      <c r="D47" s="56">
        <f>SUM('[1]COST PERFORMANCE BY RLM &amp; JOB'!$AB$50:$AB$53,'[1]COST PERFORMANCE BY RLM &amp; JOB'!$AB$18:$AB$21)</f>
        <v>6642.710140761358</v>
      </c>
      <c r="E47" s="55">
        <f t="shared" si="1"/>
        <v>396.71014076135816</v>
      </c>
      <c r="F47" s="14"/>
      <c r="G47" s="29">
        <f t="shared" si="2"/>
        <v>198.35507038067908</v>
      </c>
      <c r="H47" s="29">
        <f t="shared" si="5"/>
        <v>0</v>
      </c>
      <c r="I47" s="29">
        <f t="shared" si="5"/>
        <v>198.35507038067908</v>
      </c>
      <c r="J47" s="29">
        <f t="shared" si="5"/>
        <v>0</v>
      </c>
      <c r="K47" s="29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4"/>
        <v>396.71014076135816</v>
      </c>
      <c r="P47" s="30"/>
    </row>
    <row r="48" spans="1:16" ht="15">
      <c r="A48" s="4">
        <v>15</v>
      </c>
      <c r="B48" s="43"/>
      <c r="C48" s="12">
        <f>SUM('[1]COST PERFORMANCE BY RLM &amp; JOB'!$S$54:$S$55)</f>
        <v>1262</v>
      </c>
      <c r="D48" s="56">
        <f>SUM('[1]COST PERFORMANCE BY RLM &amp; JOB'!$AB$54:$AB$55)</f>
        <v>1778.5641054058865</v>
      </c>
      <c r="E48" s="55">
        <f t="shared" si="1"/>
        <v>516.5641054058865</v>
      </c>
      <c r="F48" s="14"/>
      <c r="G48" s="29">
        <f t="shared" si="2"/>
        <v>0</v>
      </c>
      <c r="H48" s="29">
        <f t="shared" si="5"/>
        <v>258.28205270294325</v>
      </c>
      <c r="I48" s="29">
        <f t="shared" si="5"/>
        <v>129.14102635147162</v>
      </c>
      <c r="J48" s="29">
        <f t="shared" si="5"/>
        <v>0</v>
      </c>
      <c r="K48" s="29">
        <f t="shared" si="5"/>
        <v>0</v>
      </c>
      <c r="L48" s="29">
        <f t="shared" si="5"/>
        <v>129.14102635147162</v>
      </c>
      <c r="M48" s="29">
        <f t="shared" si="5"/>
        <v>0</v>
      </c>
      <c r="N48" s="29">
        <f t="shared" si="5"/>
        <v>0</v>
      </c>
      <c r="O48" s="29">
        <f t="shared" si="4"/>
        <v>516.5641054058865</v>
      </c>
      <c r="P48" s="30"/>
    </row>
    <row r="49" spans="1:16" ht="15">
      <c r="A49" s="4">
        <v>17</v>
      </c>
      <c r="B49" s="43"/>
      <c r="C49" s="12">
        <f>SUM('[1]COST PERFORMANCE BY RLM &amp; JOB'!$S$57:$S$60)</f>
        <v>784</v>
      </c>
      <c r="D49" s="56">
        <f>SUM('[1]COST PERFORMANCE BY RLM &amp; JOB'!$AB$57:$AB$60)</f>
        <v>1127.2122214014576</v>
      </c>
      <c r="E49" s="55">
        <f t="shared" si="1"/>
        <v>343.21222140145755</v>
      </c>
      <c r="F49" s="14"/>
      <c r="G49" s="29">
        <f t="shared" si="2"/>
        <v>0</v>
      </c>
      <c r="H49" s="29">
        <f t="shared" si="5"/>
        <v>0</v>
      </c>
      <c r="I49" s="29">
        <f t="shared" si="5"/>
        <v>343.21222140145755</v>
      </c>
      <c r="J49" s="29">
        <f t="shared" si="5"/>
        <v>0</v>
      </c>
      <c r="K49" s="29">
        <f t="shared" si="5"/>
        <v>0</v>
      </c>
      <c r="L49" s="29">
        <f t="shared" si="5"/>
        <v>0</v>
      </c>
      <c r="M49" s="29">
        <f t="shared" si="5"/>
        <v>0</v>
      </c>
      <c r="N49" s="29">
        <f t="shared" si="5"/>
        <v>0</v>
      </c>
      <c r="O49" s="29">
        <f t="shared" si="4"/>
        <v>343.21222140145755</v>
      </c>
      <c r="P49" s="30"/>
    </row>
    <row r="50" spans="1:16" ht="15">
      <c r="A50" s="4">
        <v>18</v>
      </c>
      <c r="B50" s="43" t="s">
        <v>21</v>
      </c>
      <c r="C50" s="12">
        <f>1989+5745+1334</f>
        <v>9068</v>
      </c>
      <c r="D50" s="22">
        <v>14967</v>
      </c>
      <c r="E50" s="14">
        <f t="shared" si="1"/>
        <v>5899</v>
      </c>
      <c r="F50" s="14"/>
      <c r="G50" s="29">
        <f t="shared" si="2"/>
        <v>961.537</v>
      </c>
      <c r="H50" s="29">
        <f t="shared" si="5"/>
        <v>961.537</v>
      </c>
      <c r="I50" s="29">
        <f t="shared" si="5"/>
        <v>359.839</v>
      </c>
      <c r="J50" s="29">
        <f t="shared" si="5"/>
        <v>961.537</v>
      </c>
      <c r="K50" s="29">
        <f t="shared" si="5"/>
        <v>961.537</v>
      </c>
      <c r="L50" s="29">
        <f t="shared" si="5"/>
        <v>601.698</v>
      </c>
      <c r="M50" s="29">
        <f t="shared" si="5"/>
        <v>1091.315</v>
      </c>
      <c r="N50" s="29">
        <f t="shared" si="5"/>
        <v>0</v>
      </c>
      <c r="O50" s="29">
        <f t="shared" si="4"/>
        <v>5899</v>
      </c>
      <c r="P50" s="30"/>
    </row>
    <row r="51" spans="1:16" ht="25.5">
      <c r="A51" s="4">
        <v>18</v>
      </c>
      <c r="B51" s="43" t="s">
        <v>22</v>
      </c>
      <c r="C51" s="12">
        <v>522</v>
      </c>
      <c r="D51" s="22">
        <v>1294</v>
      </c>
      <c r="E51" s="22">
        <f t="shared" si="1"/>
        <v>772</v>
      </c>
      <c r="F51" s="14"/>
      <c r="G51" s="29">
        <f t="shared" si="2"/>
        <v>0</v>
      </c>
      <c r="H51" s="29">
        <f t="shared" si="5"/>
        <v>38.6</v>
      </c>
      <c r="I51" s="29">
        <f t="shared" si="5"/>
        <v>0</v>
      </c>
      <c r="J51" s="29">
        <f t="shared" si="5"/>
        <v>231.6</v>
      </c>
      <c r="K51" s="29">
        <f t="shared" si="5"/>
        <v>308.8</v>
      </c>
      <c r="L51" s="29">
        <f t="shared" si="5"/>
        <v>0</v>
      </c>
      <c r="M51" s="29">
        <f t="shared" si="5"/>
        <v>0</v>
      </c>
      <c r="N51" s="29">
        <f t="shared" si="5"/>
        <v>193</v>
      </c>
      <c r="O51" s="29">
        <f t="shared" si="4"/>
        <v>772</v>
      </c>
      <c r="P51" s="30"/>
    </row>
    <row r="52" spans="1:16" ht="15">
      <c r="A52" s="4">
        <v>18</v>
      </c>
      <c r="B52" s="43">
        <v>1806</v>
      </c>
      <c r="C52" s="12">
        <f>SUM('[1]COST PERFORMANCE BY RLM &amp; JOB'!$S$61)</f>
        <v>514</v>
      </c>
      <c r="D52" s="56">
        <f>SUM('[1]COST PERFORMANCE BY RLM &amp; JOB'!$AB$61)</f>
        <v>365.422</v>
      </c>
      <c r="E52" s="56">
        <f t="shared" si="1"/>
        <v>-148.57799999999997</v>
      </c>
      <c r="F52" s="14"/>
      <c r="G52" s="29">
        <f t="shared" si="2"/>
        <v>0</v>
      </c>
      <c r="H52" s="29">
        <f t="shared" si="5"/>
        <v>0</v>
      </c>
      <c r="I52" s="29">
        <f t="shared" si="5"/>
        <v>-148.57799999999997</v>
      </c>
      <c r="J52" s="29">
        <f t="shared" si="5"/>
        <v>0</v>
      </c>
      <c r="K52" s="29">
        <f t="shared" si="5"/>
        <v>0</v>
      </c>
      <c r="L52" s="29">
        <f t="shared" si="5"/>
        <v>0</v>
      </c>
      <c r="M52" s="29">
        <f t="shared" si="5"/>
        <v>0</v>
      </c>
      <c r="N52" s="29">
        <f t="shared" si="5"/>
        <v>0</v>
      </c>
      <c r="O52" s="29">
        <f t="shared" si="4"/>
        <v>-148.57799999999997</v>
      </c>
      <c r="P52" s="30"/>
    </row>
    <row r="53" spans="1:16" ht="25.5">
      <c r="A53" s="4">
        <v>7</v>
      </c>
      <c r="B53" s="43" t="s">
        <v>23</v>
      </c>
      <c r="C53" s="13">
        <f>SUM('[1]COST PERFORMANCE BY RLM &amp; JOB'!$S$36:$S$40)</f>
        <v>7951</v>
      </c>
      <c r="D53" s="55">
        <f>SUM('[1]COST PERFORMANCE BY RLM &amp; JOB'!$AB$36:$AB$40)</f>
        <v>8330.924745702234</v>
      </c>
      <c r="E53" s="55">
        <f t="shared" si="1"/>
        <v>379.92474570223385</v>
      </c>
      <c r="F53" s="14"/>
      <c r="G53" s="29">
        <f t="shared" si="2"/>
        <v>0</v>
      </c>
      <c r="H53" s="29">
        <f t="shared" si="5"/>
        <v>0</v>
      </c>
      <c r="I53" s="29">
        <f t="shared" si="5"/>
        <v>0</v>
      </c>
      <c r="J53" s="29">
        <f t="shared" si="5"/>
        <v>0</v>
      </c>
      <c r="K53" s="29">
        <f t="shared" si="5"/>
        <v>0</v>
      </c>
      <c r="L53" s="29">
        <f t="shared" si="5"/>
        <v>136.7729084528042</v>
      </c>
      <c r="M53" s="29">
        <f t="shared" si="5"/>
        <v>243.15183724942966</v>
      </c>
      <c r="N53" s="29">
        <f t="shared" si="5"/>
        <v>0</v>
      </c>
      <c r="O53" s="29">
        <f t="shared" si="4"/>
        <v>379.92474570223385</v>
      </c>
      <c r="P53" s="30"/>
    </row>
    <row r="54" spans="1:16" ht="15">
      <c r="A54" s="4">
        <v>82</v>
      </c>
      <c r="B54" s="43" t="s">
        <v>26</v>
      </c>
      <c r="C54" s="13">
        <v>1408</v>
      </c>
      <c r="D54" s="55">
        <v>2702</v>
      </c>
      <c r="E54" s="55">
        <f t="shared" si="1"/>
        <v>1294</v>
      </c>
      <c r="F54" s="14"/>
      <c r="G54" s="29">
        <f aca="true" t="shared" si="6" ref="G54:N54">G25*$E25</f>
        <v>0</v>
      </c>
      <c r="H54" s="29">
        <f t="shared" si="6"/>
        <v>1035.2</v>
      </c>
      <c r="I54" s="29">
        <f t="shared" si="6"/>
        <v>0</v>
      </c>
      <c r="J54" s="29">
        <f t="shared" si="6"/>
        <v>0</v>
      </c>
      <c r="K54" s="29">
        <f t="shared" si="6"/>
        <v>0</v>
      </c>
      <c r="L54" s="29">
        <f t="shared" si="6"/>
        <v>0</v>
      </c>
      <c r="M54" s="29">
        <f t="shared" si="6"/>
        <v>258.8</v>
      </c>
      <c r="N54" s="29">
        <f t="shared" si="6"/>
        <v>0</v>
      </c>
      <c r="O54" s="29">
        <f t="shared" si="4"/>
        <v>1294</v>
      </c>
      <c r="P54" s="30"/>
    </row>
    <row r="55" spans="1:16" ht="25.5">
      <c r="A55" s="4">
        <v>82</v>
      </c>
      <c r="B55" s="43" t="s">
        <v>24</v>
      </c>
      <c r="C55" s="13">
        <v>2649</v>
      </c>
      <c r="D55" s="55">
        <v>3804</v>
      </c>
      <c r="E55" s="55">
        <f t="shared" si="1"/>
        <v>1155</v>
      </c>
      <c r="F55" s="14"/>
      <c r="G55" s="29">
        <f aca="true" t="shared" si="7" ref="G55:N55">G26*$E26</f>
        <v>0</v>
      </c>
      <c r="H55" s="29">
        <f t="shared" si="7"/>
        <v>231</v>
      </c>
      <c r="I55" s="29">
        <f t="shared" si="7"/>
        <v>115.5</v>
      </c>
      <c r="J55" s="29">
        <v>0</v>
      </c>
      <c r="K55" s="29">
        <f t="shared" si="7"/>
        <v>288.75</v>
      </c>
      <c r="L55" s="29">
        <f t="shared" si="7"/>
        <v>288.75</v>
      </c>
      <c r="M55" s="29">
        <f t="shared" si="7"/>
        <v>231</v>
      </c>
      <c r="N55" s="29">
        <f t="shared" si="7"/>
        <v>0</v>
      </c>
      <c r="O55" s="29">
        <f t="shared" si="4"/>
        <v>1155</v>
      </c>
      <c r="P55" s="30"/>
    </row>
    <row r="56" spans="1:16" ht="15">
      <c r="A56" s="4">
        <v>82</v>
      </c>
      <c r="B56" s="43"/>
      <c r="C56" s="13">
        <f>SUM('[1]COST PERFORMANCE BY RLM &amp; JOB'!$S$65:$S$68)</f>
        <v>1892</v>
      </c>
      <c r="D56" s="55">
        <f>SUM('[1]COST PERFORMANCE BY RLM &amp; JOB'!$AB$65:$AB$68)</f>
        <v>2374.059920175863</v>
      </c>
      <c r="E56" s="55">
        <f t="shared" si="1"/>
        <v>482.0599201758632</v>
      </c>
      <c r="F56" s="14"/>
      <c r="G56" s="29">
        <f aca="true" t="shared" si="8" ref="G56:N56">G27*$E27</f>
        <v>144.61797605275896</v>
      </c>
      <c r="H56" s="29">
        <f t="shared" si="8"/>
        <v>0</v>
      </c>
      <c r="I56" s="29">
        <f t="shared" si="8"/>
        <v>48.205992017586325</v>
      </c>
      <c r="J56" s="29">
        <f t="shared" si="8"/>
        <v>0</v>
      </c>
      <c r="K56" s="29">
        <f t="shared" si="8"/>
        <v>144.61797605275896</v>
      </c>
      <c r="L56" s="29">
        <f t="shared" si="8"/>
        <v>48.205992017586325</v>
      </c>
      <c r="M56" s="29">
        <f t="shared" si="8"/>
        <v>96.41198403517265</v>
      </c>
      <c r="N56" s="29">
        <f t="shared" si="8"/>
        <v>0</v>
      </c>
      <c r="O56" s="29">
        <f t="shared" si="4"/>
        <v>482.0599201758632</v>
      </c>
      <c r="P56" s="30"/>
    </row>
    <row r="57" spans="1:16" ht="25.5">
      <c r="A57" s="4">
        <v>81</v>
      </c>
      <c r="B57" s="43" t="s">
        <v>25</v>
      </c>
      <c r="C57" s="12">
        <v>3843</v>
      </c>
      <c r="D57" s="12">
        <v>4880</v>
      </c>
      <c r="E57" s="14">
        <f t="shared" si="1"/>
        <v>1037</v>
      </c>
      <c r="F57" s="14"/>
      <c r="G57" s="29">
        <f aca="true" t="shared" si="9" ref="G57:N66">G28*$E28</f>
        <v>0</v>
      </c>
      <c r="H57" s="29">
        <f t="shared" si="9"/>
        <v>0</v>
      </c>
      <c r="I57" s="29">
        <f t="shared" si="9"/>
        <v>0</v>
      </c>
      <c r="J57" s="29">
        <f t="shared" si="9"/>
        <v>0</v>
      </c>
      <c r="K57" s="29">
        <f t="shared" si="9"/>
        <v>829.6</v>
      </c>
      <c r="L57" s="29">
        <f t="shared" si="9"/>
        <v>0</v>
      </c>
      <c r="M57" s="29">
        <f t="shared" si="9"/>
        <v>207.4</v>
      </c>
      <c r="N57" s="29">
        <f t="shared" si="9"/>
        <v>0</v>
      </c>
      <c r="O57" s="29">
        <f t="shared" si="4"/>
        <v>1037</v>
      </c>
      <c r="P57" s="30"/>
    </row>
    <row r="58" spans="1:16" ht="15">
      <c r="A58" s="4">
        <v>5</v>
      </c>
      <c r="B58" s="44" t="s">
        <v>34</v>
      </c>
      <c r="C58" s="35">
        <f>SUM('[1]COST PERFORMANCE BY RLM &amp; JOB'!$S$76:$S$82)</f>
        <v>1136</v>
      </c>
      <c r="D58" s="35">
        <f>SUM('[1]COST PERFORMANCE BY RLM &amp; JOB'!$AB$76:$AB$82)</f>
        <v>2097</v>
      </c>
      <c r="E58" s="36">
        <f t="shared" si="1"/>
        <v>961</v>
      </c>
      <c r="F58" s="34"/>
      <c r="G58" s="29">
        <f t="shared" si="9"/>
        <v>0</v>
      </c>
      <c r="H58" s="29">
        <f t="shared" si="9"/>
        <v>0</v>
      </c>
      <c r="I58" s="29">
        <f t="shared" si="9"/>
        <v>0</v>
      </c>
      <c r="J58" s="29">
        <f t="shared" si="9"/>
        <v>0</v>
      </c>
      <c r="K58" s="29">
        <f t="shared" si="9"/>
        <v>0</v>
      </c>
      <c r="L58" s="29">
        <f t="shared" si="9"/>
        <v>961</v>
      </c>
      <c r="M58" s="29">
        <f t="shared" si="9"/>
        <v>0</v>
      </c>
      <c r="N58" s="29">
        <f t="shared" si="9"/>
        <v>0</v>
      </c>
      <c r="O58" s="29">
        <f t="shared" si="4"/>
        <v>961</v>
      </c>
      <c r="P58" s="40"/>
    </row>
    <row r="59" spans="1:16" ht="15">
      <c r="A59" s="4">
        <v>16</v>
      </c>
      <c r="B59" s="44" t="s">
        <v>35</v>
      </c>
      <c r="C59" s="35">
        <v>861</v>
      </c>
      <c r="D59" s="35">
        <v>1141</v>
      </c>
      <c r="E59" s="36">
        <f t="shared" si="1"/>
        <v>280</v>
      </c>
      <c r="F59" s="34"/>
      <c r="G59" s="29">
        <f t="shared" si="9"/>
        <v>0</v>
      </c>
      <c r="H59" s="29">
        <f t="shared" si="9"/>
        <v>0</v>
      </c>
      <c r="I59" s="29">
        <f t="shared" si="9"/>
        <v>0</v>
      </c>
      <c r="J59" s="29">
        <f t="shared" si="9"/>
        <v>0</v>
      </c>
      <c r="K59" s="29">
        <f t="shared" si="9"/>
        <v>0</v>
      </c>
      <c r="L59" s="29">
        <f t="shared" si="9"/>
        <v>280</v>
      </c>
      <c r="M59" s="29">
        <f t="shared" si="9"/>
        <v>0</v>
      </c>
      <c r="N59" s="29">
        <f t="shared" si="9"/>
        <v>0</v>
      </c>
      <c r="O59" s="29">
        <f t="shared" si="4"/>
        <v>280</v>
      </c>
      <c r="P59" s="40"/>
    </row>
    <row r="60" spans="1:16" ht="25.5">
      <c r="A60" s="4">
        <v>2</v>
      </c>
      <c r="B60" s="44" t="s">
        <v>43</v>
      </c>
      <c r="C60" s="35">
        <v>241</v>
      </c>
      <c r="D60" s="35">
        <v>828</v>
      </c>
      <c r="E60" s="36">
        <f t="shared" si="1"/>
        <v>587</v>
      </c>
      <c r="F60" s="34"/>
      <c r="G60" s="29">
        <f t="shared" si="9"/>
        <v>0</v>
      </c>
      <c r="H60" s="29">
        <f t="shared" si="9"/>
        <v>0</v>
      </c>
      <c r="I60" s="29">
        <f t="shared" si="9"/>
        <v>0</v>
      </c>
      <c r="J60" s="29">
        <f t="shared" si="9"/>
        <v>0</v>
      </c>
      <c r="K60" s="29">
        <f t="shared" si="9"/>
        <v>0</v>
      </c>
      <c r="L60" s="29">
        <f t="shared" si="9"/>
        <v>587</v>
      </c>
      <c r="M60" s="29">
        <f t="shared" si="9"/>
        <v>0</v>
      </c>
      <c r="N60" s="29">
        <f t="shared" si="9"/>
        <v>0</v>
      </c>
      <c r="O60" s="29">
        <f t="shared" si="4"/>
        <v>587</v>
      </c>
      <c r="P60" s="40"/>
    </row>
    <row r="61" spans="1:16" ht="15">
      <c r="A61" s="4">
        <v>6</v>
      </c>
      <c r="B61" s="44" t="s">
        <v>44</v>
      </c>
      <c r="C61" s="35">
        <v>46</v>
      </c>
      <c r="D61" s="35">
        <v>113</v>
      </c>
      <c r="E61" s="36">
        <f t="shared" si="1"/>
        <v>67</v>
      </c>
      <c r="F61" s="34"/>
      <c r="G61" s="29">
        <f t="shared" si="9"/>
        <v>0</v>
      </c>
      <c r="H61" s="29">
        <f t="shared" si="9"/>
        <v>0</v>
      </c>
      <c r="I61" s="29">
        <f t="shared" si="9"/>
        <v>0</v>
      </c>
      <c r="J61" s="29">
        <f t="shared" si="9"/>
        <v>0</v>
      </c>
      <c r="K61" s="29">
        <f t="shared" si="9"/>
        <v>0</v>
      </c>
      <c r="L61" s="29">
        <f t="shared" si="9"/>
        <v>67</v>
      </c>
      <c r="M61" s="29">
        <f t="shared" si="9"/>
        <v>0</v>
      </c>
      <c r="N61" s="29">
        <f t="shared" si="9"/>
        <v>0</v>
      </c>
      <c r="O61" s="29">
        <f t="shared" si="4"/>
        <v>67</v>
      </c>
      <c r="P61" s="40"/>
    </row>
    <row r="62" spans="1:16" ht="15">
      <c r="A62" s="4">
        <v>6</v>
      </c>
      <c r="B62" s="44"/>
      <c r="C62" s="35">
        <f>SUM('[1]COST PERFORMANCE BY RLM &amp; JOB'!$S$33:$S$35)</f>
        <v>1333</v>
      </c>
      <c r="D62" s="35">
        <f>SUM('[1]COST PERFORMANCE BY RLM &amp; JOB'!$AB$33:$AB$35)</f>
        <v>1725</v>
      </c>
      <c r="E62" s="36">
        <f t="shared" si="1"/>
        <v>392</v>
      </c>
      <c r="F62" s="34"/>
      <c r="G62" s="29">
        <f t="shared" si="9"/>
        <v>0</v>
      </c>
      <c r="H62" s="29">
        <f t="shared" si="9"/>
        <v>0</v>
      </c>
      <c r="I62" s="29">
        <f t="shared" si="9"/>
        <v>392</v>
      </c>
      <c r="J62" s="29">
        <f t="shared" si="9"/>
        <v>0</v>
      </c>
      <c r="K62" s="29">
        <f t="shared" si="9"/>
        <v>0</v>
      </c>
      <c r="L62" s="29">
        <f t="shared" si="9"/>
        <v>0</v>
      </c>
      <c r="M62" s="29">
        <f t="shared" si="9"/>
        <v>0</v>
      </c>
      <c r="N62" s="29">
        <f t="shared" si="9"/>
        <v>0</v>
      </c>
      <c r="O62" s="29">
        <f t="shared" si="4"/>
        <v>392</v>
      </c>
      <c r="P62" s="40"/>
    </row>
    <row r="63" spans="1:16" ht="15">
      <c r="A63" s="4">
        <v>3</v>
      </c>
      <c r="B63" s="44">
        <v>3</v>
      </c>
      <c r="C63" s="52">
        <f>SUM('[1]COST PERFORMANCE BY RLM &amp; JOB'!$S$28:$S$31)</f>
        <v>717</v>
      </c>
      <c r="D63" s="52">
        <f>SUM('[1]COST PERFORMANCE BY RLM &amp; JOB'!$AB$28:$AB$31)</f>
        <v>991.4648343431631</v>
      </c>
      <c r="E63" s="53">
        <f t="shared" si="1"/>
        <v>274.46483434316315</v>
      </c>
      <c r="F63" s="34"/>
      <c r="G63" s="29">
        <f t="shared" si="9"/>
        <v>0</v>
      </c>
      <c r="H63" s="29">
        <f t="shared" si="9"/>
        <v>0</v>
      </c>
      <c r="I63" s="29">
        <f t="shared" si="9"/>
        <v>274.46483434316315</v>
      </c>
      <c r="J63" s="29">
        <f t="shared" si="9"/>
        <v>0</v>
      </c>
      <c r="K63" s="29">
        <f t="shared" si="9"/>
        <v>0</v>
      </c>
      <c r="L63" s="29">
        <f t="shared" si="9"/>
        <v>0</v>
      </c>
      <c r="M63" s="29">
        <f t="shared" si="9"/>
        <v>0</v>
      </c>
      <c r="N63" s="29">
        <f t="shared" si="9"/>
        <v>0</v>
      </c>
      <c r="O63" s="29">
        <f t="shared" si="4"/>
        <v>274.46483434316315</v>
      </c>
      <c r="P63" s="40"/>
    </row>
    <row r="64" spans="1:16" ht="15">
      <c r="A64" s="4">
        <v>4</v>
      </c>
      <c r="B64" s="44" t="s">
        <v>37</v>
      </c>
      <c r="C64" s="35">
        <f>SUM('[1]COST PERFORMANCE BY RLM &amp; JOB'!$S$72:$S$75)</f>
        <v>2425</v>
      </c>
      <c r="D64" s="35">
        <f>SUM('[1]COST PERFORMANCE BY RLM &amp; JOB'!$AB$72:$AB$75)</f>
        <v>2569.3415011199536</v>
      </c>
      <c r="E64" s="36">
        <f t="shared" si="1"/>
        <v>144.3415011199536</v>
      </c>
      <c r="F64" s="34"/>
      <c r="G64" s="29">
        <f t="shared" si="9"/>
        <v>0</v>
      </c>
      <c r="H64" s="29">
        <f t="shared" si="9"/>
        <v>0</v>
      </c>
      <c r="I64" s="29">
        <f t="shared" si="9"/>
        <v>0</v>
      </c>
      <c r="J64" s="29">
        <f t="shared" si="9"/>
        <v>0</v>
      </c>
      <c r="K64" s="29">
        <f t="shared" si="9"/>
        <v>0</v>
      </c>
      <c r="L64" s="29">
        <f t="shared" si="9"/>
        <v>144.3415011199536</v>
      </c>
      <c r="M64" s="29">
        <f t="shared" si="9"/>
        <v>0</v>
      </c>
      <c r="N64" s="29">
        <f t="shared" si="9"/>
        <v>0</v>
      </c>
      <c r="O64" s="29">
        <f t="shared" si="4"/>
        <v>144.3415011199536</v>
      </c>
      <c r="P64" s="40"/>
    </row>
    <row r="65" spans="1:16" ht="15">
      <c r="A65" s="4">
        <v>19</v>
      </c>
      <c r="B65" s="44" t="s">
        <v>42</v>
      </c>
      <c r="C65" s="35">
        <v>1620</v>
      </c>
      <c r="D65" s="35">
        <v>2444</v>
      </c>
      <c r="E65" s="36">
        <f t="shared" si="1"/>
        <v>824</v>
      </c>
      <c r="F65" s="34"/>
      <c r="G65" s="29">
        <f t="shared" si="9"/>
        <v>0</v>
      </c>
      <c r="H65" s="29">
        <f t="shared" si="9"/>
        <v>0</v>
      </c>
      <c r="I65" s="29">
        <f t="shared" si="9"/>
        <v>0</v>
      </c>
      <c r="J65" s="29">
        <f t="shared" si="9"/>
        <v>0</v>
      </c>
      <c r="K65" s="29">
        <f t="shared" si="9"/>
        <v>0</v>
      </c>
      <c r="L65" s="29">
        <f t="shared" si="9"/>
        <v>0</v>
      </c>
      <c r="M65" s="29">
        <f t="shared" si="9"/>
        <v>824</v>
      </c>
      <c r="N65" s="29">
        <f t="shared" si="9"/>
        <v>0</v>
      </c>
      <c r="O65" s="29">
        <f t="shared" si="4"/>
        <v>824</v>
      </c>
      <c r="P65" s="40"/>
    </row>
    <row r="66" spans="1:16" ht="15">
      <c r="A66" s="4">
        <v>85</v>
      </c>
      <c r="B66" s="44"/>
      <c r="C66" s="35">
        <f>SUM('[1]COST PERFORMANCE BY RLM &amp; JOB'!$S$83)</f>
        <v>765</v>
      </c>
      <c r="D66" s="35">
        <f>SUM('[1]COST PERFORMANCE BY RLM &amp; JOB'!$AB$83)</f>
        <v>771</v>
      </c>
      <c r="E66" s="36">
        <f t="shared" si="1"/>
        <v>6</v>
      </c>
      <c r="F66" s="34"/>
      <c r="G66" s="29">
        <f t="shared" si="9"/>
        <v>0</v>
      </c>
      <c r="H66" s="29">
        <f t="shared" si="9"/>
        <v>0</v>
      </c>
      <c r="I66" s="29">
        <f t="shared" si="9"/>
        <v>6</v>
      </c>
      <c r="J66" s="29">
        <f t="shared" si="9"/>
        <v>0</v>
      </c>
      <c r="K66" s="29">
        <f t="shared" si="9"/>
        <v>0</v>
      </c>
      <c r="L66" s="29">
        <f t="shared" si="9"/>
        <v>0</v>
      </c>
      <c r="M66" s="29">
        <f t="shared" si="9"/>
        <v>0</v>
      </c>
      <c r="N66" s="29">
        <f t="shared" si="9"/>
        <v>0</v>
      </c>
      <c r="O66" s="29">
        <f t="shared" si="4"/>
        <v>6</v>
      </c>
      <c r="P66" s="40"/>
    </row>
    <row r="67" spans="1:16" ht="15">
      <c r="A67" s="4">
        <v>81</v>
      </c>
      <c r="B67" s="44" t="s">
        <v>39</v>
      </c>
      <c r="C67" s="35">
        <v>499</v>
      </c>
      <c r="D67" s="35">
        <v>1341</v>
      </c>
      <c r="E67" s="36">
        <f t="shared" si="1"/>
        <v>842</v>
      </c>
      <c r="F67" s="34"/>
      <c r="G67" s="29">
        <f aca="true" t="shared" si="10" ref="G67:N67">G38*$E38</f>
        <v>0</v>
      </c>
      <c r="H67" s="29">
        <f t="shared" si="10"/>
        <v>0</v>
      </c>
      <c r="I67" s="29">
        <f t="shared" si="10"/>
        <v>0</v>
      </c>
      <c r="J67" s="29">
        <f t="shared" si="10"/>
        <v>0</v>
      </c>
      <c r="K67" s="29">
        <f t="shared" si="10"/>
        <v>673.6</v>
      </c>
      <c r="L67" s="29">
        <f t="shared" si="10"/>
        <v>0</v>
      </c>
      <c r="M67" s="29">
        <f t="shared" si="10"/>
        <v>168.4</v>
      </c>
      <c r="N67" s="29">
        <f t="shared" si="10"/>
        <v>0</v>
      </c>
      <c r="O67" s="29">
        <f t="shared" si="4"/>
        <v>842</v>
      </c>
      <c r="P67" s="40"/>
    </row>
    <row r="68" spans="1:16" ht="15">
      <c r="A68" s="4">
        <v>89</v>
      </c>
      <c r="B68" s="44" t="s">
        <v>40</v>
      </c>
      <c r="C68" s="35">
        <v>1453</v>
      </c>
      <c r="D68" s="35">
        <v>2239</v>
      </c>
      <c r="E68" s="36">
        <f t="shared" si="1"/>
        <v>786</v>
      </c>
      <c r="F68" s="34"/>
      <c r="G68" s="29">
        <f aca="true" t="shared" si="11" ref="G68:N68">G39*$E39</f>
        <v>0</v>
      </c>
      <c r="H68" s="29">
        <f t="shared" si="11"/>
        <v>0</v>
      </c>
      <c r="I68" s="29">
        <f t="shared" si="11"/>
        <v>102.18</v>
      </c>
      <c r="J68" s="29">
        <f t="shared" si="11"/>
        <v>0</v>
      </c>
      <c r="K68" s="29">
        <f t="shared" si="11"/>
        <v>0</v>
      </c>
      <c r="L68" s="29">
        <f t="shared" si="11"/>
        <v>0</v>
      </c>
      <c r="M68" s="29">
        <f t="shared" si="11"/>
        <v>683.82</v>
      </c>
      <c r="N68" s="29">
        <f t="shared" si="11"/>
        <v>0</v>
      </c>
      <c r="O68" s="29">
        <f t="shared" si="4"/>
        <v>786</v>
      </c>
      <c r="P68" s="40"/>
    </row>
    <row r="69" spans="3:16" ht="15">
      <c r="C69" s="12"/>
      <c r="D69" s="22"/>
      <c r="E69" s="14"/>
      <c r="F69" s="14"/>
      <c r="G69" s="29"/>
      <c r="H69" s="29"/>
      <c r="I69" s="29"/>
      <c r="J69" s="29"/>
      <c r="K69" s="29"/>
      <c r="L69" s="29"/>
      <c r="M69" s="29"/>
      <c r="N69" s="29"/>
      <c r="O69" s="29"/>
      <c r="P69" s="30"/>
    </row>
    <row r="70" spans="2:16" s="19" customFormat="1" ht="16.5" thickBot="1">
      <c r="B70" s="27" t="s">
        <v>17</v>
      </c>
      <c r="C70" s="57">
        <f>SUM(C42:C69)</f>
        <v>50853</v>
      </c>
      <c r="D70" s="57">
        <f>SUM(D42:D69)</f>
        <v>70949.15260475634</v>
      </c>
      <c r="E70" s="57">
        <f>SUM(E42:E69)</f>
        <v>20096.152604756335</v>
      </c>
      <c r="F70" s="23"/>
      <c r="G70" s="31">
        <f>SUM(G42:G69)</f>
        <v>1304.510046433438</v>
      </c>
      <c r="H70" s="31">
        <f aca="true" t="shared" si="12" ref="H70:O70">SUM(H42:H69)</f>
        <v>2524.619052702943</v>
      </c>
      <c r="I70" s="31">
        <f t="shared" si="12"/>
        <v>1820.320144494358</v>
      </c>
      <c r="J70" s="31">
        <f t="shared" si="12"/>
        <v>1193.137</v>
      </c>
      <c r="K70" s="31">
        <f t="shared" si="12"/>
        <v>3206.9049760527587</v>
      </c>
      <c r="L70" s="31">
        <f t="shared" si="12"/>
        <v>6049.362563788234</v>
      </c>
      <c r="M70" s="31">
        <f t="shared" si="12"/>
        <v>3804.2988212846026</v>
      </c>
      <c r="N70" s="31">
        <f t="shared" si="12"/>
        <v>193</v>
      </c>
      <c r="O70" s="31">
        <f t="shared" si="12"/>
        <v>20096.152604756335</v>
      </c>
      <c r="P70" s="32">
        <f>SUM(O42:O69)</f>
        <v>20096.152604756335</v>
      </c>
    </row>
    <row r="71" spans="2:15" ht="15.75" thickBot="1">
      <c r="B71" s="1" t="s">
        <v>38</v>
      </c>
      <c r="C71" s="12"/>
      <c r="D71" s="12"/>
      <c r="E71" s="12">
        <v>20071</v>
      </c>
      <c r="F71" s="12"/>
      <c r="G71" s="72">
        <f>G70/E70</f>
        <v>0.06491342258839575</v>
      </c>
      <c r="H71" s="73">
        <f>H70/E70</f>
        <v>0.12562698454556018</v>
      </c>
      <c r="I71" s="72">
        <f>I70/E70</f>
        <v>0.09058052953198248</v>
      </c>
      <c r="J71" s="73">
        <f>J70/E70</f>
        <v>0.059371414193859655</v>
      </c>
      <c r="K71" s="18">
        <f>K70/E70</f>
        <v>0.1595780565128547</v>
      </c>
      <c r="L71" s="18">
        <f>L70/E70</f>
        <v>0.3010209308599935</v>
      </c>
      <c r="M71" s="18">
        <f>M70/E70</f>
        <v>0.18930483342290133</v>
      </c>
      <c r="N71" s="18">
        <f>N70/E70</f>
        <v>0.00960382834445241</v>
      </c>
      <c r="O71" s="18">
        <f>SUM(G71:N71)</f>
        <v>1</v>
      </c>
    </row>
    <row r="72" spans="3:15" ht="15">
      <c r="C72" s="12"/>
      <c r="D72" s="12"/>
      <c r="E72" s="33">
        <f>+E70/E71</f>
        <v>1.0012531814436916</v>
      </c>
      <c r="F72" s="33"/>
      <c r="G72" s="12"/>
      <c r="H72" s="12"/>
      <c r="I72" s="12"/>
      <c r="J72" s="12"/>
      <c r="K72" s="12"/>
      <c r="L72" s="12"/>
      <c r="M72" s="12"/>
      <c r="N72" s="12"/>
      <c r="O72" s="17"/>
    </row>
    <row r="73" spans="3:15" ht="37.5" customHeight="1" thickBot="1">
      <c r="C73" s="12"/>
      <c r="D73" s="12"/>
      <c r="E73" s="12"/>
      <c r="F73" s="12"/>
      <c r="G73" s="80" t="s">
        <v>27</v>
      </c>
      <c r="H73" s="81" t="s">
        <v>28</v>
      </c>
      <c r="I73" s="82" t="s">
        <v>29</v>
      </c>
      <c r="J73" s="81" t="s">
        <v>30</v>
      </c>
      <c r="K73" s="83" t="s">
        <v>31</v>
      </c>
      <c r="L73" s="83" t="s">
        <v>45</v>
      </c>
      <c r="M73" s="83"/>
      <c r="N73" s="83"/>
      <c r="O73" s="17"/>
    </row>
    <row r="74" spans="1:15" ht="15">
      <c r="A74" s="60"/>
      <c r="B74" s="46"/>
      <c r="C74" s="47"/>
      <c r="D74" s="47"/>
      <c r="E74" s="47"/>
      <c r="F74" s="47"/>
      <c r="G74" s="48">
        <f>G71+H71</f>
        <v>0.19054040713395592</v>
      </c>
      <c r="H74" s="18">
        <f>I71+J71</f>
        <v>0.14995194372584214</v>
      </c>
      <c r="I74" s="18">
        <f>K71</f>
        <v>0.1595780565128547</v>
      </c>
      <c r="J74" s="18">
        <f>L71</f>
        <v>0.3010209308599935</v>
      </c>
      <c r="K74" s="18">
        <f>M71</f>
        <v>0.18930483342290133</v>
      </c>
      <c r="L74" s="18">
        <f>N71</f>
        <v>0.00960382834445241</v>
      </c>
      <c r="M74" s="18"/>
      <c r="N74" s="18"/>
      <c r="O74" s="18">
        <f>SUM(G74:N74)</f>
        <v>1</v>
      </c>
    </row>
    <row r="75" spans="1:15" ht="15">
      <c r="A75" s="60"/>
      <c r="B75" s="46"/>
      <c r="C75" s="47"/>
      <c r="D75" s="47"/>
      <c r="E75" s="47"/>
      <c r="F75" s="47"/>
      <c r="G75" s="48"/>
      <c r="H75" s="18"/>
      <c r="I75" s="18"/>
      <c r="J75" s="18"/>
      <c r="K75" s="18"/>
      <c r="L75" s="18"/>
      <c r="M75" s="18"/>
      <c r="N75" s="18"/>
      <c r="O75" s="18"/>
    </row>
    <row r="76" spans="1:15" ht="18">
      <c r="A76" s="61"/>
      <c r="B76" s="62"/>
      <c r="C76" s="63"/>
      <c r="D76" s="64"/>
      <c r="E76" s="64"/>
      <c r="F76" s="64"/>
      <c r="G76" s="64"/>
      <c r="H76" s="65"/>
      <c r="I76" s="65"/>
      <c r="J76" s="65"/>
      <c r="K76" s="65"/>
      <c r="L76" s="65"/>
      <c r="M76" s="65"/>
      <c r="N76" s="65"/>
      <c r="O76" s="65"/>
    </row>
    <row r="77" spans="1:16" ht="18">
      <c r="A77" s="66">
        <v>12</v>
      </c>
      <c r="B77" s="59" t="s">
        <v>47</v>
      </c>
      <c r="C77" s="67">
        <f>SUM(C13:C15)</f>
        <v>156</v>
      </c>
      <c r="D77" s="67">
        <f>SUM(D13:D15)</f>
        <v>1346.040606161236</v>
      </c>
      <c r="E77" s="67">
        <f>+D77-C77</f>
        <v>1190.040606161236</v>
      </c>
      <c r="F77" s="67"/>
      <c r="G77" s="68">
        <f aca="true" t="shared" si="13" ref="G77:N80">+W106/$E77</f>
        <v>0</v>
      </c>
      <c r="H77" s="68">
        <f t="shared" si="13"/>
        <v>0</v>
      </c>
      <c r="I77" s="68">
        <f t="shared" si="13"/>
        <v>0</v>
      </c>
      <c r="J77" s="68">
        <f t="shared" si="13"/>
        <v>0</v>
      </c>
      <c r="K77" s="68">
        <f t="shared" si="13"/>
        <v>0</v>
      </c>
      <c r="L77" s="68">
        <f t="shared" si="13"/>
        <v>1</v>
      </c>
      <c r="M77" s="68">
        <f t="shared" si="13"/>
        <v>0</v>
      </c>
      <c r="N77" s="68">
        <f t="shared" si="13"/>
        <v>0</v>
      </c>
      <c r="O77" s="68">
        <f aca="true" t="shared" si="14" ref="O77:O94">+AE106/$E77</f>
        <v>1</v>
      </c>
      <c r="P77" s="17">
        <f>SUM(G77:N77)</f>
        <v>1</v>
      </c>
    </row>
    <row r="78" spans="1:16" ht="18">
      <c r="A78" s="66">
        <v>13</v>
      </c>
      <c r="B78" s="59" t="s">
        <v>48</v>
      </c>
      <c r="C78" s="67">
        <f>SUM(C16:C17)</f>
        <v>3462</v>
      </c>
      <c r="D78" s="67">
        <f>SUM(D16:D17)</f>
        <v>5077.4125296851835</v>
      </c>
      <c r="E78" s="67">
        <f aca="true" t="shared" si="15" ref="E78:E92">+D78-C78</f>
        <v>1615.4125296851835</v>
      </c>
      <c r="F78" s="67"/>
      <c r="G78" s="68">
        <f t="shared" si="13"/>
        <v>0</v>
      </c>
      <c r="H78" s="68">
        <f t="shared" si="13"/>
        <v>0</v>
      </c>
      <c r="I78" s="68">
        <f t="shared" si="13"/>
        <v>0</v>
      </c>
      <c r="J78" s="68">
        <f t="shared" si="13"/>
        <v>0</v>
      </c>
      <c r="K78" s="68">
        <f t="shared" si="13"/>
        <v>0</v>
      </c>
      <c r="L78" s="68">
        <f t="shared" si="13"/>
        <v>0.9999999999999997</v>
      </c>
      <c r="M78" s="68">
        <f t="shared" si="13"/>
        <v>0</v>
      </c>
      <c r="N78" s="68">
        <f t="shared" si="13"/>
        <v>0</v>
      </c>
      <c r="O78" s="68">
        <f t="shared" si="14"/>
        <v>0.9999999999999997</v>
      </c>
      <c r="P78" s="17">
        <f aca="true" t="shared" si="16" ref="P78:P94">SUM(G78:N78)</f>
        <v>0.9999999999999997</v>
      </c>
    </row>
    <row r="79" spans="1:16" ht="18">
      <c r="A79" s="66">
        <v>14</v>
      </c>
      <c r="B79" s="59" t="s">
        <v>49</v>
      </c>
      <c r="C79" s="67">
        <f>SUM(C18)</f>
        <v>6246</v>
      </c>
      <c r="D79" s="67">
        <f>SUM(D18)</f>
        <v>6642.710140761358</v>
      </c>
      <c r="E79" s="67">
        <f t="shared" si="15"/>
        <v>396.71014076135816</v>
      </c>
      <c r="F79" s="67"/>
      <c r="G79" s="68">
        <f t="shared" si="13"/>
        <v>0.5</v>
      </c>
      <c r="H79" s="68">
        <f t="shared" si="13"/>
        <v>0</v>
      </c>
      <c r="I79" s="68">
        <f t="shared" si="13"/>
        <v>0.5</v>
      </c>
      <c r="J79" s="68">
        <f t="shared" si="13"/>
        <v>0</v>
      </c>
      <c r="K79" s="68">
        <f t="shared" si="13"/>
        <v>0</v>
      </c>
      <c r="L79" s="68">
        <f t="shared" si="13"/>
        <v>0</v>
      </c>
      <c r="M79" s="68">
        <f t="shared" si="13"/>
        <v>0</v>
      </c>
      <c r="N79" s="68">
        <f t="shared" si="13"/>
        <v>0</v>
      </c>
      <c r="O79" s="68">
        <f t="shared" si="14"/>
        <v>1</v>
      </c>
      <c r="P79" s="17">
        <f t="shared" si="16"/>
        <v>1</v>
      </c>
    </row>
    <row r="80" spans="1:16" ht="18">
      <c r="A80" s="66">
        <v>15</v>
      </c>
      <c r="B80" s="59" t="s">
        <v>50</v>
      </c>
      <c r="C80" s="67">
        <f>SUM(C19)</f>
        <v>1262</v>
      </c>
      <c r="D80" s="67">
        <f>SUM(D19)</f>
        <v>1778.5641054058865</v>
      </c>
      <c r="E80" s="67">
        <f t="shared" si="15"/>
        <v>516.5641054058865</v>
      </c>
      <c r="F80" s="67"/>
      <c r="G80" s="68">
        <f t="shared" si="13"/>
        <v>0</v>
      </c>
      <c r="H80" s="68">
        <f t="shared" si="13"/>
        <v>0.5</v>
      </c>
      <c r="I80" s="68">
        <f t="shared" si="13"/>
        <v>0.25</v>
      </c>
      <c r="J80" s="68">
        <f t="shared" si="13"/>
        <v>0</v>
      </c>
      <c r="K80" s="68">
        <f t="shared" si="13"/>
        <v>0</v>
      </c>
      <c r="L80" s="68">
        <f t="shared" si="13"/>
        <v>0.25</v>
      </c>
      <c r="M80" s="68">
        <f t="shared" si="13"/>
        <v>0</v>
      </c>
      <c r="N80" s="68">
        <f t="shared" si="13"/>
        <v>0</v>
      </c>
      <c r="O80" s="68">
        <f t="shared" si="14"/>
        <v>1</v>
      </c>
      <c r="P80" s="17">
        <f t="shared" si="16"/>
        <v>1</v>
      </c>
    </row>
    <row r="81" spans="1:16" ht="18">
      <c r="A81" s="66">
        <v>16</v>
      </c>
      <c r="B81" s="59" t="s">
        <v>51</v>
      </c>
      <c r="C81" s="67">
        <f>SUM(C30)</f>
        <v>861</v>
      </c>
      <c r="D81" s="67">
        <f>SUM(D30)</f>
        <v>1141</v>
      </c>
      <c r="E81" s="67">
        <f t="shared" si="15"/>
        <v>280</v>
      </c>
      <c r="F81" s="67"/>
      <c r="G81" s="68"/>
      <c r="H81" s="68"/>
      <c r="I81" s="68"/>
      <c r="J81" s="68"/>
      <c r="K81" s="68"/>
      <c r="L81" s="68"/>
      <c r="M81" s="68"/>
      <c r="N81" s="68"/>
      <c r="O81" s="68">
        <f t="shared" si="14"/>
        <v>1</v>
      </c>
      <c r="P81" s="17">
        <f t="shared" si="16"/>
        <v>0</v>
      </c>
    </row>
    <row r="82" spans="1:16" ht="36">
      <c r="A82" s="66">
        <v>17</v>
      </c>
      <c r="B82" s="59" t="s">
        <v>52</v>
      </c>
      <c r="C82" s="67">
        <f>SUM(C20)</f>
        <v>784</v>
      </c>
      <c r="D82" s="67">
        <f>SUM(D20)</f>
        <v>1127.2122214014576</v>
      </c>
      <c r="E82" s="67">
        <f t="shared" si="15"/>
        <v>343.21222140145755</v>
      </c>
      <c r="F82" s="67"/>
      <c r="G82" s="68">
        <f aca="true" t="shared" si="17" ref="G82:N83">+W111/$E82</f>
        <v>0</v>
      </c>
      <c r="H82" s="68">
        <f t="shared" si="17"/>
        <v>0</v>
      </c>
      <c r="I82" s="68">
        <f t="shared" si="17"/>
        <v>1</v>
      </c>
      <c r="J82" s="68">
        <f t="shared" si="17"/>
        <v>0</v>
      </c>
      <c r="K82" s="68">
        <f t="shared" si="17"/>
        <v>0</v>
      </c>
      <c r="L82" s="68">
        <f t="shared" si="17"/>
        <v>0</v>
      </c>
      <c r="M82" s="68">
        <f t="shared" si="17"/>
        <v>0</v>
      </c>
      <c r="N82" s="68">
        <f t="shared" si="17"/>
        <v>0</v>
      </c>
      <c r="O82" s="68">
        <f t="shared" si="14"/>
        <v>1</v>
      </c>
      <c r="P82" s="17">
        <f t="shared" si="16"/>
        <v>1</v>
      </c>
    </row>
    <row r="83" spans="1:16" ht="18">
      <c r="A83" s="66">
        <v>18</v>
      </c>
      <c r="B83" s="59" t="s">
        <v>53</v>
      </c>
      <c r="C83" s="67">
        <f>SUM(C21:C23)</f>
        <v>10104</v>
      </c>
      <c r="D83" s="67">
        <f>SUM(D21:D23)</f>
        <v>16626.422</v>
      </c>
      <c r="E83" s="67">
        <f t="shared" si="15"/>
        <v>6522.421999999999</v>
      </c>
      <c r="F83" s="67"/>
      <c r="G83" s="68">
        <f t="shared" si="17"/>
        <v>0.1474202374516706</v>
      </c>
      <c r="H83" s="68">
        <f t="shared" si="17"/>
        <v>0.15333828445936193</v>
      </c>
      <c r="I83" s="68">
        <f t="shared" si="17"/>
        <v>0.03238996188839055</v>
      </c>
      <c r="J83" s="68">
        <f t="shared" si="17"/>
        <v>0.18292851949781846</v>
      </c>
      <c r="K83" s="68">
        <f t="shared" si="17"/>
        <v>0.19476461351320112</v>
      </c>
      <c r="L83" s="68">
        <f t="shared" si="17"/>
        <v>0.09225070073662822</v>
      </c>
      <c r="M83" s="68">
        <f t="shared" si="17"/>
        <v>0.16731744741447277</v>
      </c>
      <c r="N83" s="68">
        <f t="shared" si="17"/>
        <v>0.02959023503845658</v>
      </c>
      <c r="O83" s="68">
        <f t="shared" si="14"/>
        <v>1.0000000000000002</v>
      </c>
      <c r="P83" s="17">
        <f t="shared" si="16"/>
        <v>1</v>
      </c>
    </row>
    <row r="84" spans="1:16" ht="36">
      <c r="A84" s="66">
        <v>19</v>
      </c>
      <c r="B84" s="59" t="s">
        <v>54</v>
      </c>
      <c r="C84" s="67">
        <f>SUM(C36)</f>
        <v>1620</v>
      </c>
      <c r="D84" s="67">
        <f>SUM(D36)</f>
        <v>2444</v>
      </c>
      <c r="E84" s="67">
        <f t="shared" si="15"/>
        <v>824</v>
      </c>
      <c r="F84" s="67"/>
      <c r="G84" s="68"/>
      <c r="H84" s="68"/>
      <c r="I84" s="68"/>
      <c r="J84" s="68"/>
      <c r="K84" s="68"/>
      <c r="L84" s="68"/>
      <c r="M84" s="68"/>
      <c r="N84" s="68"/>
      <c r="O84" s="68">
        <f t="shared" si="14"/>
        <v>1</v>
      </c>
      <c r="P84" s="17">
        <f t="shared" si="16"/>
        <v>0</v>
      </c>
    </row>
    <row r="85" spans="1:16" ht="18">
      <c r="A85" s="69">
        <v>2</v>
      </c>
      <c r="B85" s="59" t="s">
        <v>55</v>
      </c>
      <c r="C85" s="67">
        <f>SUM(C31)</f>
        <v>241</v>
      </c>
      <c r="D85" s="67">
        <f>SUM(D31)</f>
        <v>828</v>
      </c>
      <c r="E85" s="67">
        <f t="shared" si="15"/>
        <v>587</v>
      </c>
      <c r="F85" s="67"/>
      <c r="G85" s="68"/>
      <c r="H85" s="68"/>
      <c r="I85" s="68"/>
      <c r="J85" s="68"/>
      <c r="K85" s="68"/>
      <c r="L85" s="68"/>
      <c r="M85" s="68"/>
      <c r="N85" s="68"/>
      <c r="O85" s="68">
        <f t="shared" si="14"/>
        <v>1</v>
      </c>
      <c r="P85" s="17">
        <f t="shared" si="16"/>
        <v>0</v>
      </c>
    </row>
    <row r="86" spans="1:16" ht="18">
      <c r="A86" s="69">
        <v>3</v>
      </c>
      <c r="B86" s="59" t="s">
        <v>56</v>
      </c>
      <c r="C86" s="67">
        <f>SUM(C34)</f>
        <v>717</v>
      </c>
      <c r="D86" s="67">
        <f>SUM(D34)</f>
        <v>991.4648343431631</v>
      </c>
      <c r="E86" s="67">
        <f t="shared" si="15"/>
        <v>274.46483434316315</v>
      </c>
      <c r="F86" s="67"/>
      <c r="G86" s="68">
        <f aca="true" t="shared" si="18" ref="G86:N86">+W115/$E86</f>
        <v>0</v>
      </c>
      <c r="H86" s="68">
        <f t="shared" si="18"/>
        <v>0</v>
      </c>
      <c r="I86" s="68">
        <f t="shared" si="18"/>
        <v>1</v>
      </c>
      <c r="J86" s="68">
        <f t="shared" si="18"/>
        <v>0</v>
      </c>
      <c r="K86" s="68">
        <f t="shared" si="18"/>
        <v>0</v>
      </c>
      <c r="L86" s="68">
        <f t="shared" si="18"/>
        <v>0</v>
      </c>
      <c r="M86" s="68">
        <f t="shared" si="18"/>
        <v>0</v>
      </c>
      <c r="N86" s="68">
        <f t="shared" si="18"/>
        <v>0</v>
      </c>
      <c r="O86" s="68">
        <f t="shared" si="14"/>
        <v>1</v>
      </c>
      <c r="P86" s="17">
        <f t="shared" si="16"/>
        <v>1</v>
      </c>
    </row>
    <row r="87" spans="1:16" ht="36">
      <c r="A87" s="69">
        <v>4</v>
      </c>
      <c r="B87" s="59" t="s">
        <v>57</v>
      </c>
      <c r="C87" s="67">
        <f>SUM(C35)</f>
        <v>2425</v>
      </c>
      <c r="D87" s="67">
        <f>SUM(D35)</f>
        <v>2569.3415011199536</v>
      </c>
      <c r="E87" s="67">
        <f t="shared" si="15"/>
        <v>144.3415011199536</v>
      </c>
      <c r="F87" s="67"/>
      <c r="G87" s="68"/>
      <c r="H87" s="68"/>
      <c r="I87" s="68"/>
      <c r="J87" s="68"/>
      <c r="K87" s="68"/>
      <c r="L87" s="68"/>
      <c r="M87" s="68"/>
      <c r="N87" s="68"/>
      <c r="O87" s="68">
        <f t="shared" si="14"/>
        <v>1</v>
      </c>
      <c r="P87" s="17">
        <f t="shared" si="16"/>
        <v>0</v>
      </c>
    </row>
    <row r="88" spans="1:16" ht="18">
      <c r="A88" s="69">
        <v>5</v>
      </c>
      <c r="B88" s="59" t="s">
        <v>58</v>
      </c>
      <c r="C88" s="67">
        <f>SUM(C29)</f>
        <v>1136</v>
      </c>
      <c r="D88" s="67">
        <f>SUM(D29)</f>
        <v>2097</v>
      </c>
      <c r="E88" s="67">
        <f t="shared" si="15"/>
        <v>961</v>
      </c>
      <c r="F88" s="67"/>
      <c r="G88" s="68"/>
      <c r="H88" s="68"/>
      <c r="I88" s="68"/>
      <c r="J88" s="68"/>
      <c r="K88" s="68"/>
      <c r="L88" s="68"/>
      <c r="M88" s="68"/>
      <c r="N88" s="68"/>
      <c r="O88" s="68">
        <f t="shared" si="14"/>
        <v>1</v>
      </c>
      <c r="P88" s="17">
        <f t="shared" si="16"/>
        <v>0</v>
      </c>
    </row>
    <row r="89" spans="1:16" ht="18">
      <c r="A89" s="69">
        <v>6</v>
      </c>
      <c r="B89" s="59" t="s">
        <v>59</v>
      </c>
      <c r="C89" s="67">
        <f>SUM(C32:C33)</f>
        <v>1379</v>
      </c>
      <c r="D89" s="67">
        <f>SUM(D32:D33)</f>
        <v>1838</v>
      </c>
      <c r="E89" s="67">
        <f t="shared" si="15"/>
        <v>459</v>
      </c>
      <c r="F89" s="67"/>
      <c r="G89" s="68">
        <f aca="true" t="shared" si="19" ref="G89:N89">+W118/$E89</f>
        <v>0</v>
      </c>
      <c r="H89" s="68">
        <f t="shared" si="19"/>
        <v>0</v>
      </c>
      <c r="I89" s="68">
        <f t="shared" si="19"/>
        <v>0.8540305010893247</v>
      </c>
      <c r="J89" s="68">
        <f t="shared" si="19"/>
        <v>0</v>
      </c>
      <c r="K89" s="68">
        <f t="shared" si="19"/>
        <v>0</v>
      </c>
      <c r="L89" s="68">
        <f t="shared" si="19"/>
        <v>0.14596949891067537</v>
      </c>
      <c r="M89" s="68">
        <f t="shared" si="19"/>
        <v>0</v>
      </c>
      <c r="N89" s="68">
        <f t="shared" si="19"/>
        <v>0</v>
      </c>
      <c r="O89" s="68">
        <f t="shared" si="14"/>
        <v>1</v>
      </c>
      <c r="P89" s="17">
        <f t="shared" si="16"/>
        <v>1</v>
      </c>
    </row>
    <row r="90" spans="1:16" ht="36">
      <c r="A90" s="69">
        <v>7</v>
      </c>
      <c r="B90" s="59" t="s">
        <v>60</v>
      </c>
      <c r="C90" s="67">
        <f>SUM(C24)</f>
        <v>7951</v>
      </c>
      <c r="D90" s="67">
        <f>SUM(D24)</f>
        <v>8330.924745702234</v>
      </c>
      <c r="E90" s="67">
        <f t="shared" si="15"/>
        <v>379.92474570223385</v>
      </c>
      <c r="F90" s="67"/>
      <c r="G90" s="68"/>
      <c r="H90" s="68"/>
      <c r="I90" s="68"/>
      <c r="J90" s="68"/>
      <c r="K90" s="68"/>
      <c r="L90" s="68"/>
      <c r="M90" s="68"/>
      <c r="N90" s="68"/>
      <c r="O90" s="68">
        <f t="shared" si="14"/>
        <v>1</v>
      </c>
      <c r="P90" s="17">
        <f t="shared" si="16"/>
        <v>0</v>
      </c>
    </row>
    <row r="91" spans="1:16" ht="36">
      <c r="A91" s="70">
        <v>81</v>
      </c>
      <c r="B91" s="71" t="s">
        <v>61</v>
      </c>
      <c r="C91" s="67">
        <f>SUM(C38,C39,C28)</f>
        <v>5795</v>
      </c>
      <c r="D91" s="67">
        <f>SUM(D38,D39,D28)</f>
        <v>8460</v>
      </c>
      <c r="E91" s="67">
        <f t="shared" si="15"/>
        <v>2665</v>
      </c>
      <c r="F91" s="67"/>
      <c r="G91" s="68">
        <f aca="true" t="shared" si="20" ref="G91:N94">+W120/$E91</f>
        <v>0</v>
      </c>
      <c r="H91" s="68">
        <f t="shared" si="20"/>
        <v>0</v>
      </c>
      <c r="I91" s="68">
        <f t="shared" si="20"/>
        <v>0.038341463414634146</v>
      </c>
      <c r="J91" s="68">
        <f t="shared" si="20"/>
        <v>0</v>
      </c>
      <c r="K91" s="68">
        <f t="shared" si="20"/>
        <v>0.5640525328330207</v>
      </c>
      <c r="L91" s="68">
        <f t="shared" si="20"/>
        <v>0</v>
      </c>
      <c r="M91" s="68">
        <f t="shared" si="20"/>
        <v>0.3976060037523453</v>
      </c>
      <c r="N91" s="68">
        <f t="shared" si="20"/>
        <v>0</v>
      </c>
      <c r="O91" s="68">
        <f t="shared" si="14"/>
        <v>1</v>
      </c>
      <c r="P91" s="17">
        <f t="shared" si="16"/>
        <v>1.0000000000000002</v>
      </c>
    </row>
    <row r="92" spans="1:16" ht="18">
      <c r="A92" s="70">
        <v>82</v>
      </c>
      <c r="B92" s="71" t="s">
        <v>62</v>
      </c>
      <c r="C92" s="67">
        <f>SUM(C25:C27)</f>
        <v>5949</v>
      </c>
      <c r="D92" s="67">
        <f>SUM(D25:D27)</f>
        <v>8880.059920175863</v>
      </c>
      <c r="E92" s="67">
        <f t="shared" si="15"/>
        <v>2931.059920175863</v>
      </c>
      <c r="F92" s="67"/>
      <c r="G92" s="68">
        <f t="shared" si="20"/>
        <v>0.049339822450331174</v>
      </c>
      <c r="H92" s="68">
        <f t="shared" si="20"/>
        <v>0.4319938979357434</v>
      </c>
      <c r="I92" s="68">
        <f t="shared" si="20"/>
        <v>0.05585214784956152</v>
      </c>
      <c r="J92" s="68">
        <f t="shared" si="20"/>
        <v>0</v>
      </c>
      <c r="K92" s="68">
        <f t="shared" si="20"/>
        <v>0.1478536733656257</v>
      </c>
      <c r="L92" s="68">
        <f t="shared" si="20"/>
        <v>0.11496045839873822</v>
      </c>
      <c r="M92" s="68">
        <f t="shared" si="20"/>
        <v>0.2</v>
      </c>
      <c r="N92" s="68">
        <f t="shared" si="20"/>
        <v>0</v>
      </c>
      <c r="O92" s="68">
        <f t="shared" si="14"/>
        <v>1</v>
      </c>
      <c r="P92" s="17">
        <f t="shared" si="16"/>
        <v>1</v>
      </c>
    </row>
    <row r="93" spans="1:16" ht="36">
      <c r="A93" s="70">
        <v>85</v>
      </c>
      <c r="B93" s="71" t="s">
        <v>63</v>
      </c>
      <c r="C93" s="67">
        <f>SUM(C37)</f>
        <v>765</v>
      </c>
      <c r="D93" s="67">
        <f>SUM(D37)</f>
        <v>771</v>
      </c>
      <c r="E93" s="67">
        <f>+D93-C93</f>
        <v>6</v>
      </c>
      <c r="F93" s="67"/>
      <c r="G93" s="68">
        <f t="shared" si="20"/>
        <v>0</v>
      </c>
      <c r="H93" s="68">
        <f t="shared" si="20"/>
        <v>0</v>
      </c>
      <c r="I93" s="68">
        <f t="shared" si="20"/>
        <v>1</v>
      </c>
      <c r="J93" s="68">
        <f t="shared" si="20"/>
        <v>0</v>
      </c>
      <c r="K93" s="68">
        <f t="shared" si="20"/>
        <v>0</v>
      </c>
      <c r="L93" s="68">
        <f t="shared" si="20"/>
        <v>0</v>
      </c>
      <c r="M93" s="68">
        <f t="shared" si="20"/>
        <v>0</v>
      </c>
      <c r="N93" s="68">
        <f t="shared" si="20"/>
        <v>0</v>
      </c>
      <c r="O93" s="68">
        <f t="shared" si="14"/>
        <v>1</v>
      </c>
      <c r="P93" s="17">
        <f t="shared" si="16"/>
        <v>1</v>
      </c>
    </row>
    <row r="94" spans="1:16" ht="18">
      <c r="A94" s="61"/>
      <c r="B94" s="62"/>
      <c r="C94" s="67">
        <f>SUM(C77:C93)</f>
        <v>50853</v>
      </c>
      <c r="D94" s="67">
        <f>SUM(D77:D93)</f>
        <v>70949.15260475634</v>
      </c>
      <c r="E94" s="67">
        <f>SUM(E77:E93)</f>
        <v>20096.152604756335</v>
      </c>
      <c r="F94" s="67"/>
      <c r="G94" s="68">
        <f t="shared" si="20"/>
        <v>0.06491342258839575</v>
      </c>
      <c r="H94" s="68">
        <f t="shared" si="20"/>
        <v>0.12562698454556018</v>
      </c>
      <c r="I94" s="68">
        <f t="shared" si="20"/>
        <v>0.09058052953198248</v>
      </c>
      <c r="J94" s="68">
        <f t="shared" si="20"/>
        <v>0.059371414193859655</v>
      </c>
      <c r="K94" s="68">
        <f t="shared" si="20"/>
        <v>0.15957805651285473</v>
      </c>
      <c r="L94" s="68">
        <f t="shared" si="20"/>
        <v>0.30102093085999354</v>
      </c>
      <c r="M94" s="68">
        <f t="shared" si="20"/>
        <v>0.1893048334229013</v>
      </c>
      <c r="N94" s="68">
        <f t="shared" si="20"/>
        <v>0.00960382834445241</v>
      </c>
      <c r="O94" s="68">
        <f t="shared" si="14"/>
        <v>1</v>
      </c>
      <c r="P94" s="17">
        <f t="shared" si="16"/>
        <v>1</v>
      </c>
    </row>
    <row r="95" spans="1:15" ht="18.75" thickBot="1">
      <c r="A95" s="65"/>
      <c r="B95" s="62"/>
      <c r="C95" s="67"/>
      <c r="D95" s="67"/>
      <c r="E95" s="67"/>
      <c r="F95" s="67"/>
      <c r="G95" s="67"/>
      <c r="H95" s="65"/>
      <c r="I95" s="65"/>
      <c r="J95" s="65"/>
      <c r="K95" s="65"/>
      <c r="L95" s="65"/>
      <c r="M95" s="65"/>
      <c r="N95" s="65"/>
      <c r="O95" s="65"/>
    </row>
    <row r="96" spans="2:12" ht="48.75" customHeight="1">
      <c r="B96" s="46"/>
      <c r="C96" s="100" t="s">
        <v>64</v>
      </c>
      <c r="D96" s="100" t="s">
        <v>65</v>
      </c>
      <c r="E96" s="121" t="s">
        <v>5</v>
      </c>
      <c r="F96" s="49"/>
      <c r="G96" s="87" t="s">
        <v>27</v>
      </c>
      <c r="H96" s="87" t="s">
        <v>28</v>
      </c>
      <c r="I96" s="87" t="s">
        <v>29</v>
      </c>
      <c r="J96" s="87" t="s">
        <v>67</v>
      </c>
      <c r="K96" s="88" t="s">
        <v>31</v>
      </c>
      <c r="L96" s="98"/>
    </row>
    <row r="97" spans="1:13" s="110" customFormat="1" ht="20.25" customHeight="1">
      <c r="A97" s="102">
        <v>12</v>
      </c>
      <c r="B97" s="103" t="s">
        <v>47</v>
      </c>
      <c r="C97" s="104">
        <v>156</v>
      </c>
      <c r="D97" s="104">
        <v>1419.030606161236</v>
      </c>
      <c r="E97" s="117">
        <f>+D97-C97</f>
        <v>1263.030606161236</v>
      </c>
      <c r="F97" s="105"/>
      <c r="G97" s="106"/>
      <c r="H97" s="107"/>
      <c r="I97" s="107"/>
      <c r="J97" s="107">
        <f>SUM(L77)</f>
        <v>1</v>
      </c>
      <c r="K97" s="108"/>
      <c r="L97" s="107"/>
      <c r="M97" s="109">
        <f>SUM(G97:L97)</f>
        <v>1</v>
      </c>
    </row>
    <row r="98" spans="1:13" ht="20.25" customHeight="1">
      <c r="A98" s="118">
        <v>13</v>
      </c>
      <c r="B98" s="74" t="s">
        <v>48</v>
      </c>
      <c r="C98" s="75">
        <v>3462</v>
      </c>
      <c r="D98" s="75">
        <v>4862.148529685183</v>
      </c>
      <c r="E98" s="117">
        <f aca="true" t="shared" si="21" ref="E98:E113">+D98-C98</f>
        <v>1400.1485296851833</v>
      </c>
      <c r="F98" s="49"/>
      <c r="G98" s="90"/>
      <c r="H98" s="91"/>
      <c r="I98" s="91"/>
      <c r="J98" s="91">
        <f>SUM(L78)</f>
        <v>0.9999999999999997</v>
      </c>
      <c r="K98" s="99"/>
      <c r="L98" s="91"/>
      <c r="M98" s="92">
        <f aca="true" t="shared" si="22" ref="M98:M116">SUM(G98:L98)</f>
        <v>0.9999999999999997</v>
      </c>
    </row>
    <row r="99" spans="1:13" s="110" customFormat="1" ht="20.25" customHeight="1">
      <c r="A99" s="102">
        <v>14</v>
      </c>
      <c r="B99" s="103" t="s">
        <v>49</v>
      </c>
      <c r="C99" s="104">
        <v>6246</v>
      </c>
      <c r="D99" s="104">
        <v>6534.542760761358</v>
      </c>
      <c r="E99" s="117">
        <f t="shared" si="21"/>
        <v>288.5427607613583</v>
      </c>
      <c r="F99" s="105"/>
      <c r="G99" s="106">
        <f>SUM(G79)</f>
        <v>0.5</v>
      </c>
      <c r="H99" s="107">
        <f>SUM(I79:J79)</f>
        <v>0.5</v>
      </c>
      <c r="I99" s="107"/>
      <c r="J99" s="107"/>
      <c r="K99" s="108"/>
      <c r="L99" s="107"/>
      <c r="M99" s="109">
        <f t="shared" si="22"/>
        <v>1</v>
      </c>
    </row>
    <row r="100" spans="1:13" ht="20.25" customHeight="1">
      <c r="A100" s="118">
        <v>15</v>
      </c>
      <c r="B100" s="74" t="s">
        <v>50</v>
      </c>
      <c r="C100" s="75">
        <v>1262</v>
      </c>
      <c r="D100" s="75">
        <v>1737.5341054058865</v>
      </c>
      <c r="E100" s="117">
        <f t="shared" si="21"/>
        <v>475.5341054058865</v>
      </c>
      <c r="F100" s="76"/>
      <c r="G100" s="90">
        <v>0.5</v>
      </c>
      <c r="H100" s="91">
        <f>SUM(I80:J80)</f>
        <v>0.25</v>
      </c>
      <c r="I100" s="91"/>
      <c r="J100" s="91">
        <f>SUM(L80)</f>
        <v>0.25</v>
      </c>
      <c r="K100" s="99"/>
      <c r="L100" s="91"/>
      <c r="M100" s="92">
        <f t="shared" si="22"/>
        <v>1</v>
      </c>
    </row>
    <row r="101" spans="1:13" s="110" customFormat="1" ht="20.25" customHeight="1">
      <c r="A101" s="102">
        <v>16</v>
      </c>
      <c r="B101" s="103" t="s">
        <v>51</v>
      </c>
      <c r="C101" s="104">
        <v>861</v>
      </c>
      <c r="D101" s="104">
        <v>1084.66</v>
      </c>
      <c r="E101" s="117">
        <f t="shared" si="21"/>
        <v>223.66000000000008</v>
      </c>
      <c r="F101" s="111"/>
      <c r="G101" s="106"/>
      <c r="H101" s="107">
        <v>1</v>
      </c>
      <c r="I101" s="107"/>
      <c r="J101" s="107"/>
      <c r="K101" s="108"/>
      <c r="L101" s="107"/>
      <c r="M101" s="109">
        <f t="shared" si="22"/>
        <v>1</v>
      </c>
    </row>
    <row r="102" spans="1:21" ht="20.25" customHeight="1">
      <c r="A102" s="118">
        <v>17</v>
      </c>
      <c r="B102" s="74" t="s">
        <v>66</v>
      </c>
      <c r="C102" s="75">
        <v>784</v>
      </c>
      <c r="D102" s="75">
        <v>1554.7222214014575</v>
      </c>
      <c r="E102" s="117">
        <f t="shared" si="21"/>
        <v>770.7222214014575</v>
      </c>
      <c r="F102" s="76"/>
      <c r="G102" s="90"/>
      <c r="H102" s="91">
        <f>SUM(I82:J82)</f>
        <v>1</v>
      </c>
      <c r="I102" s="91"/>
      <c r="J102" s="91"/>
      <c r="K102" s="99"/>
      <c r="L102" s="91"/>
      <c r="M102" s="92">
        <f t="shared" si="22"/>
        <v>1</v>
      </c>
      <c r="R102" s="46"/>
      <c r="S102" s="49"/>
      <c r="T102" s="49"/>
      <c r="U102" s="49"/>
    </row>
    <row r="103" spans="1:21" s="110" customFormat="1" ht="20.25" customHeight="1">
      <c r="A103" s="102">
        <v>18</v>
      </c>
      <c r="B103" s="103" t="s">
        <v>53</v>
      </c>
      <c r="C103" s="104">
        <v>10104</v>
      </c>
      <c r="D103" s="104">
        <v>16482.506658514634</v>
      </c>
      <c r="E103" s="117">
        <f t="shared" si="21"/>
        <v>6378.506658514634</v>
      </c>
      <c r="F103" s="111"/>
      <c r="G103" s="106">
        <v>0.32</v>
      </c>
      <c r="H103" s="107">
        <v>0.23</v>
      </c>
      <c r="I103" s="107">
        <v>0.16</v>
      </c>
      <c r="J103" s="107">
        <v>0.1</v>
      </c>
      <c r="K103" s="108">
        <v>0.19</v>
      </c>
      <c r="L103" s="107"/>
      <c r="M103" s="109">
        <f t="shared" si="22"/>
        <v>1</v>
      </c>
      <c r="R103" s="112"/>
      <c r="S103" s="105"/>
      <c r="T103" s="105"/>
      <c r="U103" s="105"/>
    </row>
    <row r="104" spans="1:21" ht="20.25" customHeight="1">
      <c r="A104" s="118">
        <v>19</v>
      </c>
      <c r="B104" s="74" t="s">
        <v>54</v>
      </c>
      <c r="C104" s="75">
        <v>1620</v>
      </c>
      <c r="D104" s="75">
        <v>2444.109</v>
      </c>
      <c r="E104" s="117">
        <f t="shared" si="21"/>
        <v>824.1089999999999</v>
      </c>
      <c r="F104" s="76"/>
      <c r="G104" s="90"/>
      <c r="H104" s="91"/>
      <c r="I104" s="91">
        <v>0.45</v>
      </c>
      <c r="J104" s="91"/>
      <c r="K104" s="99">
        <v>0.55</v>
      </c>
      <c r="L104" s="91"/>
      <c r="M104" s="92">
        <f t="shared" si="22"/>
        <v>1</v>
      </c>
      <c r="R104" s="46"/>
      <c r="S104" s="49"/>
      <c r="T104" s="49"/>
      <c r="U104" s="49"/>
    </row>
    <row r="105" spans="1:21" s="110" customFormat="1" ht="20.25" customHeight="1">
      <c r="A105" s="113">
        <v>2</v>
      </c>
      <c r="B105" s="103" t="s">
        <v>55</v>
      </c>
      <c r="C105" s="104">
        <v>241</v>
      </c>
      <c r="D105" s="104">
        <v>1017.59</v>
      </c>
      <c r="E105" s="117">
        <f t="shared" si="21"/>
        <v>776.59</v>
      </c>
      <c r="F105" s="111"/>
      <c r="G105" s="106"/>
      <c r="H105" s="107"/>
      <c r="I105" s="107"/>
      <c r="J105" s="107">
        <v>1</v>
      </c>
      <c r="K105" s="108"/>
      <c r="L105" s="107"/>
      <c r="M105" s="109">
        <f t="shared" si="22"/>
        <v>1</v>
      </c>
      <c r="R105" s="112"/>
      <c r="S105" s="105"/>
      <c r="T105" s="105"/>
      <c r="U105" s="105"/>
    </row>
    <row r="106" spans="1:32" ht="20.25" customHeight="1">
      <c r="A106" s="119">
        <v>3</v>
      </c>
      <c r="B106" s="74" t="s">
        <v>56</v>
      </c>
      <c r="C106" s="75">
        <v>717</v>
      </c>
      <c r="D106" s="75">
        <v>987.4248343431632</v>
      </c>
      <c r="E106" s="117">
        <f t="shared" si="21"/>
        <v>270.4248343431632</v>
      </c>
      <c r="F106" s="76"/>
      <c r="G106" s="90"/>
      <c r="H106" s="91"/>
      <c r="I106" s="91"/>
      <c r="J106" s="91">
        <v>1</v>
      </c>
      <c r="K106" s="99"/>
      <c r="L106" s="91"/>
      <c r="M106" s="92">
        <f t="shared" si="22"/>
        <v>1</v>
      </c>
      <c r="Q106" s="4" t="s">
        <v>46</v>
      </c>
      <c r="R106" s="46">
        <v>12</v>
      </c>
      <c r="S106" s="49">
        <f>SUM(C42:C44)</f>
        <v>156</v>
      </c>
      <c r="T106" s="49">
        <f>SUM(D42:D44)</f>
        <v>1346.040606161236</v>
      </c>
      <c r="U106" s="49">
        <f>+T106-S106</f>
        <v>1190.040606161236</v>
      </c>
      <c r="W106" s="49">
        <f aca="true" t="shared" si="23" ref="W106:AE106">SUM(G42:G44)</f>
        <v>0</v>
      </c>
      <c r="X106" s="49">
        <f t="shared" si="23"/>
        <v>0</v>
      </c>
      <c r="Y106" s="49">
        <f t="shared" si="23"/>
        <v>0</v>
      </c>
      <c r="Z106" s="49">
        <f t="shared" si="23"/>
        <v>0</v>
      </c>
      <c r="AA106" s="49">
        <f t="shared" si="23"/>
        <v>0</v>
      </c>
      <c r="AB106" s="49">
        <f t="shared" si="23"/>
        <v>1190.040606161236</v>
      </c>
      <c r="AC106" s="49">
        <f t="shared" si="23"/>
        <v>0</v>
      </c>
      <c r="AD106" s="49">
        <f t="shared" si="23"/>
        <v>0</v>
      </c>
      <c r="AE106" s="49">
        <f t="shared" si="23"/>
        <v>1190.040606161236</v>
      </c>
      <c r="AF106" s="45"/>
    </row>
    <row r="107" spans="1:32" s="110" customFormat="1" ht="20.25" customHeight="1">
      <c r="A107" s="113">
        <v>4</v>
      </c>
      <c r="B107" s="103" t="s">
        <v>57</v>
      </c>
      <c r="C107" s="104">
        <v>2425</v>
      </c>
      <c r="D107" s="104">
        <v>2613.6715011199535</v>
      </c>
      <c r="E107" s="117">
        <f t="shared" si="21"/>
        <v>188.67150111995352</v>
      </c>
      <c r="F107" s="111"/>
      <c r="G107" s="106"/>
      <c r="H107" s="107"/>
      <c r="I107" s="107"/>
      <c r="J107" s="107">
        <v>1</v>
      </c>
      <c r="K107" s="108"/>
      <c r="L107" s="107"/>
      <c r="M107" s="109">
        <f t="shared" si="22"/>
        <v>1</v>
      </c>
      <c r="R107" s="112">
        <v>13</v>
      </c>
      <c r="S107" s="105">
        <f>SUM(C45:C46)</f>
        <v>3462</v>
      </c>
      <c r="T107" s="105">
        <f>SUM(D45:D46)</f>
        <v>5077.4125296851835</v>
      </c>
      <c r="U107" s="105">
        <f aca="true" t="shared" si="24" ref="U107:U122">+T107-S107</f>
        <v>1615.4125296851835</v>
      </c>
      <c r="W107" s="105">
        <f aca="true" t="shared" si="25" ref="W107:AE107">SUM(G45:G46)</f>
        <v>0</v>
      </c>
      <c r="X107" s="105">
        <f t="shared" si="25"/>
        <v>0</v>
      </c>
      <c r="Y107" s="105">
        <f t="shared" si="25"/>
        <v>0</v>
      </c>
      <c r="Z107" s="105">
        <f t="shared" si="25"/>
        <v>0</v>
      </c>
      <c r="AA107" s="105">
        <f t="shared" si="25"/>
        <v>0</v>
      </c>
      <c r="AB107" s="105">
        <f t="shared" si="25"/>
        <v>1615.412529685183</v>
      </c>
      <c r="AC107" s="105">
        <f t="shared" si="25"/>
        <v>0</v>
      </c>
      <c r="AD107" s="105">
        <f t="shared" si="25"/>
        <v>0</v>
      </c>
      <c r="AE107" s="105">
        <f t="shared" si="25"/>
        <v>1615.412529685183</v>
      </c>
      <c r="AF107" s="114"/>
    </row>
    <row r="108" spans="1:32" ht="20.25" customHeight="1">
      <c r="A108" s="119">
        <v>5</v>
      </c>
      <c r="B108" s="74" t="s">
        <v>58</v>
      </c>
      <c r="C108" s="75">
        <v>1136</v>
      </c>
      <c r="D108" s="75">
        <v>2098.5</v>
      </c>
      <c r="E108" s="117">
        <f t="shared" si="21"/>
        <v>962.5</v>
      </c>
      <c r="F108" s="76"/>
      <c r="G108" s="90"/>
      <c r="H108" s="91"/>
      <c r="I108" s="91"/>
      <c r="J108" s="91">
        <v>1</v>
      </c>
      <c r="K108" s="99"/>
      <c r="L108" s="91"/>
      <c r="M108" s="92">
        <f t="shared" si="22"/>
        <v>1</v>
      </c>
      <c r="R108" s="46">
        <v>14</v>
      </c>
      <c r="S108" s="49">
        <f>SUM(C47)</f>
        <v>6246</v>
      </c>
      <c r="T108" s="49">
        <f>SUM(D47)</f>
        <v>6642.710140761358</v>
      </c>
      <c r="U108" s="49">
        <f t="shared" si="24"/>
        <v>396.71014076135816</v>
      </c>
      <c r="W108" s="49">
        <f aca="true" t="shared" si="26" ref="W108:AE108">SUM(G47)</f>
        <v>198.35507038067908</v>
      </c>
      <c r="X108" s="49">
        <f t="shared" si="26"/>
        <v>0</v>
      </c>
      <c r="Y108" s="49">
        <f t="shared" si="26"/>
        <v>198.35507038067908</v>
      </c>
      <c r="Z108" s="49">
        <f t="shared" si="26"/>
        <v>0</v>
      </c>
      <c r="AA108" s="49">
        <f t="shared" si="26"/>
        <v>0</v>
      </c>
      <c r="AB108" s="49">
        <f t="shared" si="26"/>
        <v>0</v>
      </c>
      <c r="AC108" s="49">
        <f t="shared" si="26"/>
        <v>0</v>
      </c>
      <c r="AD108" s="49">
        <f t="shared" si="26"/>
        <v>0</v>
      </c>
      <c r="AE108" s="49">
        <f t="shared" si="26"/>
        <v>396.71014076135816</v>
      </c>
      <c r="AF108" s="45"/>
    </row>
    <row r="109" spans="1:32" s="110" customFormat="1" ht="20.25" customHeight="1">
      <c r="A109" s="113">
        <v>6</v>
      </c>
      <c r="B109" s="103" t="s">
        <v>59</v>
      </c>
      <c r="C109" s="104">
        <v>1379</v>
      </c>
      <c r="D109" s="104">
        <v>2423.19</v>
      </c>
      <c r="E109" s="117">
        <f t="shared" si="21"/>
        <v>1044.19</v>
      </c>
      <c r="F109" s="111"/>
      <c r="G109" s="106">
        <v>0.5</v>
      </c>
      <c r="H109" s="107">
        <v>0.5</v>
      </c>
      <c r="I109" s="107"/>
      <c r="J109" s="107"/>
      <c r="K109" s="108"/>
      <c r="L109" s="107"/>
      <c r="M109" s="109">
        <f t="shared" si="22"/>
        <v>1</v>
      </c>
      <c r="R109" s="112">
        <v>15</v>
      </c>
      <c r="S109" s="105">
        <f>SUM(C48)</f>
        <v>1262</v>
      </c>
      <c r="T109" s="105">
        <f>SUM(D48)</f>
        <v>1778.5641054058865</v>
      </c>
      <c r="U109" s="105">
        <f t="shared" si="24"/>
        <v>516.5641054058865</v>
      </c>
      <c r="W109" s="105">
        <f aca="true" t="shared" si="27" ref="W109:AE109">SUM(G48)</f>
        <v>0</v>
      </c>
      <c r="X109" s="105">
        <f t="shared" si="27"/>
        <v>258.28205270294325</v>
      </c>
      <c r="Y109" s="105">
        <f t="shared" si="27"/>
        <v>129.14102635147162</v>
      </c>
      <c r="Z109" s="105">
        <f t="shared" si="27"/>
        <v>0</v>
      </c>
      <c r="AA109" s="105">
        <f t="shared" si="27"/>
        <v>0</v>
      </c>
      <c r="AB109" s="105">
        <f t="shared" si="27"/>
        <v>129.14102635147162</v>
      </c>
      <c r="AC109" s="105">
        <f t="shared" si="27"/>
        <v>0</v>
      </c>
      <c r="AD109" s="105">
        <f t="shared" si="27"/>
        <v>0</v>
      </c>
      <c r="AE109" s="105">
        <f t="shared" si="27"/>
        <v>516.5641054058865</v>
      </c>
      <c r="AF109" s="114"/>
    </row>
    <row r="110" spans="1:32" ht="20.25" customHeight="1">
      <c r="A110" s="119">
        <v>7</v>
      </c>
      <c r="B110" s="74" t="s">
        <v>60</v>
      </c>
      <c r="C110" s="75">
        <v>7951</v>
      </c>
      <c r="D110" s="75">
        <v>8321.814745702235</v>
      </c>
      <c r="E110" s="117">
        <f t="shared" si="21"/>
        <v>370.8147457022351</v>
      </c>
      <c r="F110" s="76"/>
      <c r="G110" s="90"/>
      <c r="H110" s="91"/>
      <c r="I110" s="91"/>
      <c r="J110" s="91">
        <v>0.36</v>
      </c>
      <c r="K110" s="99">
        <v>0.64</v>
      </c>
      <c r="L110" s="91"/>
      <c r="M110" s="92">
        <f t="shared" si="22"/>
        <v>1</v>
      </c>
      <c r="R110" s="46">
        <v>16</v>
      </c>
      <c r="S110" s="49">
        <f>SUM(C59)</f>
        <v>861</v>
      </c>
      <c r="T110" s="49">
        <f>SUM(D59)</f>
        <v>1141</v>
      </c>
      <c r="U110" s="49">
        <f t="shared" si="24"/>
        <v>280</v>
      </c>
      <c r="W110" s="49">
        <f aca="true" t="shared" si="28" ref="W110:AE110">SUM(G59)</f>
        <v>0</v>
      </c>
      <c r="X110" s="49">
        <f t="shared" si="28"/>
        <v>0</v>
      </c>
      <c r="Y110" s="49">
        <f t="shared" si="28"/>
        <v>0</v>
      </c>
      <c r="Z110" s="49">
        <f t="shared" si="28"/>
        <v>0</v>
      </c>
      <c r="AA110" s="49">
        <f t="shared" si="28"/>
        <v>0</v>
      </c>
      <c r="AB110" s="49">
        <f t="shared" si="28"/>
        <v>280</v>
      </c>
      <c r="AC110" s="49">
        <f t="shared" si="28"/>
        <v>0</v>
      </c>
      <c r="AD110" s="49">
        <f t="shared" si="28"/>
        <v>0</v>
      </c>
      <c r="AE110" s="49">
        <f t="shared" si="28"/>
        <v>280</v>
      </c>
      <c r="AF110" s="45"/>
    </row>
    <row r="111" spans="1:32" s="110" customFormat="1" ht="20.25" customHeight="1">
      <c r="A111" s="115">
        <v>81</v>
      </c>
      <c r="B111" s="116" t="s">
        <v>61</v>
      </c>
      <c r="C111" s="104">
        <v>5795</v>
      </c>
      <c r="D111" s="104">
        <v>7767.127588868548</v>
      </c>
      <c r="E111" s="117">
        <f t="shared" si="21"/>
        <v>1972.1275888685477</v>
      </c>
      <c r="F111" s="111"/>
      <c r="G111" s="106"/>
      <c r="H111" s="107"/>
      <c r="I111" s="107">
        <v>0.7</v>
      </c>
      <c r="J111" s="107"/>
      <c r="K111" s="108">
        <v>0.3</v>
      </c>
      <c r="L111" s="107"/>
      <c r="M111" s="109">
        <f t="shared" si="22"/>
        <v>1</v>
      </c>
      <c r="R111" s="112">
        <v>17</v>
      </c>
      <c r="S111" s="105">
        <f>SUM(C49)</f>
        <v>784</v>
      </c>
      <c r="T111" s="105">
        <f>SUM(D49)</f>
        <v>1127.2122214014576</v>
      </c>
      <c r="U111" s="105">
        <f t="shared" si="24"/>
        <v>343.21222140145755</v>
      </c>
      <c r="W111" s="105">
        <f aca="true" t="shared" si="29" ref="W111:AE111">SUM(G49)</f>
        <v>0</v>
      </c>
      <c r="X111" s="105">
        <f t="shared" si="29"/>
        <v>0</v>
      </c>
      <c r="Y111" s="105">
        <f t="shared" si="29"/>
        <v>343.21222140145755</v>
      </c>
      <c r="Z111" s="105">
        <f t="shared" si="29"/>
        <v>0</v>
      </c>
      <c r="AA111" s="105">
        <f t="shared" si="29"/>
        <v>0</v>
      </c>
      <c r="AB111" s="105">
        <f t="shared" si="29"/>
        <v>0</v>
      </c>
      <c r="AC111" s="105">
        <f t="shared" si="29"/>
        <v>0</v>
      </c>
      <c r="AD111" s="105">
        <f t="shared" si="29"/>
        <v>0</v>
      </c>
      <c r="AE111" s="105">
        <f t="shared" si="29"/>
        <v>343.21222140145755</v>
      </c>
      <c r="AF111" s="114"/>
    </row>
    <row r="112" spans="1:32" ht="20.25" customHeight="1">
      <c r="A112" s="120">
        <v>82</v>
      </c>
      <c r="B112" s="77" t="s">
        <v>62</v>
      </c>
      <c r="C112" s="75">
        <v>5949</v>
      </c>
      <c r="D112" s="75">
        <v>8857.425010571462</v>
      </c>
      <c r="E112" s="117">
        <f t="shared" si="21"/>
        <v>2908.425010571462</v>
      </c>
      <c r="F112" s="76"/>
      <c r="G112" s="90">
        <v>0.3</v>
      </c>
      <c r="H112" s="91">
        <v>0.1</v>
      </c>
      <c r="I112" s="91">
        <v>0.25</v>
      </c>
      <c r="J112" s="91">
        <v>0.145</v>
      </c>
      <c r="K112" s="99">
        <v>0.2</v>
      </c>
      <c r="L112" s="91"/>
      <c r="M112" s="92">
        <f t="shared" si="22"/>
        <v>0.9950000000000001</v>
      </c>
      <c r="R112" s="46">
        <v>18</v>
      </c>
      <c r="S112" s="49">
        <f>SUM(C50:C52)</f>
        <v>10104</v>
      </c>
      <c r="T112" s="49">
        <f>SUM(D50:D52)</f>
        <v>16626.422</v>
      </c>
      <c r="U112" s="49">
        <f t="shared" si="24"/>
        <v>6522.421999999999</v>
      </c>
      <c r="W112" s="49">
        <f aca="true" t="shared" si="30" ref="W112:AE112">SUM(G50:G52)</f>
        <v>961.537</v>
      </c>
      <c r="X112" s="49">
        <f t="shared" si="30"/>
        <v>1000.1370000000001</v>
      </c>
      <c r="Y112" s="49">
        <f t="shared" si="30"/>
        <v>211.26100000000002</v>
      </c>
      <c r="Z112" s="49">
        <f t="shared" si="30"/>
        <v>1193.137</v>
      </c>
      <c r="AA112" s="49">
        <f t="shared" si="30"/>
        <v>1270.337</v>
      </c>
      <c r="AB112" s="49">
        <f t="shared" si="30"/>
        <v>601.698</v>
      </c>
      <c r="AC112" s="49">
        <f t="shared" si="30"/>
        <v>1091.315</v>
      </c>
      <c r="AD112" s="49">
        <f t="shared" si="30"/>
        <v>193</v>
      </c>
      <c r="AE112" s="49">
        <f t="shared" si="30"/>
        <v>6522.4220000000005</v>
      </c>
      <c r="AF112" s="45"/>
    </row>
    <row r="113" spans="1:32" s="110" customFormat="1" ht="20.25" customHeight="1">
      <c r="A113" s="115">
        <v>85</v>
      </c>
      <c r="B113" s="116" t="s">
        <v>63</v>
      </c>
      <c r="C113" s="104">
        <v>765</v>
      </c>
      <c r="D113" s="104">
        <v>794.61</v>
      </c>
      <c r="E113" s="117">
        <f t="shared" si="21"/>
        <v>29.610000000000014</v>
      </c>
      <c r="F113" s="111"/>
      <c r="G113" s="106">
        <v>1</v>
      </c>
      <c r="H113" s="107"/>
      <c r="I113" s="107"/>
      <c r="J113" s="107"/>
      <c r="K113" s="108"/>
      <c r="L113" s="107"/>
      <c r="M113" s="109">
        <f t="shared" si="22"/>
        <v>1</v>
      </c>
      <c r="R113" s="112">
        <v>19</v>
      </c>
      <c r="S113" s="105">
        <f>SUM(C65)</f>
        <v>1620</v>
      </c>
      <c r="T113" s="105">
        <f>SUM(D65)</f>
        <v>2444</v>
      </c>
      <c r="U113" s="105">
        <f t="shared" si="24"/>
        <v>824</v>
      </c>
      <c r="W113" s="105">
        <f aca="true" t="shared" si="31" ref="W113:AE113">SUM(G65)</f>
        <v>0</v>
      </c>
      <c r="X113" s="105">
        <f t="shared" si="31"/>
        <v>0</v>
      </c>
      <c r="Y113" s="105">
        <f t="shared" si="31"/>
        <v>0</v>
      </c>
      <c r="Z113" s="105">
        <f t="shared" si="31"/>
        <v>0</v>
      </c>
      <c r="AA113" s="105">
        <f t="shared" si="31"/>
        <v>0</v>
      </c>
      <c r="AB113" s="105">
        <f t="shared" si="31"/>
        <v>0</v>
      </c>
      <c r="AC113" s="105">
        <f t="shared" si="31"/>
        <v>824</v>
      </c>
      <c r="AD113" s="105">
        <f t="shared" si="31"/>
        <v>0</v>
      </c>
      <c r="AE113" s="105">
        <f t="shared" si="31"/>
        <v>824</v>
      </c>
      <c r="AF113" s="114"/>
    </row>
    <row r="114" spans="1:32" ht="20.25" customHeight="1" thickBot="1">
      <c r="A114" s="78"/>
      <c r="B114" s="79"/>
      <c r="C114" s="67">
        <v>50853</v>
      </c>
      <c r="D114" s="67">
        <f>SUM(D97:D113)</f>
        <v>71000.60756253511</v>
      </c>
      <c r="E114" s="67">
        <f>SUM(E97:E113)-1</f>
        <v>20146.607562535115</v>
      </c>
      <c r="F114" s="21"/>
      <c r="G114" s="95">
        <f>+G135/$E133</f>
        <v>0.1910982249040403</v>
      </c>
      <c r="H114" s="95">
        <f>+H135/$E133</f>
        <v>0.17570752807782594</v>
      </c>
      <c r="I114" s="95">
        <f>+I135/$E133</f>
        <v>0.1737939853758683</v>
      </c>
      <c r="J114" s="95">
        <f>+J135/$E133</f>
        <v>0.30662566600539204</v>
      </c>
      <c r="K114" s="101">
        <f>+K135/$E133</f>
        <v>0.1527745956368736</v>
      </c>
      <c r="L114" s="93"/>
      <c r="M114" s="92">
        <f t="shared" si="22"/>
        <v>1.0000000000000002</v>
      </c>
      <c r="R114" s="46">
        <v>2</v>
      </c>
      <c r="S114" s="49">
        <f>SUM(C60)</f>
        <v>241</v>
      </c>
      <c r="T114" s="49">
        <f>SUM(D60)</f>
        <v>828</v>
      </c>
      <c r="U114" s="49">
        <f t="shared" si="24"/>
        <v>587</v>
      </c>
      <c r="W114" s="49">
        <f aca="true" t="shared" si="32" ref="W114:AE114">SUM(G60)</f>
        <v>0</v>
      </c>
      <c r="X114" s="49">
        <f t="shared" si="32"/>
        <v>0</v>
      </c>
      <c r="Y114" s="49">
        <f t="shared" si="32"/>
        <v>0</v>
      </c>
      <c r="Z114" s="49">
        <f t="shared" si="32"/>
        <v>0</v>
      </c>
      <c r="AA114" s="49">
        <f t="shared" si="32"/>
        <v>0</v>
      </c>
      <c r="AB114" s="49">
        <f t="shared" si="32"/>
        <v>587</v>
      </c>
      <c r="AC114" s="49">
        <f t="shared" si="32"/>
        <v>0</v>
      </c>
      <c r="AD114" s="49">
        <f t="shared" si="32"/>
        <v>0</v>
      </c>
      <c r="AE114" s="49">
        <f t="shared" si="32"/>
        <v>587</v>
      </c>
      <c r="AF114" s="45"/>
    </row>
    <row r="115" spans="2:32" ht="21" thickBot="1">
      <c r="B115" s="4"/>
      <c r="G115" s="96">
        <f>+G114</f>
        <v>0.1910982249040403</v>
      </c>
      <c r="H115" s="96">
        <f>+H114</f>
        <v>0.17570752807782594</v>
      </c>
      <c r="I115" s="96">
        <f>+I114</f>
        <v>0.1737939853758683</v>
      </c>
      <c r="J115" s="96">
        <f>+J114</f>
        <v>0.30662566600539204</v>
      </c>
      <c r="K115" s="96">
        <f>+K114</f>
        <v>0.1527745956368736</v>
      </c>
      <c r="L115" s="21"/>
      <c r="M115" s="89">
        <f t="shared" si="22"/>
        <v>1.0000000000000002</v>
      </c>
      <c r="R115" s="46">
        <v>3</v>
      </c>
      <c r="S115" s="49">
        <f>SUM(C63)</f>
        <v>717</v>
      </c>
      <c r="T115" s="49">
        <f>SUM(D63)</f>
        <v>991.4648343431631</v>
      </c>
      <c r="U115" s="49">
        <f t="shared" si="24"/>
        <v>274.46483434316315</v>
      </c>
      <c r="W115" s="49">
        <f aca="true" t="shared" si="33" ref="W115:AE115">SUM(G63)</f>
        <v>0</v>
      </c>
      <c r="X115" s="49">
        <f t="shared" si="33"/>
        <v>0</v>
      </c>
      <c r="Y115" s="49">
        <f t="shared" si="33"/>
        <v>274.46483434316315</v>
      </c>
      <c r="Z115" s="49">
        <f t="shared" si="33"/>
        <v>0</v>
      </c>
      <c r="AA115" s="49">
        <f t="shared" si="33"/>
        <v>0</v>
      </c>
      <c r="AB115" s="49">
        <f t="shared" si="33"/>
        <v>0</v>
      </c>
      <c r="AC115" s="49">
        <f t="shared" si="33"/>
        <v>0</v>
      </c>
      <c r="AD115" s="49">
        <f t="shared" si="33"/>
        <v>0</v>
      </c>
      <c r="AE115" s="49">
        <f t="shared" si="33"/>
        <v>274.46483434316315</v>
      </c>
      <c r="AF115" s="45"/>
    </row>
    <row r="116" spans="2:32" ht="20.25">
      <c r="B116" s="4"/>
      <c r="G116" s="97">
        <v>0.18</v>
      </c>
      <c r="H116" s="97">
        <v>0.15</v>
      </c>
      <c r="I116" s="97">
        <v>0.2</v>
      </c>
      <c r="J116" s="97">
        <v>0.3</v>
      </c>
      <c r="K116" s="97">
        <v>0.17</v>
      </c>
      <c r="M116" s="89">
        <f t="shared" si="22"/>
        <v>1</v>
      </c>
      <c r="R116" s="46">
        <v>4</v>
      </c>
      <c r="S116" s="49">
        <f>SUM(C64)</f>
        <v>2425</v>
      </c>
      <c r="T116" s="49">
        <f>SUM(D64)</f>
        <v>2569.3415011199536</v>
      </c>
      <c r="U116" s="49">
        <f t="shared" si="24"/>
        <v>144.3415011199536</v>
      </c>
      <c r="W116" s="49">
        <f aca="true" t="shared" si="34" ref="W116:AE116">SUM(G64)</f>
        <v>0</v>
      </c>
      <c r="X116" s="49">
        <f t="shared" si="34"/>
        <v>0</v>
      </c>
      <c r="Y116" s="49">
        <f t="shared" si="34"/>
        <v>0</v>
      </c>
      <c r="Z116" s="49">
        <f t="shared" si="34"/>
        <v>0</v>
      </c>
      <c r="AA116" s="49">
        <f t="shared" si="34"/>
        <v>0</v>
      </c>
      <c r="AB116" s="49">
        <f t="shared" si="34"/>
        <v>144.3415011199536</v>
      </c>
      <c r="AC116" s="49">
        <f t="shared" si="34"/>
        <v>0</v>
      </c>
      <c r="AD116" s="49">
        <f t="shared" si="34"/>
        <v>0</v>
      </c>
      <c r="AE116" s="49">
        <f t="shared" si="34"/>
        <v>144.3415011199536</v>
      </c>
      <c r="AF116" s="45"/>
    </row>
    <row r="117" spans="2:32" ht="14.25">
      <c r="B117" s="4"/>
      <c r="G117" s="45">
        <f aca="true" t="shared" si="35" ref="G117:K130">+G97*$E97</f>
        <v>0</v>
      </c>
      <c r="H117" s="45">
        <f t="shared" si="35"/>
        <v>0</v>
      </c>
      <c r="I117" s="45">
        <f t="shared" si="35"/>
        <v>0</v>
      </c>
      <c r="J117" s="45">
        <f t="shared" si="35"/>
        <v>1263.030606161236</v>
      </c>
      <c r="K117" s="45">
        <f t="shared" si="35"/>
        <v>0</v>
      </c>
      <c r="R117" s="46">
        <v>5</v>
      </c>
      <c r="S117" s="49">
        <f>SUM(C58)</f>
        <v>1136</v>
      </c>
      <c r="T117" s="49">
        <f>SUM(D58)</f>
        <v>2097</v>
      </c>
      <c r="U117" s="49">
        <f t="shared" si="24"/>
        <v>961</v>
      </c>
      <c r="W117" s="49">
        <f aca="true" t="shared" si="36" ref="W117:AE117">SUM(G58)</f>
        <v>0</v>
      </c>
      <c r="X117" s="49">
        <f t="shared" si="36"/>
        <v>0</v>
      </c>
      <c r="Y117" s="49">
        <f t="shared" si="36"/>
        <v>0</v>
      </c>
      <c r="Z117" s="49">
        <f t="shared" si="36"/>
        <v>0</v>
      </c>
      <c r="AA117" s="49">
        <f t="shared" si="36"/>
        <v>0</v>
      </c>
      <c r="AB117" s="49">
        <f t="shared" si="36"/>
        <v>961</v>
      </c>
      <c r="AC117" s="49">
        <f t="shared" si="36"/>
        <v>0</v>
      </c>
      <c r="AD117" s="49">
        <f t="shared" si="36"/>
        <v>0</v>
      </c>
      <c r="AE117" s="49">
        <f t="shared" si="36"/>
        <v>961</v>
      </c>
      <c r="AF117" s="45"/>
    </row>
    <row r="118" spans="2:32" ht="14.25">
      <c r="B118" s="4"/>
      <c r="G118" s="45">
        <f t="shared" si="35"/>
        <v>0</v>
      </c>
      <c r="H118" s="45">
        <f t="shared" si="35"/>
        <v>0</v>
      </c>
      <c r="I118" s="45">
        <f t="shared" si="35"/>
        <v>0</v>
      </c>
      <c r="J118" s="45">
        <f t="shared" si="35"/>
        <v>1400.148529685183</v>
      </c>
      <c r="K118" s="45">
        <f t="shared" si="35"/>
        <v>0</v>
      </c>
      <c r="R118" s="46">
        <v>6</v>
      </c>
      <c r="S118" s="49">
        <f>SUM(C61:C62)</f>
        <v>1379</v>
      </c>
      <c r="T118" s="49">
        <f>SUM(D61:D62)</f>
        <v>1838</v>
      </c>
      <c r="U118" s="49">
        <f t="shared" si="24"/>
        <v>459</v>
      </c>
      <c r="W118" s="49">
        <f aca="true" t="shared" si="37" ref="W118:AE118">SUM(G61:G62)</f>
        <v>0</v>
      </c>
      <c r="X118" s="49">
        <f t="shared" si="37"/>
        <v>0</v>
      </c>
      <c r="Y118" s="49">
        <f t="shared" si="37"/>
        <v>392</v>
      </c>
      <c r="Z118" s="49">
        <f t="shared" si="37"/>
        <v>0</v>
      </c>
      <c r="AA118" s="49">
        <f t="shared" si="37"/>
        <v>0</v>
      </c>
      <c r="AB118" s="49">
        <f t="shared" si="37"/>
        <v>67</v>
      </c>
      <c r="AC118" s="49">
        <f t="shared" si="37"/>
        <v>0</v>
      </c>
      <c r="AD118" s="49">
        <f t="shared" si="37"/>
        <v>0</v>
      </c>
      <c r="AE118" s="49">
        <f t="shared" si="37"/>
        <v>459</v>
      </c>
      <c r="AF118" s="45"/>
    </row>
    <row r="119" spans="2:32" ht="14.25">
      <c r="B119" s="4"/>
      <c r="G119" s="45">
        <f t="shared" si="35"/>
        <v>144.27138038067915</v>
      </c>
      <c r="H119" s="45">
        <f t="shared" si="35"/>
        <v>144.27138038067915</v>
      </c>
      <c r="I119" s="45">
        <f t="shared" si="35"/>
        <v>0</v>
      </c>
      <c r="J119" s="45">
        <f t="shared" si="35"/>
        <v>0</v>
      </c>
      <c r="K119" s="45">
        <f t="shared" si="35"/>
        <v>0</v>
      </c>
      <c r="R119" s="46">
        <v>7</v>
      </c>
      <c r="S119" s="49">
        <f>SUM(C53)</f>
        <v>7951</v>
      </c>
      <c r="T119" s="49">
        <f>SUM(D53)</f>
        <v>8330.924745702234</v>
      </c>
      <c r="U119" s="49">
        <f t="shared" si="24"/>
        <v>379.92474570223385</v>
      </c>
      <c r="W119" s="49">
        <f aca="true" t="shared" si="38" ref="W119:AE119">SUM(G53)</f>
        <v>0</v>
      </c>
      <c r="X119" s="49">
        <f t="shared" si="38"/>
        <v>0</v>
      </c>
      <c r="Y119" s="49">
        <f t="shared" si="38"/>
        <v>0</v>
      </c>
      <c r="Z119" s="49">
        <f t="shared" si="38"/>
        <v>0</v>
      </c>
      <c r="AA119" s="49">
        <f t="shared" si="38"/>
        <v>0</v>
      </c>
      <c r="AB119" s="49">
        <f t="shared" si="38"/>
        <v>136.7729084528042</v>
      </c>
      <c r="AC119" s="49">
        <f t="shared" si="38"/>
        <v>243.15183724942966</v>
      </c>
      <c r="AD119" s="49">
        <f t="shared" si="38"/>
        <v>0</v>
      </c>
      <c r="AE119" s="49">
        <f t="shared" si="38"/>
        <v>379.92474570223385</v>
      </c>
      <c r="AF119" s="45"/>
    </row>
    <row r="120" spans="2:32" ht="14.25">
      <c r="B120" s="4"/>
      <c r="G120" s="45">
        <f t="shared" si="35"/>
        <v>237.76705270294326</v>
      </c>
      <c r="H120" s="45">
        <f t="shared" si="35"/>
        <v>118.88352635147163</v>
      </c>
      <c r="I120" s="45">
        <f t="shared" si="35"/>
        <v>0</v>
      </c>
      <c r="J120" s="45">
        <f t="shared" si="35"/>
        <v>118.88352635147163</v>
      </c>
      <c r="K120" s="45">
        <f t="shared" si="35"/>
        <v>0</v>
      </c>
      <c r="R120" s="46">
        <v>81</v>
      </c>
      <c r="S120" s="49">
        <f>SUM(C67,C68,C57)</f>
        <v>5795</v>
      </c>
      <c r="T120" s="49">
        <f>SUM(D67,D68,D57)</f>
        <v>8460</v>
      </c>
      <c r="U120" s="49">
        <f t="shared" si="24"/>
        <v>2665</v>
      </c>
      <c r="W120" s="49">
        <f aca="true" t="shared" si="39" ref="W120:AE120">SUM(G67,G68,G57)</f>
        <v>0</v>
      </c>
      <c r="X120" s="49">
        <f t="shared" si="39"/>
        <v>0</v>
      </c>
      <c r="Y120" s="49">
        <f t="shared" si="39"/>
        <v>102.18</v>
      </c>
      <c r="Z120" s="49">
        <f t="shared" si="39"/>
        <v>0</v>
      </c>
      <c r="AA120" s="49">
        <f t="shared" si="39"/>
        <v>1503.2</v>
      </c>
      <c r="AB120" s="49">
        <f t="shared" si="39"/>
        <v>0</v>
      </c>
      <c r="AC120" s="49">
        <f t="shared" si="39"/>
        <v>1059.6200000000001</v>
      </c>
      <c r="AD120" s="49">
        <f t="shared" si="39"/>
        <v>0</v>
      </c>
      <c r="AE120" s="49">
        <f t="shared" si="39"/>
        <v>2665</v>
      </c>
      <c r="AF120" s="45"/>
    </row>
    <row r="121" spans="2:32" ht="14.25">
      <c r="B121" s="4"/>
      <c r="G121" s="45">
        <f t="shared" si="35"/>
        <v>0</v>
      </c>
      <c r="H121" s="45">
        <f t="shared" si="35"/>
        <v>223.66000000000008</v>
      </c>
      <c r="I121" s="45">
        <f t="shared" si="35"/>
        <v>0</v>
      </c>
      <c r="J121" s="45">
        <f t="shared" si="35"/>
        <v>0</v>
      </c>
      <c r="K121" s="45">
        <f t="shared" si="35"/>
        <v>0</v>
      </c>
      <c r="R121" s="46">
        <v>82</v>
      </c>
      <c r="S121" s="49">
        <f>SUM(C54:C56)</f>
        <v>5949</v>
      </c>
      <c r="T121" s="49">
        <f>SUM(D54:D56)</f>
        <v>8880.059920175863</v>
      </c>
      <c r="U121" s="49">
        <f t="shared" si="24"/>
        <v>2931.059920175863</v>
      </c>
      <c r="W121" s="49">
        <f aca="true" t="shared" si="40" ref="W121:AE121">SUM(G54:G56)</f>
        <v>144.61797605275896</v>
      </c>
      <c r="X121" s="49">
        <f t="shared" si="40"/>
        <v>1266.2</v>
      </c>
      <c r="Y121" s="49">
        <f t="shared" si="40"/>
        <v>163.7059920175863</v>
      </c>
      <c r="Z121" s="49">
        <f t="shared" si="40"/>
        <v>0</v>
      </c>
      <c r="AA121" s="49">
        <f t="shared" si="40"/>
        <v>433.367976052759</v>
      </c>
      <c r="AB121" s="49">
        <f t="shared" si="40"/>
        <v>336.9559920175863</v>
      </c>
      <c r="AC121" s="49">
        <f t="shared" si="40"/>
        <v>586.2119840351727</v>
      </c>
      <c r="AD121" s="49">
        <f t="shared" si="40"/>
        <v>0</v>
      </c>
      <c r="AE121" s="49">
        <f t="shared" si="40"/>
        <v>2931.059920175863</v>
      </c>
      <c r="AF121" s="45"/>
    </row>
    <row r="122" spans="2:32" ht="14.25">
      <c r="B122" s="4"/>
      <c r="G122" s="45">
        <f t="shared" si="35"/>
        <v>0</v>
      </c>
      <c r="H122" s="45">
        <f t="shared" si="35"/>
        <v>770.7222214014575</v>
      </c>
      <c r="I122" s="45">
        <f t="shared" si="35"/>
        <v>0</v>
      </c>
      <c r="J122" s="45">
        <f t="shared" si="35"/>
        <v>0</v>
      </c>
      <c r="K122" s="45">
        <f t="shared" si="35"/>
        <v>0</v>
      </c>
      <c r="R122" s="46">
        <v>85</v>
      </c>
      <c r="S122" s="49">
        <f>SUM(C66)</f>
        <v>765</v>
      </c>
      <c r="T122" s="49">
        <f>SUM(D66)</f>
        <v>771</v>
      </c>
      <c r="U122" s="49">
        <f t="shared" si="24"/>
        <v>6</v>
      </c>
      <c r="W122" s="49">
        <f aca="true" t="shared" si="41" ref="W122:AE122">SUM(G66)</f>
        <v>0</v>
      </c>
      <c r="X122" s="49">
        <f t="shared" si="41"/>
        <v>0</v>
      </c>
      <c r="Y122" s="49">
        <f t="shared" si="41"/>
        <v>6</v>
      </c>
      <c r="Z122" s="49">
        <f t="shared" si="41"/>
        <v>0</v>
      </c>
      <c r="AA122" s="49">
        <f t="shared" si="41"/>
        <v>0</v>
      </c>
      <c r="AB122" s="49">
        <f t="shared" si="41"/>
        <v>0</v>
      </c>
      <c r="AC122" s="49">
        <f t="shared" si="41"/>
        <v>0</v>
      </c>
      <c r="AD122" s="49">
        <f t="shared" si="41"/>
        <v>0</v>
      </c>
      <c r="AE122" s="49">
        <f t="shared" si="41"/>
        <v>6</v>
      </c>
      <c r="AF122" s="45"/>
    </row>
    <row r="123" spans="2:32" ht="14.25">
      <c r="B123" s="4"/>
      <c r="G123" s="45">
        <f t="shared" si="35"/>
        <v>2041.122130724683</v>
      </c>
      <c r="H123" s="45">
        <f t="shared" si="35"/>
        <v>1467.056531458366</v>
      </c>
      <c r="I123" s="45">
        <f t="shared" si="35"/>
        <v>1020.5610653623415</v>
      </c>
      <c r="J123" s="45">
        <f t="shared" si="35"/>
        <v>637.8506658514634</v>
      </c>
      <c r="K123" s="45">
        <f t="shared" si="35"/>
        <v>1211.9162651177805</v>
      </c>
      <c r="R123" s="46"/>
      <c r="S123" s="49">
        <f>SUM(S106:S122)</f>
        <v>50853</v>
      </c>
      <c r="T123" s="49">
        <f>SUM(T106:T122)</f>
        <v>70949.15260475634</v>
      </c>
      <c r="U123" s="49">
        <f>SUM(U106:U122)</f>
        <v>20096.152604756335</v>
      </c>
      <c r="W123" s="49">
        <f aca="true" t="shared" si="42" ref="W123:AE123">SUM(W106:W122)</f>
        <v>1304.510046433438</v>
      </c>
      <c r="X123" s="49">
        <f t="shared" si="42"/>
        <v>2524.619052702943</v>
      </c>
      <c r="Y123" s="49">
        <f t="shared" si="42"/>
        <v>1820.320144494358</v>
      </c>
      <c r="Z123" s="49">
        <f t="shared" si="42"/>
        <v>1193.137</v>
      </c>
      <c r="AA123" s="49">
        <f t="shared" si="42"/>
        <v>3206.904976052759</v>
      </c>
      <c r="AB123" s="49">
        <f t="shared" si="42"/>
        <v>6049.362563788236</v>
      </c>
      <c r="AC123" s="49">
        <f t="shared" si="42"/>
        <v>3804.298821284602</v>
      </c>
      <c r="AD123" s="49">
        <f t="shared" si="42"/>
        <v>193</v>
      </c>
      <c r="AE123" s="49">
        <f t="shared" si="42"/>
        <v>20096.152604756335</v>
      </c>
      <c r="AF123" s="45"/>
    </row>
    <row r="124" spans="2:18" ht="12.75">
      <c r="B124" s="4"/>
      <c r="G124" s="45">
        <f t="shared" si="35"/>
        <v>0</v>
      </c>
      <c r="H124" s="45">
        <f t="shared" si="35"/>
        <v>0</v>
      </c>
      <c r="I124" s="45">
        <f t="shared" si="35"/>
        <v>370.84905</v>
      </c>
      <c r="J124" s="45">
        <f t="shared" si="35"/>
        <v>0</v>
      </c>
      <c r="K124" s="45">
        <f t="shared" si="35"/>
        <v>453.25995</v>
      </c>
      <c r="R124" s="1"/>
    </row>
    <row r="125" spans="2:18" ht="12.75">
      <c r="B125" s="4"/>
      <c r="G125" s="45">
        <f t="shared" si="35"/>
        <v>0</v>
      </c>
      <c r="H125" s="45">
        <f t="shared" si="35"/>
        <v>0</v>
      </c>
      <c r="I125" s="45">
        <f t="shared" si="35"/>
        <v>0</v>
      </c>
      <c r="J125" s="45">
        <f t="shared" si="35"/>
        <v>776.59</v>
      </c>
      <c r="K125" s="45">
        <f t="shared" si="35"/>
        <v>0</v>
      </c>
      <c r="R125" s="1"/>
    </row>
    <row r="126" spans="2:18" ht="12.75">
      <c r="B126" s="4"/>
      <c r="G126" s="45">
        <f t="shared" si="35"/>
        <v>0</v>
      </c>
      <c r="H126" s="45">
        <f t="shared" si="35"/>
        <v>0</v>
      </c>
      <c r="I126" s="45">
        <f t="shared" si="35"/>
        <v>0</v>
      </c>
      <c r="J126" s="45">
        <f t="shared" si="35"/>
        <v>270.4248343431632</v>
      </c>
      <c r="K126" s="45">
        <f t="shared" si="35"/>
        <v>0</v>
      </c>
      <c r="R126" s="1"/>
    </row>
    <row r="127" spans="2:18" ht="12.75">
      <c r="B127" s="4"/>
      <c r="G127" s="45">
        <f t="shared" si="35"/>
        <v>0</v>
      </c>
      <c r="H127" s="45">
        <f t="shared" si="35"/>
        <v>0</v>
      </c>
      <c r="I127" s="45">
        <f t="shared" si="35"/>
        <v>0</v>
      </c>
      <c r="J127" s="45">
        <f t="shared" si="35"/>
        <v>188.67150111995352</v>
      </c>
      <c r="K127" s="45">
        <f t="shared" si="35"/>
        <v>0</v>
      </c>
      <c r="R127" s="1"/>
    </row>
    <row r="128" spans="2:18" ht="12.75">
      <c r="B128" s="4"/>
      <c r="G128" s="45">
        <f t="shared" si="35"/>
        <v>0</v>
      </c>
      <c r="H128" s="45">
        <f t="shared" si="35"/>
        <v>0</v>
      </c>
      <c r="I128" s="45">
        <f t="shared" si="35"/>
        <v>0</v>
      </c>
      <c r="J128" s="45">
        <f t="shared" si="35"/>
        <v>962.5</v>
      </c>
      <c r="K128" s="45">
        <f t="shared" si="35"/>
        <v>0</v>
      </c>
      <c r="R128" s="1"/>
    </row>
    <row r="129" spans="2:18" ht="12.75">
      <c r="B129" s="4"/>
      <c r="G129" s="45">
        <f t="shared" si="35"/>
        <v>522.095</v>
      </c>
      <c r="H129" s="45">
        <f t="shared" si="35"/>
        <v>522.095</v>
      </c>
      <c r="I129" s="45">
        <f t="shared" si="35"/>
        <v>0</v>
      </c>
      <c r="J129" s="45">
        <f t="shared" si="35"/>
        <v>0</v>
      </c>
      <c r="K129" s="45">
        <f t="shared" si="35"/>
        <v>0</v>
      </c>
      <c r="R129" s="1"/>
    </row>
    <row r="130" spans="2:18" ht="12.75">
      <c r="B130" s="4"/>
      <c r="G130" s="45">
        <f t="shared" si="35"/>
        <v>0</v>
      </c>
      <c r="H130" s="45">
        <f t="shared" si="35"/>
        <v>0</v>
      </c>
      <c r="I130" s="45">
        <f t="shared" si="35"/>
        <v>0</v>
      </c>
      <c r="J130" s="45">
        <f t="shared" si="35"/>
        <v>133.49330845280463</v>
      </c>
      <c r="K130" s="45">
        <f t="shared" si="35"/>
        <v>237.32143724943046</v>
      </c>
      <c r="R130" s="1"/>
    </row>
    <row r="131" spans="2:18" ht="12.75">
      <c r="B131" s="4"/>
      <c r="G131" s="45">
        <f>+G111*$E111</f>
        <v>0</v>
      </c>
      <c r="H131" s="45">
        <f>+H111*$E111</f>
        <v>0</v>
      </c>
      <c r="I131" s="45">
        <f>+I111*$E111</f>
        <v>1380.4893122079834</v>
      </c>
      <c r="J131" s="45">
        <f>+J111*$E111</f>
        <v>0</v>
      </c>
      <c r="K131" s="45">
        <f>+K111*$E111</f>
        <v>591.6382766605643</v>
      </c>
      <c r="R131" s="1"/>
    </row>
    <row r="132" spans="2:18" ht="12.75">
      <c r="B132" s="4"/>
      <c r="G132" s="45">
        <f aca="true" t="shared" si="43" ref="G132:K133">+G112*$E112</f>
        <v>872.5275031714385</v>
      </c>
      <c r="H132" s="45">
        <f t="shared" si="43"/>
        <v>290.8425010571462</v>
      </c>
      <c r="I132" s="45">
        <f t="shared" si="43"/>
        <v>727.1062526428655</v>
      </c>
      <c r="J132" s="45">
        <f t="shared" si="43"/>
        <v>421.72162653286193</v>
      </c>
      <c r="K132" s="45">
        <f t="shared" si="43"/>
        <v>581.6850021142924</v>
      </c>
      <c r="R132" s="1"/>
    </row>
    <row r="133" spans="2:18" ht="18">
      <c r="B133" s="4"/>
      <c r="E133" s="94">
        <f>SUM(G117:K134)</f>
        <v>20133.065437482255</v>
      </c>
      <c r="G133" s="45">
        <f t="shared" si="43"/>
        <v>29.610000000000014</v>
      </c>
      <c r="H133" s="45">
        <f t="shared" si="43"/>
        <v>0</v>
      </c>
      <c r="I133" s="45">
        <f t="shared" si="43"/>
        <v>0</v>
      </c>
      <c r="J133" s="45">
        <f t="shared" si="43"/>
        <v>0</v>
      </c>
      <c r="K133" s="45">
        <f t="shared" si="43"/>
        <v>0</v>
      </c>
      <c r="R133" s="1"/>
    </row>
    <row r="134" spans="2:18" ht="12.75">
      <c r="B134" s="4"/>
      <c r="R134" s="1"/>
    </row>
    <row r="135" spans="2:18" ht="18">
      <c r="B135" s="4"/>
      <c r="G135" s="94">
        <f>SUM(G117:G134)</f>
        <v>3847.3930669797446</v>
      </c>
      <c r="H135" s="94">
        <f>SUM(H117:H134)</f>
        <v>3537.5311606491205</v>
      </c>
      <c r="I135" s="94">
        <f>SUM(I117:I134)</f>
        <v>3499.0056802131903</v>
      </c>
      <c r="J135" s="94">
        <f>SUM(J117:J134)</f>
        <v>6173.314598498137</v>
      </c>
      <c r="K135" s="94">
        <f>SUM(K117:K134)</f>
        <v>3075.8209311420674</v>
      </c>
      <c r="R135" s="1"/>
    </row>
    <row r="136" spans="2:18" ht="12.75">
      <c r="B136" s="4"/>
      <c r="R136" s="1"/>
    </row>
    <row r="137" spans="2:18" ht="12.75">
      <c r="B137" s="4"/>
      <c r="R137" s="1"/>
    </row>
    <row r="138" spans="2:18" ht="12.75">
      <c r="B138" s="4"/>
      <c r="R138" s="1"/>
    </row>
    <row r="139" spans="2:18" ht="12.75">
      <c r="B139" s="4"/>
      <c r="R139" s="1"/>
    </row>
    <row r="140" spans="2:18" ht="12.75">
      <c r="B140" s="4"/>
      <c r="R140" s="1"/>
    </row>
    <row r="141" spans="2:18" ht="12.75">
      <c r="B141" s="4"/>
      <c r="R141" s="1"/>
    </row>
    <row r="142" spans="2:18" ht="12.75">
      <c r="B142" s="4"/>
      <c r="R142" s="1"/>
    </row>
    <row r="143" spans="2:18" ht="12.75">
      <c r="B143" s="4"/>
      <c r="R143" s="1"/>
    </row>
    <row r="144" spans="2:18" ht="12.75">
      <c r="B144" s="4"/>
      <c r="R144" s="1"/>
    </row>
    <row r="145" spans="2:18" ht="12.75">
      <c r="B145" s="4"/>
      <c r="R145" s="1"/>
    </row>
    <row r="146" spans="2:18" ht="12.75">
      <c r="B146" s="4"/>
      <c r="R146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cp:lastPrinted>2008-03-10T13:22:04Z</cp:lastPrinted>
  <dcterms:created xsi:type="dcterms:W3CDTF">2002-06-05T17:43:08Z</dcterms:created>
  <dcterms:modified xsi:type="dcterms:W3CDTF">2008-03-31T15:47:06Z</dcterms:modified>
  <cp:category/>
  <cp:version/>
  <cp:contentType/>
  <cp:contentStatus/>
</cp:coreProperties>
</file>