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80" windowHeight="13740" tabRatio="500" activeTab="0"/>
  </bookViews>
  <sheets>
    <sheet name="P3" sheetId="1" r:id="rId1"/>
    <sheet name="Sheet1" sheetId="2" r:id="rId2"/>
    <sheet name="Sheet2" sheetId="3" r:id="rId3"/>
    <sheet name="Sheet3" sheetId="4" r:id="rId4"/>
  </sheets>
  <definedNames>
    <definedName name="_xlnm.Print_Area" localSheetId="0">'P3'!$C$1:$P$133</definedName>
    <definedName name="_xlnm.Print_Titles" localSheetId="0">'P3'!$1:$3</definedName>
  </definedNames>
  <calcPr fullCalcOnLoad="1"/>
</workbook>
</file>

<file path=xl/sharedStrings.xml><?xml version="1.0" encoding="utf-8"?>
<sst xmlns="http://schemas.openxmlformats.org/spreadsheetml/2006/main" count="217" uniqueCount="198">
  <si>
    <t>76 - Tooling Design &amp; Fabrication</t>
  </si>
  <si>
    <t xml:space="preserve">7601 - Tooling Design &amp; Fabrication-PERRY  </t>
  </si>
  <si>
    <t>SUB TOTAL WBS 7</t>
  </si>
  <si>
    <t>8101 - Project Management &amp; Control</t>
  </si>
  <si>
    <t>81 - Project Management and Control</t>
  </si>
  <si>
    <t>8101 - Project Management &amp; Control-NEILSON</t>
  </si>
  <si>
    <t>8102 - NCSX MIE Management ORNL</t>
  </si>
  <si>
    <t xml:space="preserve">8102 - NCSX MIE Management ORNL-LYON       </t>
  </si>
  <si>
    <t>8202 - Engr Mgmt &amp; Sys Eng Support</t>
  </si>
  <si>
    <t>82 - Project Engineering</t>
  </si>
  <si>
    <t>8202 - Engr Mgmt &amp; Sys Eng Support-REIERSEN</t>
  </si>
  <si>
    <t>8203 - Design Integration</t>
  </si>
  <si>
    <t xml:space="preserve">8203 - Design Integration-BROWN            </t>
  </si>
  <si>
    <t xml:space="preserve">8204 - Systems Analysis         </t>
  </si>
  <si>
    <t xml:space="preserve">8204 - Systems Analysis-BROOKS             </t>
  </si>
  <si>
    <t>8205 - Dimensional Control Coord.</t>
  </si>
  <si>
    <t>8205 - Dimensional Control Coordin-REIERSEN</t>
  </si>
  <si>
    <t>8210 - Project Rebaseline Estimating</t>
  </si>
  <si>
    <t xml:space="preserve">8210 - FY07 Rebaseling tasks               </t>
  </si>
  <si>
    <t>8215 Plant Design</t>
  </si>
  <si>
    <t xml:space="preserve">8998 - Allocations-STRYKOWSKY              </t>
  </si>
  <si>
    <t>84 Project Physics</t>
  </si>
  <si>
    <t xml:space="preserve">8401 - Project Physics       </t>
  </si>
  <si>
    <t xml:space="preserve">8402 - Project Physics MIE ORNL     </t>
  </si>
  <si>
    <t>85 - Integrated Systems Testing</t>
  </si>
  <si>
    <t xml:space="preserve">8501 - Integrated Systems Testing-GENTILE  </t>
  </si>
  <si>
    <t>8998 - Allocations</t>
  </si>
  <si>
    <t>SUB TOTAL WBS 8</t>
  </si>
  <si>
    <t>CC - Contingency</t>
  </si>
  <si>
    <t>Contingency-Project</t>
  </si>
  <si>
    <t>3901 - Diagnostics sys Integration-STRATTON</t>
  </si>
  <si>
    <t>SUB TOTAL WBS 3</t>
  </si>
  <si>
    <t xml:space="preserve">4101 - AC Power             </t>
  </si>
  <si>
    <t>41 - AC Power</t>
  </si>
  <si>
    <t xml:space="preserve">4101 - AC Power-RAMAKRISHNAN               </t>
  </si>
  <si>
    <t xml:space="preserve">4301 - DC Systems         </t>
  </si>
  <si>
    <t>43 - DC Systems</t>
  </si>
  <si>
    <t xml:space="preserve">4301 - DC Systems-RAMAKRISHNAN             </t>
  </si>
  <si>
    <t xml:space="preserve">4401 - Control &amp; Protection </t>
  </si>
  <si>
    <t>44 - Control and protection Systems</t>
  </si>
  <si>
    <t xml:space="preserve">4401 - Control &amp; Protection-RAMAKRISHNAN   </t>
  </si>
  <si>
    <t>4501 - Power Sys Dsn &amp; Integr</t>
  </si>
  <si>
    <t>45 - Power System Design and Integration</t>
  </si>
  <si>
    <t xml:space="preserve">4501 - Power Sys Dsn &amp; Integr-RAMAKRISHNAN </t>
  </si>
  <si>
    <t>46 FCPC Bldg Mods</t>
  </si>
  <si>
    <t xml:space="preserve">4601 - FCPC Bldg Mods     </t>
  </si>
  <si>
    <t>SUB TOTAL WBS 4</t>
  </si>
  <si>
    <t>51 - Network and Fiber Infrastructure</t>
  </si>
  <si>
    <t>5101 - Network and Fiber</t>
  </si>
  <si>
    <t>52 - Central Instrumentation &amp; Control</t>
  </si>
  <si>
    <t xml:space="preserve">5201 - I&amp;C Systems-SICHTA                  </t>
  </si>
  <si>
    <t>53 - Data Acquisition &amp; Facility Computing</t>
  </si>
  <si>
    <t xml:space="preserve">5301 - Data Acquisition-SICHTA             </t>
  </si>
  <si>
    <t>54 - Facility Timing &amp; Synchronization</t>
  </si>
  <si>
    <t>5401 - Facility Timing &amp;</t>
  </si>
  <si>
    <t>55 - Real Time Plasma &amp; Power Supply Control Sys</t>
  </si>
  <si>
    <t>5501 - Real Time Control</t>
  </si>
  <si>
    <t>56 - Central Safety and Interlock Systems</t>
  </si>
  <si>
    <t>5601 - Central Safety &amp;Interlock Sys-SICHTA</t>
  </si>
  <si>
    <t>5801 -Central I&amp;C Integr</t>
  </si>
  <si>
    <t>58 - Central I&amp;C management and Integration</t>
  </si>
  <si>
    <t>5801 - Central I&amp;C Integr&amp; Oversight-SICHTA</t>
  </si>
  <si>
    <t>SUB TOTAL WBS 5</t>
  </si>
  <si>
    <t>61 - Water Systems</t>
  </si>
  <si>
    <t xml:space="preserve">6163 - Facility Systems Support FY04       </t>
  </si>
  <si>
    <t xml:space="preserve">6101 - Water Systems-DUDEK                 </t>
  </si>
  <si>
    <t>62 - Cryogenic Systems</t>
  </si>
  <si>
    <t xml:space="preserve">6201 - Cryogenic Systems-DUDEK             </t>
  </si>
  <si>
    <t>63 - Utility Systems</t>
  </si>
  <si>
    <t xml:space="preserve">6301 - Utility Systems-DUDEK               </t>
  </si>
  <si>
    <t>64 - PFC/VV Heating &amp; Cooling (Bakeout)</t>
  </si>
  <si>
    <t xml:space="preserve">6401 - PFC/VV Htng/Cooling(bakeout)- DUDEK </t>
  </si>
  <si>
    <t>SUB TOTAL WBS 6</t>
  </si>
  <si>
    <t>71 Shield Wall</t>
  </si>
  <si>
    <t>7101 - Shield Wall Modif</t>
  </si>
  <si>
    <t>7301 - Platform Design &amp;</t>
  </si>
  <si>
    <t>73 - Platform Design &amp; Fabrication</t>
  </si>
  <si>
    <t>7401 - TC Prep &amp; Mach Assy Planning</t>
  </si>
  <si>
    <t>74 - Machine Assembly Planning and Oversight</t>
  </si>
  <si>
    <t xml:space="preserve">7401 - TC Prep &amp; Mach Assy Planning-PERRY  </t>
  </si>
  <si>
    <t>75 - Test Cell and Basement Assembly Operations</t>
  </si>
  <si>
    <t xml:space="preserve">7501 - Construction Support Crew-PERRY     </t>
  </si>
  <si>
    <t xml:space="preserve">7503 - Machine Assembly (station 6)-PERRY  </t>
  </si>
  <si>
    <t xml:space="preserve">1451 - Mod Coil Winding-CHRZANOWSKI        </t>
  </si>
  <si>
    <t>1459 - Mod Coil Fabr.Punch List-CHRZANOWSKI</t>
  </si>
  <si>
    <t>1460 - 3rd Winding Fixture</t>
  </si>
  <si>
    <t>1501 - Structures  Design</t>
  </si>
  <si>
    <t>15 - Coil Structures</t>
  </si>
  <si>
    <t xml:space="preserve">1501 - Coil Structures  Design-DAHLGREN    </t>
  </si>
  <si>
    <t xml:space="preserve">1550 - Structures Procurement     </t>
  </si>
  <si>
    <t xml:space="preserve">1550 - Coil Struct. Procurement -DAHLGREN  </t>
  </si>
  <si>
    <t>1601 - Coil Services</t>
  </si>
  <si>
    <t>16 - Coil Services</t>
  </si>
  <si>
    <t xml:space="preserve">1601 - Coil Services  Design-GORANSON      </t>
  </si>
  <si>
    <t>1701-Cryostat design</t>
  </si>
  <si>
    <t>17 - Cryostat and Base Support Structure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</si>
  <si>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</si>
  <si>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</si>
  <si>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</si>
  <si>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</si>
  <si>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>18 - Field Period Assembly</t>
  </si>
  <si>
    <t xml:space="preserve">1801-Field Period Assy </t>
  </si>
  <si>
    <t xml:space="preserve">1802 - FP Assy Oversight Support </t>
  </si>
  <si>
    <t xml:space="preserve">1802 - FP Assy Oversight&amp;Support-VIOLA     </t>
  </si>
  <si>
    <t>1803- FP Assy Tooling/Constructability</t>
  </si>
  <si>
    <t xml:space="preserve">1803 - FP Asy Tooling/Constrblty-BROWN     </t>
  </si>
  <si>
    <t>1804-FP Assy Measurement</t>
  </si>
  <si>
    <t xml:space="preserve">1805 - FP Assy Hardware &amp; Fixt Procurement     </t>
  </si>
  <si>
    <t>1806 - FP Assy Specs and Drawings</t>
  </si>
  <si>
    <t>1806 - FP Assembly specs</t>
  </si>
  <si>
    <t xml:space="preserve">1810 - Field Period Assembly      plus 1859 unplanned work </t>
  </si>
  <si>
    <t>1810-Field Period Assy -Station 1 2 3  VIOLA</t>
  </si>
  <si>
    <t>1815 - Field Period Assy</t>
  </si>
  <si>
    <t>1901 - Stellarator Core Mngt &amp; Integr</t>
  </si>
  <si>
    <t>19 - Stellarator Core Management and Integration</t>
  </si>
  <si>
    <t xml:space="preserve">1901 - Stellarator Core Mngtt&amp;Integr-COLE  </t>
  </si>
  <si>
    <t>SUB TOTAL WBS 1</t>
  </si>
  <si>
    <t>2001-VPS Gas&amp; Cond Sys Oversight</t>
  </si>
  <si>
    <t>21 - Fueling Systems</t>
  </si>
  <si>
    <t xml:space="preserve">2101 - Fueling Systems-BLAMCHARD           </t>
  </si>
  <si>
    <t>22 - Torus Vacuum Pumping Systems</t>
  </si>
  <si>
    <t xml:space="preserve">2201 - Vacuum Pumping Systems-BLANCHARD    </t>
  </si>
  <si>
    <t>25 Neutral Beam Refurbishment</t>
  </si>
  <si>
    <t>2501 - Neutral Beam Refurbishment</t>
  </si>
  <si>
    <t>SUB TOTAL WBS 2</t>
  </si>
  <si>
    <t xml:space="preserve">3101 Magnetic Diagnostics                  </t>
  </si>
  <si>
    <t>31 - Magnetic Diagnostics</t>
  </si>
  <si>
    <t xml:space="preserve">3101 - Magnetic Diagnostics-STRATTON       </t>
  </si>
  <si>
    <t>36 - Edge and Divertor Diagnostics</t>
  </si>
  <si>
    <t xml:space="preserve">3601 - Edge Divertor Diagnostics-STRATTON  </t>
  </si>
  <si>
    <t>38 - Electron Beam (EB) Mapping</t>
  </si>
  <si>
    <t xml:space="preserve">3801 - Electron Beam Mapping-STRATTON      </t>
  </si>
  <si>
    <t>3901 - Diagnostics sys Integration</t>
  </si>
  <si>
    <t>39 - Diagnostics Integration</t>
  </si>
  <si>
    <t>NCSX EAC</t>
  </si>
  <si>
    <t>WBS II</t>
  </si>
  <si>
    <t>JOB</t>
  </si>
  <si>
    <t>COST TO DATE 4/1/03 - 4/30/07</t>
  </si>
  <si>
    <t>ETC 5/1/07 THROUGH COMPLETION</t>
  </si>
  <si>
    <t>TOTAL</t>
  </si>
  <si>
    <t>ecp31</t>
  </si>
  <si>
    <t>deltas</t>
  </si>
  <si>
    <t>FY2007</t>
  </si>
  <si>
    <t>FY2008</t>
  </si>
  <si>
    <t>FY2009</t>
  </si>
  <si>
    <t>FY2010</t>
  </si>
  <si>
    <t>FY2011</t>
  </si>
  <si>
    <t>ETC</t>
  </si>
  <si>
    <t>TOTAL EAC</t>
  </si>
  <si>
    <t>12 - Vacuum Vessel Systems</t>
  </si>
  <si>
    <t>1201 - Vacuum Vessel  Prelim Dsn</t>
  </si>
  <si>
    <t>1202 - Vacuum Vessel R&amp;D</t>
  </si>
  <si>
    <t xml:space="preserve">1203 - Vacuum Vessel Final Dsn </t>
  </si>
  <si>
    <t>1204-VV Sys Procurements (non VVSA)</t>
  </si>
  <si>
    <t xml:space="preserve">1204 - VV Sys Procurements (nonVVSA)-DUDEK </t>
  </si>
  <si>
    <t>1206 - VV Field Weld Joint R&amp;D</t>
  </si>
  <si>
    <t xml:space="preserve">1250 - Vacuum Vessel Fabrication  </t>
  </si>
  <si>
    <t>Subtotal</t>
  </si>
  <si>
    <t>13 - Conventional Coils</t>
  </si>
  <si>
    <t>1301 - TF Design</t>
  </si>
  <si>
    <t>1302 - PF  Design</t>
  </si>
  <si>
    <t xml:space="preserve">1302 - PF  Design -KALISH                  </t>
  </si>
  <si>
    <t>1303 - Central Solenoid Support Design</t>
  </si>
  <si>
    <t xml:space="preserve">1350 - TF Coil Fabr Prep </t>
  </si>
  <si>
    <t>1351 - TF Coil Fabr Supplies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</si>
  <si>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</si>
  <si>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</si>
  <si>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</si>
  <si>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</si>
  <si>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</si>
  <si>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>14 - Modular Coils</t>
  </si>
  <si>
    <t xml:space="preserve">1401 - Mod Coil  Prel.Dsn </t>
  </si>
  <si>
    <t xml:space="preserve">1402 - Mod.Coil Analyses     </t>
  </si>
  <si>
    <t>1403 modular coil winding form design</t>
  </si>
  <si>
    <t>1404-MCWF R&amp;D &amp; 1st Prod Casting</t>
  </si>
  <si>
    <t>1405-Mod Coil Winding R&amp;D Prep</t>
  </si>
  <si>
    <t>1406 - Mod. Coil Winding Facility</t>
  </si>
  <si>
    <t>1407 -Mod Coil Winding Facility</t>
  </si>
  <si>
    <t xml:space="preserve">1408-Mod Coil Winding Supplies  </t>
  </si>
  <si>
    <t xml:space="preserve">1408 - MC Winding Supplies-CHRZANOWSKI     </t>
  </si>
  <si>
    <t>1409 - Mod. Coil Test Stand</t>
  </si>
  <si>
    <t>1410 MC Twisted Racetrack Fabr</t>
  </si>
  <si>
    <t>1411-MCWF Fabrication S005242</t>
  </si>
  <si>
    <t xml:space="preserve">1411 - MCWF Fabr. S005242-HEITZENROEDER    </t>
  </si>
  <si>
    <t>1412 - Complete Winding Facilities</t>
  </si>
  <si>
    <t xml:space="preserve">1413 - Mod Coil Fracture Analysis             </t>
  </si>
  <si>
    <t>1414 - Coil Testing</t>
  </si>
  <si>
    <t>1415 - Dimensional Control Testing</t>
  </si>
  <si>
    <t>Mod Coil  Design  1416 Coil Design, Job 1421 Interface design</t>
  </si>
  <si>
    <t>1416 &amp;1421 - Mod Coil Interface Design-WILLIAMSON</t>
  </si>
  <si>
    <t>Job 1429 Interface R&amp;D/Test</t>
  </si>
  <si>
    <t xml:space="preserve">1429 - MC Interface R&amp;D-GETTELFINGER       </t>
  </si>
  <si>
    <t>1419 - Winding Facility Modification</t>
  </si>
  <si>
    <t xml:space="preserve">1431 - Mod. Coil Interface Hardware-DUDEK  </t>
  </si>
  <si>
    <t>1451 - Mod Coil Winding  (incl 1459 punch list and unplanned work)</t>
  </si>
  <si>
    <t>DCMA</t>
  </si>
  <si>
    <t>(1)</t>
  </si>
  <si>
    <t>(1) ADJUSTED FOR PLANNED RETROACTIVE G&amp;A rate reduction in FY07 (estimated)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</si>
</sst>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"/>
    <numFmt numFmtId="167" formatCode="&quot;$&quot;#,##0"/>
    <numFmt numFmtId="168" formatCode="0.0"/>
    <numFmt numFmtId="169" formatCode="_(* #,##0.0_);_(* \(#,##0.0\);_(* &quot;-&quot;??_);_(@_)"/>
    <numFmt numFmtId="170" formatCode="[$-409]dddd\,\ mmmm\ dd\,\ yyyy"/>
    <numFmt numFmtId="171" formatCode="mm/dd/yy;@"/>
    <numFmt numFmtId="172" formatCode="0.0%"/>
    <numFmt numFmtId="173" formatCode="#,##0.0"/>
    <numFmt numFmtId="174" formatCode="m/d/yy;@"/>
    <numFmt numFmtId="175" formatCode="&quot;$&quot;#,##0.0_);[Red]\(&quot;$&quot;#,##0.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8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67" fontId="0" fillId="2" borderId="0" xfId="0" applyNumberFormat="1" applyFont="1" applyFill="1" applyBorder="1" applyAlignment="1">
      <alignment horizontal="center" vertical="top"/>
    </xf>
    <xf numFmtId="167" fontId="0" fillId="3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9" fontId="0" fillId="0" borderId="0" xfId="21" applyAlignment="1">
      <alignment/>
    </xf>
    <xf numFmtId="167" fontId="0" fillId="2" borderId="11" xfId="0" applyNumberFormat="1" applyFont="1" applyFill="1" applyBorder="1" applyAlignment="1">
      <alignment horizontal="center" vertical="top"/>
    </xf>
    <xf numFmtId="167" fontId="0" fillId="3" borderId="11" xfId="0" applyNumberFormat="1" applyFont="1" applyFill="1" applyBorder="1" applyAlignment="1">
      <alignment horizontal="center" vertical="top"/>
    </xf>
    <xf numFmtId="167" fontId="0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167" fontId="1" fillId="2" borderId="0" xfId="0" applyNumberFormat="1" applyFont="1" applyFill="1" applyBorder="1" applyAlignment="1">
      <alignment horizontal="center" vertical="top"/>
    </xf>
    <xf numFmtId="167" fontId="1" fillId="3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Border="1" applyAlignment="1">
      <alignment horizontal="center"/>
    </xf>
    <xf numFmtId="0" fontId="0" fillId="4" borderId="0" xfId="0" applyFont="1" applyFill="1" applyAlignment="1">
      <alignment/>
    </xf>
    <xf numFmtId="167" fontId="0" fillId="4" borderId="0" xfId="0" applyNumberFormat="1" applyFill="1" applyAlignment="1">
      <alignment/>
    </xf>
    <xf numFmtId="167" fontId="0" fillId="2" borderId="0" xfId="15" applyNumberFormat="1" applyFont="1" applyFill="1" applyBorder="1" applyAlignment="1">
      <alignment horizontal="center" vertical="top"/>
    </xf>
    <xf numFmtId="167" fontId="0" fillId="3" borderId="0" xfId="15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67" fontId="9" fillId="2" borderId="0" xfId="0" applyNumberFormat="1" applyFont="1" applyFill="1" applyBorder="1" applyAlignment="1">
      <alignment horizontal="center" vertical="top"/>
    </xf>
    <xf numFmtId="167" fontId="9" fillId="3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5" borderId="0" xfId="0" applyFont="1" applyFill="1" applyAlignment="1">
      <alignment/>
    </xf>
    <xf numFmtId="167" fontId="0" fillId="5" borderId="0" xfId="0" applyNumberFormat="1" applyFill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0" fontId="0" fillId="6" borderId="0" xfId="0" applyFont="1" applyFill="1" applyAlignment="1">
      <alignment/>
    </xf>
    <xf numFmtId="167" fontId="0" fillId="6" borderId="0" xfId="0" applyNumberFormat="1" applyFill="1" applyAlignment="1">
      <alignment/>
    </xf>
    <xf numFmtId="167" fontId="1" fillId="3" borderId="12" xfId="0" applyNumberFormat="1" applyFont="1" applyFill="1" applyBorder="1" applyAlignment="1">
      <alignment horizontal="center" vertical="top"/>
    </xf>
    <xf numFmtId="167" fontId="1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10" fillId="2" borderId="0" xfId="0" applyNumberFormat="1" applyFont="1" applyFill="1" applyBorder="1" applyAlignment="1">
      <alignment horizontal="center" vertical="top"/>
    </xf>
    <xf numFmtId="167" fontId="10" fillId="3" borderId="0" xfId="0" applyNumberFormat="1" applyFont="1" applyFill="1" applyBorder="1" applyAlignment="1">
      <alignment horizontal="center" vertical="top"/>
    </xf>
    <xf numFmtId="167" fontId="0" fillId="2" borderId="12" xfId="0" applyNumberFormat="1" applyFont="1" applyFill="1" applyBorder="1" applyAlignment="1">
      <alignment horizontal="center" vertical="top"/>
    </xf>
    <xf numFmtId="167" fontId="0" fillId="3" borderId="12" xfId="0" applyNumberFormat="1" applyFont="1" applyFill="1" applyBorder="1" applyAlignment="1">
      <alignment horizontal="center" vertical="top"/>
    </xf>
    <xf numFmtId="167" fontId="0" fillId="0" borderId="12" xfId="0" applyNumberFormat="1" applyFont="1" applyBorder="1" applyAlignment="1">
      <alignment horizontal="center"/>
    </xf>
    <xf numFmtId="167" fontId="10" fillId="2" borderId="13" xfId="0" applyNumberFormat="1" applyFont="1" applyFill="1" applyBorder="1" applyAlignment="1">
      <alignment horizontal="center"/>
    </xf>
    <xf numFmtId="167" fontId="10" fillId="3" borderId="13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7" fontId="11" fillId="2" borderId="0" xfId="0" applyNumberFormat="1" applyFont="1" applyFill="1" applyAlignment="1">
      <alignment horizontal="center"/>
    </xf>
    <xf numFmtId="167" fontId="11" fillId="3" borderId="0" xfId="0" applyNumberFormat="1" applyFon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/>
    </xf>
    <xf numFmtId="167" fontId="11" fillId="0" borderId="0" xfId="0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0" fillId="7" borderId="0" xfId="0" applyFont="1" applyFill="1" applyAlignment="1">
      <alignment/>
    </xf>
    <xf numFmtId="167" fontId="10" fillId="7" borderId="0" xfId="0" applyNumberFormat="1" applyFont="1" applyFill="1" applyAlignment="1">
      <alignment horizontal="center"/>
    </xf>
    <xf numFmtId="167" fontId="1" fillId="7" borderId="0" xfId="0" applyNumberFormat="1" applyFont="1" applyFill="1" applyBorder="1" applyAlignment="1">
      <alignment horizontal="center" vertical="top"/>
    </xf>
    <xf numFmtId="167" fontId="1" fillId="7" borderId="12" xfId="0" applyNumberFormat="1" applyFont="1" applyFill="1" applyBorder="1" applyAlignment="1">
      <alignment horizontal="center" vertical="top"/>
    </xf>
    <xf numFmtId="167" fontId="10" fillId="7" borderId="0" xfId="0" applyNumberFormat="1" applyFont="1" applyFill="1" applyBorder="1" applyAlignment="1">
      <alignment horizontal="center" vertical="top"/>
    </xf>
    <xf numFmtId="167" fontId="10" fillId="7" borderId="13" xfId="0" applyNumberFormat="1" applyFont="1" applyFill="1" applyBorder="1" applyAlignment="1">
      <alignment horizontal="center"/>
    </xf>
    <xf numFmtId="167" fontId="0" fillId="8" borderId="0" xfId="0" applyNumberFormat="1" applyFont="1" applyFill="1" applyBorder="1" applyAlignment="1">
      <alignment horizontal="center" vertical="top"/>
    </xf>
    <xf numFmtId="167" fontId="0" fillId="8" borderId="11" xfId="0" applyNumberFormat="1" applyFont="1" applyFill="1" applyBorder="1" applyAlignment="1">
      <alignment horizontal="center" vertical="top"/>
    </xf>
    <xf numFmtId="167" fontId="0" fillId="8" borderId="0" xfId="0" applyNumberFormat="1" applyFont="1" applyFill="1" applyBorder="1" applyAlignment="1" quotePrefix="1">
      <alignment horizontal="center" vertical="top"/>
    </xf>
    <xf numFmtId="167" fontId="0" fillId="8" borderId="0" xfId="0" applyNumberFormat="1" applyFont="1" applyFill="1" applyAlignment="1">
      <alignment horizontal="center"/>
    </xf>
    <xf numFmtId="167" fontId="1" fillId="9" borderId="0" xfId="0" applyNumberFormat="1" applyFont="1" applyFill="1" applyBorder="1" applyAlignment="1">
      <alignment horizontal="center" vertical="top"/>
    </xf>
    <xf numFmtId="167" fontId="10" fillId="9" borderId="0" xfId="0" applyNumberFormat="1" applyFont="1" applyFill="1" applyBorder="1" applyAlignment="1">
      <alignment horizontal="center" vertical="top"/>
    </xf>
    <xf numFmtId="167" fontId="10" fillId="9" borderId="13" xfId="0" applyNumberFormat="1" applyFont="1" applyFill="1" applyBorder="1" applyAlignment="1">
      <alignment horizontal="center"/>
    </xf>
    <xf numFmtId="167" fontId="11" fillId="9" borderId="0" xfId="0" applyNumberFormat="1" applyFont="1" applyFill="1" applyAlignment="1">
      <alignment horizontal="center"/>
    </xf>
    <xf numFmtId="167" fontId="1" fillId="9" borderId="0" xfId="0" applyNumberFormat="1" applyFont="1" applyFill="1" applyAlignment="1">
      <alignment horizontal="center"/>
    </xf>
    <xf numFmtId="0" fontId="1" fillId="8" borderId="0" xfId="0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tabSelected="1" workbookViewId="0" topLeftCell="D2">
      <pane ySplit="1455" topLeftCell="BM115" activePane="bottomLeft" state="split"/>
      <selection pane="topLeft" activeCell="M133" sqref="M133:N133"/>
      <selection pane="bottomLeft" activeCell="D135" sqref="D135"/>
    </sheetView>
  </sheetViews>
  <sheetFormatPr defaultColWidth="9.140625" defaultRowHeight="12.75"/>
  <cols>
    <col min="1" max="1" width="6.421875" style="1" customWidth="1"/>
    <col min="2" max="2" width="5.421875" style="1" bestFit="1" customWidth="1"/>
    <col min="3" max="3" width="26.00390625" style="1" customWidth="1"/>
    <col min="4" max="4" width="45.421875" style="1" customWidth="1"/>
    <col min="5" max="5" width="14.00390625" style="68" customWidth="1"/>
    <col min="6" max="6" width="2.7109375" style="69" customWidth="1"/>
    <col min="7" max="11" width="11.8515625" style="65" customWidth="1"/>
    <col min="12" max="12" width="12.421875" style="65" customWidth="1"/>
    <col min="13" max="13" width="13.7109375" style="65" customWidth="1"/>
    <col min="14" max="15" width="14.140625" style="1" customWidth="1"/>
    <col min="16" max="16" width="9.421875" style="1" customWidth="1"/>
    <col min="17" max="17" width="27.421875" style="1" customWidth="1"/>
    <col min="18" max="16384" width="9.140625" style="1" customWidth="1"/>
  </cols>
  <sheetData>
    <row r="1" spans="3:13" ht="24" thickBot="1">
      <c r="C1" s="2" t="s">
        <v>134</v>
      </c>
      <c r="D1" s="3"/>
      <c r="E1" s="4"/>
      <c r="F1" s="4"/>
      <c r="G1" s="3"/>
      <c r="H1" s="3"/>
      <c r="I1" s="3"/>
      <c r="J1" s="3"/>
      <c r="K1" s="3"/>
      <c r="L1" s="3"/>
      <c r="M1" s="5"/>
    </row>
    <row r="2" spans="3:15" ht="39" thickBot="1">
      <c r="C2" s="6" t="s">
        <v>135</v>
      </c>
      <c r="D2" s="6" t="s">
        <v>136</v>
      </c>
      <c r="E2" s="7" t="s">
        <v>137</v>
      </c>
      <c r="F2" s="8"/>
      <c r="G2" s="9" t="s">
        <v>138</v>
      </c>
      <c r="H2" s="10"/>
      <c r="I2" s="10"/>
      <c r="J2" s="10"/>
      <c r="K2" s="11"/>
      <c r="L2" s="12" t="s">
        <v>139</v>
      </c>
      <c r="M2" s="13"/>
      <c r="N2" s="1" t="s">
        <v>140</v>
      </c>
      <c r="O2" s="1" t="s">
        <v>141</v>
      </c>
    </row>
    <row r="3" spans="3:13" ht="13.5" thickBot="1">
      <c r="C3" s="14"/>
      <c r="D3" s="14"/>
      <c r="E3" s="15"/>
      <c r="F3" s="16"/>
      <c r="G3" s="17" t="s">
        <v>142</v>
      </c>
      <c r="H3" s="17" t="s">
        <v>143</v>
      </c>
      <c r="I3" s="17" t="s">
        <v>144</v>
      </c>
      <c r="J3" s="17" t="s">
        <v>145</v>
      </c>
      <c r="K3" s="17" t="s">
        <v>146</v>
      </c>
      <c r="L3" s="18" t="s">
        <v>147</v>
      </c>
      <c r="M3" s="18" t="s">
        <v>148</v>
      </c>
    </row>
    <row r="4" spans="3:17" ht="15" customHeight="1">
      <c r="C4" s="1" t="s">
        <v>149</v>
      </c>
      <c r="D4" s="19" t="s">
        <v>150</v>
      </c>
      <c r="E4" s="20">
        <v>424</v>
      </c>
      <c r="F4" s="21"/>
      <c r="G4" s="22"/>
      <c r="H4" s="22"/>
      <c r="I4" s="22"/>
      <c r="J4" s="22"/>
      <c r="K4" s="22"/>
      <c r="L4" s="22">
        <f aca="true" t="shared" si="0" ref="L4:L9">SUM(G4:K4)</f>
        <v>0</v>
      </c>
      <c r="M4" s="22">
        <f aca="true" t="shared" si="1" ref="M4:M9">SUM(E4:K4)</f>
        <v>424</v>
      </c>
      <c r="N4">
        <v>424</v>
      </c>
      <c r="O4" s="23">
        <f aca="true" t="shared" si="2" ref="O4:O9">+M4-N4</f>
        <v>0</v>
      </c>
      <c r="P4" s="24">
        <f aca="true" t="shared" si="3" ref="P4:P35">+O4/N4</f>
        <v>0</v>
      </c>
      <c r="Q4">
        <v>1201</v>
      </c>
    </row>
    <row r="5" spans="4:17" ht="15" customHeight="1">
      <c r="D5" s="19" t="s">
        <v>151</v>
      </c>
      <c r="E5" s="20">
        <v>1770.9</v>
      </c>
      <c r="F5" s="21"/>
      <c r="G5" s="22"/>
      <c r="H5" s="22"/>
      <c r="I5" s="22"/>
      <c r="J5" s="22"/>
      <c r="K5" s="22"/>
      <c r="L5" s="22">
        <f t="shared" si="0"/>
        <v>0</v>
      </c>
      <c r="M5" s="22">
        <f t="shared" si="1"/>
        <v>1770.9</v>
      </c>
      <c r="N5">
        <v>1791</v>
      </c>
      <c r="O5" s="23">
        <f t="shared" si="2"/>
        <v>-20.09999999999991</v>
      </c>
      <c r="P5" s="24">
        <f t="shared" si="3"/>
        <v>-0.011222780569514187</v>
      </c>
      <c r="Q5">
        <v>1202</v>
      </c>
    </row>
    <row r="6" spans="4:17" ht="15" customHeight="1">
      <c r="D6" s="19" t="s">
        <v>152</v>
      </c>
      <c r="E6" s="20">
        <v>1217</v>
      </c>
      <c r="F6" s="21"/>
      <c r="G6" s="22"/>
      <c r="H6" s="22"/>
      <c r="I6" s="22"/>
      <c r="J6" s="22"/>
      <c r="K6" s="22"/>
      <c r="L6" s="22">
        <f t="shared" si="0"/>
        <v>0</v>
      </c>
      <c r="M6" s="22">
        <f t="shared" si="1"/>
        <v>1217</v>
      </c>
      <c r="N6">
        <v>944</v>
      </c>
      <c r="O6" s="23">
        <f t="shared" si="2"/>
        <v>273</v>
      </c>
      <c r="P6" s="24">
        <f t="shared" si="3"/>
        <v>0.2891949152542373</v>
      </c>
      <c r="Q6">
        <v>1203</v>
      </c>
    </row>
    <row r="7" spans="1:17" ht="15" customHeight="1">
      <c r="A7" s="19" t="s">
        <v>153</v>
      </c>
      <c r="D7" s="1" t="s">
        <v>154</v>
      </c>
      <c r="E7" s="20">
        <v>535.9</v>
      </c>
      <c r="F7" s="21"/>
      <c r="G7" s="22">
        <v>47</v>
      </c>
      <c r="H7" s="22">
        <v>162</v>
      </c>
      <c r="I7" s="22">
        <v>1</v>
      </c>
      <c r="J7" s="22">
        <v>198</v>
      </c>
      <c r="K7" s="22">
        <v>0</v>
      </c>
      <c r="L7" s="22">
        <f t="shared" si="0"/>
        <v>408</v>
      </c>
      <c r="M7" s="22">
        <f t="shared" si="1"/>
        <v>943.9</v>
      </c>
      <c r="N7">
        <v>557</v>
      </c>
      <c r="O7" s="23">
        <f t="shared" si="2"/>
        <v>386.9</v>
      </c>
      <c r="P7" s="24">
        <f t="shared" si="3"/>
        <v>0.6946140035906643</v>
      </c>
      <c r="Q7">
        <v>1204</v>
      </c>
    </row>
    <row r="8" spans="4:17" ht="15" customHeight="1">
      <c r="D8" s="19" t="s">
        <v>155</v>
      </c>
      <c r="E8" s="20">
        <v>15.954</v>
      </c>
      <c r="F8" s="21"/>
      <c r="G8" s="22"/>
      <c r="H8" s="22"/>
      <c r="I8" s="22"/>
      <c r="J8" s="22"/>
      <c r="K8" s="22"/>
      <c r="L8" s="22">
        <f t="shared" si="0"/>
        <v>0</v>
      </c>
      <c r="M8" s="22">
        <f t="shared" si="1"/>
        <v>15.954</v>
      </c>
      <c r="N8">
        <v>74</v>
      </c>
      <c r="O8" s="23">
        <f t="shared" si="2"/>
        <v>-58.046</v>
      </c>
      <c r="P8" s="24">
        <f t="shared" si="3"/>
        <v>-0.7844054054054054</v>
      </c>
      <c r="Q8">
        <v>1206</v>
      </c>
    </row>
    <row r="9" spans="4:17" ht="15" customHeight="1">
      <c r="D9" s="19" t="s">
        <v>156</v>
      </c>
      <c r="E9" s="25">
        <v>5788.9</v>
      </c>
      <c r="F9" s="26"/>
      <c r="G9" s="27">
        <v>-252</v>
      </c>
      <c r="H9" s="27">
        <v>0</v>
      </c>
      <c r="I9" s="27">
        <v>0</v>
      </c>
      <c r="J9" s="27">
        <v>0</v>
      </c>
      <c r="K9" s="27">
        <v>0</v>
      </c>
      <c r="L9" s="27">
        <f>SUM(G9:K9)</f>
        <v>-252</v>
      </c>
      <c r="M9" s="27">
        <f t="shared" si="1"/>
        <v>5536.9</v>
      </c>
      <c r="N9">
        <v>5741</v>
      </c>
      <c r="O9" s="23">
        <f t="shared" si="2"/>
        <v>-204.10000000000036</v>
      </c>
      <c r="P9" s="24">
        <f t="shared" si="3"/>
        <v>-0.03555129768333049</v>
      </c>
      <c r="Q9">
        <v>1250</v>
      </c>
    </row>
    <row r="10" spans="4:17" ht="15" customHeight="1">
      <c r="D10" s="28" t="s">
        <v>157</v>
      </c>
      <c r="E10" s="72">
        <f>SUM(E4:E9)</f>
        <v>9752.654</v>
      </c>
      <c r="F10" s="30"/>
      <c r="G10" s="80">
        <f aca="true" t="shared" si="4" ref="G10:O10">SUM(G4:G9)</f>
        <v>-205</v>
      </c>
      <c r="H10" s="80">
        <f t="shared" si="4"/>
        <v>162</v>
      </c>
      <c r="I10" s="80">
        <f t="shared" si="4"/>
        <v>1</v>
      </c>
      <c r="J10" s="80">
        <f t="shared" si="4"/>
        <v>198</v>
      </c>
      <c r="K10" s="80">
        <f t="shared" si="4"/>
        <v>0</v>
      </c>
      <c r="L10" s="29">
        <f t="shared" si="4"/>
        <v>156</v>
      </c>
      <c r="M10" s="29">
        <f t="shared" si="4"/>
        <v>9908.653999999999</v>
      </c>
      <c r="N10" s="29">
        <f t="shared" si="4"/>
        <v>9531</v>
      </c>
      <c r="O10" s="29">
        <f t="shared" si="4"/>
        <v>377.65399999999966</v>
      </c>
      <c r="P10" s="24">
        <f t="shared" si="3"/>
        <v>0.039623754065680375</v>
      </c>
      <c r="Q10"/>
    </row>
    <row r="11" spans="4:17" ht="15" customHeight="1">
      <c r="D11" s="19"/>
      <c r="E11" s="20"/>
      <c r="F11" s="21"/>
      <c r="G11" s="22"/>
      <c r="H11" s="22"/>
      <c r="I11" s="22"/>
      <c r="J11" s="22"/>
      <c r="K11" s="22"/>
      <c r="L11" s="22"/>
      <c r="M11" s="22"/>
      <c r="N11" s="29"/>
      <c r="O11" s="23">
        <f aca="true" t="shared" si="5" ref="O11:O42">+M11-N11</f>
        <v>0</v>
      </c>
      <c r="P11" s="24" t="e">
        <f t="shared" si="3"/>
        <v>#DIV/0!</v>
      </c>
      <c r="Q11"/>
    </row>
    <row r="12" spans="3:17" ht="15" customHeight="1">
      <c r="C12" s="1" t="s">
        <v>158</v>
      </c>
      <c r="D12" s="19" t="s">
        <v>159</v>
      </c>
      <c r="E12" s="20">
        <v>970.1</v>
      </c>
      <c r="F12" s="21"/>
      <c r="G12" s="22"/>
      <c r="H12" s="22"/>
      <c r="I12" s="22"/>
      <c r="J12" s="22"/>
      <c r="K12" s="22"/>
      <c r="L12" s="22">
        <f aca="true" t="shared" si="6" ref="L12:L21">SUM(G12:K12)</f>
        <v>0</v>
      </c>
      <c r="M12" s="22">
        <f aca="true" t="shared" si="7" ref="M12:M21">SUM(E12:K12)</f>
        <v>970.1</v>
      </c>
      <c r="N12">
        <v>837</v>
      </c>
      <c r="O12" s="23">
        <f t="shared" si="5"/>
        <v>133.10000000000002</v>
      </c>
      <c r="P12" s="24">
        <f t="shared" si="3"/>
        <v>0.1590203106332139</v>
      </c>
      <c r="Q12">
        <v>1301</v>
      </c>
    </row>
    <row r="13" spans="1:17" ht="15" customHeight="1">
      <c r="A13" s="19" t="s">
        <v>160</v>
      </c>
      <c r="D13" s="1" t="s">
        <v>161</v>
      </c>
      <c r="E13" s="20">
        <v>19.338</v>
      </c>
      <c r="F13" s="21"/>
      <c r="G13" s="22">
        <v>44</v>
      </c>
      <c r="H13" s="22">
        <v>213</v>
      </c>
      <c r="I13" s="22">
        <v>0</v>
      </c>
      <c r="J13" s="22">
        <v>0</v>
      </c>
      <c r="K13" s="22">
        <v>0</v>
      </c>
      <c r="L13" s="22">
        <f t="shared" si="6"/>
        <v>257</v>
      </c>
      <c r="M13" s="22">
        <f t="shared" si="7"/>
        <v>276.338</v>
      </c>
      <c r="N13">
        <v>253</v>
      </c>
      <c r="O13" s="23">
        <f t="shared" si="5"/>
        <v>23.338000000000022</v>
      </c>
      <c r="P13" s="24">
        <f t="shared" si="3"/>
        <v>0.09224505928853764</v>
      </c>
      <c r="Q13">
        <v>1302</v>
      </c>
    </row>
    <row r="14" spans="4:16" ht="15" customHeight="1">
      <c r="D14" s="19" t="s">
        <v>162</v>
      </c>
      <c r="E14" s="20">
        <v>154.9</v>
      </c>
      <c r="F14" s="21"/>
      <c r="G14" s="22"/>
      <c r="H14" s="22"/>
      <c r="I14" s="22"/>
      <c r="J14" s="22"/>
      <c r="K14" s="22"/>
      <c r="L14" s="22">
        <f t="shared" si="6"/>
        <v>0</v>
      </c>
      <c r="M14" s="22">
        <f t="shared" si="7"/>
        <v>154.9</v>
      </c>
      <c r="O14" s="23">
        <f t="shared" si="5"/>
        <v>154.9</v>
      </c>
      <c r="P14" s="24" t="e">
        <f t="shared" si="3"/>
        <v>#DIV/0!</v>
      </c>
    </row>
    <row r="15" spans="4:17" ht="15" customHeight="1">
      <c r="D15" s="19" t="s">
        <v>163</v>
      </c>
      <c r="E15" s="20">
        <v>535.99</v>
      </c>
      <c r="F15" s="21"/>
      <c r="G15" s="22"/>
      <c r="H15" s="22"/>
      <c r="I15" s="22"/>
      <c r="J15" s="22"/>
      <c r="K15" s="22"/>
      <c r="L15" s="22">
        <f t="shared" si="6"/>
        <v>0</v>
      </c>
      <c r="M15" s="22">
        <f t="shared" si="7"/>
        <v>535.99</v>
      </c>
      <c r="N15">
        <v>400</v>
      </c>
      <c r="O15" s="23">
        <f t="shared" si="5"/>
        <v>135.99</v>
      </c>
      <c r="P15" s="24">
        <f t="shared" si="3"/>
        <v>0.339975</v>
      </c>
      <c r="Q15">
        <v>1350</v>
      </c>
    </row>
    <row r="16" spans="4:17" ht="15" customHeight="1">
      <c r="D16" s="19" t="s">
        <v>164</v>
      </c>
      <c r="E16" s="20">
        <v>482.959</v>
      </c>
      <c r="F16" s="21"/>
      <c r="G16" s="22"/>
      <c r="H16" s="22"/>
      <c r="I16" s="22"/>
      <c r="J16" s="22"/>
      <c r="K16" s="22"/>
      <c r="L16" s="22">
        <f t="shared" si="6"/>
        <v>0</v>
      </c>
      <c r="M16" s="22">
        <f t="shared" si="7"/>
        <v>482.959</v>
      </c>
      <c r="N16">
        <v>1318</v>
      </c>
      <c r="O16" s="23">
        <f t="shared" si="5"/>
        <v>-835.0409999999999</v>
      </c>
      <c r="P16" s="24">
        <f t="shared" si="3"/>
        <v>-0.6335667678300455</v>
      </c>
      <c r="Q16">
        <v>1351</v>
      </c>
    </row>
    <row r="17" spans="1:17" ht="15" customHeight="1">
      <c r="A17" s="19"/>
      <c r="D17" s="1" t="s">
        <v>165</v>
      </c>
      <c r="E17" s="20"/>
      <c r="F17" s="21"/>
      <c r="G17" s="31">
        <v>0</v>
      </c>
      <c r="H17" s="31">
        <v>968</v>
      </c>
      <c r="I17" s="31">
        <v>634</v>
      </c>
      <c r="J17" s="31">
        <v>28</v>
      </c>
      <c r="K17" s="31">
        <v>0</v>
      </c>
      <c r="L17" s="22">
        <f t="shared" si="6"/>
        <v>1630</v>
      </c>
      <c r="M17" s="22">
        <f t="shared" si="7"/>
        <v>1630</v>
      </c>
      <c r="N17">
        <v>1362</v>
      </c>
      <c r="O17" s="23">
        <f t="shared" si="5"/>
        <v>268</v>
      </c>
      <c r="P17" s="24">
        <f t="shared" si="3"/>
        <v>0.19676945668135096</v>
      </c>
      <c r="Q17">
        <v>1352</v>
      </c>
    </row>
    <row r="18" spans="1:17" ht="15" customHeight="1">
      <c r="A18" s="19"/>
      <c r="D18" s="1" t="s">
        <v>166</v>
      </c>
      <c r="E18" s="20"/>
      <c r="F18" s="21"/>
      <c r="G18" s="31">
        <v>0</v>
      </c>
      <c r="H18" s="31">
        <v>0</v>
      </c>
      <c r="I18" s="31">
        <v>78</v>
      </c>
      <c r="J18" s="31">
        <v>259</v>
      </c>
      <c r="K18" s="31">
        <v>0</v>
      </c>
      <c r="L18" s="22">
        <f t="shared" si="6"/>
        <v>337</v>
      </c>
      <c r="M18" s="22">
        <f t="shared" si="7"/>
        <v>337</v>
      </c>
      <c r="N18">
        <v>270</v>
      </c>
      <c r="O18" s="23">
        <f t="shared" si="5"/>
        <v>67</v>
      </c>
      <c r="P18" s="24">
        <f t="shared" si="3"/>
        <v>0.24814814814814815</v>
      </c>
      <c r="Q18">
        <v>1353</v>
      </c>
    </row>
    <row r="19" spans="1:17" ht="15" customHeight="1">
      <c r="A19" s="19"/>
      <c r="D19" s="1" t="s">
        <v>167</v>
      </c>
      <c r="E19" s="20"/>
      <c r="F19" s="21"/>
      <c r="G19" s="31">
        <v>0</v>
      </c>
      <c r="H19" s="31">
        <v>0</v>
      </c>
      <c r="I19" s="31">
        <v>162</v>
      </c>
      <c r="J19" s="31">
        <v>0</v>
      </c>
      <c r="K19" s="31">
        <v>0</v>
      </c>
      <c r="L19" s="22">
        <f t="shared" si="6"/>
        <v>162</v>
      </c>
      <c r="M19" s="22">
        <f t="shared" si="7"/>
        <v>162</v>
      </c>
      <c r="N19">
        <v>258</v>
      </c>
      <c r="O19" s="23">
        <f t="shared" si="5"/>
        <v>-96</v>
      </c>
      <c r="P19" s="24">
        <f t="shared" si="3"/>
        <v>-0.37209302325581395</v>
      </c>
      <c r="Q19">
        <v>1354</v>
      </c>
    </row>
    <row r="20" spans="1:17" ht="15" customHeight="1">
      <c r="A20" s="19"/>
      <c r="D20" s="1" t="s">
        <v>168</v>
      </c>
      <c r="E20" s="20"/>
      <c r="F20" s="21"/>
      <c r="G20" s="31">
        <v>0</v>
      </c>
      <c r="H20" s="31">
        <v>32</v>
      </c>
      <c r="I20" s="31">
        <v>39</v>
      </c>
      <c r="J20" s="31">
        <v>2</v>
      </c>
      <c r="K20" s="31">
        <v>0</v>
      </c>
      <c r="L20" s="22">
        <f t="shared" si="6"/>
        <v>73</v>
      </c>
      <c r="M20" s="22">
        <f t="shared" si="7"/>
        <v>73</v>
      </c>
      <c r="N20">
        <v>92</v>
      </c>
      <c r="O20" s="23">
        <f t="shared" si="5"/>
        <v>-19</v>
      </c>
      <c r="P20" s="24">
        <f t="shared" si="3"/>
        <v>-0.20652173913043478</v>
      </c>
      <c r="Q20">
        <v>1355</v>
      </c>
    </row>
    <row r="21" spans="1:17" ht="15" customHeight="1">
      <c r="A21" s="19"/>
      <c r="D21" s="32" t="s">
        <v>169</v>
      </c>
      <c r="E21" s="77">
        <f>1073.999-11</f>
        <v>1062.999</v>
      </c>
      <c r="F21" s="78" t="s">
        <v>196</v>
      </c>
      <c r="G21" s="27">
        <v>228</v>
      </c>
      <c r="H21" s="27">
        <v>775</v>
      </c>
      <c r="I21" s="27">
        <v>0</v>
      </c>
      <c r="J21" s="27">
        <v>0</v>
      </c>
      <c r="K21" s="27">
        <v>0</v>
      </c>
      <c r="L21" s="27">
        <f t="shared" si="6"/>
        <v>1003</v>
      </c>
      <c r="M21" s="27">
        <f t="shared" si="7"/>
        <v>2065.999</v>
      </c>
      <c r="N21"/>
      <c r="O21" s="23">
        <f t="shared" si="5"/>
        <v>2065.999</v>
      </c>
      <c r="P21" s="24" t="e">
        <f t="shared" si="3"/>
        <v>#DIV/0!</v>
      </c>
      <c r="Q21"/>
    </row>
    <row r="22" spans="1:17" ht="15" customHeight="1">
      <c r="A22" s="19"/>
      <c r="D22" s="28" t="s">
        <v>157</v>
      </c>
      <c r="E22" s="72">
        <f>SUM(E12:E21)</f>
        <v>3226.286</v>
      </c>
      <c r="F22" s="30"/>
      <c r="G22" s="80">
        <f aca="true" t="shared" si="8" ref="G22:N22">SUM(G12:G21)</f>
        <v>272</v>
      </c>
      <c r="H22" s="80">
        <f t="shared" si="8"/>
        <v>1988</v>
      </c>
      <c r="I22" s="80">
        <f t="shared" si="8"/>
        <v>913</v>
      </c>
      <c r="J22" s="80">
        <f t="shared" si="8"/>
        <v>289</v>
      </c>
      <c r="K22" s="80">
        <f t="shared" si="8"/>
        <v>0</v>
      </c>
      <c r="L22" s="29">
        <f t="shared" si="8"/>
        <v>3462</v>
      </c>
      <c r="M22" s="29">
        <f t="shared" si="8"/>
        <v>6688.286</v>
      </c>
      <c r="N22" s="29">
        <f t="shared" si="8"/>
        <v>4790</v>
      </c>
      <c r="O22" s="33">
        <f t="shared" si="5"/>
        <v>1898.286</v>
      </c>
      <c r="P22" s="24">
        <f t="shared" si="3"/>
        <v>0.39630187891440505</v>
      </c>
      <c r="Q22"/>
    </row>
    <row r="23" spans="1:17" ht="15" customHeight="1">
      <c r="A23" s="19"/>
      <c r="E23" s="20"/>
      <c r="F23" s="21"/>
      <c r="G23" s="22"/>
      <c r="H23" s="22"/>
      <c r="I23" s="22"/>
      <c r="J23" s="22"/>
      <c r="K23" s="22"/>
      <c r="L23" s="22"/>
      <c r="M23" s="22"/>
      <c r="N23"/>
      <c r="O23" s="23">
        <f t="shared" si="5"/>
        <v>0</v>
      </c>
      <c r="P23" s="24" t="e">
        <f t="shared" si="3"/>
        <v>#DIV/0!</v>
      </c>
      <c r="Q23"/>
    </row>
    <row r="24" spans="3:17" ht="15" customHeight="1">
      <c r="C24" s="1" t="s">
        <v>170</v>
      </c>
      <c r="D24" s="19" t="s">
        <v>171</v>
      </c>
      <c r="E24" s="20">
        <v>304.5</v>
      </c>
      <c r="F24" s="21"/>
      <c r="G24" s="22"/>
      <c r="H24" s="22"/>
      <c r="I24" s="22"/>
      <c r="J24" s="22"/>
      <c r="K24" s="22"/>
      <c r="L24" s="22">
        <f aca="true" t="shared" si="9" ref="L24:L45">SUM(G24:K24)</f>
        <v>0</v>
      </c>
      <c r="M24" s="22">
        <f aca="true" t="shared" si="10" ref="M24:M45">SUM(E24:K24)</f>
        <v>304.5</v>
      </c>
      <c r="N24">
        <v>303</v>
      </c>
      <c r="O24" s="23">
        <f t="shared" si="5"/>
        <v>1.5</v>
      </c>
      <c r="P24" s="24">
        <f t="shared" si="3"/>
        <v>0.0049504950495049506</v>
      </c>
      <c r="Q24">
        <v>1401</v>
      </c>
    </row>
    <row r="25" spans="4:17" ht="15" customHeight="1">
      <c r="D25" s="19" t="s">
        <v>172</v>
      </c>
      <c r="E25" s="20">
        <v>239.14</v>
      </c>
      <c r="F25" s="21"/>
      <c r="G25" s="22"/>
      <c r="H25" s="22"/>
      <c r="I25" s="22"/>
      <c r="J25" s="22"/>
      <c r="K25" s="22"/>
      <c r="L25" s="22">
        <f t="shared" si="9"/>
        <v>0</v>
      </c>
      <c r="M25" s="22">
        <f t="shared" si="10"/>
        <v>239.14</v>
      </c>
      <c r="N25">
        <v>239</v>
      </c>
      <c r="O25" s="23">
        <f t="shared" si="5"/>
        <v>0.13999999999998636</v>
      </c>
      <c r="P25" s="24">
        <f t="shared" si="3"/>
        <v>0.0005857740585773488</v>
      </c>
      <c r="Q25">
        <v>1402</v>
      </c>
    </row>
    <row r="26" spans="4:17" ht="15" customHeight="1">
      <c r="D26" s="19" t="s">
        <v>173</v>
      </c>
      <c r="E26" s="34">
        <v>3310.9</v>
      </c>
      <c r="F26" s="35"/>
      <c r="G26" s="22"/>
      <c r="H26" s="22"/>
      <c r="I26" s="22"/>
      <c r="J26" s="22"/>
      <c r="K26" s="22"/>
      <c r="L26" s="22">
        <f t="shared" si="9"/>
        <v>0</v>
      </c>
      <c r="M26" s="22">
        <f t="shared" si="10"/>
        <v>3310.9</v>
      </c>
      <c r="N26">
        <v>3149</v>
      </c>
      <c r="O26" s="23">
        <f t="shared" si="5"/>
        <v>161.9000000000001</v>
      </c>
      <c r="P26" s="24">
        <f t="shared" si="3"/>
        <v>0.051413147030803456</v>
      </c>
      <c r="Q26">
        <v>1403</v>
      </c>
    </row>
    <row r="27" spans="4:17" ht="15" customHeight="1">
      <c r="D27" s="19" t="s">
        <v>174</v>
      </c>
      <c r="E27" s="20">
        <v>2554.9</v>
      </c>
      <c r="F27" s="21"/>
      <c r="G27" s="22">
        <v>-36</v>
      </c>
      <c r="H27" s="22">
        <v>0</v>
      </c>
      <c r="I27" s="22">
        <v>0</v>
      </c>
      <c r="J27" s="22">
        <v>0</v>
      </c>
      <c r="K27" s="22">
        <v>0</v>
      </c>
      <c r="L27" s="22">
        <f t="shared" si="9"/>
        <v>-36</v>
      </c>
      <c r="M27" s="22">
        <f t="shared" si="10"/>
        <v>2518.9</v>
      </c>
      <c r="N27">
        <v>2534</v>
      </c>
      <c r="O27" s="23">
        <f t="shared" si="5"/>
        <v>-15.099999999999909</v>
      </c>
      <c r="P27" s="24">
        <f t="shared" si="3"/>
        <v>-0.005958958168902884</v>
      </c>
      <c r="Q27">
        <v>1404</v>
      </c>
    </row>
    <row r="28" spans="4:17" ht="15" customHeight="1">
      <c r="D28" s="19" t="s">
        <v>175</v>
      </c>
      <c r="E28" s="20">
        <v>168</v>
      </c>
      <c r="F28" s="21"/>
      <c r="G28" s="22"/>
      <c r="H28" s="22"/>
      <c r="I28" s="22"/>
      <c r="J28" s="22"/>
      <c r="K28" s="22"/>
      <c r="L28" s="22">
        <f t="shared" si="9"/>
        <v>0</v>
      </c>
      <c r="M28" s="22">
        <f t="shared" si="10"/>
        <v>168</v>
      </c>
      <c r="N28">
        <v>168</v>
      </c>
      <c r="O28" s="23">
        <f t="shared" si="5"/>
        <v>0</v>
      </c>
      <c r="P28" s="24">
        <f t="shared" si="3"/>
        <v>0</v>
      </c>
      <c r="Q28">
        <v>1405</v>
      </c>
    </row>
    <row r="29" spans="4:17" ht="15" customHeight="1">
      <c r="D29" s="19" t="s">
        <v>176</v>
      </c>
      <c r="E29" s="20">
        <v>2263</v>
      </c>
      <c r="F29" s="21"/>
      <c r="G29" s="22"/>
      <c r="H29" s="22"/>
      <c r="I29" s="22"/>
      <c r="J29" s="22"/>
      <c r="K29" s="22"/>
      <c r="L29" s="22">
        <f t="shared" si="9"/>
        <v>0</v>
      </c>
      <c r="M29" s="22">
        <f t="shared" si="10"/>
        <v>2263</v>
      </c>
      <c r="N29">
        <v>2214</v>
      </c>
      <c r="O29" s="23">
        <f t="shared" si="5"/>
        <v>49</v>
      </c>
      <c r="P29" s="24">
        <f t="shared" si="3"/>
        <v>0.022131887985546522</v>
      </c>
      <c r="Q29">
        <v>1406</v>
      </c>
    </row>
    <row r="30" spans="4:17" ht="15" customHeight="1">
      <c r="D30" s="19" t="s">
        <v>177</v>
      </c>
      <c r="E30" s="20">
        <v>2569</v>
      </c>
      <c r="F30" s="21"/>
      <c r="G30" s="22"/>
      <c r="H30" s="22"/>
      <c r="I30" s="22"/>
      <c r="J30" s="22"/>
      <c r="K30" s="22"/>
      <c r="L30" s="22">
        <f t="shared" si="9"/>
        <v>0</v>
      </c>
      <c r="M30" s="22">
        <f t="shared" si="10"/>
        <v>2569</v>
      </c>
      <c r="N30">
        <v>2523</v>
      </c>
      <c r="O30" s="23">
        <f t="shared" si="5"/>
        <v>46</v>
      </c>
      <c r="P30" s="24">
        <f t="shared" si="3"/>
        <v>0.01823226317875545</v>
      </c>
      <c r="Q30">
        <v>1407</v>
      </c>
    </row>
    <row r="31" spans="1:17" ht="15" customHeight="1">
      <c r="A31" s="19" t="s">
        <v>178</v>
      </c>
      <c r="D31" s="1" t="s">
        <v>179</v>
      </c>
      <c r="E31" s="20">
        <v>2353</v>
      </c>
      <c r="F31" s="21"/>
      <c r="G31" s="22">
        <v>178</v>
      </c>
      <c r="H31" s="22">
        <v>172</v>
      </c>
      <c r="I31" s="22">
        <v>0</v>
      </c>
      <c r="J31" s="22">
        <v>0</v>
      </c>
      <c r="K31" s="22">
        <v>0</v>
      </c>
      <c r="L31" s="22">
        <f t="shared" si="9"/>
        <v>350</v>
      </c>
      <c r="M31" s="22">
        <f t="shared" si="10"/>
        <v>2703</v>
      </c>
      <c r="N31">
        <v>1836</v>
      </c>
      <c r="O31" s="23">
        <f t="shared" si="5"/>
        <v>867</v>
      </c>
      <c r="P31" s="24">
        <f t="shared" si="3"/>
        <v>0.4722222222222222</v>
      </c>
      <c r="Q31">
        <v>1408</v>
      </c>
    </row>
    <row r="32" spans="4:17" ht="15" customHeight="1">
      <c r="D32" s="19" t="s">
        <v>180</v>
      </c>
      <c r="E32" s="20">
        <v>832.9</v>
      </c>
      <c r="F32" s="21"/>
      <c r="G32" s="22"/>
      <c r="H32" s="22"/>
      <c r="I32" s="22"/>
      <c r="J32" s="22"/>
      <c r="K32" s="22"/>
      <c r="L32" s="22">
        <f t="shared" si="9"/>
        <v>0</v>
      </c>
      <c r="M32" s="22">
        <f t="shared" si="10"/>
        <v>832.9</v>
      </c>
      <c r="N32">
        <v>488</v>
      </c>
      <c r="O32" s="23">
        <f t="shared" si="5"/>
        <v>344.9</v>
      </c>
      <c r="P32" s="24">
        <f t="shared" si="3"/>
        <v>0.7067622950819672</v>
      </c>
      <c r="Q32">
        <v>1409</v>
      </c>
    </row>
    <row r="33" spans="4:17" ht="15" customHeight="1">
      <c r="D33" s="19" t="s">
        <v>181</v>
      </c>
      <c r="E33" s="20">
        <v>1049.908</v>
      </c>
      <c r="F33" s="21"/>
      <c r="G33" s="22"/>
      <c r="H33" s="22"/>
      <c r="I33" s="22"/>
      <c r="J33" s="22"/>
      <c r="K33" s="22"/>
      <c r="L33" s="22">
        <f t="shared" si="9"/>
        <v>0</v>
      </c>
      <c r="M33" s="22">
        <f t="shared" si="10"/>
        <v>1049.908</v>
      </c>
      <c r="N33">
        <v>799</v>
      </c>
      <c r="O33" s="23">
        <f t="shared" si="5"/>
        <v>250.9079999999999</v>
      </c>
      <c r="P33" s="24">
        <f t="shared" si="3"/>
        <v>0.3140275344180224</v>
      </c>
      <c r="Q33">
        <v>1410</v>
      </c>
    </row>
    <row r="34" spans="1:17" ht="15" customHeight="1">
      <c r="A34" s="19" t="s">
        <v>182</v>
      </c>
      <c r="D34" s="32" t="s">
        <v>183</v>
      </c>
      <c r="E34" s="20">
        <v>9965</v>
      </c>
      <c r="F34" s="21"/>
      <c r="G34" s="22">
        <v>-80</v>
      </c>
      <c r="H34" s="22">
        <v>0</v>
      </c>
      <c r="I34" s="22">
        <v>0</v>
      </c>
      <c r="J34" s="22">
        <v>0</v>
      </c>
      <c r="K34" s="22">
        <v>0</v>
      </c>
      <c r="L34" s="22">
        <f t="shared" si="9"/>
        <v>-80</v>
      </c>
      <c r="M34" s="22">
        <f t="shared" si="10"/>
        <v>9885</v>
      </c>
      <c r="N34">
        <v>8329</v>
      </c>
      <c r="O34" s="33">
        <f t="shared" si="5"/>
        <v>1556</v>
      </c>
      <c r="P34" s="24">
        <f t="shared" si="3"/>
        <v>0.18681714491535598</v>
      </c>
      <c r="Q34">
        <v>1411</v>
      </c>
    </row>
    <row r="35" spans="4:17" ht="15" customHeight="1">
      <c r="D35" s="19" t="s">
        <v>184</v>
      </c>
      <c r="E35" s="20">
        <v>540.732</v>
      </c>
      <c r="F35" s="21"/>
      <c r="G35" s="22"/>
      <c r="H35" s="22"/>
      <c r="I35" s="22"/>
      <c r="J35" s="22"/>
      <c r="K35" s="22"/>
      <c r="L35" s="22">
        <f t="shared" si="9"/>
        <v>0</v>
      </c>
      <c r="M35" s="22">
        <f t="shared" si="10"/>
        <v>540.732</v>
      </c>
      <c r="N35">
        <v>310</v>
      </c>
      <c r="O35" s="23">
        <f t="shared" si="5"/>
        <v>230.73199999999997</v>
      </c>
      <c r="P35" s="24">
        <f t="shared" si="3"/>
        <v>0.7442967741935483</v>
      </c>
      <c r="Q35">
        <v>1412</v>
      </c>
    </row>
    <row r="36" spans="4:17" ht="15" customHeight="1">
      <c r="D36" s="19" t="s">
        <v>185</v>
      </c>
      <c r="E36" s="20">
        <v>27.819</v>
      </c>
      <c r="F36" s="21"/>
      <c r="G36" s="22"/>
      <c r="H36" s="22"/>
      <c r="I36" s="22"/>
      <c r="J36" s="22"/>
      <c r="K36" s="22"/>
      <c r="L36" s="22">
        <f t="shared" si="9"/>
        <v>0</v>
      </c>
      <c r="M36" s="22">
        <f t="shared" si="10"/>
        <v>27.819</v>
      </c>
      <c r="N36">
        <v>23</v>
      </c>
      <c r="O36" s="23">
        <f t="shared" si="5"/>
        <v>4.818999999999999</v>
      </c>
      <c r="P36" s="24">
        <f aca="true" t="shared" si="11" ref="P36:P67">+O36/N36</f>
        <v>0.20952173913043473</v>
      </c>
      <c r="Q36">
        <v>1413</v>
      </c>
    </row>
    <row r="37" spans="4:17" ht="15" customHeight="1">
      <c r="D37" s="36" t="s">
        <v>186</v>
      </c>
      <c r="E37" s="37">
        <v>638.674</v>
      </c>
      <c r="F37" s="38"/>
      <c r="G37" s="22"/>
      <c r="H37" s="22"/>
      <c r="I37" s="22"/>
      <c r="J37" s="22"/>
      <c r="K37" s="22"/>
      <c r="L37" s="22">
        <f t="shared" si="9"/>
        <v>0</v>
      </c>
      <c r="M37" s="22">
        <f t="shared" si="10"/>
        <v>638.674</v>
      </c>
      <c r="N37"/>
      <c r="O37" s="23">
        <f t="shared" si="5"/>
        <v>638.674</v>
      </c>
      <c r="P37" s="24" t="e">
        <f t="shared" si="11"/>
        <v>#DIV/0!</v>
      </c>
      <c r="Q37"/>
    </row>
    <row r="38" spans="4:17" ht="15" customHeight="1">
      <c r="D38" s="19" t="s">
        <v>187</v>
      </c>
      <c r="E38" s="20">
        <v>24.038</v>
      </c>
      <c r="F38" s="21"/>
      <c r="G38" s="22"/>
      <c r="H38" s="22"/>
      <c r="I38" s="22"/>
      <c r="J38" s="22"/>
      <c r="K38" s="22"/>
      <c r="L38" s="22">
        <f t="shared" si="9"/>
        <v>0</v>
      </c>
      <c r="M38" s="22">
        <f t="shared" si="10"/>
        <v>24.038</v>
      </c>
      <c r="N38"/>
      <c r="O38" s="23">
        <f t="shared" si="5"/>
        <v>24.038</v>
      </c>
      <c r="P38" s="24" t="e">
        <f t="shared" si="11"/>
        <v>#DIV/0!</v>
      </c>
      <c r="Q38"/>
    </row>
    <row r="39" spans="1:17" ht="15" customHeight="1">
      <c r="A39" s="39" t="s">
        <v>188</v>
      </c>
      <c r="D39" s="32" t="s">
        <v>189</v>
      </c>
      <c r="E39" s="34">
        <f>4418.959-3310.469</f>
        <v>1108.4899999999998</v>
      </c>
      <c r="F39" s="35"/>
      <c r="G39" s="22">
        <v>1066</v>
      </c>
      <c r="H39" s="22">
        <v>422</v>
      </c>
      <c r="I39" s="22">
        <v>0</v>
      </c>
      <c r="J39" s="22">
        <v>0</v>
      </c>
      <c r="K39" s="22">
        <v>0</v>
      </c>
      <c r="L39" s="22">
        <f t="shared" si="9"/>
        <v>1488</v>
      </c>
      <c r="M39" s="22">
        <f t="shared" si="10"/>
        <v>2596.49</v>
      </c>
      <c r="N39"/>
      <c r="O39" s="33">
        <f t="shared" si="5"/>
        <v>2596.49</v>
      </c>
      <c r="P39" s="24" t="e">
        <f t="shared" si="11"/>
        <v>#DIV/0!</v>
      </c>
      <c r="Q39"/>
    </row>
    <row r="40" spans="1:17" ht="15" customHeight="1">
      <c r="A40" s="39" t="s">
        <v>190</v>
      </c>
      <c r="D40" s="1" t="s">
        <v>191</v>
      </c>
      <c r="E40" s="34">
        <v>157.99</v>
      </c>
      <c r="F40" s="35"/>
      <c r="G40" s="22">
        <v>118</v>
      </c>
      <c r="H40" s="22">
        <v>0</v>
      </c>
      <c r="I40" s="22">
        <v>0</v>
      </c>
      <c r="J40" s="22">
        <v>0</v>
      </c>
      <c r="K40" s="22">
        <v>0</v>
      </c>
      <c r="L40" s="22">
        <f t="shared" si="9"/>
        <v>118</v>
      </c>
      <c r="M40" s="22">
        <f t="shared" si="10"/>
        <v>275.99</v>
      </c>
      <c r="N40"/>
      <c r="O40" s="23">
        <f t="shared" si="5"/>
        <v>275.99</v>
      </c>
      <c r="P40" s="24" t="e">
        <f t="shared" si="11"/>
        <v>#DIV/0!</v>
      </c>
      <c r="Q40"/>
    </row>
    <row r="41" spans="4:17" ht="15" customHeight="1">
      <c r="D41" s="19" t="s">
        <v>192</v>
      </c>
      <c r="E41" s="20">
        <v>48.434</v>
      </c>
      <c r="F41" s="21"/>
      <c r="G41" s="22"/>
      <c r="H41" s="22"/>
      <c r="I41" s="22"/>
      <c r="J41" s="22"/>
      <c r="K41" s="22"/>
      <c r="L41" s="22">
        <f t="shared" si="9"/>
        <v>0</v>
      </c>
      <c r="M41" s="22">
        <f t="shared" si="10"/>
        <v>48.434</v>
      </c>
      <c r="N41"/>
      <c r="O41" s="23">
        <f t="shared" si="5"/>
        <v>48.434</v>
      </c>
      <c r="P41" s="24" t="e">
        <f t="shared" si="11"/>
        <v>#DIV/0!</v>
      </c>
      <c r="Q41"/>
    </row>
    <row r="42" spans="1:17" ht="15" customHeight="1">
      <c r="A42" s="19"/>
      <c r="D42" s="1" t="s">
        <v>193</v>
      </c>
      <c r="E42" s="20"/>
      <c r="F42" s="21"/>
      <c r="G42" s="22">
        <v>362</v>
      </c>
      <c r="H42" s="22">
        <v>660</v>
      </c>
      <c r="I42" s="22">
        <v>0</v>
      </c>
      <c r="J42" s="22">
        <v>17</v>
      </c>
      <c r="K42" s="22">
        <v>0</v>
      </c>
      <c r="L42" s="22">
        <f t="shared" si="9"/>
        <v>1039</v>
      </c>
      <c r="M42" s="22">
        <f t="shared" si="10"/>
        <v>1039</v>
      </c>
      <c r="N42">
        <v>86</v>
      </c>
      <c r="O42" s="23">
        <f t="shared" si="5"/>
        <v>953</v>
      </c>
      <c r="P42" s="24">
        <f t="shared" si="11"/>
        <v>11.081395348837209</v>
      </c>
      <c r="Q42">
        <v>1431</v>
      </c>
    </row>
    <row r="43" spans="1:17" ht="15" customHeight="1">
      <c r="A43" s="39" t="s">
        <v>194</v>
      </c>
      <c r="D43" s="40" t="s">
        <v>83</v>
      </c>
      <c r="E43" s="76">
        <f>6042.2-60</f>
        <v>5982.2</v>
      </c>
      <c r="F43" s="78" t="s">
        <v>196</v>
      </c>
      <c r="G43" s="22">
        <v>1054</v>
      </c>
      <c r="H43" s="22">
        <v>1813</v>
      </c>
      <c r="I43" s="22">
        <v>0</v>
      </c>
      <c r="J43" s="22">
        <v>0</v>
      </c>
      <c r="K43" s="22">
        <v>0</v>
      </c>
      <c r="L43" s="22">
        <f t="shared" si="9"/>
        <v>2867</v>
      </c>
      <c r="M43" s="22">
        <f t="shared" si="10"/>
        <v>8849.2</v>
      </c>
      <c r="N43">
        <v>5091</v>
      </c>
      <c r="O43" s="41">
        <f aca="true" t="shared" si="12" ref="O43:O74">+M43-N43</f>
        <v>3758.2000000000007</v>
      </c>
      <c r="P43" s="24">
        <f t="shared" si="11"/>
        <v>0.7382046749165195</v>
      </c>
      <c r="Q43">
        <v>1451</v>
      </c>
    </row>
    <row r="44" spans="1:17" ht="15" customHeight="1">
      <c r="A44" s="39"/>
      <c r="D44" s="1" t="s">
        <v>84</v>
      </c>
      <c r="E44" s="20"/>
      <c r="F44" s="21"/>
      <c r="G44" s="22">
        <v>90</v>
      </c>
      <c r="H44" s="22">
        <v>411</v>
      </c>
      <c r="I44" s="22">
        <v>0</v>
      </c>
      <c r="J44" s="22">
        <v>0</v>
      </c>
      <c r="K44" s="22">
        <v>0</v>
      </c>
      <c r="L44" s="22">
        <f t="shared" si="9"/>
        <v>501</v>
      </c>
      <c r="M44" s="22">
        <f t="shared" si="10"/>
        <v>501</v>
      </c>
      <c r="N44"/>
      <c r="O44" s="23">
        <f t="shared" si="12"/>
        <v>501</v>
      </c>
      <c r="P44" s="24" t="e">
        <f t="shared" si="11"/>
        <v>#DIV/0!</v>
      </c>
      <c r="Q44"/>
    </row>
    <row r="45" spans="4:17" ht="15" customHeight="1">
      <c r="D45" s="19" t="s">
        <v>85</v>
      </c>
      <c r="E45" s="25">
        <v>57.337</v>
      </c>
      <c r="F45" s="26"/>
      <c r="G45" s="27"/>
      <c r="H45" s="27"/>
      <c r="I45" s="27"/>
      <c r="J45" s="27"/>
      <c r="K45" s="27"/>
      <c r="L45" s="27">
        <f t="shared" si="9"/>
        <v>0</v>
      </c>
      <c r="M45" s="27">
        <f t="shared" si="10"/>
        <v>57.337</v>
      </c>
      <c r="N45"/>
      <c r="O45" s="23">
        <f t="shared" si="12"/>
        <v>57.337</v>
      </c>
      <c r="P45" s="24" t="e">
        <f t="shared" si="11"/>
        <v>#DIV/0!</v>
      </c>
      <c r="Q45"/>
    </row>
    <row r="46" spans="4:17" ht="15" customHeight="1">
      <c r="D46" s="28" t="s">
        <v>157</v>
      </c>
      <c r="E46" s="72">
        <f>SUM(E24:E45)</f>
        <v>34195.962</v>
      </c>
      <c r="F46" s="30"/>
      <c r="G46" s="80">
        <f aca="true" t="shared" si="13" ref="G46:N46">SUM(G24:G45)</f>
        <v>2752</v>
      </c>
      <c r="H46" s="80">
        <f t="shared" si="13"/>
        <v>3478</v>
      </c>
      <c r="I46" s="80">
        <f t="shared" si="13"/>
        <v>0</v>
      </c>
      <c r="J46" s="80">
        <f t="shared" si="13"/>
        <v>17</v>
      </c>
      <c r="K46" s="80">
        <f t="shared" si="13"/>
        <v>0</v>
      </c>
      <c r="L46" s="29">
        <f t="shared" si="13"/>
        <v>6247</v>
      </c>
      <c r="M46" s="29">
        <f t="shared" si="13"/>
        <v>40442.962</v>
      </c>
      <c r="N46" s="29">
        <f t="shared" si="13"/>
        <v>28092</v>
      </c>
      <c r="O46" s="23">
        <f t="shared" si="12"/>
        <v>12350.962</v>
      </c>
      <c r="P46" s="24">
        <f t="shared" si="11"/>
        <v>0.43966118467891213</v>
      </c>
      <c r="Q46"/>
    </row>
    <row r="47" spans="4:17" ht="15" customHeight="1">
      <c r="D47" s="19"/>
      <c r="E47" s="20"/>
      <c r="F47" s="21"/>
      <c r="G47" s="22"/>
      <c r="H47" s="22"/>
      <c r="I47" s="22"/>
      <c r="J47" s="22"/>
      <c r="K47" s="22"/>
      <c r="L47" s="22"/>
      <c r="M47" s="22"/>
      <c r="N47"/>
      <c r="O47" s="23">
        <f t="shared" si="12"/>
        <v>0</v>
      </c>
      <c r="P47" s="24" t="e">
        <f t="shared" si="11"/>
        <v>#DIV/0!</v>
      </c>
      <c r="Q47"/>
    </row>
    <row r="48" spans="1:17" ht="15" customHeight="1">
      <c r="A48" s="19" t="s">
        <v>86</v>
      </c>
      <c r="C48" s="1" t="s">
        <v>87</v>
      </c>
      <c r="D48" s="32" t="s">
        <v>88</v>
      </c>
      <c r="E48" s="76">
        <f>335.94-5</f>
        <v>330.94</v>
      </c>
      <c r="F48" s="78" t="s">
        <v>196</v>
      </c>
      <c r="G48" s="22">
        <v>164</v>
      </c>
      <c r="H48" s="22">
        <v>22</v>
      </c>
      <c r="I48" s="22">
        <v>0</v>
      </c>
      <c r="J48" s="22">
        <v>0</v>
      </c>
      <c r="K48" s="22">
        <v>0</v>
      </c>
      <c r="L48" s="22">
        <f>SUM(G48:K48)</f>
        <v>186</v>
      </c>
      <c r="M48" s="22">
        <f>SUM(E48:K48)</f>
        <v>516.94</v>
      </c>
      <c r="N48">
        <v>221</v>
      </c>
      <c r="O48" s="23">
        <f t="shared" si="12"/>
        <v>295.94000000000005</v>
      </c>
      <c r="P48" s="24">
        <f t="shared" si="11"/>
        <v>1.3390950226244347</v>
      </c>
      <c r="Q48">
        <v>1501</v>
      </c>
    </row>
    <row r="49" spans="1:17" ht="15" customHeight="1">
      <c r="A49" s="19" t="s">
        <v>89</v>
      </c>
      <c r="D49" s="32" t="s">
        <v>90</v>
      </c>
      <c r="E49" s="25">
        <v>4.061</v>
      </c>
      <c r="F49" s="26"/>
      <c r="G49" s="27">
        <v>0</v>
      </c>
      <c r="H49" s="27">
        <v>403</v>
      </c>
      <c r="I49" s="27">
        <v>673</v>
      </c>
      <c r="J49" s="27">
        <v>0</v>
      </c>
      <c r="K49" s="27">
        <v>0</v>
      </c>
      <c r="L49" s="27">
        <f>SUM(G49:K49)</f>
        <v>1076</v>
      </c>
      <c r="M49" s="27">
        <f>SUM(E49:K49)</f>
        <v>1080.061</v>
      </c>
      <c r="N49">
        <v>1191</v>
      </c>
      <c r="O49" s="23">
        <f t="shared" si="12"/>
        <v>-110.93900000000008</v>
      </c>
      <c r="P49" s="24">
        <f t="shared" si="11"/>
        <v>-0.0931477749790093</v>
      </c>
      <c r="Q49">
        <v>1550</v>
      </c>
    </row>
    <row r="50" spans="1:17" ht="15" customHeight="1">
      <c r="A50" s="19"/>
      <c r="D50" s="28" t="s">
        <v>157</v>
      </c>
      <c r="E50" s="72">
        <f>SUM(E48:E49)</f>
        <v>335.001</v>
      </c>
      <c r="F50" s="30"/>
      <c r="G50" s="80">
        <f aca="true" t="shared" si="14" ref="G50:N50">SUM(G48:G49)</f>
        <v>164</v>
      </c>
      <c r="H50" s="80">
        <f t="shared" si="14"/>
        <v>425</v>
      </c>
      <c r="I50" s="80">
        <f t="shared" si="14"/>
        <v>673</v>
      </c>
      <c r="J50" s="80">
        <f t="shared" si="14"/>
        <v>0</v>
      </c>
      <c r="K50" s="80">
        <f t="shared" si="14"/>
        <v>0</v>
      </c>
      <c r="L50" s="29">
        <f t="shared" si="14"/>
        <v>1262</v>
      </c>
      <c r="M50" s="29">
        <f t="shared" si="14"/>
        <v>1597.001</v>
      </c>
      <c r="N50" s="29">
        <f t="shared" si="14"/>
        <v>1412</v>
      </c>
      <c r="O50" s="33">
        <f t="shared" si="12"/>
        <v>185.00099999999998</v>
      </c>
      <c r="P50" s="24">
        <f t="shared" si="11"/>
        <v>0.13102053824362606</v>
      </c>
      <c r="Q50"/>
    </row>
    <row r="51" spans="1:17" ht="15" customHeight="1">
      <c r="A51" s="19"/>
      <c r="E51" s="20"/>
      <c r="F51" s="21"/>
      <c r="G51" s="22"/>
      <c r="H51" s="22"/>
      <c r="I51" s="22"/>
      <c r="J51" s="22"/>
      <c r="K51" s="22"/>
      <c r="L51" s="22"/>
      <c r="M51" s="22"/>
      <c r="N51"/>
      <c r="O51" s="23">
        <f t="shared" si="12"/>
        <v>0</v>
      </c>
      <c r="P51" s="24" t="e">
        <f t="shared" si="11"/>
        <v>#DIV/0!</v>
      </c>
      <c r="Q51"/>
    </row>
    <row r="52" spans="1:17" ht="15" customHeight="1">
      <c r="A52" s="42" t="s">
        <v>91</v>
      </c>
      <c r="C52" s="1" t="s">
        <v>92</v>
      </c>
      <c r="D52" s="43" t="s">
        <v>93</v>
      </c>
      <c r="E52" s="72">
        <v>2.614</v>
      </c>
      <c r="F52" s="30"/>
      <c r="G52" s="44">
        <v>6</v>
      </c>
      <c r="H52" s="44">
        <v>323</v>
      </c>
      <c r="I52" s="44">
        <v>372</v>
      </c>
      <c r="J52" s="44">
        <v>160</v>
      </c>
      <c r="K52" s="44">
        <v>0</v>
      </c>
      <c r="L52" s="44">
        <f>SUM(G52:K52)</f>
        <v>861</v>
      </c>
      <c r="M52" s="44">
        <f>SUM(E52:K52)</f>
        <v>863.614</v>
      </c>
      <c r="N52">
        <v>1140</v>
      </c>
      <c r="O52" s="23">
        <f t="shared" si="12"/>
        <v>-276.38599999999997</v>
      </c>
      <c r="P52" s="24">
        <f t="shared" si="11"/>
        <v>-0.24244385964912277</v>
      </c>
      <c r="Q52">
        <v>1601</v>
      </c>
    </row>
    <row r="53" spans="1:17" ht="15" customHeight="1">
      <c r="A53" s="42"/>
      <c r="E53" s="20"/>
      <c r="F53" s="21"/>
      <c r="G53" s="22"/>
      <c r="H53" s="22"/>
      <c r="I53" s="22"/>
      <c r="J53" s="22"/>
      <c r="K53" s="22"/>
      <c r="L53" s="22"/>
      <c r="M53" s="22"/>
      <c r="N53"/>
      <c r="O53" s="23">
        <f t="shared" si="12"/>
        <v>0</v>
      </c>
      <c r="P53" s="24" t="e">
        <f t="shared" si="11"/>
        <v>#DIV/0!</v>
      </c>
      <c r="Q53"/>
    </row>
    <row r="54" spans="1:17" ht="15" customHeight="1">
      <c r="A54" s="19" t="s">
        <v>94</v>
      </c>
      <c r="C54" s="1" t="s">
        <v>95</v>
      </c>
      <c r="D54" s="1" t="s">
        <v>96</v>
      </c>
      <c r="E54" s="20">
        <v>431.07300000000004</v>
      </c>
      <c r="F54" s="21"/>
      <c r="G54" s="31">
        <v>0</v>
      </c>
      <c r="H54" s="31">
        <v>0</v>
      </c>
      <c r="I54" s="31">
        <v>207</v>
      </c>
      <c r="J54" s="31">
        <v>0</v>
      </c>
      <c r="K54" s="31">
        <v>0</v>
      </c>
      <c r="L54" s="22">
        <f>SUM(G54:K54)</f>
        <v>207</v>
      </c>
      <c r="M54" s="22">
        <f>SUM(E54:K54)</f>
        <v>638.0730000000001</v>
      </c>
      <c r="N54">
        <v>504</v>
      </c>
      <c r="O54" s="23">
        <f t="shared" si="12"/>
        <v>134.0730000000001</v>
      </c>
      <c r="P54" s="24">
        <f t="shared" si="11"/>
        <v>0.2660178571428573</v>
      </c>
      <c r="Q54">
        <v>1701</v>
      </c>
    </row>
    <row r="55" spans="1:17" ht="15" customHeight="1">
      <c r="A55" s="19"/>
      <c r="D55" s="1" t="s">
        <v>97</v>
      </c>
      <c r="E55" s="20"/>
      <c r="F55" s="21"/>
      <c r="G55" s="31">
        <v>0</v>
      </c>
      <c r="H55" s="31">
        <v>163</v>
      </c>
      <c r="I55" s="31">
        <v>0</v>
      </c>
      <c r="J55" s="31">
        <v>0</v>
      </c>
      <c r="K55" s="31">
        <v>0</v>
      </c>
      <c r="L55" s="22">
        <f>SUM(G55:K55)</f>
        <v>163</v>
      </c>
      <c r="M55" s="22">
        <f>SUM(E55:K55)</f>
        <v>163</v>
      </c>
      <c r="N55">
        <v>541</v>
      </c>
      <c r="O55" s="23">
        <f t="shared" si="12"/>
        <v>-378</v>
      </c>
      <c r="P55" s="24">
        <f t="shared" si="11"/>
        <v>-0.6987060998151571</v>
      </c>
      <c r="Q55">
        <v>1751</v>
      </c>
    </row>
    <row r="56" spans="1:17" ht="15" customHeight="1">
      <c r="A56" s="19"/>
      <c r="D56" s="1" t="s">
        <v>98</v>
      </c>
      <c r="E56" s="20"/>
      <c r="F56" s="21"/>
      <c r="G56" s="31">
        <v>0</v>
      </c>
      <c r="H56" s="31">
        <v>0</v>
      </c>
      <c r="I56" s="31">
        <v>0</v>
      </c>
      <c r="J56" s="31">
        <v>325</v>
      </c>
      <c r="K56" s="31">
        <v>0</v>
      </c>
      <c r="L56" s="22">
        <f>SUM(G56:K56)</f>
        <v>325</v>
      </c>
      <c r="M56" s="22">
        <f>SUM(E56:K56)</f>
        <v>325</v>
      </c>
      <c r="N56">
        <v>315</v>
      </c>
      <c r="O56" s="23">
        <f t="shared" si="12"/>
        <v>10</v>
      </c>
      <c r="P56" s="24">
        <f t="shared" si="11"/>
        <v>0.031746031746031744</v>
      </c>
      <c r="Q56">
        <v>1752</v>
      </c>
    </row>
    <row r="57" spans="1:17" ht="15" customHeight="1">
      <c r="A57" s="19"/>
      <c r="D57" s="1" t="s">
        <v>99</v>
      </c>
      <c r="E57" s="25"/>
      <c r="F57" s="26"/>
      <c r="G57" s="27">
        <v>0</v>
      </c>
      <c r="H57" s="27">
        <v>61</v>
      </c>
      <c r="I57" s="27">
        <v>28</v>
      </c>
      <c r="J57" s="27">
        <v>0</v>
      </c>
      <c r="K57" s="27">
        <v>0</v>
      </c>
      <c r="L57" s="27">
        <f>SUM(G57:K57)</f>
        <v>89</v>
      </c>
      <c r="M57" s="27">
        <f>SUM(E57:K57)</f>
        <v>89</v>
      </c>
      <c r="N57"/>
      <c r="O57" s="23">
        <f t="shared" si="12"/>
        <v>89</v>
      </c>
      <c r="P57" s="24" t="e">
        <f t="shared" si="11"/>
        <v>#DIV/0!</v>
      </c>
      <c r="Q57"/>
    </row>
    <row r="58" spans="1:17" ht="15" customHeight="1">
      <c r="A58" s="19"/>
      <c r="D58" s="28" t="s">
        <v>157</v>
      </c>
      <c r="E58" s="72">
        <f>SUM(E54:E57)</f>
        <v>431.07300000000004</v>
      </c>
      <c r="F58" s="30"/>
      <c r="G58" s="80">
        <f aca="true" t="shared" si="15" ref="G58:N58">SUM(G54:G57)</f>
        <v>0</v>
      </c>
      <c r="H58" s="80">
        <f t="shared" si="15"/>
        <v>224</v>
      </c>
      <c r="I58" s="80">
        <f t="shared" si="15"/>
        <v>235</v>
      </c>
      <c r="J58" s="80">
        <f t="shared" si="15"/>
        <v>325</v>
      </c>
      <c r="K58" s="80">
        <f t="shared" si="15"/>
        <v>0</v>
      </c>
      <c r="L58" s="29">
        <f t="shared" si="15"/>
        <v>784</v>
      </c>
      <c r="M58" s="29">
        <f t="shared" si="15"/>
        <v>1215.073</v>
      </c>
      <c r="N58" s="29">
        <f t="shared" si="15"/>
        <v>1360</v>
      </c>
      <c r="O58" s="23">
        <f t="shared" si="12"/>
        <v>-144.9269999999999</v>
      </c>
      <c r="P58" s="24">
        <f t="shared" si="11"/>
        <v>-0.10656397058823523</v>
      </c>
      <c r="Q58"/>
    </row>
    <row r="59" spans="1:17" ht="15" customHeight="1">
      <c r="A59" s="19"/>
      <c r="E59" s="20"/>
      <c r="F59" s="21"/>
      <c r="G59" s="22"/>
      <c r="H59" s="22"/>
      <c r="I59" s="22"/>
      <c r="J59" s="22"/>
      <c r="K59" s="22"/>
      <c r="L59" s="22"/>
      <c r="M59" s="22"/>
      <c r="N59"/>
      <c r="O59" s="23">
        <f t="shared" si="12"/>
        <v>0</v>
      </c>
      <c r="P59" s="24" t="e">
        <f t="shared" si="11"/>
        <v>#DIV/0!</v>
      </c>
      <c r="Q59"/>
    </row>
    <row r="60" spans="3:17" ht="15" customHeight="1">
      <c r="C60" s="1" t="s">
        <v>100</v>
      </c>
      <c r="D60" s="19" t="s">
        <v>101</v>
      </c>
      <c r="E60" s="20">
        <v>64.38</v>
      </c>
      <c r="F60" s="21"/>
      <c r="G60" s="22"/>
      <c r="H60" s="22"/>
      <c r="I60" s="22"/>
      <c r="J60" s="22"/>
      <c r="K60" s="22"/>
      <c r="L60" s="22">
        <f aca="true" t="shared" si="16" ref="L60:L67">SUM(G60:K60)</f>
        <v>0</v>
      </c>
      <c r="M60" s="22">
        <f aca="true" t="shared" si="17" ref="M60:M67">SUM(E60:K60)</f>
        <v>64.38</v>
      </c>
      <c r="N60">
        <v>61</v>
      </c>
      <c r="O60" s="23">
        <f t="shared" si="12"/>
        <v>3.3799999999999955</v>
      </c>
      <c r="P60" s="24">
        <f t="shared" si="11"/>
        <v>0.055409836065573696</v>
      </c>
      <c r="Q60">
        <v>1801</v>
      </c>
    </row>
    <row r="61" spans="1:17" ht="15" customHeight="1">
      <c r="A61" s="19" t="s">
        <v>102</v>
      </c>
      <c r="D61" s="40" t="s">
        <v>103</v>
      </c>
      <c r="E61" s="76">
        <f>997.703-11</f>
        <v>986.703</v>
      </c>
      <c r="F61" s="78" t="s">
        <v>196</v>
      </c>
      <c r="G61" s="22">
        <v>253</v>
      </c>
      <c r="H61" s="22">
        <v>790</v>
      </c>
      <c r="I61" s="22">
        <v>858</v>
      </c>
      <c r="J61" s="22">
        <v>88</v>
      </c>
      <c r="K61" s="22">
        <v>0</v>
      </c>
      <c r="L61" s="22">
        <f t="shared" si="16"/>
        <v>1989</v>
      </c>
      <c r="M61" s="22">
        <f t="shared" si="17"/>
        <v>2975.703</v>
      </c>
      <c r="N61">
        <v>1444</v>
      </c>
      <c r="O61" s="41">
        <f t="shared" si="12"/>
        <v>1531.703</v>
      </c>
      <c r="P61" s="24">
        <f t="shared" si="11"/>
        <v>1.0607361495844876</v>
      </c>
      <c r="Q61">
        <v>1802</v>
      </c>
    </row>
    <row r="62" spans="1:17" ht="15" customHeight="1">
      <c r="A62" s="19" t="s">
        <v>104</v>
      </c>
      <c r="D62" s="1" t="s">
        <v>105</v>
      </c>
      <c r="E62" s="20">
        <v>1142.2</v>
      </c>
      <c r="F62" s="21"/>
      <c r="G62" s="22">
        <v>131</v>
      </c>
      <c r="H62" s="22">
        <v>316</v>
      </c>
      <c r="I62" s="22">
        <v>75</v>
      </c>
      <c r="J62" s="22">
        <v>0</v>
      </c>
      <c r="K62" s="22">
        <v>0</v>
      </c>
      <c r="L62" s="22">
        <f t="shared" si="16"/>
        <v>522</v>
      </c>
      <c r="M62" s="22">
        <f t="shared" si="17"/>
        <v>1664.2</v>
      </c>
      <c r="N62">
        <v>1220</v>
      </c>
      <c r="O62" s="23">
        <f t="shared" si="12"/>
        <v>444.20000000000005</v>
      </c>
      <c r="P62" s="24">
        <f t="shared" si="11"/>
        <v>0.36409836065573775</v>
      </c>
      <c r="Q62">
        <v>1803</v>
      </c>
    </row>
    <row r="63" spans="4:17" ht="15" customHeight="1">
      <c r="D63" s="19" t="s">
        <v>106</v>
      </c>
      <c r="E63" s="20">
        <v>558.9370000000001</v>
      </c>
      <c r="F63" s="21"/>
      <c r="G63" s="22"/>
      <c r="H63" s="22"/>
      <c r="I63" s="22"/>
      <c r="J63" s="22"/>
      <c r="K63" s="22"/>
      <c r="L63" s="22">
        <f t="shared" si="16"/>
        <v>0</v>
      </c>
      <c r="M63" s="22">
        <f t="shared" si="17"/>
        <v>558.9370000000001</v>
      </c>
      <c r="N63">
        <v>502</v>
      </c>
      <c r="O63" s="23">
        <f t="shared" si="12"/>
        <v>56.937000000000126</v>
      </c>
      <c r="P63" s="24">
        <f t="shared" si="11"/>
        <v>0.11342031872509985</v>
      </c>
      <c r="Q63">
        <v>1804</v>
      </c>
    </row>
    <row r="64" spans="4:17" ht="15" customHeight="1">
      <c r="D64" s="19" t="s">
        <v>107</v>
      </c>
      <c r="E64" s="20">
        <v>6.876</v>
      </c>
      <c r="F64" s="21"/>
      <c r="G64" s="22"/>
      <c r="H64" s="22"/>
      <c r="I64" s="22"/>
      <c r="J64" s="22"/>
      <c r="K64" s="22"/>
      <c r="L64" s="22">
        <f t="shared" si="16"/>
        <v>0</v>
      </c>
      <c r="M64" s="22">
        <f t="shared" si="17"/>
        <v>6.876</v>
      </c>
      <c r="N64"/>
      <c r="O64" s="23">
        <f t="shared" si="12"/>
        <v>6.876</v>
      </c>
      <c r="P64" s="24" t="e">
        <f t="shared" si="11"/>
        <v>#DIV/0!</v>
      </c>
      <c r="Q64"/>
    </row>
    <row r="65" spans="1:17" ht="15" customHeight="1">
      <c r="A65" s="19" t="s">
        <v>108</v>
      </c>
      <c r="D65" s="45" t="s">
        <v>109</v>
      </c>
      <c r="E65" s="20">
        <v>26.517</v>
      </c>
      <c r="F65" s="21"/>
      <c r="G65" s="22">
        <v>92</v>
      </c>
      <c r="H65" s="22">
        <v>382</v>
      </c>
      <c r="I65" s="22">
        <v>40</v>
      </c>
      <c r="J65" s="22">
        <v>0</v>
      </c>
      <c r="K65" s="22">
        <v>0</v>
      </c>
      <c r="L65" s="22">
        <f t="shared" si="16"/>
        <v>514</v>
      </c>
      <c r="M65" s="22">
        <f t="shared" si="17"/>
        <v>540.517</v>
      </c>
      <c r="N65"/>
      <c r="O65" s="46">
        <f t="shared" si="12"/>
        <v>540.517</v>
      </c>
      <c r="P65" s="24" t="e">
        <f t="shared" si="11"/>
        <v>#DIV/0!</v>
      </c>
      <c r="Q65"/>
    </row>
    <row r="66" spans="1:17" ht="15" customHeight="1">
      <c r="A66" s="39" t="s">
        <v>110</v>
      </c>
      <c r="D66" s="1" t="s">
        <v>111</v>
      </c>
      <c r="E66" s="76">
        <f>704.632-11</f>
        <v>693.632</v>
      </c>
      <c r="F66" s="78" t="s">
        <v>196</v>
      </c>
      <c r="G66" s="22">
        <v>1266</v>
      </c>
      <c r="H66" s="22">
        <v>2353</v>
      </c>
      <c r="I66" s="22">
        <v>1961</v>
      </c>
      <c r="J66" s="22">
        <v>165</v>
      </c>
      <c r="K66" s="22">
        <v>0</v>
      </c>
      <c r="L66" s="22">
        <f t="shared" si="16"/>
        <v>5745</v>
      </c>
      <c r="M66" s="22">
        <f t="shared" si="17"/>
        <v>6438.632</v>
      </c>
      <c r="N66">
        <v>2203</v>
      </c>
      <c r="O66" s="41">
        <f t="shared" si="12"/>
        <v>4235.632</v>
      </c>
      <c r="P66" s="24">
        <f t="shared" si="11"/>
        <v>1.922665456196096</v>
      </c>
      <c r="Q66">
        <v>1810</v>
      </c>
    </row>
    <row r="67" spans="1:17" ht="15" customHeight="1">
      <c r="A67" s="39"/>
      <c r="D67" s="40" t="s">
        <v>112</v>
      </c>
      <c r="E67" s="25"/>
      <c r="F67" s="26"/>
      <c r="G67" s="27">
        <v>0</v>
      </c>
      <c r="H67" s="27">
        <v>223</v>
      </c>
      <c r="I67" s="27">
        <v>1017</v>
      </c>
      <c r="J67" s="27">
        <v>94</v>
      </c>
      <c r="K67" s="27">
        <v>0</v>
      </c>
      <c r="L67" s="27">
        <f t="shared" si="16"/>
        <v>1334</v>
      </c>
      <c r="M67" s="27">
        <f t="shared" si="17"/>
        <v>1334</v>
      </c>
      <c r="N67"/>
      <c r="O67" s="41">
        <f t="shared" si="12"/>
        <v>1334</v>
      </c>
      <c r="P67" s="24" t="e">
        <f t="shared" si="11"/>
        <v>#DIV/0!</v>
      </c>
      <c r="Q67"/>
    </row>
    <row r="68" spans="1:17" ht="15" customHeight="1">
      <c r="A68" s="39"/>
      <c r="D68" s="28" t="s">
        <v>157</v>
      </c>
      <c r="E68" s="72">
        <f>SUM(E60:E67)</f>
        <v>3479.2450000000003</v>
      </c>
      <c r="F68" s="30"/>
      <c r="G68" s="80">
        <f aca="true" t="shared" si="18" ref="G68:N68">SUM(G60:G67)</f>
        <v>1742</v>
      </c>
      <c r="H68" s="80">
        <f t="shared" si="18"/>
        <v>4064</v>
      </c>
      <c r="I68" s="80">
        <f t="shared" si="18"/>
        <v>3951</v>
      </c>
      <c r="J68" s="80">
        <f t="shared" si="18"/>
        <v>347</v>
      </c>
      <c r="K68" s="80">
        <f t="shared" si="18"/>
        <v>0</v>
      </c>
      <c r="L68" s="29">
        <f t="shared" si="18"/>
        <v>10104</v>
      </c>
      <c r="M68" s="29">
        <f t="shared" si="18"/>
        <v>13583.244999999999</v>
      </c>
      <c r="N68" s="29">
        <f t="shared" si="18"/>
        <v>5430</v>
      </c>
      <c r="O68" s="23">
        <f t="shared" si="12"/>
        <v>8153.244999999999</v>
      </c>
      <c r="P68" s="24">
        <f aca="true" t="shared" si="19" ref="P68:P99">+O68/N68</f>
        <v>1.5015184162062614</v>
      </c>
      <c r="Q68"/>
    </row>
    <row r="69" spans="1:17" ht="15" customHeight="1">
      <c r="A69" s="39"/>
      <c r="E69" s="20"/>
      <c r="F69" s="21"/>
      <c r="G69" s="22"/>
      <c r="H69" s="22"/>
      <c r="I69" s="22"/>
      <c r="J69" s="22"/>
      <c r="K69" s="22"/>
      <c r="L69" s="22"/>
      <c r="M69" s="22"/>
      <c r="N69"/>
      <c r="O69" s="23">
        <f t="shared" si="12"/>
        <v>0</v>
      </c>
      <c r="P69" s="24" t="e">
        <f t="shared" si="19"/>
        <v>#DIV/0!</v>
      </c>
      <c r="Q69"/>
    </row>
    <row r="70" spans="1:17" ht="15" customHeight="1" thickBot="1">
      <c r="A70" s="42" t="s">
        <v>113</v>
      </c>
      <c r="C70" s="1" t="s">
        <v>114</v>
      </c>
      <c r="D70" s="43" t="s">
        <v>115</v>
      </c>
      <c r="E70" s="73">
        <v>2128.2</v>
      </c>
      <c r="F70" s="47"/>
      <c r="G70" s="48">
        <v>162</v>
      </c>
      <c r="H70" s="48">
        <v>408</v>
      </c>
      <c r="I70" s="48">
        <v>432</v>
      </c>
      <c r="J70" s="48">
        <v>448</v>
      </c>
      <c r="K70" s="48">
        <v>170</v>
      </c>
      <c r="L70" s="48">
        <f>SUM(G70:K70)</f>
        <v>1620</v>
      </c>
      <c r="M70" s="48">
        <f>SUM(E70:K70)</f>
        <v>3748.2</v>
      </c>
      <c r="N70">
        <v>2752</v>
      </c>
      <c r="O70" s="23">
        <f t="shared" si="12"/>
        <v>996.1999999999998</v>
      </c>
      <c r="P70" s="24">
        <f t="shared" si="19"/>
        <v>0.36199127906976736</v>
      </c>
      <c r="Q70">
        <v>1901</v>
      </c>
    </row>
    <row r="71" spans="1:17" ht="15" customHeight="1">
      <c r="A71" s="42"/>
      <c r="D71" s="49" t="s">
        <v>116</v>
      </c>
      <c r="E71" s="74">
        <f>SUM(E70,E68,E58,E52,E50,E46,E22,E10)</f>
        <v>53551.035</v>
      </c>
      <c r="F71" s="51"/>
      <c r="G71" s="81">
        <f aca="true" t="shared" si="20" ref="G71:N71">SUM(G70,G68,G58,G52,G50,G46,G22,G10)</f>
        <v>4893</v>
      </c>
      <c r="H71" s="81">
        <f t="shared" si="20"/>
        <v>11072</v>
      </c>
      <c r="I71" s="81">
        <f t="shared" si="20"/>
        <v>6577</v>
      </c>
      <c r="J71" s="81">
        <f t="shared" si="20"/>
        <v>1784</v>
      </c>
      <c r="K71" s="81">
        <f t="shared" si="20"/>
        <v>170</v>
      </c>
      <c r="L71" s="50">
        <f t="shared" si="20"/>
        <v>24496</v>
      </c>
      <c r="M71" s="50">
        <f t="shared" si="20"/>
        <v>78047.03499999999</v>
      </c>
      <c r="N71" s="50">
        <f t="shared" si="20"/>
        <v>54507</v>
      </c>
      <c r="O71" s="23">
        <f t="shared" si="12"/>
        <v>23540.03499999999</v>
      </c>
      <c r="P71" s="24">
        <f t="shared" si="19"/>
        <v>0.43187177793677856</v>
      </c>
      <c r="Q71"/>
    </row>
    <row r="72" spans="1:17" ht="15" customHeight="1">
      <c r="A72" s="42"/>
      <c r="E72" s="20"/>
      <c r="F72" s="21"/>
      <c r="G72" s="22"/>
      <c r="H72" s="22"/>
      <c r="I72" s="22"/>
      <c r="J72" s="22"/>
      <c r="K72" s="22"/>
      <c r="L72" s="22"/>
      <c r="M72" s="22"/>
      <c r="N72"/>
      <c r="O72" s="23">
        <f t="shared" si="12"/>
        <v>0</v>
      </c>
      <c r="P72" s="24" t="e">
        <f t="shared" si="19"/>
        <v>#DIV/0!</v>
      </c>
      <c r="Q72"/>
    </row>
    <row r="73" spans="1:17" ht="15" customHeight="1">
      <c r="A73" s="42"/>
      <c r="E73" s="20"/>
      <c r="F73" s="21"/>
      <c r="G73" s="22"/>
      <c r="H73" s="22"/>
      <c r="I73" s="22"/>
      <c r="J73" s="22"/>
      <c r="K73" s="22"/>
      <c r="L73" s="22"/>
      <c r="M73" s="22"/>
      <c r="N73"/>
      <c r="O73" s="23">
        <f t="shared" si="12"/>
        <v>0</v>
      </c>
      <c r="P73" s="24" t="e">
        <f t="shared" si="19"/>
        <v>#DIV/0!</v>
      </c>
      <c r="Q73"/>
    </row>
    <row r="74" spans="1:17" ht="15" customHeight="1">
      <c r="A74" s="19" t="s">
        <v>117</v>
      </c>
      <c r="C74" s="1" t="s">
        <v>118</v>
      </c>
      <c r="D74" s="1" t="s">
        <v>119</v>
      </c>
      <c r="E74" s="20">
        <v>62.89300000000001</v>
      </c>
      <c r="F74" s="21"/>
      <c r="G74" s="22">
        <v>0</v>
      </c>
      <c r="H74" s="22">
        <v>0</v>
      </c>
      <c r="I74" s="22">
        <v>13</v>
      </c>
      <c r="J74" s="22">
        <v>56</v>
      </c>
      <c r="K74" s="22">
        <v>0</v>
      </c>
      <c r="L74" s="22">
        <f>SUM(G74:K74)</f>
        <v>69</v>
      </c>
      <c r="M74" s="22">
        <f>SUM(E74:K74)</f>
        <v>131.893</v>
      </c>
      <c r="N74">
        <v>151</v>
      </c>
      <c r="O74" s="23">
        <f t="shared" si="12"/>
        <v>-19.107</v>
      </c>
      <c r="P74" s="24">
        <f t="shared" si="19"/>
        <v>-0.1265364238410596</v>
      </c>
      <c r="Q74">
        <v>2101</v>
      </c>
    </row>
    <row r="75" spans="1:17" ht="15" customHeight="1">
      <c r="A75" s="19"/>
      <c r="C75" s="1" t="s">
        <v>120</v>
      </c>
      <c r="D75" s="1" t="s">
        <v>121</v>
      </c>
      <c r="E75" s="20"/>
      <c r="F75" s="21"/>
      <c r="G75" s="22">
        <v>0</v>
      </c>
      <c r="H75" s="22">
        <v>0</v>
      </c>
      <c r="I75" s="22">
        <v>70</v>
      </c>
      <c r="J75" s="22">
        <v>102</v>
      </c>
      <c r="K75" s="22">
        <v>0</v>
      </c>
      <c r="L75" s="22">
        <f>SUM(G75:K75)</f>
        <v>172</v>
      </c>
      <c r="M75" s="22">
        <f>SUM(E75:K75)</f>
        <v>172</v>
      </c>
      <c r="N75">
        <v>349</v>
      </c>
      <c r="O75" s="23">
        <f aca="true" t="shared" si="21" ref="O75:O106">+M75-N75</f>
        <v>-177</v>
      </c>
      <c r="P75" s="24">
        <f t="shared" si="19"/>
        <v>-0.5071633237822349</v>
      </c>
      <c r="Q75">
        <v>2201</v>
      </c>
    </row>
    <row r="76" spans="3:17" ht="15" customHeight="1" thickBot="1">
      <c r="C76" s="1" t="s">
        <v>122</v>
      </c>
      <c r="D76" s="19" t="s">
        <v>123</v>
      </c>
      <c r="E76" s="52">
        <v>284.946</v>
      </c>
      <c r="F76" s="53"/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f>SUM(G76:K76)</f>
        <v>0</v>
      </c>
      <c r="M76" s="54">
        <f>SUM(E76:K76)</f>
        <v>284.946</v>
      </c>
      <c r="N76">
        <v>284</v>
      </c>
      <c r="O76" s="23">
        <f t="shared" si="21"/>
        <v>0.9460000000000264</v>
      </c>
      <c r="P76" s="24">
        <f t="shared" si="19"/>
        <v>0.0033309859154930506</v>
      </c>
      <c r="Q76">
        <v>2501</v>
      </c>
    </row>
    <row r="77" spans="4:17" ht="15" customHeight="1">
      <c r="D77" s="49" t="s">
        <v>124</v>
      </c>
      <c r="E77" s="74">
        <f>SUM(E74:E76)</f>
        <v>347.83900000000006</v>
      </c>
      <c r="F77" s="51"/>
      <c r="G77" s="81">
        <f aca="true" t="shared" si="22" ref="G77:N77">SUM(G74:G76)</f>
        <v>0</v>
      </c>
      <c r="H77" s="81">
        <f t="shared" si="22"/>
        <v>0</v>
      </c>
      <c r="I77" s="81">
        <f t="shared" si="22"/>
        <v>83</v>
      </c>
      <c r="J77" s="81">
        <f t="shared" si="22"/>
        <v>158</v>
      </c>
      <c r="K77" s="81">
        <f t="shared" si="22"/>
        <v>0</v>
      </c>
      <c r="L77" s="50">
        <f t="shared" si="22"/>
        <v>241</v>
      </c>
      <c r="M77" s="50">
        <f t="shared" si="22"/>
        <v>588.839</v>
      </c>
      <c r="N77" s="50">
        <f t="shared" si="22"/>
        <v>784</v>
      </c>
      <c r="O77" s="23">
        <f t="shared" si="21"/>
        <v>-195.16099999999994</v>
      </c>
      <c r="P77" s="24">
        <f t="shared" si="19"/>
        <v>-0.24892984693877543</v>
      </c>
      <c r="Q77"/>
    </row>
    <row r="78" spans="4:17" ht="15" customHeight="1">
      <c r="D78" s="19"/>
      <c r="E78" s="20"/>
      <c r="F78" s="21"/>
      <c r="G78" s="22"/>
      <c r="H78" s="22"/>
      <c r="I78" s="22"/>
      <c r="J78" s="22"/>
      <c r="K78" s="22"/>
      <c r="L78" s="22"/>
      <c r="M78" s="22"/>
      <c r="N78"/>
      <c r="O78" s="23">
        <f t="shared" si="21"/>
        <v>0</v>
      </c>
      <c r="P78" s="24" t="e">
        <f t="shared" si="19"/>
        <v>#DIV/0!</v>
      </c>
      <c r="Q78"/>
    </row>
    <row r="79" spans="1:17" ht="15" customHeight="1">
      <c r="A79" s="42" t="s">
        <v>125</v>
      </c>
      <c r="C79" s="1" t="s">
        <v>126</v>
      </c>
      <c r="D79" s="1" t="s">
        <v>127</v>
      </c>
      <c r="E79" s="76">
        <f>614.4-3</f>
        <v>611.4</v>
      </c>
      <c r="F79" s="78" t="s">
        <v>196</v>
      </c>
      <c r="G79" s="31">
        <v>184</v>
      </c>
      <c r="H79" s="31">
        <v>107</v>
      </c>
      <c r="I79" s="31">
        <v>0</v>
      </c>
      <c r="J79" s="31">
        <v>0</v>
      </c>
      <c r="K79" s="31">
        <v>0</v>
      </c>
      <c r="L79" s="22">
        <f>SUM(G79:K79)</f>
        <v>291</v>
      </c>
      <c r="M79" s="22">
        <f>SUM(E79:K79)</f>
        <v>902.4</v>
      </c>
      <c r="N79">
        <v>426</v>
      </c>
      <c r="O79" s="23">
        <f t="shared" si="21"/>
        <v>476.4</v>
      </c>
      <c r="P79" s="24">
        <f t="shared" si="19"/>
        <v>1.1183098591549294</v>
      </c>
      <c r="Q79">
        <v>3101</v>
      </c>
    </row>
    <row r="80" spans="1:17" ht="15" customHeight="1">
      <c r="A80" s="42"/>
      <c r="C80" s="1" t="s">
        <v>128</v>
      </c>
      <c r="D80" s="1" t="s">
        <v>129</v>
      </c>
      <c r="E80" s="20"/>
      <c r="F80" s="21"/>
      <c r="G80" s="31">
        <v>0</v>
      </c>
      <c r="H80" s="31">
        <v>0</v>
      </c>
      <c r="I80" s="31">
        <v>0</v>
      </c>
      <c r="J80" s="31">
        <v>31</v>
      </c>
      <c r="K80" s="31">
        <v>0</v>
      </c>
      <c r="L80" s="22">
        <f>SUM(G80:K80)</f>
        <v>31</v>
      </c>
      <c r="M80" s="22">
        <f>SUM(E80:K80)</f>
        <v>31</v>
      </c>
      <c r="N80">
        <v>46</v>
      </c>
      <c r="O80" s="23">
        <f t="shared" si="21"/>
        <v>-15</v>
      </c>
      <c r="P80" s="24">
        <f t="shared" si="19"/>
        <v>-0.32608695652173914</v>
      </c>
      <c r="Q80">
        <v>3601</v>
      </c>
    </row>
    <row r="81" spans="1:17" ht="15" customHeight="1">
      <c r="A81" s="42"/>
      <c r="C81" s="1" t="s">
        <v>130</v>
      </c>
      <c r="D81" s="1" t="s">
        <v>131</v>
      </c>
      <c r="E81" s="20"/>
      <c r="F81" s="21"/>
      <c r="G81" s="31">
        <v>0</v>
      </c>
      <c r="H81" s="31">
        <v>0</v>
      </c>
      <c r="I81" s="31">
        <v>101</v>
      </c>
      <c r="J81" s="31">
        <v>162</v>
      </c>
      <c r="K81" s="31">
        <v>0</v>
      </c>
      <c r="L81" s="22">
        <f>SUM(G81:K81)</f>
        <v>263</v>
      </c>
      <c r="M81" s="22">
        <f>SUM(E81:K81)</f>
        <v>263</v>
      </c>
      <c r="N81">
        <v>310</v>
      </c>
      <c r="O81" s="23">
        <f t="shared" si="21"/>
        <v>-47</v>
      </c>
      <c r="P81" s="24">
        <f t="shared" si="19"/>
        <v>-0.15161290322580645</v>
      </c>
      <c r="Q81">
        <v>3801</v>
      </c>
    </row>
    <row r="82" spans="1:17" ht="15" customHeight="1" thickBot="1">
      <c r="A82" s="42" t="s">
        <v>132</v>
      </c>
      <c r="C82" s="1" t="s">
        <v>133</v>
      </c>
      <c r="D82" s="1" t="s">
        <v>30</v>
      </c>
      <c r="E82" s="52">
        <v>342.50600000000003</v>
      </c>
      <c r="F82" s="53"/>
      <c r="G82" s="27">
        <v>11</v>
      </c>
      <c r="H82" s="27">
        <v>29</v>
      </c>
      <c r="I82" s="27">
        <v>30</v>
      </c>
      <c r="J82" s="27">
        <v>62</v>
      </c>
      <c r="K82" s="27">
        <v>0</v>
      </c>
      <c r="L82" s="54">
        <f>SUM(G82:K82)</f>
        <v>132</v>
      </c>
      <c r="M82" s="54">
        <f>SUM(E82:K82)</f>
        <v>474.50600000000003</v>
      </c>
      <c r="N82">
        <v>361</v>
      </c>
      <c r="O82" s="23">
        <f t="shared" si="21"/>
        <v>113.50600000000003</v>
      </c>
      <c r="P82" s="24">
        <f t="shared" si="19"/>
        <v>0.31442105263157905</v>
      </c>
      <c r="Q82">
        <v>3901</v>
      </c>
    </row>
    <row r="83" spans="1:17" ht="15" customHeight="1">
      <c r="A83" s="42"/>
      <c r="D83" s="49" t="s">
        <v>31</v>
      </c>
      <c r="E83" s="74">
        <f>SUM(E79:E82)</f>
        <v>953.906</v>
      </c>
      <c r="F83" s="51"/>
      <c r="G83" s="81">
        <f aca="true" t="shared" si="23" ref="G83:N83">SUM(G79:G82)</f>
        <v>195</v>
      </c>
      <c r="H83" s="81">
        <f t="shared" si="23"/>
        <v>136</v>
      </c>
      <c r="I83" s="81">
        <f t="shared" si="23"/>
        <v>131</v>
      </c>
      <c r="J83" s="81">
        <f t="shared" si="23"/>
        <v>255</v>
      </c>
      <c r="K83" s="81">
        <f t="shared" si="23"/>
        <v>0</v>
      </c>
      <c r="L83" s="50">
        <f t="shared" si="23"/>
        <v>717</v>
      </c>
      <c r="M83" s="50">
        <f t="shared" si="23"/>
        <v>1670.9060000000002</v>
      </c>
      <c r="N83" s="50">
        <f t="shared" si="23"/>
        <v>1143</v>
      </c>
      <c r="O83" s="23">
        <f t="shared" si="21"/>
        <v>527.9060000000002</v>
      </c>
      <c r="P83" s="24">
        <f t="shared" si="19"/>
        <v>0.4618600174978129</v>
      </c>
      <c r="Q83"/>
    </row>
    <row r="84" spans="1:17" ht="15" customHeight="1">
      <c r="A84" s="42"/>
      <c r="E84" s="20"/>
      <c r="F84" s="21"/>
      <c r="G84" s="22"/>
      <c r="H84" s="22"/>
      <c r="I84" s="22"/>
      <c r="J84" s="22"/>
      <c r="K84" s="22"/>
      <c r="L84" s="22"/>
      <c r="M84" s="22"/>
      <c r="N84"/>
      <c r="O84" s="23">
        <f t="shared" si="21"/>
        <v>0</v>
      </c>
      <c r="P84" s="24" t="e">
        <f t="shared" si="19"/>
        <v>#DIV/0!</v>
      </c>
      <c r="Q84"/>
    </row>
    <row r="85" spans="1:17" ht="15" customHeight="1">
      <c r="A85" s="42" t="s">
        <v>32</v>
      </c>
      <c r="C85" s="1" t="s">
        <v>33</v>
      </c>
      <c r="D85" s="1" t="s">
        <v>34</v>
      </c>
      <c r="E85" s="20">
        <v>107.351</v>
      </c>
      <c r="F85" s="21"/>
      <c r="G85" s="31">
        <v>-104</v>
      </c>
      <c r="H85" s="31">
        <v>0</v>
      </c>
      <c r="I85" s="31">
        <v>57</v>
      </c>
      <c r="J85" s="31">
        <v>102</v>
      </c>
      <c r="K85" s="31">
        <v>0</v>
      </c>
      <c r="L85" s="22">
        <f>SUM(G85:K85)</f>
        <v>55</v>
      </c>
      <c r="M85" s="22">
        <f>SUM(E85:K85)</f>
        <v>162.351</v>
      </c>
      <c r="N85">
        <v>430</v>
      </c>
      <c r="O85" s="23">
        <f t="shared" si="21"/>
        <v>-267.649</v>
      </c>
      <c r="P85" s="24">
        <f t="shared" si="19"/>
        <v>-0.622439534883721</v>
      </c>
      <c r="Q85">
        <v>4101</v>
      </c>
    </row>
    <row r="86" spans="1:17" ht="15" customHeight="1">
      <c r="A86" s="42" t="s">
        <v>35</v>
      </c>
      <c r="C86" s="1" t="s">
        <v>36</v>
      </c>
      <c r="D86" s="1" t="s">
        <v>37</v>
      </c>
      <c r="E86" s="20">
        <v>369.4</v>
      </c>
      <c r="F86" s="21"/>
      <c r="G86" s="31">
        <v>0</v>
      </c>
      <c r="H86" s="31">
        <v>11</v>
      </c>
      <c r="I86" s="31">
        <v>274</v>
      </c>
      <c r="J86" s="31">
        <v>318</v>
      </c>
      <c r="K86" s="31">
        <v>0</v>
      </c>
      <c r="L86" s="22">
        <f>SUM(G86:K86)</f>
        <v>603</v>
      </c>
      <c r="M86" s="22">
        <f>SUM(E86:K86)</f>
        <v>972.4</v>
      </c>
      <c r="N86">
        <v>454</v>
      </c>
      <c r="O86" s="23">
        <f t="shared" si="21"/>
        <v>518.4</v>
      </c>
      <c r="P86" s="24">
        <f t="shared" si="19"/>
        <v>1.141850220264317</v>
      </c>
      <c r="Q86">
        <v>4301</v>
      </c>
    </row>
    <row r="87" spans="1:17" ht="15" customHeight="1">
      <c r="A87" s="42" t="s">
        <v>38</v>
      </c>
      <c r="C87" s="1" t="s">
        <v>39</v>
      </c>
      <c r="D87" s="1" t="s">
        <v>40</v>
      </c>
      <c r="E87" s="20">
        <v>80.521</v>
      </c>
      <c r="F87" s="21"/>
      <c r="G87" s="31">
        <v>0</v>
      </c>
      <c r="H87" s="31">
        <v>0</v>
      </c>
      <c r="I87" s="31">
        <v>314</v>
      </c>
      <c r="J87" s="31">
        <v>770</v>
      </c>
      <c r="K87" s="31">
        <v>0</v>
      </c>
      <c r="L87" s="22">
        <f>SUM(G87:K87)</f>
        <v>1084</v>
      </c>
      <c r="M87" s="22">
        <f>SUM(E87:K87)</f>
        <v>1164.521</v>
      </c>
      <c r="N87">
        <v>1309</v>
      </c>
      <c r="O87" s="23">
        <f t="shared" si="21"/>
        <v>-144.47900000000004</v>
      </c>
      <c r="P87" s="24">
        <f t="shared" si="19"/>
        <v>-0.11037356760886176</v>
      </c>
      <c r="Q87">
        <v>4401</v>
      </c>
    </row>
    <row r="88" spans="1:17" ht="15" customHeight="1">
      <c r="A88" s="42" t="s">
        <v>41</v>
      </c>
      <c r="C88" s="1" t="s">
        <v>42</v>
      </c>
      <c r="D88" s="1" t="s">
        <v>43</v>
      </c>
      <c r="E88" s="20">
        <v>161.05599999999998</v>
      </c>
      <c r="F88" s="21"/>
      <c r="G88" s="31">
        <v>0</v>
      </c>
      <c r="H88" s="31">
        <v>0</v>
      </c>
      <c r="I88" s="31">
        <v>356</v>
      </c>
      <c r="J88" s="31">
        <v>274</v>
      </c>
      <c r="K88" s="31">
        <v>53</v>
      </c>
      <c r="L88" s="22">
        <f>SUM(G88:K88)</f>
        <v>683</v>
      </c>
      <c r="M88" s="22">
        <f>SUM(E88:K88)</f>
        <v>844.056</v>
      </c>
      <c r="N88">
        <v>1107</v>
      </c>
      <c r="O88" s="23">
        <f t="shared" si="21"/>
        <v>-262.94399999999996</v>
      </c>
      <c r="P88" s="24">
        <f t="shared" si="19"/>
        <v>-0.2375284552845528</v>
      </c>
      <c r="Q88">
        <v>4501</v>
      </c>
    </row>
    <row r="89" spans="3:17" ht="15" customHeight="1" thickBot="1">
      <c r="C89" s="1" t="s">
        <v>44</v>
      </c>
      <c r="D89" s="19" t="s">
        <v>45</v>
      </c>
      <c r="E89" s="52">
        <v>1.3</v>
      </c>
      <c r="F89" s="53"/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54">
        <f>SUM(G89:K89)</f>
        <v>0</v>
      </c>
      <c r="M89" s="54">
        <f>SUM(E89:K89)</f>
        <v>1.3</v>
      </c>
      <c r="N89">
        <v>1</v>
      </c>
      <c r="O89" s="23">
        <f t="shared" si="21"/>
        <v>0.30000000000000004</v>
      </c>
      <c r="P89" s="24">
        <f t="shared" si="19"/>
        <v>0.30000000000000004</v>
      </c>
      <c r="Q89">
        <v>4601</v>
      </c>
    </row>
    <row r="90" spans="4:17" ht="15" customHeight="1">
      <c r="D90" s="49" t="s">
        <v>46</v>
      </c>
      <c r="E90" s="74">
        <f>SUM(E85:E89)</f>
        <v>719.6279999999999</v>
      </c>
      <c r="F90" s="51"/>
      <c r="G90" s="81">
        <f aca="true" t="shared" si="24" ref="G90:N90">SUM(G85:G89)</f>
        <v>-104</v>
      </c>
      <c r="H90" s="81">
        <f t="shared" si="24"/>
        <v>11</v>
      </c>
      <c r="I90" s="81">
        <f t="shared" si="24"/>
        <v>1001</v>
      </c>
      <c r="J90" s="81">
        <f t="shared" si="24"/>
        <v>1464</v>
      </c>
      <c r="K90" s="81">
        <f t="shared" si="24"/>
        <v>53</v>
      </c>
      <c r="L90" s="50">
        <f t="shared" si="24"/>
        <v>2425</v>
      </c>
      <c r="M90" s="50">
        <f t="shared" si="24"/>
        <v>3144.628</v>
      </c>
      <c r="N90" s="50">
        <f t="shared" si="24"/>
        <v>3301</v>
      </c>
      <c r="O90" s="23">
        <f t="shared" si="21"/>
        <v>-156.37199999999984</v>
      </c>
      <c r="P90" s="24">
        <f t="shared" si="19"/>
        <v>-0.0473710996667676</v>
      </c>
      <c r="Q90"/>
    </row>
    <row r="91" spans="4:17" ht="15" customHeight="1">
      <c r="D91" s="19"/>
      <c r="E91" s="20"/>
      <c r="F91" s="21"/>
      <c r="G91" s="22"/>
      <c r="H91" s="22"/>
      <c r="I91" s="22"/>
      <c r="J91" s="22"/>
      <c r="K91" s="22"/>
      <c r="L91" s="22"/>
      <c r="M91" s="22"/>
      <c r="N91"/>
      <c r="O91" s="23">
        <f t="shared" si="21"/>
        <v>0</v>
      </c>
      <c r="P91" s="24" t="e">
        <f t="shared" si="19"/>
        <v>#DIV/0!</v>
      </c>
      <c r="Q91"/>
    </row>
    <row r="92" spans="1:17" ht="15" customHeight="1">
      <c r="A92" s="42"/>
      <c r="C92" s="1" t="s">
        <v>47</v>
      </c>
      <c r="D92" s="1" t="s">
        <v>48</v>
      </c>
      <c r="E92" s="20"/>
      <c r="F92" s="21"/>
      <c r="G92" s="31">
        <v>0</v>
      </c>
      <c r="H92" s="31">
        <v>0</v>
      </c>
      <c r="I92" s="31">
        <v>7</v>
      </c>
      <c r="J92" s="31">
        <v>143</v>
      </c>
      <c r="K92" s="31">
        <v>0</v>
      </c>
      <c r="L92" s="22">
        <f aca="true" t="shared" si="25" ref="L92:L98">SUM(G92:K92)</f>
        <v>150</v>
      </c>
      <c r="M92" s="22">
        <f aca="true" t="shared" si="26" ref="M92:M98">SUM(E92:K92)</f>
        <v>150</v>
      </c>
      <c r="N92"/>
      <c r="O92" s="23">
        <f t="shared" si="21"/>
        <v>150</v>
      </c>
      <c r="P92" s="24" t="e">
        <f t="shared" si="19"/>
        <v>#DIV/0!</v>
      </c>
      <c r="Q92"/>
    </row>
    <row r="93" spans="1:17" ht="15" customHeight="1">
      <c r="A93" s="42"/>
      <c r="C93" s="1" t="s">
        <v>49</v>
      </c>
      <c r="D93" s="1" t="s">
        <v>50</v>
      </c>
      <c r="E93" s="20"/>
      <c r="F93" s="21"/>
      <c r="G93" s="31">
        <v>0</v>
      </c>
      <c r="H93" s="31">
        <v>0</v>
      </c>
      <c r="I93" s="31">
        <v>81</v>
      </c>
      <c r="J93" s="31">
        <v>115</v>
      </c>
      <c r="K93" s="31">
        <v>0</v>
      </c>
      <c r="L93" s="22">
        <f t="shared" si="25"/>
        <v>196</v>
      </c>
      <c r="M93" s="22">
        <f t="shared" si="26"/>
        <v>196</v>
      </c>
      <c r="N93">
        <v>611</v>
      </c>
      <c r="O93" s="23">
        <f t="shared" si="21"/>
        <v>-415</v>
      </c>
      <c r="P93" s="24">
        <f t="shared" si="19"/>
        <v>-0.679214402618658</v>
      </c>
      <c r="Q93">
        <v>5201</v>
      </c>
    </row>
    <row r="94" spans="1:17" ht="15" customHeight="1">
      <c r="A94" s="42"/>
      <c r="C94" s="1" t="s">
        <v>51</v>
      </c>
      <c r="D94" s="1" t="s">
        <v>52</v>
      </c>
      <c r="E94" s="20"/>
      <c r="F94" s="21"/>
      <c r="G94" s="31">
        <v>0</v>
      </c>
      <c r="H94" s="31">
        <v>0</v>
      </c>
      <c r="I94" s="31">
        <v>51</v>
      </c>
      <c r="J94" s="31">
        <v>114</v>
      </c>
      <c r="K94" s="31">
        <v>0</v>
      </c>
      <c r="L94" s="22">
        <f t="shared" si="25"/>
        <v>165</v>
      </c>
      <c r="M94" s="22">
        <f t="shared" si="26"/>
        <v>165</v>
      </c>
      <c r="N94">
        <v>351</v>
      </c>
      <c r="O94" s="23">
        <f t="shared" si="21"/>
        <v>-186</v>
      </c>
      <c r="P94" s="24">
        <f t="shared" si="19"/>
        <v>-0.5299145299145299</v>
      </c>
      <c r="Q94">
        <v>5301</v>
      </c>
    </row>
    <row r="95" spans="1:17" ht="15" customHeight="1">
      <c r="A95" s="42"/>
      <c r="C95" s="1" t="s">
        <v>53</v>
      </c>
      <c r="D95" s="1" t="s">
        <v>54</v>
      </c>
      <c r="E95" s="20"/>
      <c r="F95" s="21"/>
      <c r="G95" s="31">
        <v>0</v>
      </c>
      <c r="H95" s="31">
        <v>0</v>
      </c>
      <c r="I95" s="31">
        <v>12</v>
      </c>
      <c r="J95" s="31">
        <v>193</v>
      </c>
      <c r="K95" s="31">
        <v>0</v>
      </c>
      <c r="L95" s="22">
        <f t="shared" si="25"/>
        <v>205</v>
      </c>
      <c r="M95" s="22">
        <f t="shared" si="26"/>
        <v>205</v>
      </c>
      <c r="N95">
        <v>221</v>
      </c>
      <c r="O95" s="23">
        <f t="shared" si="21"/>
        <v>-16</v>
      </c>
      <c r="P95" s="24">
        <f t="shared" si="19"/>
        <v>-0.07239819004524888</v>
      </c>
      <c r="Q95">
        <v>5401</v>
      </c>
    </row>
    <row r="96" spans="1:17" ht="15" customHeight="1">
      <c r="A96" s="42"/>
      <c r="C96" s="1" t="s">
        <v>55</v>
      </c>
      <c r="D96" s="1" t="s">
        <v>56</v>
      </c>
      <c r="E96" s="20"/>
      <c r="F96" s="21"/>
      <c r="G96" s="31">
        <v>0</v>
      </c>
      <c r="H96" s="31">
        <v>0</v>
      </c>
      <c r="I96" s="31">
        <v>17</v>
      </c>
      <c r="J96" s="31">
        <v>112</v>
      </c>
      <c r="K96" s="31">
        <v>0</v>
      </c>
      <c r="L96" s="22">
        <f t="shared" si="25"/>
        <v>129</v>
      </c>
      <c r="M96" s="22">
        <f t="shared" si="26"/>
        <v>129</v>
      </c>
      <c r="N96">
        <v>162</v>
      </c>
      <c r="O96" s="23">
        <f t="shared" si="21"/>
        <v>-33</v>
      </c>
      <c r="P96" s="24">
        <f t="shared" si="19"/>
        <v>-0.2037037037037037</v>
      </c>
      <c r="Q96">
        <v>5501</v>
      </c>
    </row>
    <row r="97" spans="1:17" ht="15" customHeight="1">
      <c r="A97" s="42"/>
      <c r="C97" s="1" t="s">
        <v>57</v>
      </c>
      <c r="D97" s="1" t="s">
        <v>58</v>
      </c>
      <c r="E97" s="20"/>
      <c r="F97" s="21"/>
      <c r="G97" s="31">
        <v>0</v>
      </c>
      <c r="H97" s="31">
        <v>0</v>
      </c>
      <c r="I97" s="31">
        <v>12</v>
      </c>
      <c r="J97" s="31">
        <v>210</v>
      </c>
      <c r="K97" s="31">
        <v>0</v>
      </c>
      <c r="L97" s="22">
        <f t="shared" si="25"/>
        <v>222</v>
      </c>
      <c r="M97" s="22">
        <f t="shared" si="26"/>
        <v>222</v>
      </c>
      <c r="N97">
        <v>382</v>
      </c>
      <c r="O97" s="23">
        <f t="shared" si="21"/>
        <v>-160</v>
      </c>
      <c r="P97" s="24">
        <f t="shared" si="19"/>
        <v>-0.418848167539267</v>
      </c>
      <c r="Q97">
        <v>5601</v>
      </c>
    </row>
    <row r="98" spans="1:17" ht="15" customHeight="1" thickBot="1">
      <c r="A98" s="42" t="s">
        <v>59</v>
      </c>
      <c r="C98" s="1" t="s">
        <v>60</v>
      </c>
      <c r="D98" s="1" t="s">
        <v>61</v>
      </c>
      <c r="E98" s="52">
        <v>33.022</v>
      </c>
      <c r="F98" s="53"/>
      <c r="G98" s="27">
        <v>7</v>
      </c>
      <c r="H98" s="27">
        <v>24</v>
      </c>
      <c r="I98" s="27">
        <v>19</v>
      </c>
      <c r="J98" s="27">
        <v>19</v>
      </c>
      <c r="K98" s="27">
        <v>0</v>
      </c>
      <c r="L98" s="54">
        <f t="shared" si="25"/>
        <v>69</v>
      </c>
      <c r="M98" s="54">
        <f t="shared" si="26"/>
        <v>102.02199999999999</v>
      </c>
      <c r="N98">
        <v>323</v>
      </c>
      <c r="O98" s="23">
        <f t="shared" si="21"/>
        <v>-220.978</v>
      </c>
      <c r="P98" s="24">
        <f t="shared" si="19"/>
        <v>-0.6841424148606812</v>
      </c>
      <c r="Q98">
        <v>5801</v>
      </c>
    </row>
    <row r="99" spans="1:17" ht="15" customHeight="1">
      <c r="A99" s="42"/>
      <c r="D99" s="49" t="s">
        <v>62</v>
      </c>
      <c r="E99" s="74">
        <f>SUM(E92:E98)</f>
        <v>33.022</v>
      </c>
      <c r="F99" s="51"/>
      <c r="G99" s="81">
        <f aca="true" t="shared" si="27" ref="G99:N99">SUM(G92:G98)</f>
        <v>7</v>
      </c>
      <c r="H99" s="81">
        <f t="shared" si="27"/>
        <v>24</v>
      </c>
      <c r="I99" s="81">
        <f t="shared" si="27"/>
        <v>199</v>
      </c>
      <c r="J99" s="81">
        <f t="shared" si="27"/>
        <v>906</v>
      </c>
      <c r="K99" s="81">
        <f t="shared" si="27"/>
        <v>0</v>
      </c>
      <c r="L99" s="50">
        <f t="shared" si="27"/>
        <v>1136</v>
      </c>
      <c r="M99" s="50">
        <f t="shared" si="27"/>
        <v>1169.022</v>
      </c>
      <c r="N99" s="50">
        <f t="shared" si="27"/>
        <v>2050</v>
      </c>
      <c r="O99" s="23">
        <f t="shared" si="21"/>
        <v>-880.9780000000001</v>
      </c>
      <c r="P99" s="24">
        <f t="shared" si="19"/>
        <v>-0.4297453658536586</v>
      </c>
      <c r="Q99"/>
    </row>
    <row r="100" spans="1:18" ht="15" customHeight="1">
      <c r="A100" s="42"/>
      <c r="E100" s="20"/>
      <c r="F100" s="21"/>
      <c r="G100" s="22"/>
      <c r="H100" s="22"/>
      <c r="I100" s="22"/>
      <c r="J100" s="22"/>
      <c r="K100" s="22"/>
      <c r="L100" s="22"/>
      <c r="M100" s="22"/>
      <c r="O100" s="23">
        <f t="shared" si="21"/>
        <v>0</v>
      </c>
      <c r="P100" s="24" t="e">
        <f aca="true" t="shared" si="28" ref="P100:P129">+O100/N100</f>
        <v>#DIV/0!</v>
      </c>
      <c r="R100" s="1">
        <f>SUM(N98:N99)</f>
        <v>2373</v>
      </c>
    </row>
    <row r="101" spans="3:17" ht="15" customHeight="1">
      <c r="C101" s="1" t="s">
        <v>63</v>
      </c>
      <c r="D101" s="19" t="s">
        <v>64</v>
      </c>
      <c r="E101" s="20">
        <v>24</v>
      </c>
      <c r="F101" s="21"/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f>SUM(G101:K101)</f>
        <v>0</v>
      </c>
      <c r="M101" s="22">
        <f>SUM(E101:K101)</f>
        <v>24</v>
      </c>
      <c r="N101">
        <v>24</v>
      </c>
      <c r="O101" s="23">
        <f t="shared" si="21"/>
        <v>0</v>
      </c>
      <c r="P101" s="24">
        <f t="shared" si="28"/>
        <v>0</v>
      </c>
      <c r="Q101">
        <v>6163</v>
      </c>
    </row>
    <row r="102" spans="1:17" ht="15" customHeight="1">
      <c r="A102" s="42"/>
      <c r="D102" s="1" t="s">
        <v>65</v>
      </c>
      <c r="E102" s="20"/>
      <c r="F102" s="21"/>
      <c r="G102" s="31">
        <v>0</v>
      </c>
      <c r="H102" s="31">
        <v>0</v>
      </c>
      <c r="I102" s="31">
        <v>46</v>
      </c>
      <c r="J102" s="31">
        <v>0</v>
      </c>
      <c r="K102" s="31">
        <v>0</v>
      </c>
      <c r="L102" s="22">
        <f>SUM(G102:K102)</f>
        <v>46</v>
      </c>
      <c r="M102" s="22">
        <f>SUM(E102:K102)</f>
        <v>46</v>
      </c>
      <c r="N102">
        <v>95</v>
      </c>
      <c r="O102" s="23">
        <f t="shared" si="21"/>
        <v>-49</v>
      </c>
      <c r="P102" s="24">
        <f t="shared" si="28"/>
        <v>-0.5157894736842106</v>
      </c>
      <c r="Q102">
        <v>6101</v>
      </c>
    </row>
    <row r="103" spans="1:17" ht="15" customHeight="1">
      <c r="A103" s="42"/>
      <c r="C103" s="1" t="s">
        <v>66</v>
      </c>
      <c r="D103" s="1" t="s">
        <v>67</v>
      </c>
      <c r="E103" s="20"/>
      <c r="F103" s="21"/>
      <c r="G103" s="31">
        <v>0</v>
      </c>
      <c r="H103" s="31">
        <v>0</v>
      </c>
      <c r="I103" s="31">
        <v>271</v>
      </c>
      <c r="J103" s="31">
        <v>384</v>
      </c>
      <c r="K103" s="31">
        <v>0</v>
      </c>
      <c r="L103" s="22">
        <f>SUM(G103:K103)</f>
        <v>655</v>
      </c>
      <c r="M103" s="22">
        <f>SUM(E103:K103)</f>
        <v>655</v>
      </c>
      <c r="N103">
        <v>463</v>
      </c>
      <c r="O103" s="23">
        <f t="shared" si="21"/>
        <v>192</v>
      </c>
      <c r="P103" s="24">
        <f t="shared" si="28"/>
        <v>0.4146868250539957</v>
      </c>
      <c r="Q103">
        <v>6201</v>
      </c>
    </row>
    <row r="104" spans="1:17" ht="15" customHeight="1">
      <c r="A104" s="42"/>
      <c r="C104" s="1" t="s">
        <v>68</v>
      </c>
      <c r="D104" s="1" t="s">
        <v>69</v>
      </c>
      <c r="E104" s="20"/>
      <c r="F104" s="21"/>
      <c r="G104" s="31">
        <v>0</v>
      </c>
      <c r="H104" s="31">
        <v>0</v>
      </c>
      <c r="I104" s="31">
        <v>105</v>
      </c>
      <c r="J104" s="31">
        <v>0</v>
      </c>
      <c r="K104" s="31">
        <v>0</v>
      </c>
      <c r="L104" s="22">
        <f>SUM(G104:K104)</f>
        <v>105</v>
      </c>
      <c r="M104" s="22">
        <f>SUM(E104:K104)</f>
        <v>105</v>
      </c>
      <c r="N104">
        <v>109</v>
      </c>
      <c r="O104" s="23">
        <f t="shared" si="21"/>
        <v>-4</v>
      </c>
      <c r="P104" s="24">
        <f t="shared" si="28"/>
        <v>-0.03669724770642202</v>
      </c>
      <c r="Q104">
        <v>6301</v>
      </c>
    </row>
    <row r="105" spans="1:17" ht="15" customHeight="1" thickBot="1">
      <c r="A105" s="42"/>
      <c r="C105" s="1" t="s">
        <v>70</v>
      </c>
      <c r="D105" s="45" t="s">
        <v>71</v>
      </c>
      <c r="E105" s="52"/>
      <c r="F105" s="53"/>
      <c r="G105" s="27">
        <v>0</v>
      </c>
      <c r="H105" s="27">
        <v>0</v>
      </c>
      <c r="I105" s="27">
        <v>107</v>
      </c>
      <c r="J105" s="27">
        <v>466</v>
      </c>
      <c r="K105" s="27">
        <v>0</v>
      </c>
      <c r="L105" s="54">
        <f>SUM(G105:K105)</f>
        <v>573</v>
      </c>
      <c r="M105" s="54">
        <f>SUM(E105:K105)</f>
        <v>573</v>
      </c>
      <c r="N105"/>
      <c r="O105" s="46">
        <f t="shared" si="21"/>
        <v>573</v>
      </c>
      <c r="P105" s="24" t="e">
        <f t="shared" si="28"/>
        <v>#DIV/0!</v>
      </c>
      <c r="Q105"/>
    </row>
    <row r="106" spans="1:17" ht="15" customHeight="1">
      <c r="A106" s="42"/>
      <c r="D106" s="49" t="s">
        <v>72</v>
      </c>
      <c r="E106" s="74">
        <f>SUM(E101:E105)</f>
        <v>24</v>
      </c>
      <c r="F106" s="51"/>
      <c r="G106" s="81">
        <f aca="true" t="shared" si="29" ref="G106:N106">SUM(G101:G105)</f>
        <v>0</v>
      </c>
      <c r="H106" s="81">
        <f t="shared" si="29"/>
        <v>0</v>
      </c>
      <c r="I106" s="81">
        <f t="shared" si="29"/>
        <v>529</v>
      </c>
      <c r="J106" s="81">
        <f t="shared" si="29"/>
        <v>850</v>
      </c>
      <c r="K106" s="81">
        <f t="shared" si="29"/>
        <v>0</v>
      </c>
      <c r="L106" s="50">
        <f t="shared" si="29"/>
        <v>1379</v>
      </c>
      <c r="M106" s="50">
        <f t="shared" si="29"/>
        <v>1403</v>
      </c>
      <c r="N106" s="50">
        <f t="shared" si="29"/>
        <v>691</v>
      </c>
      <c r="O106" s="23">
        <f t="shared" si="21"/>
        <v>712</v>
      </c>
      <c r="P106" s="24">
        <f t="shared" si="28"/>
        <v>1.0303907380607815</v>
      </c>
      <c r="Q106"/>
    </row>
    <row r="107" spans="1:17" ht="15" customHeight="1">
      <c r="A107" s="42"/>
      <c r="E107" s="20"/>
      <c r="F107" s="21"/>
      <c r="G107" s="22"/>
      <c r="H107" s="22"/>
      <c r="I107" s="22"/>
      <c r="J107" s="22"/>
      <c r="K107" s="22"/>
      <c r="L107" s="22"/>
      <c r="M107" s="22"/>
      <c r="N107"/>
      <c r="O107" s="23">
        <f aca="true" t="shared" si="30" ref="O107:O129">+M107-N107</f>
        <v>0</v>
      </c>
      <c r="P107" s="24" t="e">
        <f t="shared" si="28"/>
        <v>#DIV/0!</v>
      </c>
      <c r="Q107"/>
    </row>
    <row r="108" spans="3:17" ht="15" customHeight="1">
      <c r="C108" s="1" t="s">
        <v>73</v>
      </c>
      <c r="D108" s="19" t="s">
        <v>74</v>
      </c>
      <c r="E108" s="20">
        <v>32.605</v>
      </c>
      <c r="F108" s="21"/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f aca="true" t="shared" si="31" ref="L108:L113">SUM(G108:K108)</f>
        <v>0</v>
      </c>
      <c r="M108" s="22">
        <f aca="true" t="shared" si="32" ref="M108:M113">SUM(E108:K108)</f>
        <v>32.605</v>
      </c>
      <c r="N108">
        <v>80</v>
      </c>
      <c r="O108" s="23">
        <f t="shared" si="30"/>
        <v>-47.395</v>
      </c>
      <c r="P108" s="24">
        <f t="shared" si="28"/>
        <v>-0.5924375000000001</v>
      </c>
      <c r="Q108">
        <v>7101</v>
      </c>
    </row>
    <row r="109" spans="1:17" ht="15" customHeight="1">
      <c r="A109" s="42" t="s">
        <v>75</v>
      </c>
      <c r="C109" s="1" t="s">
        <v>76</v>
      </c>
      <c r="D109" s="1" t="s">
        <v>75</v>
      </c>
      <c r="E109" s="20">
        <v>75.836</v>
      </c>
      <c r="F109" s="21"/>
      <c r="G109" s="31">
        <v>2</v>
      </c>
      <c r="H109" s="31">
        <v>5</v>
      </c>
      <c r="I109" s="31">
        <v>197</v>
      </c>
      <c r="J109" s="31">
        <v>0</v>
      </c>
      <c r="K109" s="31">
        <v>0</v>
      </c>
      <c r="L109" s="22">
        <f t="shared" si="31"/>
        <v>204</v>
      </c>
      <c r="M109" s="22">
        <f t="shared" si="32"/>
        <v>279.836</v>
      </c>
      <c r="N109">
        <v>164</v>
      </c>
      <c r="O109" s="23">
        <f t="shared" si="30"/>
        <v>115.83600000000001</v>
      </c>
      <c r="P109" s="24">
        <f t="shared" si="28"/>
        <v>0.7063170731707318</v>
      </c>
      <c r="Q109">
        <v>7301</v>
      </c>
    </row>
    <row r="110" spans="1:17" ht="15" customHeight="1">
      <c r="A110" s="42" t="s">
        <v>77</v>
      </c>
      <c r="C110" s="1" t="s">
        <v>78</v>
      </c>
      <c r="D110" s="1" t="s">
        <v>79</v>
      </c>
      <c r="E110" s="20">
        <v>854.9</v>
      </c>
      <c r="F110" s="21"/>
      <c r="G110" s="31">
        <v>-308</v>
      </c>
      <c r="H110" s="31">
        <v>23</v>
      </c>
      <c r="I110" s="31">
        <v>615</v>
      </c>
      <c r="J110" s="31">
        <v>857</v>
      </c>
      <c r="K110" s="31">
        <v>230</v>
      </c>
      <c r="L110" s="22">
        <f t="shared" si="31"/>
        <v>1417</v>
      </c>
      <c r="M110" s="22">
        <f t="shared" si="32"/>
        <v>2271.9</v>
      </c>
      <c r="N110">
        <v>1565</v>
      </c>
      <c r="O110" s="23">
        <f t="shared" si="30"/>
        <v>706.9000000000001</v>
      </c>
      <c r="P110" s="24">
        <f t="shared" si="28"/>
        <v>0.45169329073482434</v>
      </c>
      <c r="Q110">
        <v>7401</v>
      </c>
    </row>
    <row r="111" spans="1:17" ht="15" customHeight="1">
      <c r="A111" s="42"/>
      <c r="C111" s="1" t="s">
        <v>80</v>
      </c>
      <c r="D111" s="32" t="s">
        <v>81</v>
      </c>
      <c r="E111" s="20"/>
      <c r="F111" s="21"/>
      <c r="G111" s="31">
        <v>0</v>
      </c>
      <c r="H111" s="31">
        <v>0</v>
      </c>
      <c r="I111" s="31">
        <v>336</v>
      </c>
      <c r="J111" s="31">
        <v>806</v>
      </c>
      <c r="K111" s="31">
        <v>265</v>
      </c>
      <c r="L111" s="22">
        <f t="shared" si="31"/>
        <v>1407</v>
      </c>
      <c r="M111" s="22">
        <f t="shared" si="32"/>
        <v>1407</v>
      </c>
      <c r="N111">
        <v>1111</v>
      </c>
      <c r="O111" s="33">
        <f t="shared" si="30"/>
        <v>296</v>
      </c>
      <c r="P111" s="24">
        <f t="shared" si="28"/>
        <v>0.2664266426642664</v>
      </c>
      <c r="Q111">
        <v>7501</v>
      </c>
    </row>
    <row r="112" spans="1:17" ht="15" customHeight="1">
      <c r="A112" s="42"/>
      <c r="C112" s="1" t="s">
        <v>80</v>
      </c>
      <c r="D112" s="32" t="s">
        <v>82</v>
      </c>
      <c r="E112" s="20"/>
      <c r="F112" s="21"/>
      <c r="G112" s="31">
        <v>0</v>
      </c>
      <c r="H112" s="31">
        <v>0</v>
      </c>
      <c r="I112" s="31">
        <v>1668</v>
      </c>
      <c r="J112" s="31">
        <v>2205</v>
      </c>
      <c r="K112" s="31">
        <v>638</v>
      </c>
      <c r="L112" s="22">
        <f t="shared" si="31"/>
        <v>4511</v>
      </c>
      <c r="M112" s="22">
        <f t="shared" si="32"/>
        <v>4511</v>
      </c>
      <c r="N112">
        <v>1254</v>
      </c>
      <c r="O112" s="33">
        <f t="shared" si="30"/>
        <v>3257</v>
      </c>
      <c r="P112" s="24">
        <f t="shared" si="28"/>
        <v>2.5972886762360448</v>
      </c>
      <c r="Q112">
        <v>7503</v>
      </c>
    </row>
    <row r="113" spans="1:17" ht="15" customHeight="1" thickBot="1">
      <c r="A113" s="42"/>
      <c r="C113" s="1" t="s">
        <v>0</v>
      </c>
      <c r="D113" s="1" t="s">
        <v>1</v>
      </c>
      <c r="E113" s="52"/>
      <c r="F113" s="53"/>
      <c r="G113" s="27">
        <v>0</v>
      </c>
      <c r="H113" s="27">
        <v>0</v>
      </c>
      <c r="I113" s="27">
        <v>207</v>
      </c>
      <c r="J113" s="27">
        <v>205</v>
      </c>
      <c r="K113" s="27">
        <v>0</v>
      </c>
      <c r="L113" s="54">
        <f t="shared" si="31"/>
        <v>412</v>
      </c>
      <c r="M113" s="54">
        <f t="shared" si="32"/>
        <v>412</v>
      </c>
      <c r="N113">
        <v>238</v>
      </c>
      <c r="O113" s="23">
        <f t="shared" si="30"/>
        <v>174</v>
      </c>
      <c r="P113" s="24">
        <f t="shared" si="28"/>
        <v>0.7310924369747899</v>
      </c>
      <c r="Q113">
        <v>7601</v>
      </c>
    </row>
    <row r="114" spans="1:17" ht="15" customHeight="1">
      <c r="A114" s="42"/>
      <c r="D114" s="49" t="s">
        <v>2</v>
      </c>
      <c r="E114" s="74">
        <f>SUM(E108:E113)</f>
        <v>963.341</v>
      </c>
      <c r="F114" s="51"/>
      <c r="G114" s="81">
        <f aca="true" t="shared" si="33" ref="G114:N114">SUM(G108:G113)</f>
        <v>-306</v>
      </c>
      <c r="H114" s="81">
        <f t="shared" si="33"/>
        <v>28</v>
      </c>
      <c r="I114" s="81">
        <f t="shared" si="33"/>
        <v>3023</v>
      </c>
      <c r="J114" s="81">
        <f t="shared" si="33"/>
        <v>4073</v>
      </c>
      <c r="K114" s="81">
        <f t="shared" si="33"/>
        <v>1133</v>
      </c>
      <c r="L114" s="50">
        <f t="shared" si="33"/>
        <v>7951</v>
      </c>
      <c r="M114" s="50">
        <f t="shared" si="33"/>
        <v>8914.341</v>
      </c>
      <c r="N114" s="50">
        <f t="shared" si="33"/>
        <v>4412</v>
      </c>
      <c r="O114" s="23">
        <f t="shared" si="30"/>
        <v>4502.341</v>
      </c>
      <c r="P114" s="24">
        <f t="shared" si="28"/>
        <v>1.0204762012692656</v>
      </c>
      <c r="Q114"/>
    </row>
    <row r="115" spans="1:17" ht="15" customHeight="1">
      <c r="A115" s="42"/>
      <c r="E115" s="20"/>
      <c r="F115" s="21"/>
      <c r="G115" s="22"/>
      <c r="H115" s="22"/>
      <c r="I115" s="22"/>
      <c r="J115" s="22"/>
      <c r="K115" s="22"/>
      <c r="L115" s="22"/>
      <c r="M115" s="22"/>
      <c r="N115"/>
      <c r="O115" s="23">
        <f t="shared" si="30"/>
        <v>0</v>
      </c>
      <c r="P115" s="24" t="e">
        <f t="shared" si="28"/>
        <v>#DIV/0!</v>
      </c>
      <c r="Q115"/>
    </row>
    <row r="116" spans="1:17" ht="15" customHeight="1">
      <c r="A116" s="19" t="s">
        <v>3</v>
      </c>
      <c r="C116" s="1" t="s">
        <v>4</v>
      </c>
      <c r="D116" s="32" t="s">
        <v>5</v>
      </c>
      <c r="E116" s="76">
        <f>2829.4-7</f>
        <v>2822.4</v>
      </c>
      <c r="F116" s="78" t="s">
        <v>196</v>
      </c>
      <c r="G116" s="22">
        <v>278</v>
      </c>
      <c r="H116" s="22">
        <v>1034</v>
      </c>
      <c r="I116" s="22">
        <v>1158</v>
      </c>
      <c r="J116" s="22">
        <v>1074</v>
      </c>
      <c r="K116" s="22">
        <v>299</v>
      </c>
      <c r="L116" s="22">
        <f aca="true" t="shared" si="34" ref="L116:L127">SUM(G116:K116)</f>
        <v>3843</v>
      </c>
      <c r="M116" s="22">
        <f aca="true" t="shared" si="35" ref="M116:M127">SUM(E116:K116)</f>
        <v>6665.4</v>
      </c>
      <c r="N116">
        <v>4197</v>
      </c>
      <c r="O116" s="33">
        <f t="shared" si="30"/>
        <v>2468.3999999999996</v>
      </c>
      <c r="P116" s="24">
        <f t="shared" si="28"/>
        <v>0.588134381701215</v>
      </c>
      <c r="Q116">
        <v>8101</v>
      </c>
    </row>
    <row r="117" spans="1:17" ht="15" customHeight="1">
      <c r="A117" s="19" t="s">
        <v>6</v>
      </c>
      <c r="D117" s="32" t="s">
        <v>7</v>
      </c>
      <c r="E117" s="20">
        <v>553.747</v>
      </c>
      <c r="F117" s="21"/>
      <c r="G117" s="22">
        <v>60</v>
      </c>
      <c r="H117" s="22">
        <v>159</v>
      </c>
      <c r="I117" s="22">
        <v>159</v>
      </c>
      <c r="J117" s="22">
        <v>102</v>
      </c>
      <c r="K117" s="22">
        <v>19</v>
      </c>
      <c r="L117" s="22">
        <f t="shared" si="34"/>
        <v>499</v>
      </c>
      <c r="M117" s="22">
        <f t="shared" si="35"/>
        <v>1052.7469999999998</v>
      </c>
      <c r="N117">
        <v>387</v>
      </c>
      <c r="O117" s="33">
        <f t="shared" si="30"/>
        <v>665.7469999999998</v>
      </c>
      <c r="P117" s="24">
        <f t="shared" si="28"/>
        <v>1.7202764857881132</v>
      </c>
      <c r="Q117">
        <v>8102</v>
      </c>
    </row>
    <row r="118" spans="1:17" ht="15" customHeight="1">
      <c r="A118" s="19" t="s">
        <v>8</v>
      </c>
      <c r="C118" s="1" t="s">
        <v>9</v>
      </c>
      <c r="D118" s="32" t="s">
        <v>10</v>
      </c>
      <c r="E118" s="76">
        <f>2653.4-7</f>
        <v>2646.4</v>
      </c>
      <c r="F118" s="78" t="s">
        <v>196</v>
      </c>
      <c r="G118" s="22">
        <v>476</v>
      </c>
      <c r="H118" s="22">
        <v>665</v>
      </c>
      <c r="I118" s="22">
        <v>663</v>
      </c>
      <c r="J118" s="22">
        <v>660</v>
      </c>
      <c r="K118" s="22">
        <v>185</v>
      </c>
      <c r="L118" s="22">
        <f t="shared" si="34"/>
        <v>2649</v>
      </c>
      <c r="M118" s="22">
        <f t="shared" si="35"/>
        <v>5295.4</v>
      </c>
      <c r="N118">
        <v>2835</v>
      </c>
      <c r="O118" s="33">
        <f t="shared" si="30"/>
        <v>2460.3999999999996</v>
      </c>
      <c r="P118" s="24">
        <f t="shared" si="28"/>
        <v>0.8678659611992944</v>
      </c>
      <c r="Q118">
        <v>8202</v>
      </c>
    </row>
    <row r="119" spans="1:17" ht="15" customHeight="1">
      <c r="A119" s="19" t="s">
        <v>11</v>
      </c>
      <c r="D119" s="40" t="s">
        <v>12</v>
      </c>
      <c r="E119" s="76">
        <f>988.511-3</f>
        <v>985.511</v>
      </c>
      <c r="F119" s="78" t="s">
        <v>196</v>
      </c>
      <c r="G119" s="22">
        <v>160</v>
      </c>
      <c r="H119" s="22">
        <v>377</v>
      </c>
      <c r="I119" s="22">
        <v>376</v>
      </c>
      <c r="J119" s="22">
        <v>374</v>
      </c>
      <c r="K119" s="22">
        <v>121</v>
      </c>
      <c r="L119" s="22">
        <f t="shared" si="34"/>
        <v>1408</v>
      </c>
      <c r="M119" s="22">
        <f t="shared" si="35"/>
        <v>2393.511</v>
      </c>
      <c r="N119">
        <v>1116</v>
      </c>
      <c r="O119" s="41">
        <f t="shared" si="30"/>
        <v>1277.511</v>
      </c>
      <c r="P119" s="24">
        <f t="shared" si="28"/>
        <v>1.1447231182795699</v>
      </c>
      <c r="Q119">
        <v>8203</v>
      </c>
    </row>
    <row r="120" spans="1:17" ht="15" customHeight="1">
      <c r="A120" s="19" t="s">
        <v>13</v>
      </c>
      <c r="D120" s="40" t="s">
        <v>14</v>
      </c>
      <c r="E120" s="76">
        <f>1283.406-7</f>
        <v>1276.406</v>
      </c>
      <c r="F120" s="78" t="s">
        <v>196</v>
      </c>
      <c r="G120" s="22">
        <v>181</v>
      </c>
      <c r="H120" s="22">
        <v>295</v>
      </c>
      <c r="I120" s="22">
        <v>293</v>
      </c>
      <c r="J120" s="22">
        <v>292</v>
      </c>
      <c r="K120" s="22">
        <v>93</v>
      </c>
      <c r="L120" s="22">
        <f t="shared" si="34"/>
        <v>1154</v>
      </c>
      <c r="M120" s="22">
        <f t="shared" si="35"/>
        <v>2430.406</v>
      </c>
      <c r="N120">
        <v>601</v>
      </c>
      <c r="O120" s="41">
        <f t="shared" si="30"/>
        <v>1829.406</v>
      </c>
      <c r="P120" s="24">
        <f t="shared" si="28"/>
        <v>3.043936772046589</v>
      </c>
      <c r="Q120">
        <v>8204</v>
      </c>
    </row>
    <row r="121" spans="1:17" ht="15" customHeight="1">
      <c r="A121" s="19" t="s">
        <v>15</v>
      </c>
      <c r="D121" s="1" t="s">
        <v>16</v>
      </c>
      <c r="E121" s="20">
        <v>301.9</v>
      </c>
      <c r="F121" s="21"/>
      <c r="G121" s="22">
        <v>102</v>
      </c>
      <c r="H121" s="22">
        <v>266</v>
      </c>
      <c r="I121" s="22">
        <v>162</v>
      </c>
      <c r="J121" s="22">
        <v>56</v>
      </c>
      <c r="K121" s="22">
        <v>12</v>
      </c>
      <c r="L121" s="22">
        <f t="shared" si="34"/>
        <v>598</v>
      </c>
      <c r="M121" s="22">
        <f t="shared" si="35"/>
        <v>899.9</v>
      </c>
      <c r="N121">
        <v>332</v>
      </c>
      <c r="O121" s="23">
        <f t="shared" si="30"/>
        <v>567.9</v>
      </c>
      <c r="P121" s="24">
        <f t="shared" si="28"/>
        <v>1.7105421686746987</v>
      </c>
      <c r="Q121">
        <v>8205</v>
      </c>
    </row>
    <row r="122" spans="1:16" ht="15" customHeight="1">
      <c r="A122" s="19" t="s">
        <v>17</v>
      </c>
      <c r="D122" s="1" t="s">
        <v>18</v>
      </c>
      <c r="E122" s="20">
        <v>37.646</v>
      </c>
      <c r="F122" s="21"/>
      <c r="G122" s="22">
        <v>19</v>
      </c>
      <c r="H122" s="22">
        <v>0</v>
      </c>
      <c r="I122" s="22">
        <v>0</v>
      </c>
      <c r="J122" s="22">
        <v>0</v>
      </c>
      <c r="K122" s="22">
        <v>0</v>
      </c>
      <c r="L122" s="22">
        <f t="shared" si="34"/>
        <v>19</v>
      </c>
      <c r="M122" s="22">
        <f t="shared" si="35"/>
        <v>56.646</v>
      </c>
      <c r="O122" s="23">
        <f t="shared" si="30"/>
        <v>56.646</v>
      </c>
      <c r="P122" s="24" t="e">
        <f t="shared" si="28"/>
        <v>#DIV/0!</v>
      </c>
    </row>
    <row r="123" spans="1:16" ht="15" customHeight="1">
      <c r="A123" s="19"/>
      <c r="D123" s="1" t="s">
        <v>19</v>
      </c>
      <c r="E123" s="20"/>
      <c r="F123" s="21"/>
      <c r="G123" s="22">
        <v>15</v>
      </c>
      <c r="H123" s="22">
        <v>32</v>
      </c>
      <c r="I123" s="22">
        <v>32</v>
      </c>
      <c r="J123" s="22">
        <v>32</v>
      </c>
      <c r="K123" s="22">
        <v>10</v>
      </c>
      <c r="L123" s="22">
        <f t="shared" si="34"/>
        <v>121</v>
      </c>
      <c r="M123" s="22">
        <f t="shared" si="35"/>
        <v>121</v>
      </c>
      <c r="O123" s="23">
        <f t="shared" si="30"/>
        <v>121</v>
      </c>
      <c r="P123" s="24" t="e">
        <f t="shared" si="28"/>
        <v>#DIV/0!</v>
      </c>
    </row>
    <row r="124" spans="1:17" ht="15" customHeight="1">
      <c r="A124" s="19"/>
      <c r="D124" s="1" t="s">
        <v>20</v>
      </c>
      <c r="E124" s="76">
        <f>1419.99-4</f>
        <v>1415.99</v>
      </c>
      <c r="F124" s="78" t="s">
        <v>196</v>
      </c>
      <c r="G124" s="22">
        <v>144</v>
      </c>
      <c r="H124" s="22">
        <v>384</v>
      </c>
      <c r="I124" s="22">
        <v>406</v>
      </c>
      <c r="J124" s="22">
        <v>431</v>
      </c>
      <c r="K124" s="22">
        <v>88</v>
      </c>
      <c r="L124" s="22">
        <f t="shared" si="34"/>
        <v>1453</v>
      </c>
      <c r="M124" s="22">
        <f t="shared" si="35"/>
        <v>2868.99</v>
      </c>
      <c r="N124">
        <v>1577</v>
      </c>
      <c r="O124" s="23">
        <f t="shared" si="30"/>
        <v>1291.9899999999998</v>
      </c>
      <c r="P124" s="24">
        <f t="shared" si="28"/>
        <v>0.8192707672796448</v>
      </c>
      <c r="Q124">
        <v>8998</v>
      </c>
    </row>
    <row r="125" spans="3:17" ht="15" customHeight="1">
      <c r="C125" s="1" t="s">
        <v>21</v>
      </c>
      <c r="D125" s="19" t="s">
        <v>22</v>
      </c>
      <c r="E125" s="20">
        <v>323.9</v>
      </c>
      <c r="F125" s="21"/>
      <c r="G125" s="22"/>
      <c r="H125" s="22"/>
      <c r="I125" s="22"/>
      <c r="J125" s="22"/>
      <c r="K125" s="22"/>
      <c r="L125" s="22">
        <f t="shared" si="34"/>
        <v>0</v>
      </c>
      <c r="M125" s="22">
        <f t="shared" si="35"/>
        <v>323.9</v>
      </c>
      <c r="N125">
        <v>324</v>
      </c>
      <c r="O125" s="23">
        <f t="shared" si="30"/>
        <v>-0.10000000000002274</v>
      </c>
      <c r="P125" s="24">
        <f t="shared" si="28"/>
        <v>-0.00030864197530871217</v>
      </c>
      <c r="Q125">
        <v>8401</v>
      </c>
    </row>
    <row r="126" spans="4:17" ht="15" customHeight="1">
      <c r="D126" s="19" t="s">
        <v>23</v>
      </c>
      <c r="E126" s="20">
        <v>146.46699999999998</v>
      </c>
      <c r="F126" s="21"/>
      <c r="G126" s="22"/>
      <c r="H126" s="22"/>
      <c r="I126" s="22"/>
      <c r="J126" s="22"/>
      <c r="K126" s="22"/>
      <c r="L126" s="22">
        <f t="shared" si="34"/>
        <v>0</v>
      </c>
      <c r="M126" s="22">
        <f t="shared" si="35"/>
        <v>146.46699999999998</v>
      </c>
      <c r="N126">
        <v>146</v>
      </c>
      <c r="O126" s="23">
        <f t="shared" si="30"/>
        <v>0.46699999999998454</v>
      </c>
      <c r="P126" s="24">
        <f t="shared" si="28"/>
        <v>0.0031986301369861954</v>
      </c>
      <c r="Q126">
        <v>8402</v>
      </c>
    </row>
    <row r="127" spans="3:17" ht="15" customHeight="1" thickBot="1">
      <c r="C127" s="1" t="s">
        <v>24</v>
      </c>
      <c r="D127" s="1" t="s">
        <v>25</v>
      </c>
      <c r="E127" s="52"/>
      <c r="F127" s="53"/>
      <c r="G127" s="54">
        <v>0</v>
      </c>
      <c r="H127" s="54">
        <v>0</v>
      </c>
      <c r="I127" s="54">
        <v>276</v>
      </c>
      <c r="J127" s="54">
        <v>70</v>
      </c>
      <c r="K127" s="54">
        <v>419</v>
      </c>
      <c r="L127" s="54">
        <f t="shared" si="34"/>
        <v>765</v>
      </c>
      <c r="M127" s="54">
        <f t="shared" si="35"/>
        <v>765</v>
      </c>
      <c r="N127">
        <v>1189</v>
      </c>
      <c r="O127" s="23">
        <f t="shared" si="30"/>
        <v>-424</v>
      </c>
      <c r="P127" s="24">
        <f t="shared" si="28"/>
        <v>-0.3566021867115223</v>
      </c>
      <c r="Q127">
        <v>8501</v>
      </c>
    </row>
    <row r="128" spans="1:16" ht="15" customHeight="1" thickBot="1">
      <c r="A128" s="19" t="s">
        <v>26</v>
      </c>
      <c r="D128" s="49" t="s">
        <v>27</v>
      </c>
      <c r="E128" s="75">
        <f>SUM(E116:E127)</f>
        <v>10510.367</v>
      </c>
      <c r="F128" s="56"/>
      <c r="G128" s="82">
        <f aca="true" t="shared" si="36" ref="G128:N128">SUM(G116:G127)</f>
        <v>1435</v>
      </c>
      <c r="H128" s="82">
        <f t="shared" si="36"/>
        <v>3212</v>
      </c>
      <c r="I128" s="82">
        <f t="shared" si="36"/>
        <v>3525</v>
      </c>
      <c r="J128" s="82">
        <f t="shared" si="36"/>
        <v>3091</v>
      </c>
      <c r="K128" s="82">
        <f t="shared" si="36"/>
        <v>1246</v>
      </c>
      <c r="L128" s="55">
        <f t="shared" si="36"/>
        <v>12509</v>
      </c>
      <c r="M128" s="55">
        <f t="shared" si="36"/>
        <v>23019.367000000002</v>
      </c>
      <c r="N128" s="55">
        <f t="shared" si="36"/>
        <v>12704</v>
      </c>
      <c r="O128" s="23">
        <f t="shared" si="30"/>
        <v>10315.367000000002</v>
      </c>
      <c r="P128" s="24">
        <f t="shared" si="28"/>
        <v>0.8119778809823679</v>
      </c>
    </row>
    <row r="129" spans="4:17" ht="18.75" thickTop="1">
      <c r="D129" s="57" t="s">
        <v>139</v>
      </c>
      <c r="E129" s="58">
        <f>SUM(E128,E114,E106,E99,E90,E83,E77,E71)</f>
        <v>67103.138</v>
      </c>
      <c r="F129" s="59"/>
      <c r="G129" s="58">
        <f aca="true" t="shared" si="37" ref="G129:N129">SUM(G128,G114,G106,G99,G90,G83,G77,G71)</f>
        <v>6120</v>
      </c>
      <c r="H129" s="58">
        <f t="shared" si="37"/>
        <v>14483</v>
      </c>
      <c r="I129" s="58">
        <f t="shared" si="37"/>
        <v>15068</v>
      </c>
      <c r="J129" s="58">
        <f t="shared" si="37"/>
        <v>12581</v>
      </c>
      <c r="K129" s="58">
        <f t="shared" si="37"/>
        <v>2602</v>
      </c>
      <c r="L129" s="58">
        <f t="shared" si="37"/>
        <v>50854</v>
      </c>
      <c r="M129" s="58">
        <f t="shared" si="37"/>
        <v>117957.13799999998</v>
      </c>
      <c r="N129" s="58">
        <f t="shared" si="37"/>
        <v>79592</v>
      </c>
      <c r="O129" s="23">
        <f t="shared" si="30"/>
        <v>38365.13799999998</v>
      </c>
      <c r="P129" s="24">
        <f t="shared" si="28"/>
        <v>0.48202253995376393</v>
      </c>
      <c r="Q129" s="58"/>
    </row>
    <row r="130" spans="4:17" ht="15.75">
      <c r="D130" s="70" t="s">
        <v>195</v>
      </c>
      <c r="E130" s="71">
        <v>75</v>
      </c>
      <c r="F130" s="61"/>
      <c r="G130" s="22"/>
      <c r="H130" s="22"/>
      <c r="I130" s="22"/>
      <c r="J130" s="22"/>
      <c r="K130" s="22"/>
      <c r="L130" s="22"/>
      <c r="M130" s="84">
        <f>SUM(E130)</f>
        <v>75</v>
      </c>
      <c r="Q130" s="62"/>
    </row>
    <row r="131" spans="3:17" ht="18">
      <c r="C131" s="1" t="s">
        <v>28</v>
      </c>
      <c r="D131" s="57" t="s">
        <v>29</v>
      </c>
      <c r="E131" s="58"/>
      <c r="F131" s="59"/>
      <c r="G131" s="83">
        <v>144</v>
      </c>
      <c r="H131" s="83">
        <v>2205</v>
      </c>
      <c r="I131" s="83">
        <v>3492</v>
      </c>
      <c r="J131" s="83">
        <v>4450</v>
      </c>
      <c r="K131" s="83">
        <v>3440</v>
      </c>
      <c r="L131" s="83">
        <f>SUM(G131:K131)</f>
        <v>13731</v>
      </c>
      <c r="M131" s="83">
        <f>+L131</f>
        <v>13731</v>
      </c>
      <c r="N131" s="63">
        <v>12804</v>
      </c>
      <c r="Q131" s="62"/>
    </row>
    <row r="132" spans="5:17" ht="12.75">
      <c r="E132" s="60"/>
      <c r="F132" s="61"/>
      <c r="G132" s="22"/>
      <c r="H132" s="22"/>
      <c r="I132" s="22"/>
      <c r="J132" s="22"/>
      <c r="K132" s="22"/>
      <c r="L132" s="22"/>
      <c r="M132" s="22"/>
      <c r="Q132" s="62"/>
    </row>
    <row r="133" spans="4:17" ht="18">
      <c r="D133" s="57" t="s">
        <v>139</v>
      </c>
      <c r="E133" s="58">
        <f>SUM(E129:E131)</f>
        <v>67178.138</v>
      </c>
      <c r="F133" s="59"/>
      <c r="G133" s="63">
        <f aca="true" t="shared" si="38" ref="G133:N133">SUM(G129:G131)</f>
        <v>6264</v>
      </c>
      <c r="H133" s="83">
        <f t="shared" si="38"/>
        <v>16688</v>
      </c>
      <c r="I133" s="83">
        <f t="shared" si="38"/>
        <v>18560</v>
      </c>
      <c r="J133" s="83">
        <f t="shared" si="38"/>
        <v>17031</v>
      </c>
      <c r="K133" s="83">
        <f t="shared" si="38"/>
        <v>6042</v>
      </c>
      <c r="L133" s="83">
        <f t="shared" si="38"/>
        <v>64585</v>
      </c>
      <c r="M133" s="83">
        <f t="shared" si="38"/>
        <v>131763.13799999998</v>
      </c>
      <c r="N133" s="83">
        <f>SUM(N129:N131)+5</f>
        <v>92401</v>
      </c>
      <c r="Q133" s="62"/>
    </row>
    <row r="134" spans="5:17" ht="12.75">
      <c r="E134" s="60"/>
      <c r="F134" s="61"/>
      <c r="G134" s="22"/>
      <c r="H134" s="22"/>
      <c r="I134" s="22"/>
      <c r="J134" s="22"/>
      <c r="K134" s="22"/>
      <c r="L134" s="22"/>
      <c r="M134" s="22"/>
      <c r="Q134" s="62"/>
    </row>
    <row r="135" spans="4:17" ht="12.75">
      <c r="D135" s="85" t="s">
        <v>197</v>
      </c>
      <c r="E135" s="79"/>
      <c r="F135" s="79"/>
      <c r="G135" s="79"/>
      <c r="H135" s="22"/>
      <c r="I135" s="22"/>
      <c r="J135" s="22"/>
      <c r="K135" s="22"/>
      <c r="L135" s="22"/>
      <c r="M135" s="22"/>
      <c r="O135" s="62">
        <f>SUM(O116:O120,O111:O112,O105,O65:O67,O61,O50,O43,O39,O34,O22)</f>
        <v>30463.292999999998</v>
      </c>
      <c r="P135" s="62"/>
      <c r="Q135" s="64">
        <f>+O135/O129</f>
        <v>0.7940357988546793</v>
      </c>
    </row>
    <row r="136" spans="5:17" ht="12.75">
      <c r="E136" s="60"/>
      <c r="F136" s="61"/>
      <c r="G136" s="22"/>
      <c r="H136" s="22"/>
      <c r="I136" s="22"/>
      <c r="J136" s="22"/>
      <c r="K136" s="22"/>
      <c r="L136" s="22"/>
      <c r="M136" s="22"/>
      <c r="Q136" s="62"/>
    </row>
    <row r="137" spans="5:17" ht="12.75">
      <c r="E137" s="60"/>
      <c r="F137" s="61"/>
      <c r="G137" s="22"/>
      <c r="H137" s="22"/>
      <c r="I137" s="22"/>
      <c r="J137" s="22"/>
      <c r="K137" s="22"/>
      <c r="L137" s="22"/>
      <c r="M137" s="22"/>
      <c r="Q137" s="62"/>
    </row>
    <row r="138" spans="5:17" ht="12.75">
      <c r="E138" s="60"/>
      <c r="F138" s="61"/>
      <c r="G138" s="22"/>
      <c r="H138" s="22"/>
      <c r="I138" s="22"/>
      <c r="J138" s="22"/>
      <c r="K138" s="22"/>
      <c r="L138" s="22"/>
      <c r="M138" s="22"/>
      <c r="Q138" s="62"/>
    </row>
    <row r="139" spans="5:17" ht="12.75">
      <c r="E139" s="60"/>
      <c r="F139" s="61"/>
      <c r="G139" s="22"/>
      <c r="H139" s="22"/>
      <c r="I139" s="22"/>
      <c r="J139" s="22"/>
      <c r="K139" s="22"/>
      <c r="L139" s="22"/>
      <c r="M139" s="22"/>
      <c r="Q139" s="62"/>
    </row>
    <row r="140" spans="5:13" ht="12.75">
      <c r="E140" s="60"/>
      <c r="F140" s="61"/>
      <c r="G140" s="22"/>
      <c r="H140" s="22"/>
      <c r="I140" s="22"/>
      <c r="J140" s="22"/>
      <c r="K140" s="22"/>
      <c r="L140" s="22"/>
      <c r="M140" s="22"/>
    </row>
    <row r="141" spans="5:13" ht="12.75">
      <c r="E141" s="60"/>
      <c r="F141" s="61"/>
      <c r="G141" s="22"/>
      <c r="H141" s="22"/>
      <c r="I141" s="22"/>
      <c r="J141" s="22"/>
      <c r="K141" s="22"/>
      <c r="L141" s="22"/>
      <c r="M141" s="22"/>
    </row>
    <row r="142" spans="5:13" ht="12.75">
      <c r="E142" s="60"/>
      <c r="F142" s="61"/>
      <c r="G142" s="22"/>
      <c r="H142" s="22"/>
      <c r="I142" s="22"/>
      <c r="J142" s="22"/>
      <c r="K142" s="22"/>
      <c r="L142" s="22"/>
      <c r="M142" s="22"/>
    </row>
    <row r="143" spans="5:13" ht="12.75">
      <c r="E143" s="60"/>
      <c r="F143" s="61"/>
      <c r="G143" s="22"/>
      <c r="H143" s="22"/>
      <c r="I143" s="22"/>
      <c r="J143" s="22"/>
      <c r="K143" s="22"/>
      <c r="L143" s="22"/>
      <c r="M143" s="22"/>
    </row>
    <row r="144" spans="5:17" ht="12.75">
      <c r="E144" s="60"/>
      <c r="F144" s="61"/>
      <c r="G144" s="22"/>
      <c r="H144" s="22"/>
      <c r="I144" s="22"/>
      <c r="J144" s="22"/>
      <c r="K144" s="22"/>
      <c r="L144" s="22"/>
      <c r="M144" s="22"/>
      <c r="Q144" s="65"/>
    </row>
    <row r="145" spans="5:17" ht="12.75">
      <c r="E145" s="60"/>
      <c r="F145" s="61"/>
      <c r="G145" s="22"/>
      <c r="H145" s="22"/>
      <c r="I145" s="22"/>
      <c r="J145" s="22"/>
      <c r="K145" s="22"/>
      <c r="L145" s="22"/>
      <c r="M145" s="22"/>
      <c r="Q145" s="65"/>
    </row>
    <row r="146" spans="5:17" ht="12.75">
      <c r="E146" s="20"/>
      <c r="F146" s="21"/>
      <c r="G146" s="22"/>
      <c r="H146" s="22"/>
      <c r="I146" s="22"/>
      <c r="J146" s="22"/>
      <c r="K146" s="22"/>
      <c r="L146" s="22"/>
      <c r="M146" s="22"/>
      <c r="Q146" s="62"/>
    </row>
    <row r="147" spans="5:17" ht="12.75">
      <c r="E147" s="60"/>
      <c r="F147" s="61"/>
      <c r="G147" s="22"/>
      <c r="H147" s="22"/>
      <c r="I147" s="22"/>
      <c r="J147" s="22"/>
      <c r="K147" s="22"/>
      <c r="L147" s="22"/>
      <c r="M147" s="22"/>
      <c r="Q147" s="62"/>
    </row>
    <row r="148" spans="5:17" ht="12.75">
      <c r="E148" s="60"/>
      <c r="F148" s="61"/>
      <c r="G148" s="22"/>
      <c r="H148" s="22"/>
      <c r="I148" s="22"/>
      <c r="J148" s="22"/>
      <c r="K148" s="22"/>
      <c r="L148" s="22"/>
      <c r="M148" s="22"/>
      <c r="Q148" s="62"/>
    </row>
    <row r="149" spans="5:17" ht="12.75">
      <c r="E149" s="60"/>
      <c r="F149" s="61"/>
      <c r="G149" s="22"/>
      <c r="H149" s="22"/>
      <c r="I149" s="22"/>
      <c r="J149" s="22"/>
      <c r="K149" s="22"/>
      <c r="L149" s="22"/>
      <c r="M149" s="22"/>
      <c r="Q149" s="62"/>
    </row>
    <row r="150" spans="5:17" ht="12.75">
      <c r="E150" s="60"/>
      <c r="F150" s="61"/>
      <c r="G150" s="22"/>
      <c r="H150" s="22"/>
      <c r="I150" s="22"/>
      <c r="J150" s="22"/>
      <c r="K150" s="22"/>
      <c r="L150" s="22"/>
      <c r="M150" s="22"/>
      <c r="Q150" s="62"/>
    </row>
    <row r="151" spans="5:17" ht="12.75">
      <c r="E151" s="60"/>
      <c r="F151" s="61"/>
      <c r="G151" s="22"/>
      <c r="H151" s="22"/>
      <c r="I151" s="22"/>
      <c r="J151" s="22"/>
      <c r="K151" s="22"/>
      <c r="L151" s="22"/>
      <c r="M151" s="22"/>
      <c r="Q151" s="62"/>
    </row>
    <row r="152" spans="5:17" ht="12.75">
      <c r="E152" s="66"/>
      <c r="F152" s="67"/>
      <c r="Q152" s="62"/>
    </row>
    <row r="153" spans="5:17" ht="12.75">
      <c r="E153" s="66"/>
      <c r="F153" s="67"/>
      <c r="Q153" s="62"/>
    </row>
    <row r="154" spans="5:17" ht="12.75">
      <c r="E154" s="66"/>
      <c r="F154" s="67"/>
      <c r="Q154" s="62"/>
    </row>
    <row r="155" spans="5:17" ht="12.75">
      <c r="E155" s="66"/>
      <c r="F155" s="67"/>
      <c r="Q155" s="62"/>
    </row>
    <row r="156" spans="5:17" ht="12.75">
      <c r="E156" s="66"/>
      <c r="F156" s="67"/>
      <c r="Q156" s="62"/>
    </row>
    <row r="157" spans="5:17" ht="12.75">
      <c r="E157" s="66"/>
      <c r="F157" s="67"/>
      <c r="Q157" s="62"/>
    </row>
    <row r="158" spans="5:17" ht="12.75">
      <c r="E158" s="66"/>
      <c r="F158" s="67"/>
      <c r="Q158" s="62"/>
    </row>
    <row r="159" spans="5:17" ht="12.75">
      <c r="E159" s="66"/>
      <c r="F159" s="67"/>
      <c r="Q159" s="62"/>
    </row>
    <row r="160" spans="5:17" ht="12.75">
      <c r="E160" s="66"/>
      <c r="F160" s="67"/>
      <c r="Q160" s="62"/>
    </row>
    <row r="161" spans="5:17" ht="12.75">
      <c r="E161" s="66"/>
      <c r="F161" s="67"/>
      <c r="Q161" s="62"/>
    </row>
    <row r="162" spans="5:17" ht="12.75">
      <c r="E162" s="66"/>
      <c r="F162" s="67"/>
      <c r="Q162" s="62"/>
    </row>
    <row r="163" spans="5:17" ht="12.75">
      <c r="E163" s="66"/>
      <c r="F163" s="67"/>
      <c r="Q163" s="62"/>
    </row>
    <row r="164" spans="5:17" ht="12.75">
      <c r="E164" s="66"/>
      <c r="F164" s="67"/>
      <c r="Q164" s="62"/>
    </row>
    <row r="165" spans="5:17" ht="12.75">
      <c r="E165" s="66"/>
      <c r="F165" s="67"/>
      <c r="Q165" s="62"/>
    </row>
    <row r="166" spans="5:17" ht="12.75">
      <c r="E166" s="66"/>
      <c r="F166" s="67"/>
      <c r="Q166" s="62"/>
    </row>
    <row r="167" spans="5:17" ht="12.75">
      <c r="E167" s="66"/>
      <c r="F167" s="67"/>
      <c r="Q167" s="62"/>
    </row>
    <row r="168" spans="5:17" ht="12.75">
      <c r="E168" s="66"/>
      <c r="F168" s="67"/>
      <c r="Q168" s="62"/>
    </row>
    <row r="169" spans="5:17" ht="12.75">
      <c r="E169" s="66"/>
      <c r="F169" s="67"/>
      <c r="Q169" s="62"/>
    </row>
    <row r="170" spans="5:17" ht="12.75">
      <c r="E170" s="66"/>
      <c r="F170" s="67"/>
      <c r="Q170" s="62"/>
    </row>
    <row r="171" spans="5:17" ht="12.75">
      <c r="E171" s="66"/>
      <c r="F171" s="67"/>
      <c r="Q171" s="62"/>
    </row>
    <row r="172" spans="5:17" ht="12.75">
      <c r="E172" s="66"/>
      <c r="F172" s="67"/>
      <c r="Q172" s="62"/>
    </row>
    <row r="173" spans="5:17" ht="12.75">
      <c r="E173" s="66"/>
      <c r="F173" s="67"/>
      <c r="Q173" s="62"/>
    </row>
    <row r="174" spans="5:17" ht="12.75">
      <c r="E174" s="66"/>
      <c r="F174" s="67"/>
      <c r="Q174" s="62"/>
    </row>
    <row r="175" spans="5:17" ht="12.75">
      <c r="E175" s="66"/>
      <c r="F175" s="67"/>
      <c r="Q175" s="62"/>
    </row>
    <row r="176" spans="5:17" ht="12.75">
      <c r="E176" s="66"/>
      <c r="F176" s="67"/>
      <c r="Q176" s="62"/>
    </row>
    <row r="177" spans="5:17" ht="12.75">
      <c r="E177" s="66"/>
      <c r="F177" s="67"/>
      <c r="Q177" s="62"/>
    </row>
    <row r="178" spans="5:17" ht="12.75">
      <c r="E178" s="66"/>
      <c r="F178" s="67"/>
      <c r="Q178" s="62"/>
    </row>
    <row r="179" spans="5:17" ht="12.75">
      <c r="E179" s="66"/>
      <c r="F179" s="67"/>
      <c r="Q179" s="62"/>
    </row>
    <row r="180" spans="5:17" ht="12.75">
      <c r="E180" s="66"/>
      <c r="F180" s="67"/>
      <c r="Q180" s="62"/>
    </row>
    <row r="181" spans="5:17" ht="12.75">
      <c r="E181" s="66"/>
      <c r="F181" s="67"/>
      <c r="Q181" s="62"/>
    </row>
    <row r="182" spans="5:17" ht="12.75">
      <c r="E182" s="66"/>
      <c r="F182" s="67"/>
      <c r="Q182" s="62"/>
    </row>
    <row r="183" spans="5:17" ht="12.75">
      <c r="E183" s="66"/>
      <c r="F183" s="67"/>
      <c r="Q183" s="62"/>
    </row>
    <row r="184" spans="5:17" ht="12.75">
      <c r="E184" s="66"/>
      <c r="F184" s="67"/>
      <c r="Q184" s="62"/>
    </row>
    <row r="185" spans="5:17" ht="12.75">
      <c r="E185" s="66"/>
      <c r="F185" s="67"/>
      <c r="Q185" s="62"/>
    </row>
    <row r="186" ht="12.75">
      <c r="Q186" s="62"/>
    </row>
    <row r="187" ht="12.75">
      <c r="Q187" s="62"/>
    </row>
    <row r="188" ht="12.75">
      <c r="Q188" s="62"/>
    </row>
    <row r="189" ht="12.75">
      <c r="Q189" s="62"/>
    </row>
    <row r="190" ht="12.75">
      <c r="Q190" s="62"/>
    </row>
  </sheetData>
  <printOptions gridLines="1"/>
  <pageMargins left="0.75" right="0.75" top="0.93" bottom="0.86" header="0.63" footer="0.5"/>
  <pageSetup fitToHeight="1" fitToWidth="1" horizontalDpi="600" verticalDpi="600" orientation="portrait" scale="53"/>
  <headerFooter alignWithMargins="0">
    <oddFooter>&amp;L&amp;F&amp;C&amp;A   page &amp;P of &amp;N&amp;R&amp;D   &amp;T</oddFooter>
  </headerFooter>
  <rowBreaks count="1" manualBreakCount="1">
    <brk id="114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 Neilson</dc:creator>
  <cp:keywords/>
  <dc:description/>
  <cp:lastModifiedBy>rstrykowsky</cp:lastModifiedBy>
  <dcterms:created xsi:type="dcterms:W3CDTF">2007-07-31T21:16:41Z</dcterms:created>
  <dcterms:modified xsi:type="dcterms:W3CDTF">2007-08-01T12:20:39Z</dcterms:modified>
  <cp:category/>
  <cp:version/>
  <cp:contentType/>
  <cp:contentStatus/>
</cp:coreProperties>
</file>