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401" yWindow="360" windowWidth="15225" windowHeight="8895" tabRatio="901" firstSheet="3" activeTab="5"/>
  </bookViews>
  <sheets>
    <sheet name="CB_DATA_" sheetId="1" state="veryHidden" r:id="rId1"/>
    <sheet name="Summary-Separate Models" sheetId="2" r:id="rId2"/>
    <sheet name="Uncertainty Results" sheetId="3" r:id="rId3"/>
    <sheet name="Risk Results" sheetId="4" r:id="rId4"/>
    <sheet name="Contingency by Year" sheetId="5" r:id="rId5"/>
    <sheet name="Estimate Uncertainty Range" sheetId="6" r:id="rId6"/>
    <sheet name="Schedule Ranges" sheetId="7" r:id="rId7"/>
    <sheet name="Risk Model" sheetId="8" r:id="rId8"/>
    <sheet name="Likelihood" sheetId="9" r:id="rId9"/>
    <sheet name="Standard Estimate Uncertainty " sheetId="10" r:id="rId10"/>
    <sheet name="Misc Inputs" sheetId="11" r:id="rId11"/>
    <sheet name="Escalation Risk" sheetId="12" r:id="rId12"/>
  </sheets>
  <definedNames>
    <definedName name="CB_07cda2840f864a24a87cc990f084f660" localSheetId="5" hidden="1">'Estimate Uncertainty Range'!$M$147</definedName>
    <definedName name="CB_07cf28cfbf1d4ea199456e5fa6c10cfd" localSheetId="5" hidden="1">'Estimate Uncertainty Range'!$M$33</definedName>
    <definedName name="CB_09a0316e88cb4c46bc362887a179c8d3" localSheetId="5" hidden="1">'Estimate Uncertainty Range'!$M$114</definedName>
    <definedName name="CB_0acf7f12df1745bea405735bac408cc1" localSheetId="5" hidden="1">'Estimate Uncertainty Range'!$M$44</definedName>
    <definedName name="CB_0b17461af79847ceb964e9a37cfd0005" localSheetId="7" hidden="1">'Risk Model'!$N$13</definedName>
    <definedName name="CB_0b83d2c209d2495eb4cc6012b2d57d16" localSheetId="7" hidden="1">'Risk Model'!$N$37</definedName>
    <definedName name="CB_0be535f3454347c4b9ebb2d20d53f9eb" localSheetId="5" hidden="1">'Estimate Uncertainty Range'!$M$144</definedName>
    <definedName name="CB_0c3ee594254c468794834128f643d44a" localSheetId="5" hidden="1">'Estimate Uncertainty Range'!$M$56</definedName>
    <definedName name="CB_0ccf10d92ab44941877c04123fc6d2ed" localSheetId="5" hidden="1">'Estimate Uncertainty Range'!$M$31</definedName>
    <definedName name="CB_0e1d233d51c54c66b03185c51ef3bc94" localSheetId="5" hidden="1">'Estimate Uncertainty Range'!$M$32</definedName>
    <definedName name="CB_0eadd1dde2a54e0fb87f5c4de20b05cf" localSheetId="5" hidden="1">'Estimate Uncertainty Range'!$M$13</definedName>
    <definedName name="CB_0eef8c8a158740ed80c99f96c73d9a23" localSheetId="5" hidden="1">'Estimate Uncertainty Range'!$M$115</definedName>
    <definedName name="CB_0fd874aa37ff45a391bbebbc96f4d1a1" localSheetId="5" hidden="1">'Estimate Uncertainty Range'!$M$60</definedName>
    <definedName name="CB_10e62e324a6e48aeb3d2babbc563c3ab" localSheetId="5" hidden="1">'Estimate Uncertainty Range'!$M$85</definedName>
    <definedName name="CB_115b03611bf94a0c92d6e7c4979a7c2f" localSheetId="5" hidden="1">'Estimate Uncertainty Range'!$M$104</definedName>
    <definedName name="CB_1281b2bbd5554645bc1c467fb8cbf4b2" localSheetId="5" hidden="1">'Estimate Uncertainty Range'!$M$78</definedName>
    <definedName name="CB_16f6fe6a5517472e9ac0babbd8ff50f6" localSheetId="5" hidden="1">'Estimate Uncertainty Range'!$M$96</definedName>
    <definedName name="CB_1717ddc4254e47589cf18a2b4cabfe85" localSheetId="5" hidden="1">'Estimate Uncertainty Range'!$M$134</definedName>
    <definedName name="CB_17d5c38d3271466cb42a3a1a5cfe25e7" localSheetId="5" hidden="1">'Estimate Uncertainty Range'!$M$90</definedName>
    <definedName name="CB_184ae54338c24433850174ba5826fb30" localSheetId="7" hidden="1">'Risk Model'!$O$25</definedName>
    <definedName name="CB_1b03e76d89ce4b0e99b41c8765360208" localSheetId="5" hidden="1">'Estimate Uncertainty Range'!$M$57</definedName>
    <definedName name="CB_1bd59076cf364d94bca0eaf6c553563d" localSheetId="7" hidden="1">'Risk Model'!$N$28</definedName>
    <definedName name="CB_1d112c9974a04793b0af4f1ca0fa8e56" localSheetId="5" hidden="1">'Estimate Uncertainty Range'!$M$23</definedName>
    <definedName name="CB_1d9c2613b0c949f487f99d8ad36616ad" localSheetId="5" hidden="1">'Estimate Uncertainty Range'!$M$80</definedName>
    <definedName name="CB_1f37524a15a1402f8912e29c75f8c1b2" localSheetId="5" hidden="1">'Estimate Uncertainty Range'!$M$87</definedName>
    <definedName name="CB_216cbc2631f94c2f9f93cb2f885fbba4" localSheetId="8" hidden="1">'Likelihood'!$C$27</definedName>
    <definedName name="CB_2173a7e47f3642d0a483d75f5384024a" localSheetId="5" hidden="1">'Estimate Uncertainty Range'!$M$16</definedName>
    <definedName name="CB_23265371d01f4adc948ce02701f2b169" localSheetId="5" hidden="1">'Estimate Uncertainty Range'!$M$94</definedName>
    <definedName name="CB_24454b9522154a2491072c040aaf363f" localSheetId="7" hidden="1">'Risk Model'!$N$5</definedName>
    <definedName name="CB_26315dda00ac4dd1940132d4abae1489" localSheetId="5" hidden="1">'Estimate Uncertainty Range'!$M$27</definedName>
    <definedName name="CB_26cd515e1bcd48a69aceba95f05eb640" localSheetId="5" hidden="1">'Estimate Uncertainty Range'!$M$143</definedName>
    <definedName name="CB_27a2f07306c040a3840de93895999af9" localSheetId="5" hidden="1">'Estimate Uncertainty Range'!$M$35</definedName>
    <definedName name="CB_28a0d783eec24d0f9164961812b515d9" localSheetId="5" hidden="1">'Estimate Uncertainty Range'!$M$132</definedName>
    <definedName name="CB_28d90e83ce384099a5d3340e61b3267d" localSheetId="5" hidden="1">'Estimate Uncertainty Range'!$M$150</definedName>
    <definedName name="CB_2a36683343e54a9cae4484b7a022b05d" localSheetId="5" hidden="1">'Estimate Uncertainty Range'!$M$128</definedName>
    <definedName name="CB_2a572fb482c342f7a8304317d06ec9b9" localSheetId="7" hidden="1">'Risk Model'!$N$14</definedName>
    <definedName name="CB_2aec728d1e3f41d58aff73aab684f2d7" localSheetId="5" hidden="1">'Estimate Uncertainty Range'!$M$92</definedName>
    <definedName name="CB_2b051497e28149adadb2556925a86ccc" localSheetId="7" hidden="1">'Risk Model'!$O$7</definedName>
    <definedName name="CB_2bbf9d44ad444a099d2164ae11ab1163" localSheetId="8" hidden="1">'Likelihood'!$B$26</definedName>
    <definedName name="CB_2ce4841f9e20467da962b6609aefa528" localSheetId="7" hidden="1">'Risk Model'!$O$17</definedName>
    <definedName name="CB_2e384a9ed3c44f86b61f2d16e87af85e" localSheetId="7" hidden="1">'Risk Model'!$O$11</definedName>
    <definedName name="CB_2e520a18e0aa4e4fb3830641c229e803" localSheetId="5" hidden="1">'Estimate Uncertainty Range'!$M$125</definedName>
    <definedName name="CB_305e9674104e4049a2a5b9bbdddcfe4c" localSheetId="5" hidden="1">'Estimate Uncertainty Range'!$M$142</definedName>
    <definedName name="CB_312f1c31b276493abd5fc60ee18b1e9f" localSheetId="5" hidden="1">'Estimate Uncertainty Range'!$M$48</definedName>
    <definedName name="CB_31d866920d044bf9a6068ba79677139b" localSheetId="5" hidden="1">'Estimate Uncertainty Range'!$M$6</definedName>
    <definedName name="CB_343e6e4dbc554d189763796f291f9596" localSheetId="5" hidden="1">'Estimate Uncertainty Range'!$M$63</definedName>
    <definedName name="CB_35761591da7043d5bbced047c205edf4" localSheetId="5" hidden="1">'Estimate Uncertainty Range'!$M$84</definedName>
    <definedName name="CB_35c2821eabb747dba51e18c794cd3930" localSheetId="5" hidden="1">'Estimate Uncertainty Range'!$M$93</definedName>
    <definedName name="CB_36fc531956074f65a79c35e976ed8dba" localSheetId="5" hidden="1">'Estimate Uncertainty Range'!$M$4</definedName>
    <definedName name="CB_37028361ba1540478095ab2b5657a8f4" localSheetId="5" hidden="1">'Estimate Uncertainty Range'!$M$138</definedName>
    <definedName name="CB_3748824de20f4966b34bb342c799ac04" localSheetId="7" hidden="1">'Risk Model'!$O$23</definedName>
    <definedName name="CB_3766a50f18d442519c0b2641ba79e53a" localSheetId="5" hidden="1">'Estimate Uncertainty Range'!$M$24</definedName>
    <definedName name="CB_3824f29471b64294818a49604e6f5873" localSheetId="8" hidden="1">'Likelihood'!$B$24</definedName>
    <definedName name="CB_3839325091a142a5b4e573ded6baed23" localSheetId="0" hidden="1">#N/A</definedName>
    <definedName name="CB_3857291569dc4b32b856c54c1c3983ca" localSheetId="5" hidden="1">'Estimate Uncertainty Range'!$M$81</definedName>
    <definedName name="CB_398ea930a5ea4b4695768e9ef183b08b" localSheetId="5" hidden="1">'Estimate Uncertainty Range'!$M$42</definedName>
    <definedName name="CB_3b16ec6449014cbeab5da3fa30c6484d" localSheetId="5" hidden="1">'Estimate Uncertainty Range'!$M$69</definedName>
    <definedName name="CB_3c9ee08b8558485285a1d82e079e28ff" localSheetId="5" hidden="1">'Estimate Uncertainty Range'!$M$75</definedName>
    <definedName name="CB_40aa9fab3537417a80cf2b00c9d39f0d" localSheetId="5" hidden="1">'Estimate Uncertainty Range'!$M$89</definedName>
    <definedName name="CB_40beeeb272ae4816aaeb869dc2231b9a" localSheetId="5" hidden="1">'Estimate Uncertainty Range'!$M$120</definedName>
    <definedName name="CB_42a5e849704f462b9752b28001925613" localSheetId="6" hidden="1">'Schedule Ranges'!$H$9</definedName>
    <definedName name="CB_4356ada922dd40e7925743dbc3825e20" localSheetId="5" hidden="1">'Estimate Uncertainty Range'!$M$107</definedName>
    <definedName name="CB_437bf8c4cdff427f946c2cd7c0e30ae9" localSheetId="5" hidden="1">'Estimate Uncertainty Range'!$M$70</definedName>
    <definedName name="CB_43ab7484e987423aa9c72ccfaca8a805" localSheetId="5" hidden="1">'Estimate Uncertainty Range'!$M$68</definedName>
    <definedName name="CB_45ce14117c2344ca8b4a9a2dc46173dc" localSheetId="8" hidden="1">'Likelihood'!$C$26</definedName>
    <definedName name="CB_46cbd058ecb84dc186f834b2d5722ec4" localSheetId="5" hidden="1">'Estimate Uncertainty Range'!$M$86</definedName>
    <definedName name="CB_492853d6eb9a48c68761958866ec8d85" localSheetId="6" hidden="1">'Schedule Ranges'!#REF!</definedName>
    <definedName name="CB_49a1194cce914b438233cbdc7394b20c" localSheetId="7" hidden="1">'Risk Model'!$N$21</definedName>
    <definedName name="CB_4ab9ec933e474518a3f569715a133520" localSheetId="5" hidden="1">'Estimate Uncertainty Range'!$M$39</definedName>
    <definedName name="CB_4ba3e9938c4047cdb3210c9c65129cca" localSheetId="5" hidden="1">'Estimate Uncertainty Range'!$M$37</definedName>
    <definedName name="CB_4bfd0f972dd848b79367dc84930fdda0" localSheetId="8" hidden="1">'Likelihood'!$C$28</definedName>
    <definedName name="CB_4e090812ff244da8a3c3668b1d0b5dff" localSheetId="6" hidden="1">'Schedule Ranges'!$H$7</definedName>
    <definedName name="CB_4e2b4db4184f4ccbb10f321b5ba57a92" localSheetId="5" hidden="1">'Estimate Uncertainty Range'!$M$21</definedName>
    <definedName name="CB_5025aaad82eb4953a57462a4ad195d36" localSheetId="5" hidden="1">'Estimate Uncertainty Range'!$M$135</definedName>
    <definedName name="CB_52cdab316dcd4bb68ee940d02ffd0f98" localSheetId="7" hidden="1">'Risk Model'!$N$36</definedName>
    <definedName name="CB_53c19aebe0fb473fa263f0ccaaaa6031" localSheetId="7" hidden="1">'Risk Model'!$O$19</definedName>
    <definedName name="CB_5400221c4d23415fb534c7f5f89f44d3" localSheetId="6" hidden="1">'Schedule Ranges'!$H$14</definedName>
    <definedName name="CB_55262e6e879c4b0d96d81c66c40f7e0b" localSheetId="5" hidden="1">'Estimate Uncertainty Range'!$M$117</definedName>
    <definedName name="CB_56e78696e99f4227b34e10f881becadb" localSheetId="5" hidden="1">'Estimate Uncertainty Range'!$M$55</definedName>
    <definedName name="CB_576060a8987d446bab378d1f5438a231" localSheetId="7" hidden="1">'Risk Model'!$O$21</definedName>
    <definedName name="CB_58653e5d9ad546b0a90229968a877742" localSheetId="5" hidden="1">'Estimate Uncertainty Range'!$M$61</definedName>
    <definedName name="CB_59658650a9ec4b5eb4271839cf9eba37" localSheetId="5" hidden="1">'Estimate Uncertainty Range'!$M$109</definedName>
    <definedName name="CB_59def55b0866497bbba10d347b9984ee" localSheetId="7" hidden="1">'Risk Model'!$O$12</definedName>
    <definedName name="CB_5a3bf9122b4e488dbf4331f2e8c09183" localSheetId="0" hidden="1">#N/A</definedName>
    <definedName name="CB_5ad40600dca14c348a0be6608c5b13c6" localSheetId="5" hidden="1">'Estimate Uncertainty Range'!$M$30</definedName>
    <definedName name="CB_5bb6fbf0c4d042098087127624dee76b" localSheetId="5" hidden="1">'Estimate Uncertainty Range'!$M$121</definedName>
    <definedName name="CB_5e681571db904bd785af800ce8c0ca31" localSheetId="5" hidden="1">'Estimate Uncertainty Range'!$M$97</definedName>
    <definedName name="CB_5f47beed776e4e9ba94f72a2c267f1f5" localSheetId="7" hidden="1">'Risk Model'!$N$34</definedName>
    <definedName name="CB_6091712c5fea4fdaaa3dacf6458cc5f9" localSheetId="5" hidden="1">'Estimate Uncertainty Range'!$M$122</definedName>
    <definedName name="CB_619a05f228ab4dd9875f13c4f48e78e9" localSheetId="5" hidden="1">'Estimate Uncertainty Range'!$M$129</definedName>
    <definedName name="CB_61beee4ad4d54d45b2b0b5062e4e7863" localSheetId="5" hidden="1">'Estimate Uncertainty Range'!$M$98</definedName>
    <definedName name="CB_622745c7c2f941138493b74ddc365e5f" localSheetId="5" hidden="1">'Estimate Uncertainty Range'!$M$53</definedName>
    <definedName name="CB_6403d2ad463c4ab482736117240eba26" localSheetId="7" hidden="1">'Risk Model'!$N$39</definedName>
    <definedName name="CB_64e33d66802749b1930b14c762febf78" localSheetId="6" hidden="1">'Schedule Ranges'!$H$10</definedName>
    <definedName name="CB_64e5b7c531aa4cb9bcb5b732c317027e" localSheetId="5" hidden="1">'Estimate Uncertainty Range'!$M$65</definedName>
    <definedName name="CB_67013e188f9e41318d9bf9865d46289f" localSheetId="5" hidden="1">'Estimate Uncertainty Range'!$M$67</definedName>
    <definedName name="CB_684d123a8d154ac4950de61079b39f9e" localSheetId="5" hidden="1">'Estimate Uncertainty Range'!$M$54</definedName>
    <definedName name="CB_6875ccbfa4ec44d294653501d7a604f0" localSheetId="5" hidden="1">'Estimate Uncertainty Range'!$M$71</definedName>
    <definedName name="CB_68c49e65120243f099da369ed02a2dc4" localSheetId="5" hidden="1">'Estimate Uncertainty Range'!$M$11</definedName>
    <definedName name="CB_6b4c118f12084f3fb33ee60455660807" localSheetId="5" hidden="1">'Estimate Uncertainty Range'!$M$77</definedName>
    <definedName name="CB_6c1f2bd80d484a39a5bba28c46071cdc" localSheetId="5" hidden="1">'Estimate Uncertainty Range'!$M$26</definedName>
    <definedName name="CB_6d074b4367be4009b47e76cda41ef789" localSheetId="5" hidden="1">'Estimate Uncertainty Range'!$M$149</definedName>
    <definedName name="CB_6d9f541e8dee4f8fae7cdc4c8c6ff67e" localSheetId="7" hidden="1">'Risk Model'!$N$11</definedName>
    <definedName name="CB_6de2e40d11304f2e8ef3cd78fe04c6ae" localSheetId="7" hidden="1">'Risk Model'!$O$13</definedName>
    <definedName name="CB_6f2d2afbebe14328aaf3ad596ce9e3d1" localSheetId="7" hidden="1">'Risk Model'!$O$36</definedName>
    <definedName name="CB_6f33721a4c8247b382e2ec95d2996d32" localSheetId="5" hidden="1">'Estimate Uncertainty Range'!$M$102</definedName>
    <definedName name="CB_703570a246ee4945812b1b8bd1750fb3" localSheetId="7" hidden="1">'Risk Model'!$O$27</definedName>
    <definedName name="CB_7051ff4dbffe4a2d9d4687e6222e6224" localSheetId="5" hidden="1">'Estimate Uncertainty Range'!$M$73</definedName>
    <definedName name="CB_70e66f3265c14ebf859af472f68c9c54" localSheetId="7" hidden="1">'Risk Model'!$O$39</definedName>
    <definedName name="CB_7176057f61e14a3eb0321f7e9ea7f23e" localSheetId="7" hidden="1">'Risk Model'!$O$14</definedName>
    <definedName name="CB_731e364bc6434e90b7408c5692ab90ba" localSheetId="6" hidden="1">'Schedule Ranges'!$H$6</definedName>
    <definedName name="CB_743dd119605444debfe92c8873f7f72f" localSheetId="5" hidden="1">'Estimate Uncertainty Range'!$M$110</definedName>
    <definedName name="CB_764336b86dc04c20ab92557fe6ca9eae" localSheetId="8" hidden="1">'Likelihood'!$B$27</definedName>
    <definedName name="CB_76bd7d9e9e1a477e90119700e038ac5f" localSheetId="5" hidden="1">'Estimate Uncertainty Range'!$M$95</definedName>
    <definedName name="CB_76db5cd75fb84278ae7071fb3ebbfcae" localSheetId="5" hidden="1">'Estimate Uncertainty Range'!$M$17</definedName>
    <definedName name="CB_78bca0a75fbb4a03bcee23f8a0d3ef8e" localSheetId="5" hidden="1">'Estimate Uncertainty Range'!$M$62</definedName>
    <definedName name="CB_7951d495ec26425bb285c47ce16d6ffb" localSheetId="5" hidden="1">'Estimate Uncertainty Range'!$M$127</definedName>
    <definedName name="CB_798bde2c61994eafb584f14b866b1b0f" localSheetId="5" hidden="1">'Estimate Uncertainty Range'!$M$47</definedName>
    <definedName name="CB_7a3e15916e454ede8a9e011698c8da3d" localSheetId="5" hidden="1">'Estimate Uncertainty Range'!$M$58</definedName>
    <definedName name="CB_7dcca85bc782461a9a273ab4c1cda26a" localSheetId="5" hidden="1">'Estimate Uncertainty Range'!$M$59</definedName>
    <definedName name="CB_7ee059d29e0f45a4b191e1a0acf69b55" localSheetId="5" hidden="1">'Estimate Uncertainty Range'!$M$116</definedName>
    <definedName name="CB_7f1078ef490c4cc5b11ea4a5841304f9" localSheetId="5" hidden="1">'Estimate Uncertainty Range'!$M$50</definedName>
    <definedName name="CB_803ab9432acc494daf1d72c1243de223" localSheetId="7" hidden="1">'Risk Model'!$N$17</definedName>
    <definedName name="CB_816d12d08ccb4351af9bb850f4b66f83" localSheetId="5" hidden="1">'Estimate Uncertainty Range'!$M$46</definedName>
    <definedName name="CB_82f7931e6e254c19b2d46417eed76d4e" localSheetId="5" hidden="1">'Estimate Uncertainty Range'!$M$139</definedName>
    <definedName name="CB_846115fc4c0944488625875a6b02eeed" localSheetId="0" hidden="1">#N/A</definedName>
    <definedName name="CB_85f360b5001e47bf9d37dd308187d991" localSheetId="5" hidden="1">'Estimate Uncertainty Range'!$M$100</definedName>
    <definedName name="CB_872623d51fbe461da091a49a49548e30" localSheetId="7" hidden="1">'Risk Model'!$N$8</definedName>
    <definedName name="CB_876faf4df3b7442c8d51791fae6ab967" localSheetId="5" hidden="1">'Estimate Uncertainty Range'!$M$131</definedName>
    <definedName name="CB_898dc386e04143f1a10fb4828c3d757c" localSheetId="8" hidden="1">'Likelihood'!$B$25</definedName>
    <definedName name="CB_89aaba6b0a004b568589e03cda907bb6" localSheetId="5" hidden="1">'Estimate Uncertainty Range'!$M$14</definedName>
    <definedName name="CB_89aac007d6894b5d861be40c955404d7" localSheetId="7" hidden="1">'Risk Model'!$N$7</definedName>
    <definedName name="CB_8b9658041e1f4d86b86d164ab027f790" localSheetId="7" hidden="1">'Risk Model'!$N$35</definedName>
    <definedName name="CB_8d082597390f4fdf8b9bbc9de7396cd0" localSheetId="0" hidden="1">#N/A</definedName>
    <definedName name="CB_8d22051960934254ba93b85288a83991" localSheetId="5" hidden="1">'Estimate Uncertainty Range'!$M$118</definedName>
    <definedName name="CB_8eea63f77d104c6ebf42acd23ec874de" localSheetId="5" hidden="1">'Estimate Uncertainty Range'!$M$3</definedName>
    <definedName name="CB_91fa973987814fa0b55def24defeed3f" localSheetId="5" hidden="1">'Estimate Uncertainty Range'!$M$130</definedName>
    <definedName name="CB_9292e0fecb6c489a8785596059965319" localSheetId="5" hidden="1">'Estimate Uncertainty Range'!$M$136</definedName>
    <definedName name="CB_93ab3ad0082a4df9a390e592bd5b621c" localSheetId="0" hidden="1">#N/A</definedName>
    <definedName name="CB_93f994ecac0c4994b50186b273756665" localSheetId="7" hidden="1">'Risk Model'!$N$4</definedName>
    <definedName name="CB_93fa9319bf544398ae22674af55ecad3" localSheetId="7" hidden="1">'Risk Model'!$N$6</definedName>
    <definedName name="CB_95c39863990148629ca3dba63603f214" localSheetId="8" hidden="1">'Likelihood'!$C$25</definedName>
    <definedName name="CB_962faa095f904d959ed3a674891d9275" localSheetId="5" hidden="1">'Estimate Uncertainty Range'!$M$66</definedName>
    <definedName name="CB_9739c25a331e4b6da16ccdb947ffb103" localSheetId="5" hidden="1">'Estimate Uncertainty Range'!$M$83</definedName>
    <definedName name="CB_98a6eef8f2944344baecd61b5b7ea241" localSheetId="5" hidden="1">'Estimate Uncertainty Range'!$M$91</definedName>
    <definedName name="CB_98bb6fc7bfdb47bb9ba23504cab11ca8" localSheetId="5" hidden="1">'Estimate Uncertainty Range'!$M$38</definedName>
    <definedName name="CB_9bb66f9cf42442cabf5ecacb6de7bbe4" localSheetId="5" hidden="1">'Estimate Uncertainty Range'!$M$76</definedName>
    <definedName name="CB_9bc9b596309b49ed9a12dc7f8c010ab4" localSheetId="5" hidden="1">'Estimate Uncertainty Range'!$M$119</definedName>
    <definedName name="CB_9e6a178b3b344b1387ef17af1266f73a" localSheetId="5" hidden="1">'Estimate Uncertainty Range'!$M$5</definedName>
    <definedName name="CB_9edee82152bb4c9a9dbca9ea067a96b9" localSheetId="5" hidden="1">'Estimate Uncertainty Range'!$M$12</definedName>
    <definedName name="CB_9f9b19c733b047f18010e0b00b61ffff" localSheetId="6" hidden="1">'Schedule Ranges'!$H$13</definedName>
    <definedName name="CB_a3b65079923348618fe0c7650b6be931" localSheetId="5" hidden="1">'Estimate Uncertainty Range'!$M$82</definedName>
    <definedName name="CB_a48284d1ec9643e7967fa4109b8b455c" localSheetId="7" hidden="1">'Risk Model'!$Q$41</definedName>
    <definedName name="CB_a7dba0aa3fc44516a824351436f6e9fb" localSheetId="7" hidden="1">'Risk Model'!$O$8</definedName>
    <definedName name="CB_a8516b555d064f5383c2b8203829d769" localSheetId="5" hidden="1">'Estimate Uncertainty Range'!$M$28</definedName>
    <definedName name="CB_a9869a022606453ea1c34837c541b6fe" localSheetId="5" hidden="1">'Estimate Uncertainty Range'!$M$25</definedName>
    <definedName name="CB_aa981683a5fa4d41a3c5a9fbe5292e60" localSheetId="7" hidden="1">'Risk Model'!$O$9</definedName>
    <definedName name="CB_ac9557cdc83349b8b237d6f9e11cd9d5" localSheetId="5" hidden="1">'Estimate Uncertainty Range'!$M$99</definedName>
    <definedName name="CB_ace19d117924476f95689416057fb5ba" localSheetId="5" hidden="1">'Estimate Uncertainty Range'!$M$141</definedName>
    <definedName name="CB_ad102f451a2a4f43b3030d0c841ab647" localSheetId="5" hidden="1">'Estimate Uncertainty Range'!$M$15</definedName>
    <definedName name="CB_ad45564d031d40f1a48c693bad2257a0" localSheetId="5" hidden="1">'Estimate Uncertainty Range'!$M$108</definedName>
    <definedName name="CB_ad78a802e435420ea25d0584bb98f1d5" localSheetId="6" hidden="1">'Schedule Ranges'!$H$12</definedName>
    <definedName name="CB_ad92c480b06442129ed7578e6691d304" localSheetId="5" hidden="1">'Estimate Uncertainty Range'!$M$126</definedName>
    <definedName name="CB_b1ab92d1965149c2b95e0821bb071630" localSheetId="5" hidden="1">'Estimate Uncertainty Range'!$M$36</definedName>
    <definedName name="CB_b246825b8666443580f6421baea1967f" localSheetId="7" hidden="1">'Risk Model'!$N$10</definedName>
    <definedName name="CB_b8231fab35d94d10a347590e518b6d0e" localSheetId="5" hidden="1">'Estimate Uncertainty Range'!$M$43</definedName>
    <definedName name="CB_bb97c4ca16144cea9d139dfa564edca6" localSheetId="5" hidden="1">'Estimate Uncertainty Range'!$M$52</definedName>
    <definedName name="CB_bc89f950eed8403db50b59a7761ffbc5" localSheetId="5" hidden="1">'Estimate Uncertainty Range'!$M$123</definedName>
    <definedName name="CB_c1001d999a95409083ad0fe0e976ed43" localSheetId="5" hidden="1">'Estimate Uncertainty Range'!$M$124</definedName>
    <definedName name="CB_c2a22081183d40638c8bc5e691e8b1cd" localSheetId="5" hidden="1">'Estimate Uncertainty Range'!$M$113</definedName>
    <definedName name="CB_c6f19b62c7c3463f93d8a6fa870e253f" localSheetId="5" hidden="1">'Estimate Uncertainty Range'!$M$103</definedName>
    <definedName name="CB_c83dad754953417785ff515d17d7cd4b" localSheetId="5" hidden="1">'Estimate Uncertainty Range'!$M$45</definedName>
    <definedName name="CB_c8bd8cf22aae42a98393dfee38263328" localSheetId="7" hidden="1">'Risk Model'!$R$41</definedName>
    <definedName name="CB_ca7f29ff272d4a50914d3ab15e4b567d" localSheetId="8" hidden="1">'Likelihood'!$B$28</definedName>
    <definedName name="CB_ce970c112d64420ba805168248467e36" localSheetId="5" hidden="1">'Estimate Uncertainty Range'!$M$101</definedName>
    <definedName name="CB_cf0f98194998454d80d26464f75b1a3b" localSheetId="0" hidden="1">#N/A</definedName>
    <definedName name="CB_cfa354547c16446ba841a78a88a669e0" localSheetId="5" hidden="1">'Estimate Uncertainty Range'!$M$41</definedName>
    <definedName name="CB_d0dbf9cc48064fbab05ab30b0a4cc8ca" localSheetId="6" hidden="1">'Schedule Ranges'!$I$16</definedName>
    <definedName name="CB_d168a69e74b7434caa071f69b6a8dcb1" localSheetId="5" hidden="1">'Estimate Uncertainty Range'!$M$72</definedName>
    <definedName name="CB_d35fbef3a73e48abb157f0fcbc3585ac" localSheetId="5" hidden="1">'Estimate Uncertainty Range'!$M$40</definedName>
    <definedName name="CB_d511a2e8a28643b3b4553126aacb84df" localSheetId="5" hidden="1">'Estimate Uncertainty Range'!$M$22</definedName>
    <definedName name="CB_d7658f2fc3e64fcab01b3226702965ba" localSheetId="7" hidden="1">'Risk Model'!$N$12</definedName>
    <definedName name="CB_d78a43222df8464988e7f99bbf038540" localSheetId="7" hidden="1">'Risk Model'!$O$35</definedName>
    <definedName name="CB_db1255b039d04726bf3887b0c50ce851" localSheetId="5" hidden="1">'Estimate Uncertainty Range'!$M$111</definedName>
    <definedName name="CB_dcb7884d58904da1a53376c2432f1dbf" localSheetId="7" hidden="1">'Risk Model'!$O$24</definedName>
    <definedName name="CB_de260bde758c441ebf4db143a84fec71" localSheetId="5" hidden="1">'Estimate Uncertainty Range'!#REF!</definedName>
    <definedName name="CB_dec0f8f937574a469e06e40793cc8128" localSheetId="5" hidden="1">'Estimate Uncertainty Range'!$M$8</definedName>
    <definedName name="CB_e054651d4e564c5ba4b89b0ac80301f1" localSheetId="5" hidden="1">'Estimate Uncertainty Range'!$M$74</definedName>
    <definedName name="CB_e1bf428bb68c4ed5bbc1ed6607587670" localSheetId="5" hidden="1">'Estimate Uncertainty Range'!$M$79</definedName>
    <definedName name="CB_e2d6af0d024f462691c1bae5245b49aa" localSheetId="7" hidden="1">'Risk Model'!$N$19</definedName>
    <definedName name="CB_e3f126b397a84c21b81888080cf38fba" localSheetId="7" hidden="1">'Risk Model'!$O$26</definedName>
    <definedName name="CB_e907529d51284ab1aad5d96d4daaa8a0" localSheetId="7" hidden="1">'Risk Model'!$N$33</definedName>
    <definedName name="CB_ea93563a574d44f0aafffc81713d56ff" localSheetId="7" hidden="1">'Risk Model'!$N$29</definedName>
    <definedName name="CB_ebc1bb917f9847e6a349e2b7b5afb553" localSheetId="5" hidden="1">'Estimate Uncertainty Range'!#REF!</definedName>
    <definedName name="CB_efffb74998a147a29a70875b14ac0cc8" localSheetId="5" hidden="1">'Estimate Uncertainty Range'!$M$148</definedName>
    <definedName name="CB_f392d7f20c314159b11da3f53218dc84" localSheetId="5" hidden="1">'Estimate Uncertainty Range'!$M$105</definedName>
    <definedName name="CB_f43c80f042724dd4ae1fd75021af124d" localSheetId="5" hidden="1">'Estimate Uncertainty Range'!$M$29</definedName>
    <definedName name="CB_f52d17cfb81246a58e4af2674d12b128" localSheetId="5" hidden="1">'Estimate Uncertainty Range'!$M$51</definedName>
    <definedName name="CB_f59ff9253b7046b3a9ab87c2341a6c71" localSheetId="7" hidden="1">'Risk Model'!$O$38</definedName>
    <definedName name="CB_f5a9a3cdfdd1406db33171afa3489d4e" localSheetId="5" hidden="1">'Estimate Uncertainty Range'!$M$49</definedName>
    <definedName name="CB_f65e7ab12f754239bcf74ca3f2823eb0" localSheetId="7" hidden="1">'Risk Model'!$N$9</definedName>
    <definedName name="CB_f7148be2d66744ec826ca4b74a187e37" localSheetId="5" hidden="1">'Estimate Uncertainty Range'!$M$34</definedName>
    <definedName name="CB_f7a65689606e4b57b779575f7e406f40" localSheetId="5" hidden="1">'Estimate Uncertainty Range'!$M$7</definedName>
    <definedName name="CB_f960cd110cbe4c8d9d312582524031dd" localSheetId="6" hidden="1">'Schedule Ranges'!$J$16</definedName>
    <definedName name="CB_f9d455fabe8d4097959101d01eab1b5d" localSheetId="5" hidden="1">'Estimate Uncertainty Range'!$M$112</definedName>
    <definedName name="CB_fae6ea2b41bf43428eeedda2466dac38" localSheetId="5" hidden="1">'Estimate Uncertainty Range'!$M$88</definedName>
    <definedName name="CB_ff87b0c4cad64946a1b0e595654f6e84" localSheetId="8" hidden="1">'Likelihood'!$C$24</definedName>
    <definedName name="CBCR_006a276178cb499fab38c5255396c97d" localSheetId="7" hidden="1">'Risk Model'!$J$8</definedName>
    <definedName name="CBCR_00f7266643f74cf4939599cd46d81d01" localSheetId="5" hidden="1">'Estimate Uncertainty Range'!$C$95</definedName>
    <definedName name="CBCR_01544fc79adb4ecdb924de52f2f6fb35" localSheetId="5" hidden="1">'Estimate Uncertainty Range'!$J$17</definedName>
    <definedName name="CBCR_01a699f093804520b9d9227563abf13a" localSheetId="5" hidden="1">'Estimate Uncertainty Range'!$J$114</definedName>
    <definedName name="CBCR_023253691d9b444b88fea702eb22edd2" localSheetId="5" hidden="1">'Estimate Uncertainty Range'!$J$144</definedName>
    <definedName name="CBCR_025e446d9baa40069fd73619109a3ea1" localSheetId="5" hidden="1">'Estimate Uncertainty Range'!$J$121</definedName>
    <definedName name="CBCR_02d4cf438eaa4d2a9f9af9c0c65c12c0" localSheetId="5" hidden="1">'Estimate Uncertainty Range'!$K$52</definedName>
    <definedName name="CBCR_032b1df4e6024f14ac396b29efc27af0" localSheetId="5" hidden="1">'Estimate Uncertainty Range'!$J$87</definedName>
    <definedName name="CBCR_03b9943f587d495c9b6e75170db31344" localSheetId="5" hidden="1">'Estimate Uncertainty Range'!$I$125</definedName>
    <definedName name="CBCR_04077c03bab64b4396b4b89423c0d8be" localSheetId="5" hidden="1">'Estimate Uncertainty Range'!$C$90</definedName>
    <definedName name="CBCR_044f79ff46d24ab6b1ca19f6a25f70a2" localSheetId="7" hidden="1">'Risk Model'!$K$12</definedName>
    <definedName name="CBCR_04a796c9a3cb4e66af434ae81d6e7b47" localSheetId="5" hidden="1">'Estimate Uncertainty Range'!$J$81</definedName>
    <definedName name="CBCR_05070c9d616b4522a38c44493152cdb4" localSheetId="5" hidden="1">'Estimate Uncertainty Range'!$B$54</definedName>
    <definedName name="CBCR_0511b18821784733bf0790676a4027f1" localSheetId="6" hidden="1">'Schedule Ranges'!$E$14</definedName>
    <definedName name="CBCR_0520155ed871476abf56124401c3df30" localSheetId="5" hidden="1">'Estimate Uncertainty Range'!$J$40</definedName>
    <definedName name="CBCR_056e4818ff3844f194cb9a29e70f701c" localSheetId="7" hidden="1">'Risk Model'!$J$19</definedName>
    <definedName name="CBCR_057e28c277ea49eaa6ddac318bd5bfa4" localSheetId="5" hidden="1">'Estimate Uncertainty Range'!$I$83</definedName>
    <definedName name="CBCR_060cd2020ff54fef9988a401b4d8a82a" localSheetId="5" hidden="1">'Estimate Uncertainty Range'!$C$66</definedName>
    <definedName name="CBCR_0616d7eb371a4d44a9dcb42d956465fd" localSheetId="5" hidden="1">'Estimate Uncertainty Range'!$B$142</definedName>
    <definedName name="CBCR_06203ad57c3542f0b40ca87512ab781c" localSheetId="5" hidden="1">'Estimate Uncertainty Range'!$C$48</definedName>
    <definedName name="CBCR_06eab22f59cd4a8eb5cdbe0f837b496f" localSheetId="5" hidden="1">'Estimate Uncertainty Range'!$I$51</definedName>
    <definedName name="CBCR_06ec60f97d0a43e79c2d21ae67111e91" localSheetId="5" hidden="1">'Estimate Uncertainty Range'!$C$80</definedName>
    <definedName name="CBCR_0742f573c24f4bbaad79d60e7098b117" localSheetId="5" hidden="1">'Estimate Uncertainty Range'!$C$71</definedName>
    <definedName name="CBCR_07f1c68919ee4f3dbdd9ae2458717003" localSheetId="5" hidden="1">'Estimate Uncertainty Range'!$J$39</definedName>
    <definedName name="CBCR_083a5a7d265f4985a15911c66533d461" localSheetId="5" hidden="1">'Estimate Uncertainty Range'!$J$27</definedName>
    <definedName name="CBCR_08f461fc4a534233842b5c9d18723185" localSheetId="7" hidden="1">'Risk Model'!$I$37</definedName>
    <definedName name="CBCR_09267d1345724495b67278f08caa5e62" localSheetId="5" hidden="1">'Estimate Uncertainty Range'!$C$7</definedName>
    <definedName name="CBCR_0938af1e9bfb4038b5e668c66aef1d80" localSheetId="5" hidden="1">'Estimate Uncertainty Range'!$J$62</definedName>
    <definedName name="CBCR_0a1ab1e755aa4d8abc693338de520ca7" localSheetId="5" hidden="1">'Estimate Uncertainty Range'!$I$15</definedName>
    <definedName name="CBCR_0a8c9944474a44828ba017e41073fc32" localSheetId="5" hidden="1">'Estimate Uncertainty Range'!$C$49</definedName>
    <definedName name="CBCR_0ad75f2727584f6fb8bc2f251ab11864" localSheetId="5" hidden="1">'Estimate Uncertainty Range'!$C$3</definedName>
    <definedName name="CBCR_0af145d32b2249388fecc66418b41345" localSheetId="5" hidden="1">'Estimate Uncertainty Range'!$J$80</definedName>
    <definedName name="CBCR_0b58c727ae2247999b04188ef5f1d4c2" localSheetId="5" hidden="1">'Estimate Uncertainty Range'!$I$76</definedName>
    <definedName name="CBCR_0b6b0cecb22d413b9c7e70e2268f4cd1" localSheetId="5" hidden="1">'Estimate Uncertainty Range'!$C$68</definedName>
    <definedName name="CBCR_0ba6dd7562e14d98bfea9dbb3d7ffd5b" localSheetId="5" hidden="1">'Estimate Uncertainty Range'!$K$38</definedName>
    <definedName name="CBCR_0bb553058a2748ad84848f5b9213e360" localSheetId="5" hidden="1">'Estimate Uncertainty Range'!$B$96</definedName>
    <definedName name="CBCR_0bec11cde997496593fe8f16be84564f" localSheetId="5" hidden="1">'Estimate Uncertainty Range'!$J$83</definedName>
    <definedName name="CBCR_0bf1efb0e71a444ab339a1a135312864" localSheetId="6" hidden="1">'Schedule Ranges'!$A$7</definedName>
    <definedName name="CBCR_0c200a48ed154f329b5db4923b3dfbc2" localSheetId="5" hidden="1">'Estimate Uncertainty Range'!$C$108</definedName>
    <definedName name="CBCR_0c4a2d31c56f4253a4d196c6d8ac5337" localSheetId="5" hidden="1">'Estimate Uncertainty Range'!$I$92</definedName>
    <definedName name="CBCR_0c4ef7f31311432c853cf9085da50df4" localSheetId="5" hidden="1">'Estimate Uncertainty Range'!$I$42</definedName>
    <definedName name="CBCR_0c623d35eb774ff39e5ae2e41b3cac52" localSheetId="5" hidden="1">'Estimate Uncertainty Range'!$I$53</definedName>
    <definedName name="CBCR_0caa62f0382c44c88032b836f6f213d2" localSheetId="5" hidden="1">'Estimate Uncertainty Range'!$K$128</definedName>
    <definedName name="CBCR_0d0a171d431a4ca0a1ee99c439439423" localSheetId="5" hidden="1">'Estimate Uncertainty Range'!$C$85</definedName>
    <definedName name="CBCR_0d6dd5b2711843699e2a1426e033e127" localSheetId="7" hidden="1">'Risk Model'!$K$25</definedName>
    <definedName name="CBCR_0d75bc4f21af4885b5a0fdaa78c3101e" localSheetId="5" hidden="1">'Estimate Uncertainty Range'!$I$75</definedName>
    <definedName name="CBCR_0dc95a917c054260bbcd06a98e3060cf" localSheetId="5" hidden="1">'Estimate Uncertainty Range'!$B$105</definedName>
    <definedName name="CBCR_0dec99e07f1f4c6f90eea3c1e5e239a3" localSheetId="7" hidden="1">'Risk Model'!$J$37</definedName>
    <definedName name="CBCR_0df36f03dea24d08b94bbb5208ba8b0c" localSheetId="5" hidden="1">'Estimate Uncertainty Range'!$B$138</definedName>
    <definedName name="CBCR_0df8ac7ac4cc47f592eeef6ee8a1fdac" localSheetId="5" hidden="1">'Estimate Uncertainty Range'!$C$87</definedName>
    <definedName name="CBCR_0e3fdccc92d14e15b73de094d58255c3" localSheetId="5" hidden="1">'Estimate Uncertainty Range'!$J$119</definedName>
    <definedName name="CBCR_0f571f1e9f3a458fb8127d1d411b0734" localSheetId="5" hidden="1">'Estimate Uncertainty Range'!$I$86</definedName>
    <definedName name="CBCR_0f58dc52bb794c25890fe526efdc37bb" localSheetId="7" hidden="1">'Risk Model'!$K$7</definedName>
    <definedName name="CBCR_0f6dd96a959941b78b07cf5d173a9976" localSheetId="6" hidden="1">'Schedule Ranges'!$C$13</definedName>
    <definedName name="CBCR_104109d6033a45e188e02e7055f41449" localSheetId="5" hidden="1">'Estimate Uncertainty Range'!$J$58</definedName>
    <definedName name="CBCR_1089ac59146544e4b64b8b25b6249597" localSheetId="6" hidden="1">'Schedule Ranges'!$F$13</definedName>
    <definedName name="CBCR_117fa3d33b974afd8ec7eadd16c935ab" localSheetId="6" hidden="1">'Schedule Ranges'!$A$13</definedName>
    <definedName name="CBCR_11a348a5663b4e279810bac00e624806" localSheetId="5" hidden="1">'Estimate Uncertainty Range'!$C$8</definedName>
    <definedName name="CBCR_11ef7caf81ff48ed8b6f71b2a7c88cc8" localSheetId="5" hidden="1">'Estimate Uncertainty Range'!$I$52</definedName>
    <definedName name="CBCR_120edd6b460b4345aa7f9cca5d30dda7" localSheetId="5" hidden="1">'Estimate Uncertainty Range'!$I$58</definedName>
    <definedName name="CBCR_12498447149b405a8cab6916eef5a064" localSheetId="6" hidden="1">'Schedule Ranges'!$E$12</definedName>
    <definedName name="CBCR_127d6061d8ca40bfa93947902e20932f" localSheetId="5" hidden="1">'Estimate Uncertainty Range'!$K$112</definedName>
    <definedName name="CBCR_12bb8d0700344d00a525b657539e993a" localSheetId="5" hidden="1">'Estimate Uncertainty Range'!$C$34</definedName>
    <definedName name="CBCR_12e13a4657ff4f6caf37cb66f9258757" localSheetId="5" hidden="1">'Estimate Uncertainty Range'!$K$74</definedName>
    <definedName name="CBCR_1335c071bdb740c2b65ef048717bcbf3" localSheetId="5" hidden="1">'Estimate Uncertainty Range'!$I$104</definedName>
    <definedName name="CBCR_13429b23d217427f83147af5739fec3d" localSheetId="5" hidden="1">'Estimate Uncertainty Range'!$I$27</definedName>
    <definedName name="CBCR_1394f09eb14749f694c646361695c2f6" localSheetId="5" hidden="1">'Estimate Uncertainty Range'!$I$30</definedName>
    <definedName name="CBCR_13d24b7ea5934650b819e8c55bc239a1" localSheetId="5" hidden="1">'Estimate Uncertainty Range'!$C$46</definedName>
    <definedName name="CBCR_14641ab47d1445e09b3f76859510c098" localSheetId="5" hidden="1">'Estimate Uncertainty Range'!$I$116</definedName>
    <definedName name="CBCR_148592fba7e04080ba4cd591aedff83f" localSheetId="5" hidden="1">'Estimate Uncertainty Range'!$C$14</definedName>
    <definedName name="CBCR_149c5a1778014e7aac638df859cb0c8d" localSheetId="7" hidden="1">'Risk Model'!$K$39</definedName>
    <definedName name="CBCR_14e4bb49b6214d40a82af6019cc24210" localSheetId="5" hidden="1">'Estimate Uncertainty Range'!$C$77</definedName>
    <definedName name="CBCR_153be382219448348ccd290794130382" localSheetId="5" hidden="1">'Estimate Uncertainty Range'!$J$59</definedName>
    <definedName name="CBCR_156ff5c8a57f47979690bbb39e6e8dd1" localSheetId="5" hidden="1">'Estimate Uncertainty Range'!$C$81</definedName>
    <definedName name="CBCR_15b54c7567c94094a16c28c6c2111f69" localSheetId="5" hidden="1">'Estimate Uncertainty Range'!$C$26</definedName>
    <definedName name="CBCR_15f99637a10a4a4e87a3e3ec55c0040e" localSheetId="5" hidden="1">'Estimate Uncertainty Range'!$I$108</definedName>
    <definedName name="CBCR_1634df4f9d0b4e419b3040ead6548aba" localSheetId="5" hidden="1">'Estimate Uncertainty Range'!$K$76</definedName>
    <definedName name="CBCR_168524487b584c13b8cb43f711ac876e" localSheetId="7" hidden="1">'Risk Model'!$L$21</definedName>
    <definedName name="CBCR_173410e1c50f42dd8b2744620467647d" localSheetId="5" hidden="1">'Estimate Uncertainty Range'!$J$141</definedName>
    <definedName name="CBCR_176c5dcae15a44558f0b844830537598" localSheetId="5" hidden="1">'Estimate Uncertainty Range'!$C$100</definedName>
    <definedName name="CBCR_1786f6c37ddc493dbc087c8b9a9ebc06" localSheetId="6" hidden="1">'Schedule Ranges'!$E$6</definedName>
    <definedName name="CBCR_187adf4cd04b4a779794695cb627403f" localSheetId="5" hidden="1">'Estimate Uncertainty Range'!$C$111</definedName>
    <definedName name="CBCR_18ab98362c2543fd96cb0d0591ac0bd9" localSheetId="5" hidden="1">'Estimate Uncertainty Range'!$I$28</definedName>
    <definedName name="CBCR_190f624323ef4582bde3386a19146a96" localSheetId="5" hidden="1">'Estimate Uncertainty Range'!$J$125</definedName>
    <definedName name="CBCR_192b67d4fdcf4051b9e1ac27a112a7b9" localSheetId="5" hidden="1">'Estimate Uncertainty Range'!$J$98</definedName>
    <definedName name="CBCR_19ca168243034fa09b394f7c5e48448d" localSheetId="8" hidden="1">'Likelihood'!$B$27</definedName>
    <definedName name="CBCR_1a20a9499805448bbadd33adf5cb879c" localSheetId="5" hidden="1">'Estimate Uncertainty Range'!$B$38</definedName>
    <definedName name="CBCR_1b3473bfc74f48639212d7885fa4d6c7" localSheetId="5" hidden="1">'Estimate Uncertainty Range'!$K$139</definedName>
    <definedName name="CBCR_1c86a4b17f8c4b2bb5903c5e7fb45a58" localSheetId="5" hidden="1">'Estimate Uncertainty Range'!$K$5</definedName>
    <definedName name="CBCR_1d0603d2c3544ee58ba714105c5fd507" localSheetId="5" hidden="1">'Estimate Uncertainty Range'!$J$128</definedName>
    <definedName name="CBCR_1e0e96f991574a2384a5037b0bb03325" localSheetId="5" hidden="1">'Estimate Uncertainty Range'!$C$86</definedName>
    <definedName name="CBCR_1e325e7d44e946abbecaeb113190cd25" localSheetId="5" hidden="1">'Estimate Uncertainty Range'!$C$94</definedName>
    <definedName name="CBCR_1f940d7dcb3f4affab3e905eec7c907d" localSheetId="5" hidden="1">'Estimate Uncertainty Range'!$I$24</definedName>
    <definedName name="CBCR_20cd68af8d3a46b9bca136543797ac5e" localSheetId="5" hidden="1">'Estimate Uncertainty Range'!$K$41</definedName>
    <definedName name="CBCR_214a0a09966c40318a91c533c6f8b2fb" localSheetId="5" hidden="1">'Estimate Uncertainty Range'!$C$69</definedName>
    <definedName name="CBCR_21aacd27794846ed9b6c601aed61a41a" localSheetId="5" hidden="1">'Estimate Uncertainty Range'!$I$123</definedName>
    <definedName name="CBCR_21b4431d3e5e46309b08d5bde134ded5" localSheetId="5" hidden="1">'Estimate Uncertainty Range'!$K$141</definedName>
    <definedName name="CBCR_21b4f8bb4d3845d6beee8f3c4f6543bc" localSheetId="5" hidden="1">'Estimate Uncertainty Range'!$C$51</definedName>
    <definedName name="CBCR_21c8f55889d74e888d5d9395a0cbe37a" localSheetId="7" hidden="1">'Risk Model'!$J$6</definedName>
    <definedName name="CBCR_21fc5bc3aacd43a58bf9d36bc053c1bd" localSheetId="5" hidden="1">'Estimate Uncertainty Range'!$K$118</definedName>
    <definedName name="CBCR_2281082df1ae49d2ad7724fb6380518b" localSheetId="5" hidden="1">'Estimate Uncertainty Range'!$C$79</definedName>
    <definedName name="CBCR_228196f300664184b0fa6a52dce4cccb" localSheetId="5" hidden="1">'Estimate Uncertainty Range'!$B$141</definedName>
    <definedName name="CBCR_2295944909a04f6384a09475495136ff" localSheetId="6" hidden="1">'Schedule Ranges'!$E$10</definedName>
    <definedName name="CBCR_22eb693cdb0840a1948248a726dfd3ff" localSheetId="5" hidden="1">'Estimate Uncertainty Range'!$C$52</definedName>
    <definedName name="CBCR_2301cdcda6994b24957a25ba40f55e52" localSheetId="5" hidden="1">'Estimate Uncertainty Range'!$C$27</definedName>
    <definedName name="CBCR_23adcb987b254d17be3c48691559d5c3" localSheetId="7" hidden="1">'Risk Model'!$L$19</definedName>
    <definedName name="CBCR_23d58047a3804cc698e0f69108042069" localSheetId="5" hidden="1">'Estimate Uncertainty Range'!$K$60</definedName>
    <definedName name="CBCR_2472a69963914139b015b4d744d84229" localSheetId="5" hidden="1">'Estimate Uncertainty Range'!$J$85</definedName>
    <definedName name="CBCR_24a9e8606a894aabb06c5543d05e05ba" localSheetId="5" hidden="1">'Estimate Uncertainty Range'!$K$101</definedName>
    <definedName name="CBCR_24aad6422bd14fdf8bdfb4a0a961e751" localSheetId="5" hidden="1">'Estimate Uncertainty Range'!$K$71</definedName>
    <definedName name="CBCR_24cad0e9b77742ad96362ba14be7aa98" localSheetId="5" hidden="1">'Estimate Uncertainty Range'!$J$50</definedName>
    <definedName name="CBCR_24f76b340ceb4282a821eb3ecad687e5" localSheetId="5" hidden="1">'Estimate Uncertainty Range'!$I$129</definedName>
    <definedName name="CBCR_250b3550e24c4bcbaa0f725089dd3018" localSheetId="7" hidden="1">'Risk Model'!$L$25</definedName>
    <definedName name="CBCR_250c7d89154a437a84af9813467bd557" localSheetId="5" hidden="1">'Estimate Uncertainty Range'!$J$29</definedName>
    <definedName name="CBCR_2553a35d97094b6583e7fa7cdb24d492" localSheetId="5" hidden="1">'Estimate Uncertainty Range'!$J$22</definedName>
    <definedName name="CBCR_261b42f089854edfbe6049c6be599b3a" localSheetId="5" hidden="1">'Estimate Uncertainty Range'!$B$118</definedName>
    <definedName name="CBCR_267fec5e2afe4f0c9da6b964d622b933" localSheetId="5" hidden="1">'Estimate Uncertainty Range'!$I$82</definedName>
    <definedName name="CBCR_26d4acd7f331408c8a8af0636db72e17" localSheetId="5" hidden="1">'Estimate Uncertainty Range'!$K$121</definedName>
    <definedName name="CBCR_26fcf43594a94076b61c517fedddaa19" localSheetId="5" hidden="1">'Estimate Uncertainty Range'!$I$73</definedName>
    <definedName name="CBCR_27526e59d6d14dfe935f290a973a69cd" localSheetId="5" hidden="1">'Estimate Uncertainty Range'!$J$109</definedName>
    <definedName name="CBCR_27eb590d30d44ca787b917ab92b57945" localSheetId="5" hidden="1">'Estimate Uncertainty Range'!$I$81</definedName>
    <definedName name="CBCR_2833eef9eb0a4c2a9f1a4624866abb94" localSheetId="5" hidden="1">'Estimate Uncertainty Range'!#REF!</definedName>
    <definedName name="CBCR_28d730d714034b9cb9d72196163234c9" localSheetId="5" hidden="1">'Estimate Uncertainty Range'!$C$4</definedName>
    <definedName name="CBCR_2901720d691f47eba910300e3b404cdd" localSheetId="5" hidden="1">'Estimate Uncertainty Range'!$K$55</definedName>
    <definedName name="CBCR_295d2c009d87421cb09650e315076be9" localSheetId="6" hidden="1">'Schedule Ranges'!$A$6</definedName>
    <definedName name="CBCR_29a2956b81a341cfa8f965169634aa18" localSheetId="7" hidden="1">'Risk Model'!$I$14</definedName>
    <definedName name="CBCR_2a6d060da0cd48298c13848ea84311d8" localSheetId="5" hidden="1">'Estimate Uncertainty Range'!$J$37</definedName>
    <definedName name="CBCR_2b723ad10dba4f9a962128e504b0ab56" localSheetId="5" hidden="1">'Estimate Uncertainty Range'!$J$102</definedName>
    <definedName name="CBCR_2bdcea8d4b0d4226a364ce6ab6f7d903" localSheetId="5" hidden="1">'Estimate Uncertainty Range'!$J$21</definedName>
    <definedName name="CBCR_2be9cfd26a9b490b87ce0da907f08e9c" localSheetId="5" hidden="1">'Estimate Uncertainty Range'!$J$7</definedName>
    <definedName name="CBCR_2c17d2ea3b1941e49814b511c70049b1" localSheetId="5" hidden="1">'Estimate Uncertainty Range'!$J$56</definedName>
    <definedName name="CBCR_2e032acc396542eea3f94022e50b5503" localSheetId="5" hidden="1">'Estimate Uncertainty Range'!$J$51</definedName>
    <definedName name="CBCR_2e8e4cffb9514b91aa4747d31fe666b9" localSheetId="5" hidden="1">'Estimate Uncertainty Range'!$K$62</definedName>
    <definedName name="CBCR_2e94256ca5084bf5af78fbabde4a44f8" localSheetId="5" hidden="1">'Estimate Uncertainty Range'!$B$123</definedName>
    <definedName name="CBCR_2e9c64ebb7144206a13db33d2c5477dc" localSheetId="5" hidden="1">'Estimate Uncertainty Range'!$K$94</definedName>
    <definedName name="CBCR_2ea28a101cfb44ae889118379b6389af" localSheetId="5" hidden="1">'Estimate Uncertainty Range'!$I$50</definedName>
    <definedName name="CBCR_2ed79633b7484653803ab18797b0b5e0" localSheetId="6" hidden="1">'Schedule Ranges'!$B$9</definedName>
    <definedName name="CBCR_2f0d27fd38cb47a583a17afe576318f4" localSheetId="5" hidden="1">'Estimate Uncertainty Range'!$K$49</definedName>
    <definedName name="CBCR_2f4b5757a62c400e9b2b6d2851927d41" localSheetId="5" hidden="1">'Estimate Uncertainty Range'!$K$58</definedName>
    <definedName name="CBCR_2f68bb2b3d3049748677944eb939f283" localSheetId="5" hidden="1">'Estimate Uncertainty Range'!$J$45</definedName>
    <definedName name="CBCR_2fdfb7d8704245f1b55b8bd7868570e4" localSheetId="5" hidden="1">'Estimate Uncertainty Range'!$J$127</definedName>
    <definedName name="CBCR_30359352da2a4559b2b516171afe1c7f" localSheetId="5" hidden="1">'Estimate Uncertainty Range'!$K$117</definedName>
    <definedName name="CBCR_30a82de873b84d3f922e8bb6560918e1" localSheetId="5" hidden="1">'Estimate Uncertainty Range'!$C$6</definedName>
    <definedName name="CBCR_314283d2fb7f4a3d802fe97846f307bb" localSheetId="6" hidden="1">'Schedule Ranges'!$E$7</definedName>
    <definedName name="CBCR_320f792175c6408c8654267c58bd37bf" localSheetId="5" hidden="1">'Estimate Uncertainty Range'!$I$124</definedName>
    <definedName name="CBCR_326683b3285d4e15ac91058e3c4f828e" localSheetId="7" hidden="1">'Risk Model'!$I$19</definedName>
    <definedName name="CBCR_327d5589738f4956bf4fe4326cefb8b1" localSheetId="5" hidden="1">'Estimate Uncertainty Range'!$K$126</definedName>
    <definedName name="CBCR_33385a171d1e48a892de56ae7b6bfb84" localSheetId="5" hidden="1">'Estimate Uncertainty Range'!$C$126</definedName>
    <definedName name="CBCR_345a15f2488148cf8d1327ce33d71ed0" localSheetId="5" hidden="1">'Estimate Uncertainty Range'!$I$113</definedName>
    <definedName name="CBCR_34c014cdc2704efa95f7b118586ae4d5" localSheetId="5" hidden="1">'Estimate Uncertainty Range'!$C$63</definedName>
    <definedName name="CBCR_350840b049b14635b0ed51a2210ffb90" localSheetId="5" hidden="1">'Estimate Uncertainty Range'!$J$108</definedName>
    <definedName name="CBCR_352196aee2dc47d1837c36328e6caad1" localSheetId="5" hidden="1">'Estimate Uncertainty Range'!$J$90</definedName>
    <definedName name="CBCR_3535366aed07488282aa2fa70b834d28" localSheetId="5" hidden="1">'Estimate Uncertainty Range'!$I$121</definedName>
    <definedName name="CBCR_354ad3ae3e9a428c8d58a628f735f499" localSheetId="5" hidden="1">'Estimate Uncertainty Range'!$K$100</definedName>
    <definedName name="CBCR_36997cf4f1454b8cbfe78ab2eaf515bc" localSheetId="5" hidden="1">'Estimate Uncertainty Range'!$C$35</definedName>
    <definedName name="CBCR_3908cf39df3849989d2069aae2643f96" localSheetId="5" hidden="1">'Estimate Uncertainty Range'!$I$128</definedName>
    <definedName name="CBCR_397bd786c7ae4d5f88210464f29597f4" localSheetId="7" hidden="1">'Risk Model'!$K$35</definedName>
    <definedName name="CBCR_39988941df8a4728ad50add36ba0dd93" localSheetId="8" hidden="1">'Likelihood'!$B$26</definedName>
    <definedName name="CBCR_39a47d66f3014d52a8d8940d9562cada" localSheetId="5" hidden="1">'Estimate Uncertainty Range'!$I$66</definedName>
    <definedName name="CBCR_3ab26a8e128348dd937a73293d7dcf34" localSheetId="5" hidden="1">'Estimate Uncertainty Range'!$B$97</definedName>
    <definedName name="CBCR_3ae16d54043a46d7a6263e843665a5c5" localSheetId="5" hidden="1">'Estimate Uncertainty Range'!$J$33</definedName>
    <definedName name="CBCR_3ae5127edf9842f7ae5c0cb4b1e69c99" localSheetId="5" hidden="1">'Estimate Uncertainty Range'!$C$65</definedName>
    <definedName name="CBCR_3b8d2d68fd7347c9b8c978d017167db8" localSheetId="5" hidden="1">'Estimate Uncertainty Range'!$K$44</definedName>
    <definedName name="CBCR_3c3be6b7032c484cad7dbdb7f6c414fa" localSheetId="5" hidden="1">'Estimate Uncertainty Range'!$I$46</definedName>
    <definedName name="CBCR_3d512b42b6ce47e3a4535cbba1cd7cfd" localSheetId="7" hidden="1">'Risk Model'!$K$19</definedName>
    <definedName name="CBCR_3d90fada7f6843f8b0dc0844539e302f" localSheetId="5" hidden="1">'Estimate Uncertainty Range'!$K$108</definedName>
    <definedName name="CBCR_3dc69f6370d948fdb2f05361d32ace3c" localSheetId="5" hidden="1">'Estimate Uncertainty Range'!$K$65</definedName>
    <definedName name="CBCR_3e528c45c63c4b638def7dddcf331277" localSheetId="6" hidden="1">'Schedule Ranges'!$C$10</definedName>
    <definedName name="CBCR_3ee445d5584245d0a41fec02293e6c6d" localSheetId="5" hidden="1">'Estimate Uncertainty Range'!$K$47</definedName>
    <definedName name="CBCR_3ef5f365f16142a7b5ffdd110097149c" localSheetId="5" hidden="1">'Estimate Uncertainty Range'!$J$111</definedName>
    <definedName name="CBCR_3f815a1090714ddf9af70d87207486b5" localSheetId="5" hidden="1">'Estimate Uncertainty Range'!$J$44</definedName>
    <definedName name="CBCR_3fd90df1dcbf4458928fd1a1f36e41b9" localSheetId="6" hidden="1">'Schedule Ranges'!$F$6</definedName>
    <definedName name="CBCR_401d992785d348da969a092f1dae5209" localSheetId="5" hidden="1">'Estimate Uncertainty Range'!$J$49</definedName>
    <definedName name="CBCR_4061713d3e024a62b91b5e6d6898e47b" localSheetId="5" hidden="1">'Estimate Uncertainty Range'!$K$56</definedName>
    <definedName name="CBCR_406fb830584c4eec8d41dc2726a2d193" localSheetId="5" hidden="1">'Estimate Uncertainty Range'!$K$12</definedName>
    <definedName name="CBCR_4073c50839f34148a90dbdae1a8fe370" localSheetId="5" hidden="1">'Estimate Uncertainty Range'!$K$57</definedName>
    <definedName name="CBCR_4073d0eed4324c6bb16abc1df35c589a" localSheetId="5" hidden="1">'Estimate Uncertainty Range'!$I$103</definedName>
    <definedName name="CBCR_4164788c1dd641f39e958249f129160e" localSheetId="5" hidden="1">'Estimate Uncertainty Range'!$C$62</definedName>
    <definedName name="CBCR_42544f6d1f384a96ae7933bb4618012c" localSheetId="5" hidden="1">'Estimate Uncertainty Range'!$K$132</definedName>
    <definedName name="CBCR_428493f43c864140b7922823a5cc3fcb" localSheetId="5" hidden="1">'Estimate Uncertainty Range'!$J$110</definedName>
    <definedName name="CBCR_428b09d57e8c4dfe9b138f887582a401" localSheetId="5" hidden="1">'Estimate Uncertainty Range'!$I$12</definedName>
    <definedName name="CBCR_4292cfb9f1f04e3b81ae1819dec99f9d" localSheetId="5" hidden="1">'Estimate Uncertainty Range'!$J$95</definedName>
    <definedName name="CBCR_448f560c157c47c986e34e92c58d1809" localSheetId="5" hidden="1">'Estimate Uncertainty Range'!#REF!</definedName>
    <definedName name="CBCR_45343427aab34c46beb3d06a33cd2322" localSheetId="5" hidden="1">'Estimate Uncertainty Range'!$K$87</definedName>
    <definedName name="CBCR_456c10d3ed144c99b63fb2e26e586958" localSheetId="6" hidden="1">'Schedule Ranges'!#REF!</definedName>
    <definedName name="CBCR_45c5f81865b14fe6883770cfcb2a206f" localSheetId="5" hidden="1">'Estimate Uncertainty Range'!$K$17</definedName>
    <definedName name="CBCR_45cf1abce3ea416491622bd8b5d51c2b" localSheetId="5" hidden="1">'Estimate Uncertainty Range'!$J$131</definedName>
    <definedName name="CBCR_4887270ef2da435da3d1a21d862a838b" localSheetId="5" hidden="1">'Estimate Uncertainty Range'!$I$111</definedName>
    <definedName name="CBCR_48b9ce705e14427997a1550dd2231fc0" localSheetId="5" hidden="1">'Estimate Uncertainty Range'!$C$5</definedName>
    <definedName name="CBCR_4902b5d1c51949c2992cde9fa63f4ff6" localSheetId="7" hidden="1">'Risk Model'!$J$36</definedName>
    <definedName name="CBCR_4903ac4844d74e6fa2d053a6926b5be3" localSheetId="5" hidden="1">'Estimate Uncertainty Range'!$K$88</definedName>
    <definedName name="CBCR_49ab8c3b273b4261af9b54f96cc47c62" localSheetId="5" hidden="1">'Estimate Uncertainty Range'!$I$69</definedName>
    <definedName name="CBCR_49be9c34f2ce43929e03b37a7ac6a664" localSheetId="7" hidden="1">'Risk Model'!$J$14</definedName>
    <definedName name="CBCR_4af10eb8c28f4e63b3f49c1016b64234" localSheetId="5" hidden="1">'Estimate Uncertainty Range'!$C$102</definedName>
    <definedName name="CBCR_4be70ed395644965b4567c26dc461195" localSheetId="6" hidden="1">'Schedule Ranges'!$F$14</definedName>
    <definedName name="CBCR_4ca84c731d11410186f24324e1b15077" localSheetId="7" hidden="1">'Risk Model'!$L$39</definedName>
    <definedName name="CBCR_4d6d114df6df4a9facad4abdf1584ec2" localSheetId="5" hidden="1">'Estimate Uncertainty Range'!$I$57</definedName>
    <definedName name="CBCR_4e804590d3b143a09d2db97097802519" localSheetId="5" hidden="1">'Estimate Uncertainty Range'!$C$148</definedName>
    <definedName name="CBCR_4f3e179cb3a04b41899f2a725565d41a" localSheetId="5" hidden="1">'Estimate Uncertainty Range'!$J$104</definedName>
    <definedName name="CBCR_4f9030577662471c9aea227e0f4b0655" localSheetId="5" hidden="1">'Estimate Uncertainty Range'!$B$59</definedName>
    <definedName name="CBCR_504786ca0a1c48b8bcf7e0c36e18831f" localSheetId="7" hidden="1">'Risk Model'!$I$33</definedName>
    <definedName name="CBCR_505f5d7a3ab746ceb79809a523f2252b" localSheetId="5" hidden="1">'Estimate Uncertainty Range'!$B$143</definedName>
    <definedName name="CBCR_50af75ed6ef442bbb2009e271b0a8e1a" localSheetId="5" hidden="1">'Estimate Uncertainty Range'!#REF!</definedName>
    <definedName name="CBCR_514945ab57114e868b322b985de0c396" localSheetId="5" hidden="1">'Estimate Uncertainty Range'!$I$54</definedName>
    <definedName name="CBCR_51a7affdc2b84b97a1e048d151f151f5" localSheetId="5" hidden="1">'Estimate Uncertainty Range'!$I$115</definedName>
    <definedName name="CBCR_51c777b541f64c2ea719071cceacabc1" localSheetId="5" hidden="1">'Estimate Uncertainty Range'!$C$72</definedName>
    <definedName name="CBCR_51f0671bb1d148c2b17a2ef6ba7b509a" localSheetId="5" hidden="1">'Estimate Uncertainty Range'!$K$8</definedName>
    <definedName name="CBCR_520aa35eadfb4e77b7bf1536ba130307" localSheetId="6" hidden="1">'Schedule Ranges'!$C$6</definedName>
    <definedName name="CBCR_5293583c13374931a1af86f539461edc" localSheetId="5" hidden="1">'Estimate Uncertainty Range'!$K$29</definedName>
    <definedName name="CBCR_53483c0cb0d14ba89102bda21faf0c00" localSheetId="5" hidden="1">'Estimate Uncertainty Range'!$C$42</definedName>
    <definedName name="CBCR_53d8236af5de48549f9002d828d2e793" localSheetId="7" hidden="1">'Risk Model'!$I$9</definedName>
    <definedName name="CBCR_55857c26284e462c8654ab1b7200410b" localSheetId="5" hidden="1">'Estimate Uncertainty Range'!$C$116</definedName>
    <definedName name="CBCR_55fc6d8d6d984bc4a792f8e70711bfb8" localSheetId="5" hidden="1">'Estimate Uncertainty Range'!$I$95</definedName>
    <definedName name="CBCR_560fc5f6b1494c448455a4230952fe20" localSheetId="5" hidden="1">'Estimate Uncertainty Range'!$I$61</definedName>
    <definedName name="CBCR_561d79d3d1af4b2a97297688342f4d76" localSheetId="5" hidden="1">'Estimate Uncertainty Range'!$C$36</definedName>
    <definedName name="CBCR_56446813d09145ee980fb13e4414f170" localSheetId="5" hidden="1">'Estimate Uncertainty Range'!$J$82</definedName>
    <definedName name="CBCR_5655961591c045a3891a0052c0cad82c" localSheetId="5" hidden="1">'Estimate Uncertainty Range'!$J$112</definedName>
    <definedName name="CBCR_5781652b3d6a40f0a4c9115c4e6ace9d" localSheetId="5" hidden="1">'Estimate Uncertainty Range'!$J$54</definedName>
    <definedName name="CBCR_57e58304bb0d4ce49e1ecfcc6f976419" localSheetId="5" hidden="1">'Estimate Uncertainty Range'!$J$42</definedName>
    <definedName name="CBCR_57f5e3b89d3143be8991a49a2bdd392f" localSheetId="5" hidden="1">'Estimate Uncertainty Range'!#REF!</definedName>
    <definedName name="CBCR_580cf3d3f21b44f793dd7ab476142af7" localSheetId="5" hidden="1">'Estimate Uncertainty Range'!$I$62</definedName>
    <definedName name="CBCR_582d6506f18e4502962e884c6dc2d275" localSheetId="5" hidden="1">'Estimate Uncertainty Range'!$J$24</definedName>
    <definedName name="CBCR_58b05d7199014810a818ba8d8f49b120" localSheetId="5" hidden="1">'Estimate Uncertainty Range'!$K$70</definedName>
    <definedName name="CBCR_58bfc81c89da497b8eb485a2789d3563" localSheetId="5" hidden="1">'Estimate Uncertainty Range'!$C$70</definedName>
    <definedName name="CBCR_593850255e95412ca8e6dca3a737255d" localSheetId="5" hidden="1">'Estimate Uncertainty Range'!$I$49</definedName>
    <definedName name="CBCR_59bd64d2ff804f0b99306ac52376122c" localSheetId="5" hidden="1">'Estimate Uncertainty Range'!$I$79</definedName>
    <definedName name="CBCR_59c00a2edc8046b1814f5bb82f049bfa" localSheetId="5" hidden="1">'Estimate Uncertainty Range'!$C$16</definedName>
    <definedName name="CBCR_59c6a199f4474a4da971153daf405571" localSheetId="5" hidden="1">'Estimate Uncertainty Range'!$J$91</definedName>
    <definedName name="CBCR_59ce4c4ef4674f9b9d5267a988b23717" localSheetId="5" hidden="1">'Estimate Uncertainty Range'!$J$123</definedName>
    <definedName name="CBCR_59e2daee6a9c49c58327a43a2e508b8e" localSheetId="5" hidden="1">'Estimate Uncertainty Range'!$I$114</definedName>
    <definedName name="CBCR_5a668bb634a64d8aa6268253425c5567" localSheetId="5" hidden="1">'Estimate Uncertainty Range'!$J$103</definedName>
    <definedName name="CBCR_5a89b73b60fa4009b670fef880f4a463" localSheetId="5" hidden="1">'Estimate Uncertainty Range'!$J$116</definedName>
    <definedName name="CBCR_5acdccf1321849ca95f3ee252ba9ae31" localSheetId="5" hidden="1">'Estimate Uncertainty Range'!$I$117</definedName>
    <definedName name="CBCR_5ada7e5d71e847bcb65f4baf5b40fa41" localSheetId="5" hidden="1">'Estimate Uncertainty Range'!$C$13</definedName>
    <definedName name="CBCR_5adf395dc5024dceb0e61d4c315ac100" localSheetId="6" hidden="1">'Schedule Ranges'!$C$9</definedName>
    <definedName name="CBCR_5b25d68166f1425c8e3db44658c6db08" localSheetId="5" hidden="1">'Estimate Uncertainty Range'!$J$126</definedName>
    <definedName name="CBCR_5b3046903fa049abab421e11a4e63e41" localSheetId="5" hidden="1">'Estimate Uncertainty Range'!$J$69</definedName>
    <definedName name="CBCR_5bec58b8c67948ae9647d89b52f147fb" localSheetId="7" hidden="1">'Risk Model'!$J$13</definedName>
    <definedName name="CBCR_5bf643c9834842fbb32fe9eeebd0cd5a" localSheetId="5" hidden="1">'Estimate Uncertainty Range'!$J$16</definedName>
    <definedName name="CBCR_5bf7801b4ae444d083a342968bbad631" localSheetId="5" hidden="1">'Estimate Uncertainty Range'!$C$92</definedName>
    <definedName name="CBCR_5c29f8848c2649da8ce71f45f8d82fd8" localSheetId="5" hidden="1">'Estimate Uncertainty Range'!$K$102</definedName>
    <definedName name="CBCR_5c4338ea02f2487e9de24cd1ae5b8da6" localSheetId="5" hidden="1">'Estimate Uncertainty Range'!$I$135</definedName>
    <definedName name="CBCR_5cb1645fe9d846df855a2e7040684242" localSheetId="7" hidden="1">'Risk Model'!$J$12</definedName>
    <definedName name="CBCR_5ce9acd6faa1401fa7181c92430e42c8" localSheetId="5" hidden="1">'Estimate Uncertainty Range'!$J$57</definedName>
    <definedName name="CBCR_5cee9500277640f9a7db3c2dc6c6aa64" localSheetId="5" hidden="1">'Estimate Uncertainty Range'!$I$78</definedName>
    <definedName name="CBCR_5d227916399444feb43551adc5e48ebb" localSheetId="5" hidden="1">'Estimate Uncertainty Range'!$J$86</definedName>
    <definedName name="CBCR_5d53585c0fa24da5bc938f68eda72bfd" localSheetId="5" hidden="1">'Estimate Uncertainty Range'!$J$46</definedName>
    <definedName name="CBCR_5de15b686e8b4596b3539385a7a14f8a" localSheetId="5" hidden="1">'Estimate Uncertainty Range'!$I$32</definedName>
    <definedName name="CBCR_5df11aa2eb2547f2b6d705a4bd757c20" localSheetId="5" hidden="1">'Estimate Uncertainty Range'!$K$36</definedName>
    <definedName name="CBCR_5e760771e0f24213a867862c8da567f9" localSheetId="5" hidden="1">'Estimate Uncertainty Range'!$K$43</definedName>
    <definedName name="CBCR_5eab90c895ab482cb0c8f566f8fa7814" localSheetId="5" hidden="1">'Estimate Uncertainty Range'!$J$14</definedName>
    <definedName name="CBCR_5ec2b77060434d988924363a9421c439" localSheetId="5" hidden="1">'Estimate Uncertainty Range'!$K$91</definedName>
    <definedName name="CBCR_5eea2eb4056447afb6a27d1621267ae1" localSheetId="5" hidden="1">'Estimate Uncertainty Range'!$K$67</definedName>
    <definedName name="CBCR_5f58243e0b224ce89038270863024460" localSheetId="5" hidden="1">'Estimate Uncertainty Range'!$J$120</definedName>
    <definedName name="CBCR_5f6c6fc459364cfdb06f25f8f5b63598" localSheetId="5" hidden="1">'Estimate Uncertainty Range'!$I$88</definedName>
    <definedName name="CBCR_5fbd1040a5794698af0bee78824a3278" localSheetId="5" hidden="1">'Estimate Uncertainty Range'!$I$84</definedName>
    <definedName name="CBCR_5fea4228d4fa46c082101f0da87ffde5" localSheetId="5" hidden="1">'Estimate Uncertainty Range'!$B$120</definedName>
    <definedName name="CBCR_602d0cb044694d79a1ddda5340423270" localSheetId="7" hidden="1">'Risk Model'!$I$17</definedName>
    <definedName name="CBCR_6043781c546c412a917c6b05ef86dae0" localSheetId="5" hidden="1">'Estimate Uncertainty Range'!$K$72</definedName>
    <definedName name="CBCR_60b25a9c897943adbeec7ef712c8b345" localSheetId="5" hidden="1">'Estimate Uncertainty Range'!$I$132</definedName>
    <definedName name="CBCR_60d56b5c87ab486f8e1f8d87732058f3" localSheetId="5" hidden="1">'Estimate Uncertainty Range'!$C$74</definedName>
    <definedName name="CBCR_613eb5496d7648358bb75c993203cf31" localSheetId="7" hidden="1">'Risk Model'!$L$11</definedName>
    <definedName name="CBCR_621ade408efe464e832b468c1e293d5d" localSheetId="5" hidden="1">'Estimate Uncertainty Range'!$J$3</definedName>
    <definedName name="CBCR_62aee4d899c943a8bd41ef4c913ce7aa" localSheetId="5" hidden="1">'Estimate Uncertainty Range'!$J$134</definedName>
    <definedName name="CBCR_62e8e4dc3d444223aecaeade380a043a" localSheetId="7" hidden="1">'Risk Model'!$I$8</definedName>
    <definedName name="CBCR_6365cfa3aedc4676b833a217f9a3a178" localSheetId="5" hidden="1">'Estimate Uncertainty Range'!$I$91</definedName>
    <definedName name="CBCR_645d4aeb6a8b4c90840bb96d221cb77e" localSheetId="5" hidden="1">'Estimate Uncertainty Range'!$K$109</definedName>
    <definedName name="CBCR_64be7d7be99744ee87fb0959ac967137" localSheetId="5" hidden="1">'Estimate Uncertainty Range'!$K$50</definedName>
    <definedName name="CBCR_65537d124f9a4591a43dfdad18863c83" localSheetId="5" hidden="1">'Estimate Uncertainty Range'!$K$79</definedName>
    <definedName name="CBCR_658b123b76184d7a8c2d4475046cc049" localSheetId="5" hidden="1">'Estimate Uncertainty Range'!$I$16</definedName>
    <definedName name="CBCR_661b3d0f762f484a912544d201c865e6" localSheetId="5" hidden="1">'Estimate Uncertainty Range'!$I$47</definedName>
    <definedName name="CBCR_666a4a1161e14bb881f59217ef9a71b9" localSheetId="5" hidden="1">'Estimate Uncertainty Range'!$J$124</definedName>
    <definedName name="CBCR_669041bff250460682050608303dd729" localSheetId="5" hidden="1">'Estimate Uncertainty Range'!$I$35</definedName>
    <definedName name="CBCR_66f8173f48f249ce9ad9033d4bc03846" localSheetId="5" hidden="1">'Estimate Uncertainty Range'!$I$119</definedName>
    <definedName name="CBCR_67120d1524aa4496add8b7d0f4daacd8" localSheetId="6" hidden="1">'Schedule Ranges'!$B$12</definedName>
    <definedName name="CBCR_6726673ed8cf41c7bce002e753adf2aa" localSheetId="7" hidden="1">'Risk Model'!$K$21</definedName>
    <definedName name="CBCR_6797859e196243218e9497eda1f2063b" localSheetId="5" hidden="1">'Estimate Uncertainty Range'!$J$88</definedName>
    <definedName name="CBCR_67ae0f7855184f1aa4a5f5c9907d8de1" localSheetId="5" hidden="1">'Estimate Uncertainty Range'!$I$134</definedName>
    <definedName name="CBCR_67beb9c3a45e4cf1b95566bef56757c4" localSheetId="5" hidden="1">'Estimate Uncertainty Range'!$I$96</definedName>
    <definedName name="CBCR_681a5522726b4db496eaf2c5f30b9c1d" localSheetId="5" hidden="1">'Estimate Uncertainty Range'!$I$63</definedName>
    <definedName name="CBCR_6963617f23a94e509a836a1ab9e56da7" localSheetId="6" hidden="1">'Schedule Ranges'!$C$14</definedName>
    <definedName name="CBCR_69a6e2f6ae3442789697aaa47c1b349f" localSheetId="5" hidden="1">'Estimate Uncertainty Range'!$J$60</definedName>
    <definedName name="CBCR_6a091f06f4f2480d93ed6cf15013b34f" localSheetId="5" hidden="1">'Estimate Uncertainty Range'!$I$102</definedName>
    <definedName name="CBCR_6a503ecb4b8e4ccdb3f32daec0ff395c" localSheetId="5" hidden="1">'Estimate Uncertainty Range'!$K$135</definedName>
    <definedName name="CBCR_6afd7f6dca2c4e3595e433e39eb60573" localSheetId="5" hidden="1">'Estimate Uncertainty Range'!$I$43</definedName>
    <definedName name="CBCR_6b8144d460254dbeac4129412a24c628" localSheetId="5" hidden="1">'Estimate Uncertainty Range'!$I$26</definedName>
    <definedName name="CBCR_6b9ba1f0e79f4c84a988a51c28ea1f86" localSheetId="7" hidden="1">'Risk Model'!$L$17</definedName>
    <definedName name="CBCR_6c1f06f977624fbda10e43ade7aae01a" localSheetId="5" hidden="1">'Estimate Uncertainty Range'!$K$81</definedName>
    <definedName name="CBCR_6d4888facece42b1aa92d5794c91109c" localSheetId="5" hidden="1">'Estimate Uncertainty Range'!$J$65</definedName>
    <definedName name="CBCR_6d67a526f04b463ab83bc90ff0f084c6" localSheetId="5" hidden="1">'Estimate Uncertainty Range'!$K$48</definedName>
    <definedName name="CBCR_6d7dfab175a44c9c80fd24c162787de5" localSheetId="5" hidden="1">'Estimate Uncertainty Range'!$C$93</definedName>
    <definedName name="CBCR_6dda4357f7714d738284f9a8ddb9345e" localSheetId="5" hidden="1">'Estimate Uncertainty Range'!$I$126</definedName>
    <definedName name="CBCR_6e929af9e54847a2ae94400dcbf2a10d" localSheetId="5" hidden="1">'Estimate Uncertainty Range'!$C$76</definedName>
    <definedName name="CBCR_6ea18be9fdc648128eb5f01dc83ebd22" localSheetId="5" hidden="1">'Estimate Uncertainty Range'!$K$53</definedName>
    <definedName name="CBCR_6f165283bd6c458ca9bafbbab2e6df41" localSheetId="5" hidden="1">'Estimate Uncertainty Range'!$J$101</definedName>
    <definedName name="CBCR_6fad593622cd4485bc11eef8113ec89f" localSheetId="5" hidden="1">'Estimate Uncertainty Range'!$C$43</definedName>
    <definedName name="CBCR_6fc09a88d3b04a559bbfa8eb6c696461" localSheetId="5" hidden="1">'Estimate Uncertainty Range'!$C$115</definedName>
    <definedName name="CBCR_6fc650764a3d481db3adf0d096b5b170" localSheetId="5" hidden="1">'Estimate Uncertainty Range'!$I$118</definedName>
    <definedName name="CBCR_70b1779652f74f4d8914e43db374a1c5" localSheetId="5" hidden="1">'Estimate Uncertainty Range'!$J$132</definedName>
    <definedName name="CBCR_712b75620adb4424a3c3ac952d99cd18" localSheetId="5" hidden="1">'Estimate Uncertainty Range'!$K$143</definedName>
    <definedName name="CBCR_71c22757ba82425bb68ac5827375d60e" localSheetId="7" hidden="1">'Risk Model'!$L$7</definedName>
    <definedName name="CBCR_71c3eaa64cc24ed0a42c0c67e03ac1ea" localSheetId="7" hidden="1">'Risk Model'!$I$21</definedName>
    <definedName name="CBCR_725677192ef1474aad87d6c759c19e20" localSheetId="5" hidden="1">'Estimate Uncertainty Range'!$I$38</definedName>
    <definedName name="CBCR_72c578946c0c44c3abf448a368bf9a67" localSheetId="5" hidden="1">'Estimate Uncertainty Range'!$J$96</definedName>
    <definedName name="CBCR_746c2c1785fa4ef4a55776ec025b5b9a" localSheetId="5" hidden="1">'Estimate Uncertainty Range'!$K$28</definedName>
    <definedName name="CBCR_749b82dd7b5a46b09d6b052fb4666594" localSheetId="5" hidden="1">'Estimate Uncertainty Range'!$I$142</definedName>
    <definedName name="CBCR_74a0ceb9e10e4dcca043c469c91322df" localSheetId="5" hidden="1">'Estimate Uncertainty Range'!$K$78</definedName>
    <definedName name="CBCR_74ec175782354c2597c39704406538ee" localSheetId="5" hidden="1">'Estimate Uncertainty Range'!$K$116</definedName>
    <definedName name="CBCR_756b37dd7e474028bd1b30a6ffd50e38" localSheetId="5" hidden="1">'Estimate Uncertainty Range'!$I$136</definedName>
    <definedName name="CBCR_757c93d84668499b8e8173219512c716" localSheetId="5" hidden="1">'Estimate Uncertainty Range'!$I$14</definedName>
    <definedName name="CBCR_75aa07b11d954dafb825752ce8fb844e" localSheetId="5" hidden="1">'Estimate Uncertainty Range'!$K$69</definedName>
    <definedName name="CBCR_75f74be09630464bad5cbde1d5306456" localSheetId="5" hidden="1">'Estimate Uncertainty Range'!$K$6</definedName>
    <definedName name="CBCR_7623cd67944b4c2f93a77e24ab5a7216" localSheetId="5" hidden="1">'Estimate Uncertainty Range'!$J$84</definedName>
    <definedName name="CBCR_763f960def524be69cd5f6b4244c3e21" localSheetId="5" hidden="1">'Estimate Uncertainty Range'!$B$135</definedName>
    <definedName name="CBCR_768a2511d09a42e69bea52b9231756e7" localSheetId="5" hidden="1">'Estimate Uncertainty Range'!$I$55</definedName>
    <definedName name="CBCR_76fc3a2f16e641a68da57e6d46f311fc" localSheetId="5" hidden="1">'Estimate Uncertainty Range'!$K$11</definedName>
    <definedName name="CBCR_77f251e6055f4ca69ee5c1c66234e5d6" localSheetId="5" hidden="1">'Estimate Uncertainty Range'!$I$7</definedName>
    <definedName name="CBCR_784b41ba116743038bd55b046d630e4d" localSheetId="6" hidden="1">'Schedule Ranges'!#REF!</definedName>
    <definedName name="CBCR_78bb40f169fe4dd09fe095b6b07c47b4" localSheetId="5" hidden="1">'Estimate Uncertainty Range'!$C$114</definedName>
    <definedName name="CBCR_78c86be6b634427a822eecfb88a2b98e" localSheetId="5" hidden="1">'Estimate Uncertainty Range'!$J$122</definedName>
    <definedName name="CBCR_78dacfba601c497f84299464806517d9" localSheetId="5" hidden="1">'Estimate Uncertainty Range'!$C$84</definedName>
    <definedName name="CBCR_79fe3f385b5949eeb09d683464ca55a5" localSheetId="7" hidden="1">'Risk Model'!$J$35</definedName>
    <definedName name="CBCR_7b18781129c24b7da02e49138dcd2aa0" localSheetId="7" hidden="1">'Risk Model'!$K$26</definedName>
    <definedName name="CBCR_7bb18fb31837467eb920d194b24aa6d8" localSheetId="5" hidden="1">'Estimate Uncertainty Range'!$C$89</definedName>
    <definedName name="CBCR_7c3478085bed4c888559b7cca523ff7f" localSheetId="5" hidden="1">'Estimate Uncertainty Range'!$I$40</definedName>
    <definedName name="CBCR_7c701a8ba20d4f05a0b303e65716c97a" localSheetId="5" hidden="1">'Estimate Uncertainty Range'!$I$149</definedName>
    <definedName name="CBCR_7c7bdc52e4b94d119fa299bb7b8e6048" localSheetId="5" hidden="1">'Estimate Uncertainty Range'!$K$51</definedName>
    <definedName name="CBCR_7ca18f4779904f4f9096703810b704a9" localSheetId="5" hidden="1">'Estimate Uncertainty Range'!$J$107</definedName>
    <definedName name="CBCR_7d63554e13bc4cc09e6de8eaf421b63d" localSheetId="5" hidden="1">'Estimate Uncertainty Range'!$J$136</definedName>
    <definedName name="CBCR_7e519206bf6b47c79ba02e7f07cfe8fd" localSheetId="5" hidden="1">'Estimate Uncertainty Range'!$I$105</definedName>
    <definedName name="CBCR_7e5b42fea9884ff68f61769ef8e4df48" localSheetId="5" hidden="1">'Estimate Uncertainty Range'!$J$11</definedName>
    <definedName name="CBCR_7f0dc22ff2a946aa9dbb8dcd3fd4f734" localSheetId="5" hidden="1">'Estimate Uncertainty Range'!$J$5</definedName>
    <definedName name="CBCR_802cd90510254a62ba32510c67c18ed1" localSheetId="5" hidden="1">'Estimate Uncertainty Range'!$C$50</definedName>
    <definedName name="CBCR_8077102687b747269d525c155504287f" localSheetId="5" hidden="1">'Estimate Uncertainty Range'!$C$82</definedName>
    <definedName name="CBCR_8121043d651f4f61ac6c39ef2cb5cfa5" localSheetId="7" hidden="1">'Risk Model'!$J$17</definedName>
    <definedName name="CBCR_8157643a842a4770afb601f1f7eed2ea" localSheetId="7" hidden="1">'Risk Model'!$I$29</definedName>
    <definedName name="CBCR_818f01c3dbc64f17b8b61298f200ce5d" localSheetId="5" hidden="1">'Estimate Uncertainty Range'!$J$76</definedName>
    <definedName name="CBCR_823852d55b014206b1821768cf6526e9" localSheetId="5" hidden="1">'Estimate Uncertainty Range'!$K$30</definedName>
    <definedName name="CBCR_82469272025e4365b1e8efcfe29692fc" localSheetId="5" hidden="1">'Estimate Uncertainty Range'!$K$37</definedName>
    <definedName name="CBCR_826f56102639403382f2ffe8846a8a11" localSheetId="5" hidden="1">'Estimate Uncertainty Range'!$K$120</definedName>
    <definedName name="CBCR_83944ad942484c019ddceb4b6d8d3866" localSheetId="5" hidden="1">'Estimate Uncertainty Range'!$K$136</definedName>
    <definedName name="CBCR_844ee310d398420398e8feaab7330552" localSheetId="5" hidden="1">'Estimate Uncertainty Range'!$I$31</definedName>
    <definedName name="CBCR_8586d93f838a4bab8b91c8b179be9470" localSheetId="5" hidden="1">'Estimate Uncertainty Range'!$I$33</definedName>
    <definedName name="CBCR_858e9255b57f44329017e33a77ed0b07" localSheetId="5" hidden="1">'Estimate Uncertainty Range'!$K$4</definedName>
    <definedName name="CBCR_85d9142742b74308a7c014417836b85a" localSheetId="5" hidden="1">'Estimate Uncertainty Range'!$J$70</definedName>
    <definedName name="CBCR_864de9638e6e4be290b105219803fb49" localSheetId="5" hidden="1">'Estimate Uncertainty Range'!$C$17</definedName>
    <definedName name="CBCR_866253812d5b4a66838c3305627d43e6" localSheetId="5" hidden="1">'Estimate Uncertainty Range'!$C$30</definedName>
    <definedName name="CBCR_8696e8205d5d4486b6aa56a9a417c215" localSheetId="5" hidden="1">'Estimate Uncertainty Range'!$B$11</definedName>
    <definedName name="CBCR_86e3578f795543789d5f36d4ffc80fa2" localSheetId="5" hidden="1">'Estimate Uncertainty Range'!$K$147</definedName>
    <definedName name="CBCR_870ea25cf7294998a8083945934eccb8" localSheetId="5" hidden="1">'Estimate Uncertainty Range'!$I$120</definedName>
    <definedName name="CBCR_87fb9cb40e61459ea50ffa2b751515fd" localSheetId="5" hidden="1">'Estimate Uncertainty Range'!$J$105</definedName>
    <definedName name="CBCR_88099eb6c8b34080a9fce8597f404f30" localSheetId="5" hidden="1">'Estimate Uncertainty Range'!$K$127</definedName>
    <definedName name="CBCR_8815f31062604b6c9aa0bb15b9c36abc" localSheetId="7" hidden="1">'Risk Model'!$J$33</definedName>
    <definedName name="CBCR_88a9079d6175408ca6de1e4774fd52c3" localSheetId="7" hidden="1">'Risk Model'!$I$36</definedName>
    <definedName name="CBCR_88b075ed55ba44bfb4e82e6def639936" localSheetId="5" hidden="1">'Estimate Uncertainty Range'!$K$134</definedName>
    <definedName name="CBCR_896b62ef21ac4a9aa61d237906becd9b" localSheetId="6" hidden="1">'Schedule Ranges'!$C$7</definedName>
    <definedName name="CBCR_898697af0a0a4a229d4210006b85c462" localSheetId="7" hidden="1">'Risk Model'!$K$11</definedName>
    <definedName name="CBCR_898af7de45b342fa90c83b0a613d6fb8" localSheetId="5" hidden="1">'Estimate Uncertainty Range'!$K$142</definedName>
    <definedName name="CBCR_8a03dac8b6f040f98b509aba158723e8" localSheetId="5" hidden="1">'Estimate Uncertainty Range'!$C$28</definedName>
    <definedName name="CBCR_8a437c0d5fbd41eb9863b40465655a8e" localSheetId="6" hidden="1">'Schedule Ranges'!$F$10</definedName>
    <definedName name="CBCR_8b0c8fe3bbb54777969e25da69da99da" localSheetId="5" hidden="1">'Estimate Uncertainty Range'!$C$125</definedName>
    <definedName name="CBCR_8d836745fd564d838707fa7cfc8abe58" localSheetId="6" hidden="1">'Schedule Ranges'!$F$9</definedName>
    <definedName name="CBCR_8d8c04ca562b4541823c3f8b5bc5548d" localSheetId="7" hidden="1">'Risk Model'!$L$9</definedName>
    <definedName name="CBCR_8da0a424dd0946cc899413704b23c8d8" localSheetId="5" hidden="1">'Estimate Uncertainty Range'!$I$21</definedName>
    <definedName name="CBCR_8ea7b5d0a4e041ffa10e8f22ac0b9e45" localSheetId="5" hidden="1">'Estimate Uncertainty Range'!$B$147</definedName>
    <definedName name="CBCR_8f4454afe1eb4f669bc1a72c83ec2c8e" localSheetId="7" hidden="1">'Risk Model'!$L$35</definedName>
    <definedName name="CBCR_8f48a1cc6e754791a3b0b4730b4257f5" localSheetId="7" hidden="1">'Risk Model'!$K$17</definedName>
    <definedName name="CBCR_8f840b43113b4d358a8aa0f54dc605e9" localSheetId="5" hidden="1">'Estimate Uncertainty Range'!$I$72</definedName>
    <definedName name="CBCR_90735bec7913479cad77dc72e1ff502a" localSheetId="8" hidden="1">'Likelihood'!$B$24</definedName>
    <definedName name="CBCR_910ccfcc37484ea198992294e0b2ee27" localSheetId="5" hidden="1">'Estimate Uncertainty Range'!$I$56</definedName>
    <definedName name="CBCR_922b15ac9f7e418a857f6f4cbe719fbd" localSheetId="5" hidden="1">'Estimate Uncertainty Range'!$J$25</definedName>
    <definedName name="CBCR_9244fd3f25ea45208d3d4d451f679612" localSheetId="5" hidden="1">'Estimate Uncertainty Range'!$K$144</definedName>
    <definedName name="CBCR_92b9a8e3e26e4c9b8f19d0ab5da4052e" localSheetId="5" hidden="1">'Estimate Uncertainty Range'!$K$125</definedName>
    <definedName name="CBCR_934e2c6dbde54e23b0669f0546c7bf8e" localSheetId="7" hidden="1">'Risk Model'!$L$24</definedName>
    <definedName name="CBCR_93a952bd45b14015a9ff5555c524c2ae" localSheetId="5" hidden="1">'Estimate Uncertainty Range'!$B$53</definedName>
    <definedName name="CBCR_93b46263b3cc4b619cae884a33e6c2d1" localSheetId="5" hidden="1">'Estimate Uncertainty Range'!$J$66</definedName>
    <definedName name="CBCR_93ff146852a342dfa501e46b211d437b" localSheetId="5" hidden="1">'Estimate Uncertainty Range'!$K$46</definedName>
    <definedName name="CBCR_953db68894554f57bd2a8d9b7c3becb9" localSheetId="5" hidden="1">'Estimate Uncertainty Range'!$C$88</definedName>
    <definedName name="CBCR_953e557a96444d1dbdb2184cff5afbe7" localSheetId="5" hidden="1">'Estimate Uncertainty Range'!$I$39</definedName>
    <definedName name="CBCR_960680b68f2f48b38ab5b3a71b263904" localSheetId="5" hidden="1">'Estimate Uncertainty Range'!$I$89</definedName>
    <definedName name="CBCR_96be5a5802414154b2316975a4e10530" localSheetId="5" hidden="1">'Estimate Uncertainty Range'!$K$96</definedName>
    <definedName name="CBCR_979f3e63c5dd45d6890f9d18b1451354" localSheetId="5" hidden="1">'Estimate Uncertainty Range'!$K$90</definedName>
    <definedName name="CBCR_97f04e22c82a4b5cab37e9f02277c303" localSheetId="5" hidden="1">'Estimate Uncertainty Range'!$J$74</definedName>
    <definedName name="CBCR_9980545a02504583b579a29273e2e3ca" localSheetId="5" hidden="1">'Estimate Uncertainty Range'!$I$23</definedName>
    <definedName name="CBCR_9986c104c7f244dfab41f96c38346e0c" localSheetId="5" hidden="1">'Estimate Uncertainty Range'!$K$45</definedName>
    <definedName name="CBCR_99f33dc93920433594029263ebd82787" localSheetId="5" hidden="1">'Estimate Uncertainty Range'!$I$37</definedName>
    <definedName name="CBCR_99f61f6dfd0a424b978a3f2e03971d89" localSheetId="7" hidden="1">'Risk Model'!$J$11</definedName>
    <definedName name="CBCR_9a045ec26cf943469db61ee22a9b4c0f" localSheetId="5" hidden="1">'Estimate Uncertainty Range'!$K$3</definedName>
    <definedName name="CBCR_9ba3f161774f4ff89868fd5a9858dc11" localSheetId="5" hidden="1">'Estimate Uncertainty Range'!$K$73</definedName>
    <definedName name="CBCR_9c186397bb824c48b94cafcd95675855" localSheetId="7" hidden="1">'Risk Model'!$I$39</definedName>
    <definedName name="CBCR_9c1cbd405cfd41589f2d2b5e6fdc7ce5" localSheetId="5" hidden="1">'Estimate Uncertainty Range'!$K$15</definedName>
    <definedName name="CBCR_9c8ce5eda86f4fd3a60d0495f75e5874" localSheetId="7" hidden="1">'Risk Model'!$I$10</definedName>
    <definedName name="CBCR_9cb39f9cc7f04a999dc31dd43c9cae55" localSheetId="7" hidden="1">'Risk Model'!$K$13</definedName>
    <definedName name="CBCR_9e1dee7c36b040f7903169930f317e03" localSheetId="6" hidden="1">'Schedule Ranges'!#REF!</definedName>
    <definedName name="CBCR_9e3384cefe5c4282834183541e19897e" localSheetId="5" hidden="1">'Estimate Uncertainty Range'!$K$107</definedName>
    <definedName name="CBCR_9f18b28a4e6b4a36904f92f86e065431" localSheetId="7" hidden="1">'Risk Model'!$K$23</definedName>
    <definedName name="CBCR_9f7af5fbdc494b95af82d717b5cbc090" localSheetId="5" hidden="1">'Estimate Uncertainty Range'!$B$21</definedName>
    <definedName name="CBCR_a0a57dcd8dc6492295da158ba3f94f7a" localSheetId="7" hidden="1">'Risk Model'!$L$27</definedName>
    <definedName name="CBCR_a10cba77a7b141548c0833e7ceb0d4fa" localSheetId="5" hidden="1">'Estimate Uncertainty Range'!$I$148</definedName>
    <definedName name="CBCR_a10d760193ee46a28608e7f5dae12f5f" localSheetId="7" hidden="1">'Risk Model'!$L$36</definedName>
    <definedName name="CBCR_a113a0d567e54ab49b8ab1b118bfca83" localSheetId="5" hidden="1">'Estimate Uncertainty Range'!$J$23</definedName>
    <definedName name="CBCR_a1145a060f864de0bac52dd510089d3b" localSheetId="5" hidden="1">'Estimate Uncertainty Range'!$C$110</definedName>
    <definedName name="CBCR_a118c54ab3a14dce82895db3c8012eea" localSheetId="5" hidden="1">'Estimate Uncertainty Range'!$C$37</definedName>
    <definedName name="CBCR_a13886bc6f674e979fb341cb1f8e9b4d" localSheetId="5" hidden="1">'Estimate Uncertainty Range'!$B$121</definedName>
    <definedName name="CBCR_a15c46349a0d418095e046927ee1a49f" localSheetId="5" hidden="1">'Estimate Uncertainty Range'!$C$15</definedName>
    <definedName name="CBCR_a15c92b389ca407c8344e0e373889ced" localSheetId="5" hidden="1">'Estimate Uncertainty Range'!$C$78</definedName>
    <definedName name="CBCR_a2016a01fb8a4a4bb9756d49ea3fcb0a" localSheetId="5" hidden="1">'Estimate Uncertainty Range'!$K$22</definedName>
    <definedName name="CBCR_a21ba4d8e7cc4f3ebdfba0e6ccda2ee1" localSheetId="5" hidden="1">'Estimate Uncertainty Range'!$C$25</definedName>
    <definedName name="CBCR_a2966a19008141d48cc74469316d5026" localSheetId="5" hidden="1">'Estimate Uncertainty Range'!$J$148</definedName>
    <definedName name="CBCR_a299b59942034a3c93ad22b8da9fcef0" localSheetId="5" hidden="1">'Estimate Uncertainty Range'!$J$89</definedName>
    <definedName name="CBCR_a2be092e75ba4a8688abf3063738d802" localSheetId="5" hidden="1">'Estimate Uncertainty Range'!$J$28</definedName>
    <definedName name="CBCR_a2f35712cc834972ac6c39882d03ee89" localSheetId="5" hidden="1">'Estimate Uncertainty Range'!$C$83</definedName>
    <definedName name="CBCR_a32ba47751ae4c75a2cdeecb2b256a33" localSheetId="5" hidden="1">'Estimate Uncertainty Range'!$K$80</definedName>
    <definedName name="CBCR_a331aaf300f74248b61aa419076d1ccd" localSheetId="7" hidden="1">'Risk Model'!$J$34</definedName>
    <definedName name="CBCR_a3ca245aef584c90aaefaa0cb078f9bc" localSheetId="5" hidden="1">'Estimate Uncertainty Range'!$I$100</definedName>
    <definedName name="CBCR_a3d124556f8e44e3aa45e5319a6d35c5" localSheetId="5" hidden="1">'Estimate Uncertainty Range'!$J$115</definedName>
    <definedName name="CBCR_a58e3e874d5a44d09ccf4b0b34db2a41" localSheetId="7" hidden="1">'Risk Model'!$I$34</definedName>
    <definedName name="CBCR_a5c23d20e89247e6a4f722b1de0d0162" localSheetId="5" hidden="1">'Estimate Uncertainty Range'!$K$97</definedName>
    <definedName name="CBCR_a5df888d0b3d425d877877cb6f29d058" localSheetId="5" hidden="1">'Estimate Uncertainty Range'!$I$101</definedName>
    <definedName name="CBCR_a6790d2247384762994fd63b058302b4" localSheetId="5" hidden="1">'Estimate Uncertainty Range'!$C$40</definedName>
    <definedName name="CBCR_a6f49401988d43a890676e1960e5de32" localSheetId="5" hidden="1">'Estimate Uncertainty Range'!$I$6</definedName>
    <definedName name="CBCR_a741797478ba43db97a69a889f011d55" localSheetId="5" hidden="1">'Estimate Uncertainty Range'!$J$92</definedName>
    <definedName name="CBCR_a772bac441ba4423997de6995410f4bf" localSheetId="5" hidden="1">'Estimate Uncertainty Range'!$K$63</definedName>
    <definedName name="CBCR_a7fe5a6b72cc4b68abf395d8663f4a38" localSheetId="5" hidden="1">'Estimate Uncertainty Range'!$K$110</definedName>
    <definedName name="CBCR_a8517ba4faad43d4b1146fe72aa26431" localSheetId="5" hidden="1">'Estimate Uncertainty Range'!$J$55</definedName>
    <definedName name="CBCR_a8717db3c93749078663ad07eff2246c" localSheetId="8" hidden="1">'Likelihood'!$B$28</definedName>
    <definedName name="CBCR_a885e22f12924d38927444045e3ffef3" localSheetId="5" hidden="1">'Estimate Uncertainty Range'!$C$75</definedName>
    <definedName name="CBCR_a8f9c852f9314433a82325c39b4c2165" localSheetId="7" hidden="1">'Risk Model'!$J$5</definedName>
    <definedName name="CBCR_a97b28249d3a400a88bbc13fb0863c8b" localSheetId="5" hidden="1">'Estimate Uncertainty Range'!$J$48</definedName>
    <definedName name="CBCR_a9ec9f7972b34775ac22e3fd317ee5b6" localSheetId="7" hidden="1">'Risk Model'!$J$4</definedName>
    <definedName name="CBCR_a9f828d73c63408d907e9da5d5893a9e" localSheetId="5" hidden="1">'Estimate Uncertainty Range'!$C$57</definedName>
    <definedName name="CBCR_ab3638aa2e054ca38aa3679032d96898" localSheetId="6" hidden="1">'Schedule Ranges'!$F$12</definedName>
    <definedName name="CBCR_abd8b05d1eb240fc8744363dd02a509f" localSheetId="6" hidden="1">'Schedule Ranges'!$E$13</definedName>
    <definedName name="CBCR_ac1bac86d0884076afb2f7a826982d13" localSheetId="5" hidden="1">'Estimate Uncertainty Range'!$I$34</definedName>
    <definedName name="CBCR_acb3f9ffd24b45ad835988539d906147" localSheetId="5" hidden="1">'Estimate Uncertainty Range'!$I$70</definedName>
    <definedName name="CBCR_acb63866d72f4bfc9144dc44bf16424f" localSheetId="5" hidden="1">'Estimate Uncertainty Range'!$I$11</definedName>
    <definedName name="CBCR_ade6c0b9838845389125471c6f483328" localSheetId="5" hidden="1">'Estimate Uncertainty Range'!$I$109</definedName>
    <definedName name="CBCR_ae1d1584eb45458f9f5d0a3d0f19c4e2" localSheetId="5" hidden="1">'Estimate Uncertainty Range'!$J$78</definedName>
    <definedName name="CBCR_aeb66749415b4ea9ac8791f287e7b13b" localSheetId="5" hidden="1">'Estimate Uncertainty Range'!$J$8</definedName>
    <definedName name="CBCR_aec6f51ae9a648ce92be12ab399bbf7f" localSheetId="7" hidden="1">'Risk Model'!$I$13</definedName>
    <definedName name="CBCR_aeeae015e6ca4f81a4ed9c7f655d10e7" localSheetId="5" hidden="1">'Estimate Uncertainty Range'!$B$130</definedName>
    <definedName name="CBCR_afe443c6cae64beba8c0ff4e21b8f177" localSheetId="5" hidden="1">'Estimate Uncertainty Range'!$C$127</definedName>
    <definedName name="CBCR_b038f1467afd474c9a187bbe76f70848" localSheetId="5" hidden="1">'Estimate Uncertainty Range'!$K$77</definedName>
    <definedName name="CBCR_b0db7c7d06eb40f5a7a509afd5dc3827" localSheetId="5" hidden="1">'Estimate Uncertainty Range'!$C$24</definedName>
    <definedName name="CBCR_b172df32ebb54f3aac6c56a6e6e1361d" localSheetId="5" hidden="1">'Estimate Uncertainty Range'!$C$44</definedName>
    <definedName name="CBCR_b239ea21422f437e8980762c9a661a4c" localSheetId="5" hidden="1">'Estimate Uncertainty Range'!$K$61</definedName>
    <definedName name="CBCR_b281f636f5914b8cb535d78c071f16f3" localSheetId="5" hidden="1">'Estimate Uncertainty Range'!$K$42</definedName>
    <definedName name="CBCR_b31e31be15af495ab966f8558931042c" localSheetId="5" hidden="1">'Estimate Uncertainty Range'!$J$97</definedName>
    <definedName name="CBCR_b33b9783574b4ccf9070db5cd3f8ae41" localSheetId="7" hidden="1">'Risk Model'!$J$21</definedName>
    <definedName name="CBCR_b36e3f1fd0d14e6a93f2a3fb309d7afb" localSheetId="5" hidden="1">'Estimate Uncertainty Range'!$K$31</definedName>
    <definedName name="CBCR_b37be82e3ffa4a6198f3cbee5fbdff10" localSheetId="5" hidden="1">'Estimate Uncertainty Range'!$K$111</definedName>
    <definedName name="CBCR_b3c1beecbeed4240a575fbf728752991" localSheetId="5" hidden="1">'Estimate Uncertainty Range'!$K$113</definedName>
    <definedName name="CBCR_b3ffcbd87af449fda85b12e11fb4c629" localSheetId="5" hidden="1">'Estimate Uncertainty Range'!$K$26</definedName>
    <definedName name="CBCR_b4ae88f9f2f543aa9009303031a4deba" localSheetId="5" hidden="1">'Estimate Uncertainty Range'!$K$23</definedName>
    <definedName name="CBCR_b56a0f26ea45462ab9a3740fe54d2aae" localSheetId="6" hidden="1">'Schedule Ranges'!$E$9</definedName>
    <definedName name="CBCR_b5b1165d015e456f8751901af692f454" localSheetId="5" hidden="1">'Estimate Uncertainty Range'!$I$8</definedName>
    <definedName name="CBCR_b62f767b75784e95a8430b75dfe23485" localSheetId="7" hidden="1">'Risk Model'!$I$35</definedName>
    <definedName name="CBCR_b6704aaae0d54a27a6efa213e8c843d2" localSheetId="5" hidden="1">'Estimate Uncertainty Range'!$K$123</definedName>
    <definedName name="CBCR_b6c711c157a249d0a8bd22e62306b4ce" localSheetId="5" hidden="1">'Estimate Uncertainty Range'!$C$91</definedName>
    <definedName name="CBCR_b6ccb1d858ce4a4581717252263f4c5e" localSheetId="7" hidden="1">'Risk Model'!$I$5</definedName>
    <definedName name="CBCR_b70118114ac442eb80971711ba098475" localSheetId="5" hidden="1">'Estimate Uncertainty Range'!$C$45</definedName>
    <definedName name="CBCR_b70d4babc8374945a3bf328633765409" localSheetId="5" hidden="1">'Estimate Uncertainty Range'!$K$86</definedName>
    <definedName name="CBCR_b7772284dccf451ab9300d5a5f6ba55e" localSheetId="5" hidden="1">'Estimate Uncertainty Range'!$I$74</definedName>
    <definedName name="CBCR_b7ade5a7419f439db490b13972d07944" localSheetId="5" hidden="1">'Estimate Uncertainty Range'!$J$149</definedName>
    <definedName name="CBCR_b80d15e041db448d961b8422e4c19ef1" localSheetId="7" hidden="1">'Risk Model'!$I$4</definedName>
    <definedName name="CBCR_b93a391b6a9849f59faf396609ab898d" localSheetId="5" hidden="1">'Estimate Uncertainty Range'!$I$60</definedName>
    <definedName name="CBCR_b9635d8c284c44b09992d7eb5c0ae604" localSheetId="5" hidden="1">'Estimate Uncertainty Range'!$I$65</definedName>
    <definedName name="CBCR_b987254308ec422ab37c12296d6b8e08" localSheetId="5" hidden="1">'Estimate Uncertainty Range'!$B$29</definedName>
    <definedName name="CBCR_ba1151ba3f334cfcb9a4f7ce269ddd30" localSheetId="5" hidden="1">'Estimate Uncertainty Range'!$J$72</definedName>
    <definedName name="CBCR_ba2ea3ec8abc43bd876c73488abf42c1" localSheetId="5" hidden="1">'Estimate Uncertainty Range'!$I$93</definedName>
    <definedName name="CBCR_ba40e5125c8f484dbfe878b9ef31f9e5" localSheetId="5" hidden="1">'Estimate Uncertainty Range'!$J$38</definedName>
    <definedName name="CBCR_babdfafa09d04f79a7585093adf0052d" localSheetId="7" hidden="1">'Risk Model'!$L$14</definedName>
    <definedName name="CBCR_bb2723bb882c40e1a059a28a9b62c077" localSheetId="5" hidden="1">'Estimate Uncertainty Range'!$K$98</definedName>
    <definedName name="CBCR_bb2982a3533747b1a9862761ee7ea236" localSheetId="5" hidden="1">'Estimate Uncertainty Range'!$J$138</definedName>
    <definedName name="CBCR_bb4e1d64404b46279fbf76f3a5436c96" localSheetId="5" hidden="1">'Estimate Uncertainty Range'!$K$14</definedName>
    <definedName name="CBCR_bb721796b16d4cc7bbaf762505576b51" localSheetId="5" hidden="1">'Estimate Uncertainty Range'!$K$85</definedName>
    <definedName name="CBCR_bb775d18f1be4cabb11268ac6de0a2c7" localSheetId="5" hidden="1">'Estimate Uncertainty Range'!$C$33</definedName>
    <definedName name="CBCR_bba11f74872d48dc8fc8f49f14dbc75b" localSheetId="5" hidden="1">'Estimate Uncertainty Range'!$K$25</definedName>
    <definedName name="CBCR_bc2b8a7d7b62467a98141280dff97058" localSheetId="7" hidden="1">'Risk Model'!$J$29</definedName>
    <definedName name="CBCR_bc6634d2db4b4703b69b2eb865a4e5a5" localSheetId="5" hidden="1">'Estimate Uncertainty Range'!$I$44</definedName>
    <definedName name="CBCR_bc87b280e78d4560a62bbb5869c553fe" localSheetId="5" hidden="1">'Estimate Uncertainty Range'!$I$17</definedName>
    <definedName name="CBCR_bd54cc2998b943d08a0ba29d370e50a7" localSheetId="5" hidden="1">'Estimate Uncertainty Range'!$J$4</definedName>
    <definedName name="CBCR_bd76322776c44a04bf461594493e7583" localSheetId="5" hidden="1">'Estimate Uncertainty Range'!$C$41</definedName>
    <definedName name="CBCR_bd95b174baa74abeacb3a40de7160fa1" localSheetId="5" hidden="1">'Estimate Uncertainty Range'!$J$26</definedName>
    <definedName name="CBCR_bdc6dd5f0b2b4d58b263eea23613f4c7" localSheetId="5" hidden="1">'Estimate Uncertainty Range'!$B$149</definedName>
    <definedName name="CBCR_bdfde9fe0dcb47b4b6b08389a5bbbdc5" localSheetId="5" hidden="1">'Estimate Uncertainty Range'!$J$135</definedName>
    <definedName name="CBCR_be152d98e7734922ae5d44291c4e4a78" localSheetId="5" hidden="1">'Estimate Uncertainty Range'!$C$23</definedName>
    <definedName name="CBCR_be51635acd9749d08e69b0eefc52dc5b" localSheetId="5" hidden="1">'Estimate Uncertainty Range'!$J$75</definedName>
    <definedName name="CBCR_be6c6fed8f49404bb0cb08e1a5f9d02e" localSheetId="7" hidden="1">'Risk Model'!$K$9</definedName>
    <definedName name="CBCR_bf56b226d83b43c68a4d97c70747cdd1" localSheetId="5" hidden="1">'Estimate Uncertainty Range'!$C$55</definedName>
    <definedName name="CBCR_bfcf9e56844b4ede95137bc72254fbc5" localSheetId="5" hidden="1">'Estimate Uncertainty Range'!$K$32</definedName>
    <definedName name="CBCR_bfd866fc2cce4f4eb507661eb82f9362" localSheetId="5" hidden="1">'Estimate Uncertainty Range'!$B$122</definedName>
    <definedName name="CBCR_c046a7f363d54f6881192ad30346d82c" localSheetId="5" hidden="1">'Estimate Uncertainty Range'!$I$13</definedName>
    <definedName name="CBCR_c1392f912eb84590a44e4933927a4150" localSheetId="5" hidden="1">'Estimate Uncertainty Range'!$K$16</definedName>
    <definedName name="CBCR_c1a8321edb154e07885394206fd4a301" localSheetId="5" hidden="1">'Estimate Uncertainty Range'!$I$110</definedName>
    <definedName name="CBCR_c251011a325144f8ad5e3315b5bc6a91" localSheetId="5" hidden="1">'Estimate Uncertainty Range'!$J$15</definedName>
    <definedName name="CBCR_c29a9db27aa84f53b31a0703e768661b" localSheetId="5" hidden="1">'Estimate Uncertainty Range'!$K$131</definedName>
    <definedName name="CBCR_c2c4073a4d2e4bcba40b3f290b12f6e5" localSheetId="5" hidden="1">'Estimate Uncertainty Range'!$I$68</definedName>
    <definedName name="CBCR_c3106ba3416343fe8bc683111383347d" localSheetId="5" hidden="1">'Estimate Uncertainty Range'!$K$148</definedName>
    <definedName name="CBCR_c37830a6cc8c42e1a39336bd6a158b60" localSheetId="5" hidden="1">'Estimate Uncertainty Range'!$I$4</definedName>
    <definedName name="CBCR_c39ee3bcc47643d79451562c7400b572" localSheetId="7" hidden="1">'Risk Model'!$L$26</definedName>
    <definedName name="CBCR_c3edd21c5ae842309eb72af7b7734088" localSheetId="5" hidden="1">'Estimate Uncertainty Range'!$C$112</definedName>
    <definedName name="CBCR_c4112145e62b464eb913e8aadae87251" localSheetId="5" hidden="1">'Estimate Uncertainty Range'!$K$39</definedName>
    <definedName name="CBCR_c455895a0d1c4b87a2cd7e8fbd2205f2" localSheetId="7" hidden="1">'Risk Model'!$K$27</definedName>
    <definedName name="CBCR_c467b64a0465415190b1d9643d180288" localSheetId="5" hidden="1">'Estimate Uncertainty Range'!$J$36</definedName>
    <definedName name="CBCR_c4b16763b7904640aaecf1d80be2a578" localSheetId="5" hidden="1">'Estimate Uncertainty Range'!$K$129</definedName>
    <definedName name="CBCR_c4c0cda332a14c8f92dc0d3d3cad93e1" localSheetId="5" hidden="1">'Estimate Uncertainty Range'!$J$30</definedName>
    <definedName name="CBCR_c539e59c0f0445af983adb6c4bd5a91d" localSheetId="5" hidden="1">'Estimate Uncertainty Range'!$K$24</definedName>
    <definedName name="CBCR_c53c990045674232bba7655d68e332b4" localSheetId="5" hidden="1">'Estimate Uncertainty Range'!$J$94</definedName>
    <definedName name="CBCR_c57dd0dfc4744f11ac3513ca794c4130" localSheetId="7" hidden="1">'Risk Model'!$K$24</definedName>
    <definedName name="CBCR_c5c8fcc9a9614effbdf11c0dabe4818b" localSheetId="5" hidden="1">'Estimate Uncertainty Range'!$K$99</definedName>
    <definedName name="CBCR_c6d8fcc2a40c402ab39f1ccc6eb21172" localSheetId="6" hidden="1">'Schedule Ranges'!$F$7</definedName>
    <definedName name="CBCR_c73563f657204753a7a2d00fa9da03b4" localSheetId="5" hidden="1">'Estimate Uncertainty Range'!$I$147</definedName>
    <definedName name="CBCR_c7c7f1212ccc44e9a377524c69c5693b" localSheetId="5" hidden="1">'Estimate Uncertainty Range'!$C$12</definedName>
    <definedName name="CBCR_c8054ff9d44247c28017b778b3c1eff8" localSheetId="7" hidden="1">'Risk Model'!$K$14</definedName>
    <definedName name="CBCR_c82c881c4cf845dbb75b4eb5967517f8" localSheetId="5" hidden="1">'Estimate Uncertainty Range'!$J$142</definedName>
    <definedName name="CBCR_c89bc62d7db34c6db0a58bfcefcb6106" localSheetId="5" hidden="1">'Estimate Uncertainty Range'!#REF!</definedName>
    <definedName name="CBCR_c8b83d39bbb640e5a65b37722c631c2d" localSheetId="5" hidden="1">'Estimate Uncertainty Range'!$I$41</definedName>
    <definedName name="CBCR_c93eb757bc4045db8a4766f2be47089d" localSheetId="7" hidden="1">'Risk Model'!$K$38</definedName>
    <definedName name="CBCR_c953a408d7494d34a51f6df543247130" localSheetId="5" hidden="1">'Estimate Uncertainty Range'!$C$31</definedName>
    <definedName name="CBCR_c97e681223b94ea8aa63ff430f9263e2" localSheetId="5" hidden="1">'Estimate Uncertainty Range'!$J$12</definedName>
    <definedName name="CBCR_c9c04bf70b5741638e1dfaafa9fd5478" localSheetId="5" hidden="1">'Estimate Uncertainty Range'!$K$130</definedName>
    <definedName name="CBCR_c9c4c9e3fdac4ddc86d1b4421d8d8de1" localSheetId="5" hidden="1">'Estimate Uncertainty Range'!$J$143</definedName>
    <definedName name="CBCR_c9d048220ed14241ab2276ffe787cb65" localSheetId="5" hidden="1">'Estimate Uncertainty Range'!$J$68</definedName>
    <definedName name="CBCR_ca5974f09b424c62b836028e832e4425" localSheetId="5" hidden="1">'Estimate Uncertainty Range'!$I$80</definedName>
    <definedName name="CBCR_ca8605a3ccc449e395c22ddf00b94c04" localSheetId="5" hidden="1">'Estimate Uncertainty Range'!$I$87</definedName>
    <definedName name="CBCR_cab3a384a2dd424ab25e52a075407740" localSheetId="5" hidden="1">'Estimate Uncertainty Range'!$J$99</definedName>
    <definedName name="CBCR_cb8b196075d649fe88b0d323b031b4c2" localSheetId="5" hidden="1">'Estimate Uncertainty Range'!$I$45</definedName>
    <definedName name="CBCR_cc6705777b1245ec832bcf1b8f49c9eb" localSheetId="5" hidden="1">'Estimate Uncertainty Range'!$C$113</definedName>
    <definedName name="CBCR_cc867ff927a34b4f811bc62c1f2fd119" localSheetId="5" hidden="1">'Estimate Uncertainty Range'!$I$85</definedName>
    <definedName name="CBCR_ce31cb7aba404daeaf4e322bb19ba497" localSheetId="5" hidden="1">'Estimate Uncertainty Range'!$J$31</definedName>
    <definedName name="CBCR_ce461811983f43998dc9ca8d2311dcb4" localSheetId="5" hidden="1">'Estimate Uncertainty Range'!$C$99</definedName>
    <definedName name="CBCR_cfcca67cc0a047e0ac73fb94b2222d13" localSheetId="5" hidden="1">'Estimate Uncertainty Range'!$J$61</definedName>
    <definedName name="CBCR_cffbdad46dc44fd5b826ecbaff5e66c7" localSheetId="5" hidden="1">'Estimate Uncertainty Range'!$K$122</definedName>
    <definedName name="CBCR_d057e14a91d94f6286f2005a804592ba" localSheetId="6" hidden="1">'Schedule Ranges'!$C$12</definedName>
    <definedName name="CBCR_d136f9f894bd4e57a55f2936bf8550ec" localSheetId="7" hidden="1">'Risk Model'!$J$7</definedName>
    <definedName name="CBCR_d1b19afb7ef046c9a4fbe4cec4d0e9f1" localSheetId="5" hidden="1">'Estimate Uncertainty Range'!$B$131</definedName>
    <definedName name="CBCR_d21443713aba45e9860e5cc914a202b0" localSheetId="5" hidden="1">'Estimate Uncertainty Range'!$B$73</definedName>
    <definedName name="CBCR_d221fc943fdf4e9aa50f8e4fdd941e41" localSheetId="5" hidden="1">'Estimate Uncertainty Range'!$K$83</definedName>
    <definedName name="CBCR_d31fc6f26d1f4002869793493fcefeb1" localSheetId="5" hidden="1">'Estimate Uncertainty Range'!$K$114</definedName>
    <definedName name="CBCR_d3749923b60040c7a7ad01ab3b7676fe" localSheetId="5" hidden="1">'Estimate Uncertainty Range'!$J$129</definedName>
    <definedName name="CBCR_d375e83639b040b6bcafbebd94bc936c" localSheetId="5" hidden="1">'Estimate Uncertainty Range'!$J$63</definedName>
    <definedName name="CBCR_d3ffdfb7dc0c460ca9edfc787d62af11" localSheetId="5" hidden="1">'Estimate Uncertainty Range'!#REF!</definedName>
    <definedName name="CBCR_d443e734ea2d4d71ad3c60a7860ef031" localSheetId="5" hidden="1">'Estimate Uncertainty Range'!$K$13</definedName>
    <definedName name="CBCR_d4c3a390de2541be92778463a091faa3" localSheetId="5" hidden="1">'Estimate Uncertainty Range'!$I$77</definedName>
    <definedName name="CBCR_d50ccf30ad4441f1bc1605fd60213bac" localSheetId="7" hidden="1">'Risk Model'!$K$8</definedName>
    <definedName name="CBCR_d5a74ca8f2cf4dd79f03402469576c45" localSheetId="5" hidden="1">'Estimate Uncertainty Range'!$K$34</definedName>
    <definedName name="CBCR_d5e26b7840ac4c6697922dda5a6fa73a" localSheetId="5" hidden="1">'Estimate Uncertainty Range'!$K$68</definedName>
    <definedName name="CBCR_d6133d2cfcae43a889c58004c14f40e1" localSheetId="5" hidden="1">'Estimate Uncertainty Range'!$I$59</definedName>
    <definedName name="CBCR_d628b0a885b14891a14d82745315e696" localSheetId="5" hidden="1">'Estimate Uncertainty Range'!$J$100</definedName>
    <definedName name="CBCR_d6ceb8a79dd2409b9d7c2e02ac011df5" localSheetId="5" hidden="1">'Estimate Uncertainty Range'!$K$75</definedName>
    <definedName name="CBCR_d6fd945c903a4d41b54bb3e362f7b1ca" localSheetId="5" hidden="1">'Estimate Uncertainty Range'!$K$124</definedName>
    <definedName name="CBCR_d70e59ba667a415db8562be9b901d4c7" localSheetId="5" hidden="1">'Estimate Uncertainty Range'!$I$141</definedName>
    <definedName name="CBCR_d72ac74edcd14bed898737d9e7086370" localSheetId="5" hidden="1">'Estimate Uncertainty Range'!$I$131</definedName>
    <definedName name="CBCR_d78185029e2b4fa8953be4a7507ebb5c" localSheetId="5" hidden="1">'Estimate Uncertainty Range'!$I$97</definedName>
    <definedName name="CBCR_d80ed58a582046ff81f41e6d2d95c416" localSheetId="5" hidden="1">'Estimate Uncertainty Range'!#REF!</definedName>
    <definedName name="CBCR_d84738d51bf2442dad1354dbc802f46e" localSheetId="5" hidden="1">'Estimate Uncertainty Range'!$B$104</definedName>
    <definedName name="CBCR_d9d1af3205eb402b856388d2af2ec0ff" localSheetId="7" hidden="1">'Risk Model'!$J$9</definedName>
    <definedName name="CBCR_da075ea18e0d48bca030712bc4d4a60c" localSheetId="5" hidden="1">'Estimate Uncertainty Range'!$K$54</definedName>
    <definedName name="CBCR_db108adb91ce4da4840fe99cc197b13c" localSheetId="5" hidden="1">'Estimate Uncertainty Range'!$J$73</definedName>
    <definedName name="CBCR_db20f47fa605432c99cac954d57ba9c4" localSheetId="5" hidden="1">'Estimate Uncertainty Range'!$I$22</definedName>
    <definedName name="CBCR_db7583ebbd0046b8b81e2908665da55a" localSheetId="5" hidden="1">'Estimate Uncertainty Range'!$C$101</definedName>
    <definedName name="CBCR_dbb4929f9a3e41819a118f578ac50793" localSheetId="7" hidden="1">'Risk Model'!$I$6</definedName>
    <definedName name="CBCR_dc0290a9f2c14d15ad77497c646f7695" localSheetId="5" hidden="1">'Estimate Uncertainty Range'!$K$104</definedName>
    <definedName name="CBCR_dc43aa15ff524d1195c04b9261a9599c" localSheetId="5" hidden="1">'Estimate Uncertainty Range'!$J$139</definedName>
    <definedName name="CBCR_dcfa5bdd378c4a2a85b5200c4e3802f7" localSheetId="5" hidden="1">'Estimate Uncertainty Range'!$I$99</definedName>
    <definedName name="CBCR_dcfdb70e9ab34110aa681b2d03b76544" localSheetId="5" hidden="1">'Estimate Uncertainty Range'!$K$103</definedName>
    <definedName name="CBCR_dd0fb4b9949e4023a06524beaf0c01d2" localSheetId="5" hidden="1">'Estimate Uncertainty Range'!$J$53</definedName>
    <definedName name="CBCR_dd3ec3d1b2c84b1b957d744cea2c0677" localSheetId="7" hidden="1">'Risk Model'!$L$8</definedName>
    <definedName name="CBCR_dd5cb88c044840808d9f9c39d919662e" localSheetId="5" hidden="1">'Estimate Uncertainty Range'!$J$47</definedName>
    <definedName name="CBCR_dd9e0e94f5a04d77b85b2c741842873e" localSheetId="5" hidden="1">'Estimate Uncertainty Range'!$K$59</definedName>
    <definedName name="CBCR_de518d626fc14000bb93f8f749adb2eb" localSheetId="5" hidden="1">'Estimate Uncertainty Range'!$I$90</definedName>
    <definedName name="CBCR_de9241521afa4b7ebdd5721bc1a7e6a8" localSheetId="5" hidden="1">'Estimate Uncertainty Range'!$I$94</definedName>
    <definedName name="CBCR_df6b372e0e564d9387d1428a743052de" localSheetId="5" hidden="1">'Estimate Uncertainty Range'!$J$13</definedName>
    <definedName name="CBCR_df7347f77023477b86bdc41b1fe7f274" localSheetId="6" hidden="1">'Schedule Ranges'!$B$10</definedName>
    <definedName name="CBCR_e03dcecb76ac42779367ecdaab99161e" localSheetId="5" hidden="1">'Estimate Uncertainty Range'!$B$129</definedName>
    <definedName name="CBCR_e1a1e0625bf7436fa78effa1bec7ff7d" localSheetId="5" hidden="1">'Estimate Uncertainty Range'!$C$39</definedName>
    <definedName name="CBCR_e1e9293cfbe54934bae5995b1c9bfac9" localSheetId="7" hidden="1">'Risk Model'!$J$39</definedName>
    <definedName name="CBCR_e23e76be36cc49a7acc554da77ef3113" localSheetId="5" hidden="1">'Estimate Uncertainty Range'!$I$138</definedName>
    <definedName name="CBCR_e26048ff366c4ddbb999c1aa254474b1" localSheetId="5" hidden="1">'Estimate Uncertainty Range'!$C$107</definedName>
    <definedName name="CBCR_e30abcacd6b64a25a40924ed4d29c1e7" localSheetId="7" hidden="1">'Risk Model'!$J$10</definedName>
    <definedName name="CBCR_e3260973676d4092bcfcf2cc6af9709c" localSheetId="7" hidden="1">'Risk Model'!$I$11</definedName>
    <definedName name="CBCR_e3a06c011c304bdd9392e68cb09be9d5" localSheetId="5" hidden="1">'Estimate Uncertainty Range'!$I$5</definedName>
    <definedName name="CBCR_e3b5b4cc6cd84bd6a8885f6bc049ca02" localSheetId="7" hidden="1">'Risk Model'!$J$28</definedName>
    <definedName name="CBCR_e4392cc93277417d8e2e81738bbd0ad2" localSheetId="5" hidden="1">'Estimate Uncertainty Range'!$J$32</definedName>
    <definedName name="CBCR_e43ec1f9405044c89a082040f21381f7" localSheetId="5" hidden="1">'Estimate Uncertainty Range'!$J$67</definedName>
    <definedName name="CBCR_e44daf1866c04b42a91006d6fe5c3356" localSheetId="5" hidden="1">'Estimate Uncertainty Range'!#REF!</definedName>
    <definedName name="CBCR_e608ac1581ab492391242a2386941859" localSheetId="5" hidden="1">'Estimate Uncertainty Range'!$I$67</definedName>
    <definedName name="CBCR_e609219400cb47e1b8a91c42b2528e9e" localSheetId="5" hidden="1">'Estimate Uncertainty Range'!$C$58</definedName>
    <definedName name="CBCR_e6207c86fee14d55adb94104c955ec32" localSheetId="5" hidden="1">'Estimate Uncertainty Range'!$C$56</definedName>
    <definedName name="CBCR_e742d36f4b51460fab0d23e7535456fd" localSheetId="5" hidden="1">'Estimate Uncertainty Range'!$B$60</definedName>
    <definedName name="CBCR_e74c6f5f35fb49df814bee0630d2354c" localSheetId="5" hidden="1">'Estimate Uncertainty Range'!$I$98</definedName>
    <definedName name="CBCR_e791b893f16c48ebbb26e345b5eae41f" localSheetId="5" hidden="1">'Estimate Uncertainty Range'!$I$139</definedName>
    <definedName name="CBCR_e7fc4fa45b084dfe94add57305e31a2d" localSheetId="5" hidden="1">'Estimate Uncertainty Range'!$K$149</definedName>
    <definedName name="CBCR_e83a4aec0ffa48b3861cabaa2feca078" localSheetId="5" hidden="1">'Estimate Uncertainty Range'!$K$105</definedName>
    <definedName name="CBCR_e86bfc15c27742d0b1e65a35c3089069" localSheetId="5" hidden="1">'Estimate Uncertainty Range'!$J$93</definedName>
    <definedName name="CBCR_e86c19d8897c4098a7eabe1e3a984bc8" localSheetId="5" hidden="1">'Estimate Uncertainty Range'!$K$66</definedName>
    <definedName name="CBCR_e874cd450faf40e0ad73823b56e64312" localSheetId="5" hidden="1">'Estimate Uncertainty Range'!$C$128</definedName>
    <definedName name="CBCR_e88c66aa6978446b944b2560c6349318" localSheetId="7" hidden="1">'Risk Model'!$L$38</definedName>
    <definedName name="CBCR_e9033afe940b41f295897ef1511d9ee1" localSheetId="7" hidden="1">'Risk Model'!$L$23</definedName>
    <definedName name="CBCR_e9abdc36204448debca26d455bda97db" localSheetId="5" hidden="1">'Estimate Uncertainty Range'!$J$147</definedName>
    <definedName name="CBCR_ea0925a934c84a8e8647d5efa5cded72" localSheetId="5" hidden="1">'Estimate Uncertainty Range'!$J$130</definedName>
    <definedName name="CBCR_ea21783a10214d18a2777c5c6bd9a79c" localSheetId="5" hidden="1">'Estimate Uncertainty Range'!$J$6</definedName>
    <definedName name="CBCR_ea39c03c61b24d4b825160f822772dde" localSheetId="7" hidden="1">'Risk Model'!$L$12</definedName>
    <definedName name="CBCR_ea8299804a9d41fba9ec7e118a750eab" localSheetId="6" hidden="1">'Schedule Ranges'!$A$14</definedName>
    <definedName name="CBCR_ea9a5ea361274e1d8ad3cb1727a30270" localSheetId="5" hidden="1">'Estimate Uncertainty Range'!$K$7</definedName>
    <definedName name="CBCR_eab4ca2a2b6940ec8e2bef3d0567bbdc" localSheetId="5" hidden="1">'Estimate Uncertainty Range'!$C$132</definedName>
    <definedName name="CBCR_ecae530c4a7b4634a9630c87d8617f02" localSheetId="5" hidden="1">'Estimate Uncertainty Range'!$I$122</definedName>
    <definedName name="CBCR_eccc37734d934b0a97efb2af5d1e3423" localSheetId="5" hidden="1">'Estimate Uncertainty Range'!$C$117</definedName>
    <definedName name="CBCR_ed21a58e293447f49c10aa9e871b5aab" localSheetId="5" hidden="1">'Estimate Uncertainty Range'!$B$119</definedName>
    <definedName name="CBCR_ed3f4c0edfed4d6bb975954b08170260" localSheetId="5" hidden="1">'Estimate Uncertainty Range'!$J$77</definedName>
    <definedName name="CBCR_ed7250061cec451bb4b0d40b55345e3b" localSheetId="5" hidden="1">'Estimate Uncertainty Range'!$J$118</definedName>
    <definedName name="CBCR_eeb4a95d47e3498b8ca239335468e840" localSheetId="5" hidden="1">'Estimate Uncertainty Range'!$B$136</definedName>
    <definedName name="CBCR_eed9592fc33d40539afc62b1928b1d4c" localSheetId="5" hidden="1">'Estimate Uncertainty Range'!$K$138</definedName>
    <definedName name="CBCR_eee623580d5f4a4f9bec39ca52884ed0" localSheetId="5" hidden="1">'Estimate Uncertainty Range'!$I$36</definedName>
    <definedName name="CBCR_eef91467350a4663ad1f802559da8c70" localSheetId="5" hidden="1">'Estimate Uncertainty Range'!$B$124</definedName>
    <definedName name="CBCR_eefa6e0440524772a96acd3be0c4823b" localSheetId="5" hidden="1">'Estimate Uncertainty Range'!$C$67</definedName>
    <definedName name="CBCR_ef5200f02fad4c03920c8f8d01ba9f22" localSheetId="7" hidden="1">'Risk Model'!$I$28</definedName>
    <definedName name="CBCR_ef563127459d4fb9b183325a7cabead0" localSheetId="5" hidden="1">'Estimate Uncertainty Range'!$J$52</definedName>
    <definedName name="CBCR_ef793d07c19f44bfa57a15e278c48e61" localSheetId="5" hidden="1">'Estimate Uncertainty Range'!$J$34</definedName>
    <definedName name="CBCR_efa68896f1c64e7f9cf7bd9b859e2e20" localSheetId="5" hidden="1">'Estimate Uncertainty Range'!$B$61</definedName>
    <definedName name="CBCR_efaa23a1d4e845cea5541da2c4b02d8a" localSheetId="5" hidden="1">'Estimate Uncertainty Range'!$I$112</definedName>
    <definedName name="CBCR_f0b025cb027e45a18477d43c59c152f8" localSheetId="7" hidden="1">'Risk Model'!$I$12</definedName>
    <definedName name="CBCR_f0f4353f623145479c8ab0da82120c33" localSheetId="5" hidden="1">'Estimate Uncertainty Range'!$K$89</definedName>
    <definedName name="CBCR_f13ea3cbf36d49d793d720d426876569" localSheetId="5" hidden="1">'Estimate Uncertainty Range'!$K$21</definedName>
    <definedName name="CBCR_f1ec390e28d64db79f82b2261267e3df" localSheetId="5" hidden="1">'Estimate Uncertainty Range'!$K$93</definedName>
    <definedName name="CBCR_f1f68d3467624234b41f612adfad9bf5" localSheetId="7" hidden="1">'Risk Model'!$I$7</definedName>
    <definedName name="CBCR_f25afc16e1c54bd38590f27bab3e7bf0" localSheetId="5" hidden="1">'Estimate Uncertainty Range'!$K$40</definedName>
    <definedName name="CBCR_f29731a41411471e91aea0e45292b236" localSheetId="5" hidden="1">'Estimate Uncertainty Range'!$K$33</definedName>
    <definedName name="CBCR_f302c408dc194055b91be96074328fd4" localSheetId="8" hidden="1">'Likelihood'!$B$25</definedName>
    <definedName name="CBCR_f3087ce951da4a39ae4ec3662402adbc" localSheetId="5" hidden="1">'Estimate Uncertainty Range'!$K$115</definedName>
    <definedName name="CBCR_f33757fcbbd64a8e8fa7a65baa7f01e4" localSheetId="5" hidden="1">'Estimate Uncertainty Range'!$J$113</definedName>
    <definedName name="CBCR_f41c521e9c714f2ea9f6583180117346" localSheetId="6" hidden="1">'Schedule Ranges'!#REF!</definedName>
    <definedName name="CBCR_f44432722b854721a82aaeb14e7acc30" localSheetId="5" hidden="1">'Estimate Uncertainty Range'!$K$92</definedName>
    <definedName name="CBCR_f4a51cdf4b7f4d5c9a9398959847bcfc" localSheetId="5" hidden="1">'Estimate Uncertainty Range'!$I$130</definedName>
    <definedName name="CBCR_f4bdfbcdafa4418eab22ff8670982a8b" localSheetId="5" hidden="1">'Estimate Uncertainty Range'!$B$139</definedName>
    <definedName name="CBCR_f5520082e2084ffe906b60ea0234a70c" localSheetId="5" hidden="1">'Estimate Uncertainty Range'!$I$127</definedName>
    <definedName name="CBCR_f592e0da443140fb91b2b380760f2c71" localSheetId="5" hidden="1">'Estimate Uncertainty Range'!$J$71</definedName>
    <definedName name="CBCR_f5ea22d941b6475daf11657e229ce9b4" localSheetId="5" hidden="1">'Estimate Uncertainty Range'!$K$95</definedName>
    <definedName name="CBCR_f5eccbea50814c2f89beb10e3d98f399" localSheetId="5" hidden="1">'Estimate Uncertainty Range'!$I$48</definedName>
    <definedName name="CBCR_f61f5eec72bd4e8b8cc2b4098841ddbe" localSheetId="5" hidden="1">'Estimate Uncertainty Range'!$I$107</definedName>
    <definedName name="CBCR_f636f4027ec046c292a665a91de50a97" localSheetId="5" hidden="1">'Estimate Uncertainty Range'!$K$119</definedName>
    <definedName name="CBCR_f752472b119048a1af656c475afa32d6" localSheetId="5" hidden="1">'Estimate Uncertainty Range'!$C$47</definedName>
    <definedName name="CBCR_f75fcffe563d4e9696875713d1ce343e" localSheetId="5" hidden="1">'Estimate Uncertainty Range'!$J$35</definedName>
    <definedName name="CBCR_f7747d2ab45c42b2887520522d990fde" localSheetId="5" hidden="1">'Estimate Uncertainty Range'!$J$43</definedName>
    <definedName name="CBCR_f791c4d15f7c4add8b6b5cba88acebf9" localSheetId="5" hidden="1">'Estimate Uncertainty Range'!$J$117</definedName>
    <definedName name="CBCR_f82bf626d4984286ab639b403bd7df42" localSheetId="5" hidden="1">'Estimate Uncertainty Range'!$C$98</definedName>
    <definedName name="CBCR_f961a636e2794ec68c8cda13f1a56d27" localSheetId="5" hidden="1">'Estimate Uncertainty Range'!$B$22</definedName>
    <definedName name="CBCR_f979680a23a34b7fb9e9493426fe16fd" localSheetId="5" hidden="1">'Estimate Uncertainty Range'!$I$71</definedName>
    <definedName name="CBCR_f99446c977de461cb1ed286ad6f355e6" localSheetId="5" hidden="1">'Estimate Uncertainty Range'!$B$103</definedName>
    <definedName name="CBCR_fa604bb7f8b64234bc6535a5ef7442be" localSheetId="5" hidden="1">'Estimate Uncertainty Range'!$K$35</definedName>
    <definedName name="CBCR_fb3049ce1c234e1ba9c67cae4164bb07" localSheetId="5" hidden="1">'Estimate Uncertainty Range'!$J$79</definedName>
    <definedName name="CBCR_fb3ccb55e0c84bef82ccde367d29713c" localSheetId="7" hidden="1">'Risk Model'!$K$36</definedName>
    <definedName name="CBCR_fb7dc8fbb22f43869d48fe206d520b2f" localSheetId="5" hidden="1">'Estimate Uncertainty Range'!$I$144</definedName>
    <definedName name="CBCR_fc05f25d944b463e95ca205299aff288" localSheetId="5" hidden="1">'Estimate Uncertainty Range'!$C$109</definedName>
    <definedName name="CBCR_fc1d1cf97af24760aaab41f037cae248" localSheetId="5" hidden="1">'Estimate Uncertainty Range'!$K$84</definedName>
    <definedName name="CBCR_fc843d838ab44072bfd472e7b50ca558" localSheetId="5" hidden="1">'Estimate Uncertainty Range'!$C$134</definedName>
    <definedName name="CBCR_fcc60b5debd74240a2329fdc055abd30" localSheetId="7" hidden="1">'Risk Model'!$L$13</definedName>
    <definedName name="CBCR_fceba8033b4a4891992a0dd5a2935fb3" localSheetId="5" hidden="1">'Estimate Uncertainty Range'!$I$3</definedName>
    <definedName name="CBCR_fd593bdd2fad42b3b8a3903128a60b8b" localSheetId="5" hidden="1">'Estimate Uncertainty Range'!$J$41</definedName>
    <definedName name="CBCR_fd7377c3f23e4017bb755e15b0e6a4f5" localSheetId="5" hidden="1">'Estimate Uncertainty Range'!$B$144</definedName>
    <definedName name="CBCR_fdec98dcf8314f2eb16a24d9cf2ecc27" localSheetId="5" hidden="1">'Estimate Uncertainty Range'!$K$27</definedName>
    <definedName name="CBCR_fe2ca7f59c2449fc92e3f4b820e80f1d" localSheetId="5" hidden="1">'Estimate Uncertainty Range'!$K$82</definedName>
    <definedName name="CBCR_fe9e7c617af44dbb8bcb14fb9c2e47e9" localSheetId="5" hidden="1">'Estimate Uncertainty Range'!$I$143</definedName>
    <definedName name="CBCR_fedd0368152748ff961abd6fb4364be8" localSheetId="5" hidden="1">'Estimate Uncertainty Range'!$I$29</definedName>
    <definedName name="CBCR_ff74854dca2f419c8b820cd5dcc49937" localSheetId="5" hidden="1">'Estimate Uncertainty Range'!$C$32</definedName>
    <definedName name="CBCR_ffa94b0b69364aacb6d072fa7e309fe4" localSheetId="5" hidden="1">'Estimate Uncertainty Range'!$I$25</definedName>
    <definedName name="CBWorkbookPriority" localSheetId="11" hidden="1">-53766829</definedName>
    <definedName name="CBWorkbookPriority" localSheetId="8" hidden="1">-53766829</definedName>
    <definedName name="CBWorkbookPriority" localSheetId="7" hidden="1">-53766829</definedName>
    <definedName name="CBWorkbookPriority" localSheetId="3" hidden="1">-53766829</definedName>
    <definedName name="CBWorkbookPriority" localSheetId="6" hidden="1">-1978197476</definedName>
    <definedName name="CBWorkbookPriority" hidden="1">-2048814648</definedName>
    <definedName name="CBx_2f67bddf0410445ba0baa8487bf98b0a" localSheetId="0" hidden="1">"'Estimate Ranges'!$A$1"</definedName>
    <definedName name="CBx_31bcb805e7e84f90bc17e98efe0de2ae" localSheetId="0" hidden="1">"'Risk Model'!$A$1"</definedName>
    <definedName name="CBx_4ed5e0e1854c40d6bed2c26f3aaa9a06" localSheetId="0" hidden="1">"'Likelihood'!$A$1"</definedName>
    <definedName name="CBx_4f18caf5fbd94c43b48b9d7f52023209" localSheetId="0" hidden="1">"'Job Mgr Uncertainty'!$A$1"</definedName>
    <definedName name="CBx_6c908b2fa67148e0b84bd76abec378a5" localSheetId="0" hidden="1">"'Risk Register'!$A$1"</definedName>
    <definedName name="CBx_808e85716981481da2a4f935d89f9fa3" localSheetId="0" hidden="1">"'Estimate Uncertainty Range'!$A$1"</definedName>
    <definedName name="CBx_a4c567bcad5940ada2d309bbe7ba2c2d" localSheetId="0" hidden="1">"'CB_DATA_'!$A$1"</definedName>
    <definedName name="CBx_b8a174c33cf8400b89d1298e64899f83" localSheetId="0" hidden="1">"'Schedule Ranges'!$A$1"</definedName>
    <definedName name="CBx_Sheet_Guid" localSheetId="0" hidden="1">"'a4c567bc-ad59-40ad-a2d3-09bbe7ba2c2d"</definedName>
    <definedName name="CBx_Sheet_Guid" localSheetId="5" hidden="1">"'808e8571-6981-481d-a2a4-f935d89f9fa3"</definedName>
    <definedName name="CBx_Sheet_Guid" localSheetId="8" hidden="1">"'4ed5e0e1-854c-40d6-bed2-c26f3aaa9a06"</definedName>
    <definedName name="CBx_Sheet_Guid" localSheetId="7" hidden="1">"'31bcb805-e7e8-4f90-bc17-e98efe0de2ae"</definedName>
    <definedName name="CBx_Sheet_Guid" localSheetId="6" hidden="1">"'b8a174c3-3cf8-400b-89d1-298e64899f83"</definedName>
    <definedName name="CBx_StorageType" localSheetId="0" hidden="1">1</definedName>
    <definedName name="CBx_StorageType" localSheetId="5" hidden="1">1</definedName>
    <definedName name="CBx_StorageType" localSheetId="8" hidden="1">1</definedName>
    <definedName name="CBx_StorageType" localSheetId="7" hidden="1">1</definedName>
    <definedName name="CBx_StorageType" localSheetId="6" hidden="1">1</definedName>
    <definedName name="_xlnm.Print_Area" localSheetId="4">'Contingency by Year'!$A$1:$M$32</definedName>
    <definedName name="_xlnm.Print_Area" localSheetId="5">'Estimate Uncertainty Range'!$D$3:$N$153</definedName>
    <definedName name="_xlnm.Print_Area" localSheetId="10">'Misc Inputs'!$A$1:$G$27</definedName>
    <definedName name="_xlnm.Print_Area" localSheetId="7">'Risk Model'!$A$1:$L$40</definedName>
    <definedName name="_xlnm.Print_Area" localSheetId="3">'Risk Results'!$A$1:$C$29</definedName>
    <definedName name="_xlnm.Print_Area" localSheetId="6">'Schedule Ranges'!$A$1:$G$16</definedName>
    <definedName name="_xlnm.Print_Area" localSheetId="2">'Uncertainty Results'!$A$1:$D$22</definedName>
    <definedName name="_xlnm.Print_Titles" localSheetId="5">'Estimate Uncertainty Range'!$2:$2</definedName>
    <definedName name="_xlnm.Print_Titles" localSheetId="7">'Risk Model'!$1:$3</definedName>
  </definedNames>
  <calcPr fullCalcOnLoad="1"/>
</workbook>
</file>

<file path=xl/comments5.xml><?xml version="1.0" encoding="utf-8"?>
<comments xmlns="http://schemas.openxmlformats.org/spreadsheetml/2006/main">
  <authors>
    <author>Chris Gruber</author>
  </authors>
  <commentList>
    <comment ref="B4" authorId="0">
      <text>
        <r>
          <rPr>
            <b/>
            <sz val="10"/>
            <rFont val="Tahoma"/>
            <family val="0"/>
          </rPr>
          <t>Chris Gruber:</t>
        </r>
        <r>
          <rPr>
            <sz val="10"/>
            <rFont val="Tahoma"/>
            <family val="0"/>
          </rPr>
          <t xml:space="preserve">
Contribution to Variance from Uncertainty Model Sensitivty Analysis</t>
        </r>
      </text>
    </comment>
    <comment ref="I3" authorId="0">
      <text>
        <r>
          <rPr>
            <b/>
            <sz val="10"/>
            <rFont val="Tahoma"/>
            <family val="0"/>
          </rPr>
          <t>Chris Gruber:</t>
        </r>
        <r>
          <rPr>
            <sz val="10"/>
            <rFont val="Tahoma"/>
            <family val="0"/>
          </rPr>
          <t xml:space="preserve">
% times % by year</t>
        </r>
      </text>
    </comment>
  </commentList>
</comments>
</file>

<file path=xl/comments6.xml><?xml version="1.0" encoding="utf-8"?>
<comments xmlns="http://schemas.openxmlformats.org/spreadsheetml/2006/main">
  <authors>
    <author>Christopher O. Gruber</author>
  </authors>
  <commentList>
    <comment ref="F2" authorId="0">
      <text>
        <r>
          <rPr>
            <b/>
            <sz val="10"/>
            <rFont val="Tahoma"/>
            <family val="0"/>
          </rPr>
          <t>Christopher O. Gruber:</t>
        </r>
        <r>
          <rPr>
            <sz val="10"/>
            <rFont val="Tahoma"/>
            <family val="0"/>
          </rPr>
          <t xml:space="preserve">
Enter L, M or H
</t>
        </r>
      </text>
    </comment>
    <comment ref="G2" authorId="0">
      <text>
        <r>
          <rPr>
            <b/>
            <sz val="10"/>
            <rFont val="Tahoma"/>
            <family val="0"/>
          </rPr>
          <t>Christopher O. Gruber:</t>
        </r>
        <r>
          <rPr>
            <sz val="10"/>
            <rFont val="Tahoma"/>
            <family val="0"/>
          </rPr>
          <t xml:space="preserve">
Enter L, M or H</t>
        </r>
      </text>
    </comment>
  </commentList>
</comments>
</file>

<file path=xl/comments7.xml><?xml version="1.0" encoding="utf-8"?>
<comments xmlns="http://schemas.openxmlformats.org/spreadsheetml/2006/main">
  <authors>
    <author>Chris Gruber</author>
  </authors>
  <commentList>
    <comment ref="G9" authorId="0">
      <text>
        <r>
          <rPr>
            <b/>
            <sz val="10"/>
            <rFont val="Tahoma"/>
            <family val="0"/>
          </rPr>
          <t>Chris Gruber:</t>
        </r>
        <r>
          <rPr>
            <sz val="10"/>
            <rFont val="Tahoma"/>
            <family val="0"/>
          </rPr>
          <t xml:space="preserve">
assumes increase accommodated by 2nd shift with added cost</t>
        </r>
      </text>
    </comment>
    <comment ref="G10" authorId="0">
      <text>
        <r>
          <rPr>
            <b/>
            <sz val="10"/>
            <rFont val="Tahoma"/>
            <family val="0"/>
          </rPr>
          <t>Chris Gruber:</t>
        </r>
        <r>
          <rPr>
            <sz val="10"/>
            <rFont val="Tahoma"/>
            <family val="0"/>
          </rPr>
          <t xml:space="preserve">
assumes increase accommodated by 2nd shift with added cost</t>
        </r>
      </text>
    </comment>
    <comment ref="H6" authorId="0">
      <text>
        <r>
          <rPr>
            <b/>
            <sz val="10"/>
            <rFont val="Tahoma"/>
            <family val="0"/>
          </rPr>
          <t>Chris Gruber:</t>
        </r>
        <r>
          <rPr>
            <sz val="10"/>
            <rFont val="Tahoma"/>
            <family val="0"/>
          </rPr>
          <t xml:space="preserve">
90% Correlation with Estimate Probability Profile</t>
        </r>
      </text>
    </comment>
    <comment ref="H7" authorId="0">
      <text>
        <r>
          <rPr>
            <b/>
            <sz val="10"/>
            <rFont val="Tahoma"/>
            <family val="0"/>
          </rPr>
          <t>Chris Gruber:</t>
        </r>
        <r>
          <rPr>
            <sz val="10"/>
            <rFont val="Tahoma"/>
            <family val="0"/>
          </rPr>
          <t xml:space="preserve">
Independent of Estimate Uncertainty</t>
        </r>
      </text>
    </comment>
    <comment ref="H9" authorId="0">
      <text>
        <r>
          <rPr>
            <b/>
            <sz val="10"/>
            <rFont val="Tahoma"/>
            <family val="0"/>
          </rPr>
          <t>Chris Gruber:</t>
        </r>
        <r>
          <rPr>
            <sz val="10"/>
            <rFont val="Tahoma"/>
            <family val="0"/>
          </rPr>
          <t xml:space="preserve">
90% Correlation with Estimate Probability Profile</t>
        </r>
      </text>
    </comment>
    <comment ref="H10" authorId="0">
      <text>
        <r>
          <rPr>
            <b/>
            <sz val="10"/>
            <rFont val="Tahoma"/>
            <family val="0"/>
          </rPr>
          <t>Chris Gruber:</t>
        </r>
        <r>
          <rPr>
            <sz val="10"/>
            <rFont val="Tahoma"/>
            <family val="0"/>
          </rPr>
          <t xml:space="preserve">
90% Correlation with Estimate Probability Profile</t>
        </r>
      </text>
    </comment>
    <comment ref="G13" authorId="0">
      <text>
        <r>
          <rPr>
            <b/>
            <sz val="10"/>
            <rFont val="Tahoma"/>
            <family val="0"/>
          </rPr>
          <t>Chris Gruber:</t>
        </r>
        <r>
          <rPr>
            <sz val="10"/>
            <rFont val="Tahoma"/>
            <family val="0"/>
          </rPr>
          <t xml:space="preserve">
Already worked on 2 shifts so no ability to lessen impact</t>
        </r>
      </text>
    </comment>
    <comment ref="H13" authorId="0">
      <text>
        <r>
          <rPr>
            <b/>
            <sz val="10"/>
            <rFont val="Tahoma"/>
            <family val="0"/>
          </rPr>
          <t>Chris Gruber:</t>
        </r>
        <r>
          <rPr>
            <sz val="10"/>
            <rFont val="Tahoma"/>
            <family val="0"/>
          </rPr>
          <t xml:space="preserve">
90% Correlation with Estimate Probability Profile</t>
        </r>
      </text>
    </comment>
    <comment ref="G12" authorId="0">
      <text>
        <r>
          <rPr>
            <b/>
            <sz val="10"/>
            <rFont val="Tahoma"/>
            <family val="0"/>
          </rPr>
          <t>Chris Gruber:</t>
        </r>
        <r>
          <rPr>
            <sz val="10"/>
            <rFont val="Tahoma"/>
            <family val="0"/>
          </rPr>
          <t xml:space="preserve">
assumes increase accommodated by 2nd shift with added cost</t>
        </r>
      </text>
    </comment>
    <comment ref="H12" authorId="0">
      <text>
        <r>
          <rPr>
            <b/>
            <sz val="10"/>
            <rFont val="Tahoma"/>
            <family val="0"/>
          </rPr>
          <t>Chris Gruber:</t>
        </r>
        <r>
          <rPr>
            <sz val="10"/>
            <rFont val="Tahoma"/>
            <family val="0"/>
          </rPr>
          <t xml:space="preserve">
90% Correlation with Estimate Probability Profile</t>
        </r>
      </text>
    </comment>
  </commentList>
</comments>
</file>

<file path=xl/sharedStrings.xml><?xml version="1.0" encoding="utf-8"?>
<sst xmlns="http://schemas.openxmlformats.org/spreadsheetml/2006/main" count="1474" uniqueCount="572">
  <si>
    <t xml:space="preserve">Likelihood of occurrence is very unlikely as a result of extensive welding R&amp;D and careful monitoring during welding. </t>
  </si>
  <si>
    <t xml:space="preserve">Marginal </t>
  </si>
  <si>
    <t>Cut apart and re-weld two coils back together.  Nominally a 2.5-man crew in 12 weeks.</t>
  </si>
  <si>
    <t>Field period damaged during loading, transport, or unloading from TFTR TC to NCSX TC</t>
  </si>
  <si>
    <t>Extreme care will be taken when transporting a field period.  Additonal reviews including external reviewers will be performed.</t>
  </si>
  <si>
    <t>NC</t>
  </si>
  <si>
    <t>Crisis</t>
  </si>
  <si>
    <t>High impact-low probability event not covered by contingency</t>
  </si>
  <si>
    <t>1815</t>
  </si>
  <si>
    <t>Multiple vacuum leaks during initial pumpdown</t>
  </si>
  <si>
    <t>Welds will be leak checked during FPA when leaks can be addressed without significantly impacting the critical path.  Likelihood of many leaks appearing during initial pumpdown is considered extremely unlikely with this mitigation plan.</t>
  </si>
  <si>
    <t>Impact of having only a few leaks is covered in estimate uncertainty with present mitigation plan</t>
  </si>
  <si>
    <t>Insulation on TF/PF coil fails during initial cooldown and testing requiring in situ repair</t>
  </si>
  <si>
    <t xml:space="preserve">Ist of each kind will be tested at cryogenic temperature at elevated (50% higher than routine field tests) voltage for faults to ground.  All coils will be tested at RT at elevated (50% higher than routine field tests) voltage for faults to ground . Ring </t>
  </si>
  <si>
    <t>Insulation fault in lead area is considered the most likely failure scenario.  Repair in situ is assumed recovery scenario taking 2-3 months. 1 month to warmup and cooldown the stellarator core.  3 techs/1 engr for duration of active repair )1-2 months).</t>
  </si>
  <si>
    <t>Insulation on TF/PF coil fails during initial cooldown and testing requiring dismantling stellarator core</t>
  </si>
  <si>
    <t>Insulation on modular coil fails during initial cooldown and testing requiring in situ repair</t>
  </si>
  <si>
    <t xml:space="preserve">C1 tested at full current at cryogenic temeprature.  All modular coils will be tested at RT at elevated (50% higher) voltage for faults to ground. 
In addition, routine field tests will be performed on each assembly station to ensure that the electrical </t>
  </si>
  <si>
    <t>Insulation on modular coil fails during initial cooldown and testing requiring stellarator core disassembly</t>
  </si>
  <si>
    <t>Unanticipated problems with cryostat penetrations (icing, excessive condensation).  May require warming up the stellarator core to effect repair with consequent impacts to critical path activities.</t>
  </si>
  <si>
    <t>Rapid repair materials will be on hand.</t>
  </si>
  <si>
    <t>Nominally repaired with a 4-man crew in 1 week with 3 weeks for warmup/cooldown (if required)</t>
  </si>
  <si>
    <t xml:space="preserve">Loss or prolonged unavailability of certain key personnel from the project could substantially impact the schedule. </t>
  </si>
  <si>
    <t>See mitigation plans for individuals listed below.</t>
  </si>
  <si>
    <t>1901</t>
  </si>
  <si>
    <t>Mike Cole (ORNL)</t>
  </si>
  <si>
    <t>Brad Nelson is been budgeted (15%) on the project.  Should Cole become unavailable, Nelson would step in and handle Cole's responsibilties until a suitable longer term solution was implemented.</t>
  </si>
  <si>
    <t>Estimated impact is &lt;0.5 months on the critical path.  No impact on FPA cost because impacted personnel would be assigned to other activities.</t>
  </si>
  <si>
    <t>8203</t>
  </si>
  <si>
    <t>Tom Brown (PPPL)</t>
  </si>
  <si>
    <t>Bob Ellis has been budgeted along with a designer to provide support to Tom Brown in Design Integration during peak demands and pick up the slack for Brown if he became unavailable.</t>
  </si>
  <si>
    <t>8204</t>
  </si>
  <si>
    <t>Art Brooks (PPPL)</t>
  </si>
  <si>
    <t xml:space="preserve">An EA/EM engineer has been budgeted to provide support to Brooks in Systems Analysis and Technical Assurance during peak demands and pick up the slack for Brooks should he became unavailable. </t>
  </si>
  <si>
    <t>8205</t>
  </si>
  <si>
    <t>Bob Ellis (PPPL)</t>
  </si>
  <si>
    <t xml:space="preserve">An EA/EM engineer has been budgeted to provide support to Ellis in Dimensional Control Coordination during peak demands and pick up the slack for Ellis should he become unavailable. </t>
  </si>
  <si>
    <t>1802
7401</t>
  </si>
  <si>
    <t>Mike Viola (PPPL)
Erik Perry (PPPL)</t>
  </si>
  <si>
    <t>Viola and Perry will be cross-trained such that each could do the other's job</t>
  </si>
  <si>
    <t>1803
7503</t>
  </si>
  <si>
    <t>Assembly sled for final assembly is not adequately stiff or does not provide repeatable motion</t>
  </si>
  <si>
    <t>Functionality of sled will be determined first with concrete blocks and later with first FP.  Ample time to make design modifications between arrival of the first and third FPs.</t>
  </si>
  <si>
    <t>Nominal cost impact is 1 man-month of engineering design and up to half the fabrication cost of the sled</t>
  </si>
  <si>
    <t>TC floor is not adequately rigid for present metrology plan</t>
  </si>
  <si>
    <t xml:space="preserve">Copper sheet and spongy surface removed from TC floor.  Fiducials will be placed.  Concrete blocks will be placed to see if floor is adequately stiff. </t>
  </si>
  <si>
    <t>Nominal cost impact is 2 man-months of engineering design and $50-150K for local reinforcement of building structures</t>
  </si>
  <si>
    <t>1421
7503</t>
  </si>
  <si>
    <t>Modular coils are shorted across toroidal break between field periods causing problematic field errors</t>
  </si>
  <si>
    <t>Need very low impedence, multiple shorts to get into trouble</t>
  </si>
  <si>
    <t>GPP projects not completed in time to support project needs</t>
  </si>
  <si>
    <t>The crane and the HVAC systems are the main GPP projects that would need to be completed.  The GPP projects have strong Lab and DOE oversight.  Ample float is provided in the schedule so project delays due to GPP delays are not considered credible (P&lt;1%).</t>
  </si>
  <si>
    <t>8501</t>
  </si>
  <si>
    <t>Coils are hooked up with incorrect polarity</t>
  </si>
  <si>
    <t>Test during ISTP and fix</t>
  </si>
  <si>
    <t>Covered in estimate uncertainty with present mitigation plan</t>
  </si>
  <si>
    <t>Escalation of Stainless Sheet and Inconel higher than base escalation rates</t>
  </si>
  <si>
    <t>Funding limits preclude early procurements to avoid escalation impacts</t>
  </si>
  <si>
    <t>VL</t>
  </si>
  <si>
    <t>See separate sheet - assume 3% to 20% higher per year escalation rate</t>
  </si>
  <si>
    <t>Escalation of Copper higher than base escalation rates</t>
  </si>
  <si>
    <t>See separate sheet - assume 5% to 20% higher per year escalation rate</t>
  </si>
  <si>
    <t>Labor rates may be significantly lower/higher than projected</t>
  </si>
  <si>
    <t>Escalation rate may be anywhere in the range of 2-5% instead of the nominal rate of 3.4% for labor.  Schedule impact is due to annual funding constraints.</t>
  </si>
  <si>
    <t>1810
1815
7503</t>
  </si>
  <si>
    <t>Metrology equipment and general purpose tooling/ lifting equipment (e.g.cranes) not available to support the schedule</t>
  </si>
  <si>
    <t>Maintenance contract mitigates impact of metrology equipment.
Additional $200K budgeted for a 3rd laser tracker and/or spare metrology equipment.  Should result in improved efficiency as well as failure mitigation.</t>
  </si>
  <si>
    <t>Up to 2 week impact on FPA and critical path.  FPA cost impact assumed to be $300k/mo.</t>
  </si>
  <si>
    <t>No suitable PF coil vendor submits bid.  PF coils need to be built in-house.</t>
  </si>
  <si>
    <t>PF is last major, special procurement.  Sources sought received two qualified respondants.  Capability to build at PPPL (and overseas) exists if needed.</t>
  </si>
  <si>
    <t>Cost impact estimated to be up to $300k (1/3 of fabrication costs) for potentially higher labor rates at PPPL.  No impact on critical path expected.</t>
  </si>
  <si>
    <t>Funding profile may not match assumptions which in turn could impact cost and schedule</t>
  </si>
  <si>
    <t>Cost impact derived from stretchout</t>
  </si>
  <si>
    <t>Overhead rates may change signficiantly which in turn could impact cost and schedule</t>
  </si>
  <si>
    <t>Overhead rates are determined by institutional funding and are outside the project's control.
-2%/+0% on the rates are representative of variation in three-year institutional averages over the past 10 years.</t>
  </si>
  <si>
    <r>
      <t xml:space="preserve">Likelihood of Occurrence </t>
    </r>
    <r>
      <rPr>
        <b/>
        <vertAlign val="superscript"/>
        <sz val="12"/>
        <rFont val="Arial"/>
        <family val="2"/>
      </rPr>
      <t>a</t>
    </r>
  </si>
  <si>
    <r>
      <t>a</t>
    </r>
    <r>
      <rPr>
        <sz val="12"/>
        <rFont val="Arial"/>
        <family val="2"/>
      </rPr>
      <t xml:space="preserve">  VL= Very Likely (P&gt;80%), L=Likely (80%&gt;P&gt;40%), U=Unlikley (40%&gt;P&gt;10%), VU=Very Unlikely (P&lt;10%), NC=Non-credible (P&lt;1%)</t>
    </r>
  </si>
  <si>
    <t>Probability of Occurrence</t>
  </si>
  <si>
    <t>Criteria</t>
  </si>
  <si>
    <t>Qualitative</t>
  </si>
  <si>
    <t>Quantitative</t>
  </si>
  <si>
    <t>Non-credible</t>
  </si>
  <si>
    <t>&lt;0.01</t>
  </si>
  <si>
    <t>Extremely unlikely occur anytime in the project life cycle, or the probability of the occurrence judged to be less than 1%.</t>
  </si>
  <si>
    <t>Very Unlikely</t>
  </si>
  <si>
    <t>&gt;0.01 but &lt;0.1</t>
  </si>
  <si>
    <t>Very unlikely to occur anytime in the project life cycle, or the probability of the occurrence is judged to be less than 10%.</t>
  </si>
  <si>
    <t>Unlikely</t>
  </si>
  <si>
    <t>&gt;0.1 but &lt;0.4</t>
  </si>
  <si>
    <t>Unlikely to occur in the project life cycle ,  or the probability of the occurrence is judged to be greater than 10% but less than 40%.</t>
  </si>
  <si>
    <t>Likely</t>
  </si>
  <si>
    <t>&gt;0.4 but &lt;0.8</t>
  </si>
  <si>
    <t>Will likely occur sometime during the project life cycle of the project or its facilities, or the probability of the occurrence is judged to be greater than 40% but less than 80%.</t>
  </si>
  <si>
    <t>Very Likely</t>
  </si>
  <si>
    <t>&gt;0.8</t>
  </si>
  <si>
    <t>Very likely to occur sometime during the project life cycle or the probability of occurrence is judged to be 80% or greater.</t>
  </si>
  <si>
    <t>* P = Probability of Occurrence</t>
  </si>
  <si>
    <t>Concept Explanation</t>
  </si>
  <si>
    <t>For each identified risk, a Probability of Occurrence is defined using the above criteria.</t>
  </si>
  <si>
    <t>Also for each risk, the consequential impacts are estimated -- as either an absolute value or a range with most likely, low and high values defined</t>
  </si>
  <si>
    <t>Both cost impacts and schedule impacts should be estimated.</t>
  </si>
  <si>
    <t>For schedule impact, the value (or range) should reflect impact to the project completion -- that is the impact to the project critical path</t>
  </si>
  <si>
    <t>Separate models will then be constructed to determine overall cost and schedule probability profiles (using Monte Carlo simulation)</t>
  </si>
  <si>
    <t xml:space="preserve">Each risk will represent a variable in the model.  The Pr of Occurrence will use the values shown on the right above and </t>
  </si>
  <si>
    <t xml:space="preserve">  the ranges for cost and schedule impacts.</t>
  </si>
  <si>
    <t>Risk Cost Contingency</t>
  </si>
  <si>
    <t>Risk Schedule Contingency</t>
  </si>
  <si>
    <t>Risk Contingency Summary</t>
  </si>
  <si>
    <t>Cost Risks</t>
  </si>
  <si>
    <t>Cost Impact of Schedule</t>
  </si>
  <si>
    <t>Total Risk Contingency</t>
  </si>
  <si>
    <t>Special Materials</t>
  </si>
  <si>
    <t>Delivery cost estimate (includes raw material cost, and vendor fabrication)</t>
  </si>
  <si>
    <t>as spent $K</t>
  </si>
  <si>
    <t xml:space="preserve">  FY  2007</t>
  </si>
  <si>
    <t xml:space="preserve">  FY  2008</t>
  </si>
  <si>
    <t xml:space="preserve">  FY  2009</t>
  </si>
  <si>
    <t xml:space="preserve">  FY  2010</t>
  </si>
  <si>
    <t xml:space="preserve">  FY  2011</t>
  </si>
  <si>
    <t>C - copper</t>
  </si>
  <si>
    <t>141-038.1</t>
  </si>
  <si>
    <t>PF Conductor  Delivery</t>
  </si>
  <si>
    <t>184-037</t>
  </si>
  <si>
    <t xml:space="preserve">External Trim Coil  Procurement                 </t>
  </si>
  <si>
    <t>132-038</t>
  </si>
  <si>
    <t xml:space="preserve">Deliver  Lead hardware and cables               </t>
  </si>
  <si>
    <t>411-2-4</t>
  </si>
  <si>
    <t>Grounding-Procure</t>
  </si>
  <si>
    <t>431-265</t>
  </si>
  <si>
    <t>Fabricate bus components</t>
  </si>
  <si>
    <t>431-275</t>
  </si>
  <si>
    <t>Power cabling &amp; Installation</t>
  </si>
  <si>
    <t>S - Stainless Steel/Inconnel</t>
  </si>
  <si>
    <t>124-130</t>
  </si>
  <si>
    <t xml:space="preserve"> VV NB port cover Fabrication</t>
  </si>
  <si>
    <t>INTRF-001</t>
  </si>
  <si>
    <t xml:space="preserve">PPPL buy SS plate for weld trials               </t>
  </si>
  <si>
    <t>1421-3060</t>
  </si>
  <si>
    <t>Deliver Stud Kit (PE007330) (for 1st 3 pack only</t>
  </si>
  <si>
    <t>1429-3060</t>
  </si>
  <si>
    <t>Deliver Shim Stock</t>
  </si>
  <si>
    <t>161-036.9</t>
  </si>
  <si>
    <t xml:space="preserve">Deliver base support materials                  </t>
  </si>
  <si>
    <t>162-037</t>
  </si>
  <si>
    <t xml:space="preserve">Fabricate TF/MCWF mounting Components           </t>
  </si>
  <si>
    <t>162-038</t>
  </si>
  <si>
    <t xml:space="preserve">Fabricate PF Mounting components                </t>
  </si>
  <si>
    <t>162-039</t>
  </si>
  <si>
    <t xml:space="preserve">Fabricate Final TF Assy components Components   </t>
  </si>
  <si>
    <t>162-040</t>
  </si>
  <si>
    <t xml:space="preserve">Fabricate Machine/base support interface        </t>
  </si>
  <si>
    <t>162-053</t>
  </si>
  <si>
    <t>Deliver Inconnel hardware</t>
  </si>
  <si>
    <t>162-057</t>
  </si>
  <si>
    <t>Deliver Belleville Washers</t>
  </si>
  <si>
    <t>Estimate Raw material cost (delivery cost estimate  x 50%)</t>
  </si>
  <si>
    <t>C - copper - base estimate (assumes 2.5%/year escalation)</t>
  </si>
  <si>
    <t>Additional Copper Escalation - Low End of Range</t>
  </si>
  <si>
    <t xml:space="preserve">additional per year </t>
  </si>
  <si>
    <t>Additional Copper Escalation - High End of Range</t>
  </si>
  <si>
    <t>S - Stainless Steel/Inconnel (assumes 2.5%/year escalation)</t>
  </si>
  <si>
    <t>Additional SS/Inconel Escalation - Low End of Range</t>
  </si>
  <si>
    <t>Additional SS/Inconel Escalation - High End of Range</t>
  </si>
  <si>
    <t>$M</t>
  </si>
  <si>
    <t>Schedule Uncertainty Contingency at 90%</t>
  </si>
  <si>
    <t>Risk Schedule Contingency at 90%</t>
  </si>
  <si>
    <t>Contingency at 90% (Std Uncertainty)</t>
  </si>
  <si>
    <t>@90%</t>
  </si>
  <si>
    <t>Conservative Projection</t>
  </si>
  <si>
    <t>Design Maturity</t>
  </si>
  <si>
    <t>Design Complexity</t>
  </si>
  <si>
    <t>Low</t>
  </si>
  <si>
    <t>Medium</t>
  </si>
  <si>
    <t>High</t>
  </si>
  <si>
    <t>Estimate Uncertainty Matrix</t>
  </si>
  <si>
    <t>Job</t>
  </si>
  <si>
    <t>Maturity</t>
  </si>
  <si>
    <t>Complexity</t>
  </si>
  <si>
    <t>LH</t>
  </si>
  <si>
    <t>LL</t>
  </si>
  <si>
    <t>LM</t>
  </si>
  <si>
    <t>ML</t>
  </si>
  <si>
    <t>MM</t>
  </si>
  <si>
    <t>MH</t>
  </si>
  <si>
    <t>HL</t>
  </si>
  <si>
    <t>HM</t>
  </si>
  <si>
    <t>HH</t>
  </si>
  <si>
    <t>H</t>
  </si>
  <si>
    <t>M</t>
  </si>
  <si>
    <t>Definitions</t>
  </si>
  <si>
    <t xml:space="preserve">Final design available.  All design features/requirements well known. </t>
  </si>
  <si>
    <t>No further design development or evolution expected that will impact estimate</t>
  </si>
  <si>
    <t xml:space="preserve"> Further developments can be somewhat expected/anticipated and reflected in estimate</t>
  </si>
  <si>
    <t>No better than conceptual design basis currently available.  Design details, procedures,</t>
  </si>
  <si>
    <t xml:space="preserve">  etc. still need much development and evolution of requirements beyond estimate basis is likely and expected</t>
  </si>
  <si>
    <t>Work is fairly well understood -- either standard construction or repetition of activities performed in past</t>
  </si>
  <si>
    <t>More complex work requirements that have potential to impact cost and schedule estimates</t>
  </si>
  <si>
    <t xml:space="preserve">   Limited experience performing similar tasks, so ability to estimate accurately is somewhat suspect</t>
  </si>
  <si>
    <t>Extremely challenging tasks and/or requirements.  Unique or first-of-a-kind assembly or work tasks</t>
  </si>
  <si>
    <t xml:space="preserve">  No good basis for estimating work exists so there is a high degree of estimate uncertainty</t>
  </si>
  <si>
    <t>Preliminary design available.  Some additional design evolution likely</t>
  </si>
  <si>
    <t>L</t>
  </si>
  <si>
    <t xml:space="preserve">  Little likelihood of estimate not being well understood and requirements not being well defined</t>
  </si>
  <si>
    <t>Basis for Estimate Uncertainties</t>
  </si>
  <si>
    <t>Per AACEI Recommended Practice 18R-97, Cost Estimate Classification System</t>
  </si>
  <si>
    <t>As Applied in Engineering, Procurement and Construction for the Process Industry</t>
  </si>
  <si>
    <t>Estimate Class</t>
  </si>
  <si>
    <t>Level of Definition</t>
  </si>
  <si>
    <t>Accuracy Range</t>
  </si>
  <si>
    <t>NCSX Definition</t>
  </si>
  <si>
    <t>Range Used</t>
  </si>
  <si>
    <t>0 - 2%</t>
  </si>
  <si>
    <t>10 - 40%</t>
  </si>
  <si>
    <t>1 - 15%</t>
  </si>
  <si>
    <t>30 - 70%</t>
  </si>
  <si>
    <t>50 - 100%</t>
  </si>
  <si>
    <t>-20 to -50%  -  +30 to +100%</t>
  </si>
  <si>
    <t>-15 to -30%  -  +20 to +50%</t>
  </si>
  <si>
    <t>-10 to -20%  -  +10 to +30%</t>
  </si>
  <si>
    <t>-5 to -15%  -  +5 to +20%</t>
  </si>
  <si>
    <t>-3 to -10%  -  +3 to +15%</t>
  </si>
  <si>
    <t>L maturity; H complexity</t>
  </si>
  <si>
    <t>MH and LM</t>
  </si>
  <si>
    <t>MM and LL</t>
  </si>
  <si>
    <t>ML and HM</t>
  </si>
  <si>
    <t>H maturity; L complexity</t>
  </si>
  <si>
    <t>-20/+40%</t>
  </si>
  <si>
    <t>-15/+25%</t>
  </si>
  <si>
    <t>-10/+15%</t>
  </si>
  <si>
    <t>-5/+10%</t>
  </si>
  <si>
    <t>-30/+60%</t>
  </si>
  <si>
    <t>WBS4</t>
  </si>
  <si>
    <t xml:space="preserve">     -</t>
  </si>
  <si>
    <t>124U - T/C and Heater Tape Leads</t>
  </si>
  <si>
    <t>124V - Flux loop junction boxes and spacer templates</t>
  </si>
  <si>
    <t>MD3  - Rogowski Coils</t>
  </si>
  <si>
    <t>MD4  - TF and PF Co-wound Loops</t>
  </si>
  <si>
    <t>411  - 411 - Auxiliary AC Power Systems</t>
  </si>
  <si>
    <t>412  - 412 - Experimental AC Power Systems</t>
  </si>
  <si>
    <t>431  - 431 - C-Site DC Systems</t>
  </si>
  <si>
    <t>441  - 441 - Electrical Interlocks</t>
  </si>
  <si>
    <t>442  - 442 - Kirk Key Interlocks</t>
  </si>
  <si>
    <t>443  - 443 - Real Time Control Systems</t>
  </si>
  <si>
    <t>444  - 444 - Instrument Systems</t>
  </si>
  <si>
    <t>445  - 445 - Coil Protection Systems</t>
  </si>
  <si>
    <t>451  - 451 - System Design &amp; Interfaces</t>
  </si>
  <si>
    <t>452  - 452 - Electrical Systems Support</t>
  </si>
  <si>
    <t>453  - 453 - System Testing (PTP's)</t>
  </si>
  <si>
    <t>613  - 613 - Vacuum Pumping System</t>
  </si>
  <si>
    <t>621  - 621 - LN2-LHe Supply System</t>
  </si>
  <si>
    <t>622  - 622 - LN2 Coil Cooling Supply</t>
  </si>
  <si>
    <t>623  - 623 - GN2 Cryostat Cooling System</t>
  </si>
  <si>
    <t>RBLX - FY07 Rebaseline Exercise</t>
  </si>
  <si>
    <t>PROC - Startup Documentation</t>
  </si>
  <si>
    <t>122  - Thermal Insulation</t>
  </si>
  <si>
    <t>124P - VV Personnel Access Port &amp; Lateral sprts</t>
  </si>
  <si>
    <t>124T - Heater Tape for Port Stub</t>
  </si>
  <si>
    <t>125  - VV Local I&amp;C</t>
  </si>
  <si>
    <t>13P  - PF Coil Fabrication</t>
  </si>
  <si>
    <t>132A - CS Support Structure</t>
  </si>
  <si>
    <t>133  - Trim Coils</t>
  </si>
  <si>
    <t>134  - TF/PF Loacl I&amp;C</t>
  </si>
  <si>
    <t>130  - TF Title III and Fabrication Oversight</t>
  </si>
  <si>
    <t>13Y  - TF Fabrication Contract</t>
  </si>
  <si>
    <t>MCDB - Clamp hardware modifications</t>
  </si>
  <si>
    <t>MCDC - Blanket thermal insulation</t>
  </si>
  <si>
    <t>MCDE - Top level assy models/drawings</t>
  </si>
  <si>
    <t>MCDF - Analysis and closeout documentation</t>
  </si>
  <si>
    <t>TCCO - Type C Design Closeout</t>
  </si>
  <si>
    <t>BLAD - Bladders</t>
  </si>
  <si>
    <t>BUSH - Bushings</t>
  </si>
  <si>
    <t>STUD - Studs Washers Nuts</t>
  </si>
  <si>
    <t>1    - Station 1 Post VPI</t>
  </si>
  <si>
    <t>1A   - Station 1a/4 Casting Prep</t>
  </si>
  <si>
    <t>2    - Station 2-Winding  Instl Chill Plates Tubing Bag</t>
  </si>
  <si>
    <t>3    - Station 4-Winding  Instl Chill Plates Tubing Bag</t>
  </si>
  <si>
    <t>5    - Station 5-VPI</t>
  </si>
  <si>
    <t>LABR - LOE Oversight &amp; Supervision</t>
  </si>
  <si>
    <t>PLCT - Punchlist- Coil Technicians</t>
  </si>
  <si>
    <t>PLTS - Punchlist Tech shop/RESA</t>
  </si>
  <si>
    <t>161  - 161 - LN2 Distribution</t>
  </si>
  <si>
    <t>162  - 162 - Electrical Leads</t>
  </si>
  <si>
    <t>163  - 163 - Coil Protection System</t>
  </si>
  <si>
    <t>172  - 172 - Base Support Structure</t>
  </si>
  <si>
    <t>A    - Oversight and Supervision</t>
  </si>
  <si>
    <t>2.00 - Station 2-Modular Coil  Sub- Assembly</t>
  </si>
  <si>
    <t>3.00 - Station 3-Modular Coil to VVSA Assembly</t>
  </si>
  <si>
    <t>5.00 - Station 5-Final Field Period Assembly</t>
  </si>
  <si>
    <t>6.00 - 6.00-Final Machine Assembly</t>
  </si>
  <si>
    <t>1.00 - 1.00-VV Prep Station</t>
  </si>
  <si>
    <t>S4P1 - Station 5- Final FP Assy -FP#1 (in NCSX TC)</t>
  </si>
  <si>
    <t>S4P2 - Station 5- Final FP Assy -FP#2 (in NCSX TC)</t>
  </si>
  <si>
    <t>S4P3 - Station 5- Final FP Assy -FP#3 (in NCSX TC)</t>
  </si>
  <si>
    <t>S1P1 - Station 1-VV Prep (hard surface components) FP#1</t>
  </si>
  <si>
    <t>S1P2 - Station 1- VV Prep (hrd surf cmpntsFP#2</t>
  </si>
  <si>
    <t>S1P3 - Station 1- VV Prep (hrd surf cmpntsFP#3</t>
  </si>
  <si>
    <t>S1SP - Station 1-Spool pieces (3)  (spacers)</t>
  </si>
  <si>
    <t>S2P2 - Station 2-Modular Coil Subassembly-FP#2</t>
  </si>
  <si>
    <t>S2P3 - Station 2-Modular Coil Subassembly-FP#3</t>
  </si>
  <si>
    <t>S2PR - Station 2 Trials &amp; Development</t>
  </si>
  <si>
    <t>S3P1 - Station 3-Assemble Mod Coils and VVSA-FP#1</t>
  </si>
  <si>
    <t>S3P2 - Station 3-Assemble Mod Coils and VVSA-FP#2</t>
  </si>
  <si>
    <t>S3P3 - Station 3-Assemble Mod Coils and VVSA-FP#3</t>
  </si>
  <si>
    <t>WBS2</t>
  </si>
  <si>
    <t>TOTAL</t>
  </si>
  <si>
    <t>FY2007</t>
  </si>
  <si>
    <t>FY2008</t>
  </si>
  <si>
    <t>FY2009</t>
  </si>
  <si>
    <t>FY2010</t>
  </si>
  <si>
    <t>FY2011</t>
  </si>
  <si>
    <t>1204 - Job: 1204 - VV Sys Procurements (nonVVSA)-DUDEK</t>
  </si>
  <si>
    <t>1250 - Job: 1250 - Vacuum Vessel Fabrication**CLOSED**</t>
  </si>
  <si>
    <t>1302 - Job: 1302 - PF  Design -KALISH</t>
  </si>
  <si>
    <t>1352 - Job: 1352 - PF Coil Procurement-KALISH</t>
  </si>
  <si>
    <t>1353 - Job: 1353 - CS Structure Procurement-DAHLGREN</t>
  </si>
  <si>
    <t>1354 - Job: 1354 - Trim Coil Design &amp;Procurement-KALISH</t>
  </si>
  <si>
    <t>1355 - Job: 1355 - WBS 13 I&amp;C Proc and Coil Assy-KALISH</t>
  </si>
  <si>
    <t>1361 - Job: 1361 - TF Fabrication-KALISH</t>
  </si>
  <si>
    <t>1404 - Job: 1404 - MCWF R&amp;D 1st Prod Casting**CLOSED**</t>
  </si>
  <si>
    <t>1408 - Job: 1408 - MC Winding Supplies-CHRZANOWSKI</t>
  </si>
  <si>
    <t>1411 - Job: 1411 - MCWF Fabr. S005242-HEITZENROEDER</t>
  </si>
  <si>
    <t>1416 - Job: 1416 - Mod Coil Type AB Fnl Dsn-WILLIAMSON</t>
  </si>
  <si>
    <t>1421 - Job: 1421 - Mod Coil Interface Design-WILLIAMSON</t>
  </si>
  <si>
    <t>142A - Outboard Interface</t>
  </si>
  <si>
    <t>142B - Outboard Interface-Bolted Joint Tests-Tension</t>
  </si>
  <si>
    <t>142C - Outboard Interface-Bolted Joint Tests-Shear</t>
  </si>
  <si>
    <t>142D - Outboard Interface-Friction</t>
  </si>
  <si>
    <t>142E - Inboard Interface-Design</t>
  </si>
  <si>
    <t>142F - Inboard Interface-AB/BC/AA</t>
  </si>
  <si>
    <t>142G - Inboard Interface-CC</t>
  </si>
  <si>
    <t>142J - Overall MC Interface</t>
  </si>
  <si>
    <t>1431 - Job: 1431 - Mod. Coil Interface Hardware-DUDEK</t>
  </si>
  <si>
    <t>1451 - Job: 1451 - Mod Coil Winding-CHRZANOWSKI</t>
  </si>
  <si>
    <t>1459 - Job: 1459 - Mod Coil Fabr.Punch List-CHRZANOWSKI</t>
  </si>
  <si>
    <t>1501 - Job: 1501 - Coil Structures  Design-DAHLGREN</t>
  </si>
  <si>
    <t>1550 - Job: 1550 - Coil Struct. Procurement -DAHLGREN</t>
  </si>
  <si>
    <t>1601 - Job: 1601 - Coil Services  Design-GORANSON</t>
  </si>
  <si>
    <t>1701 - Job: 1701 - Cryostat Design-GETTLEFINGER</t>
  </si>
  <si>
    <t>1702 - Job: 1702 - Base Support Struct Design-DAHLGREN</t>
  </si>
  <si>
    <t>1751 - Job: 1751 - Cryostat Procurement-GETTLEFINGER</t>
  </si>
  <si>
    <t>1752 - Job: 1752 - Base Support Proc-DAHLGREN</t>
  </si>
  <si>
    <t>1802 - Job: 1802 - FP Assy Oversight&amp;Support-VIOLA</t>
  </si>
  <si>
    <t>1803 - Job: 1803/1805- FPA Tooling/Constr-BROWN/DUDEK</t>
  </si>
  <si>
    <t>1806 - Job: 1806 - FP Assembly specs and drawings-COLE</t>
  </si>
  <si>
    <t>1810 - Job:1810-Field Period Assy -Station 1 2 3  VIOLA</t>
  </si>
  <si>
    <t>S2PX - Setup</t>
  </si>
  <si>
    <t>S2PM - Pre-Measuring and fitup checks</t>
  </si>
  <si>
    <t>S2P1 - Station 2-MC Sub Assy A1-B1-C1</t>
  </si>
  <si>
    <t>S2PZ - Station 2 MC Sub Assy A2-B2-C2</t>
  </si>
  <si>
    <t>S3P0 - Station 3 Setup/Preparations/General</t>
  </si>
  <si>
    <t>1815 - Job: 1815 - Field Period Assy -Station  5-VIOLA</t>
  </si>
  <si>
    <t>S4P0 - Setup/Preparations/General</t>
  </si>
  <si>
    <t>1901 - Job: 1901 - Stellarator Core Mngtt&amp;Integr-COLE</t>
  </si>
  <si>
    <t>191  - 191 - Stellarator Core Management &amp; Oversight</t>
  </si>
  <si>
    <t>192  - 192 - Stellarator Core Integration &amp; Analysis</t>
  </si>
  <si>
    <t>2101 - Job: 2101 - Fueling Systems-BLANCHARD</t>
  </si>
  <si>
    <t>2201 - Job: 2201 - Vacuum Pumping Systems-BLANCHARD</t>
  </si>
  <si>
    <t>3101 - Job: 3101 - Magnetic Diagnostics-STRATTON</t>
  </si>
  <si>
    <t>VLPB - Voltage Loops &amp; Protective Boxes</t>
  </si>
  <si>
    <t>3601 - Job: 3601 - Edge Divertor Diagnostics-STRATTON</t>
  </si>
  <si>
    <t>3801 - Job: 3801 - Electron Beam Mapping-STRATTON</t>
  </si>
  <si>
    <t>3901 - Job: 3901 - Diagnostics sys Integration-STRATTON</t>
  </si>
  <si>
    <t>4101 - Job: 4101 - AC Power-RAMAKRISHNAN</t>
  </si>
  <si>
    <t>4301 - Job: 4301 - DC Systems-RAMAKRISHNAN</t>
  </si>
  <si>
    <t>4401 - Job: 4401 - Control &amp; Protection-RAMAKRISHNAN</t>
  </si>
  <si>
    <t>4501 - Job: 4501 - Power Sys Dsn &amp; Integr-RAMAKRISHNAN</t>
  </si>
  <si>
    <t>5101 - Job: 5101 - Network and Fiber Infrastruct-SICHTA</t>
  </si>
  <si>
    <t>5201 - Job: 5201 - I&amp;C Systems-SICHTA</t>
  </si>
  <si>
    <t>5301 - Job: 5301 - Data Acquisition-SICHTA</t>
  </si>
  <si>
    <t>5401 - Job: 5401 - Facility Timing &amp; Synchron.-SICHTA</t>
  </si>
  <si>
    <t>5501 - Job: 5501 - Real Time Control System-SICHTA</t>
  </si>
  <si>
    <t>5601 - Job: 5601 - Central Safety &amp;Interlock Sys-SICHTA</t>
  </si>
  <si>
    <t>5801 - Job: 5801 - Central I&amp;C Integr&amp; Oversight-SICHTA</t>
  </si>
  <si>
    <t>6101 - Job: 6101 - Water Systems-DUDEK</t>
  </si>
  <si>
    <t>6301 - Job: 6301 - Utility Systems-DUDEK</t>
  </si>
  <si>
    <t>7301 - Job: 7301 - Platform Design &amp; Fab-PERRY</t>
  </si>
  <si>
    <t>7401 - Job: 7401 - TC Prep &amp; Mach Assy Planning-PERRY</t>
  </si>
  <si>
    <t>7501 - Job: 7501 - Construction Support Crew-PERRY</t>
  </si>
  <si>
    <t>7503 - Job: 7503 - Machine Assembly (station 6)-PERRY</t>
  </si>
  <si>
    <t>7601 - Job: 7601 - Tooling Design &amp; Fabrication-PERRY</t>
  </si>
  <si>
    <t>8101 - Job: 8101 - Project Management &amp; Control-NEILSON</t>
  </si>
  <si>
    <t>8102 - Job: 8102 - NCSX MIE Management ORNL-LYON</t>
  </si>
  <si>
    <t>8202 - Job: 8202 - Engr Mgmt &amp; Sys Eng Support-REIERSEN</t>
  </si>
  <si>
    <t>8203 - Job: 8203 - Design Integration-BROWN</t>
  </si>
  <si>
    <t>8204 - Job: 8204 - Systems Analysis-BROOKS</t>
  </si>
  <si>
    <t>8210 - Job: 8210 - FY07 Rebaseling tasks</t>
  </si>
  <si>
    <t>8215 - Job: 8215 Plant Design</t>
  </si>
  <si>
    <t>8501 - Job: 8501 - Integrated Systems Testing-GENTILE</t>
  </si>
  <si>
    <t>8998 - Job: 8998 - Allocations-STRYKOWSKY</t>
  </si>
  <si>
    <t>ETC=</t>
  </si>
  <si>
    <t>Cost thru 4/30/07=</t>
  </si>
  <si>
    <t>EAC=</t>
  </si>
  <si>
    <t>FROZEN</t>
  </si>
  <si>
    <t xml:space="preserve">Lookup </t>
  </si>
  <si>
    <t>Estimate Uncertainty Range</t>
  </si>
  <si>
    <t>Percent ETC by Year</t>
  </si>
  <si>
    <t>NCSX Schedule Uncertainty Model</t>
  </si>
  <si>
    <t>Duration Range</t>
  </si>
  <si>
    <t>Schedule Activity</t>
  </si>
  <si>
    <t>CP and Near CP Activities</t>
  </si>
  <si>
    <t>Job 1421 - Modular Coil Interface Design</t>
  </si>
  <si>
    <t>Job 8501 - Integrated System Testing</t>
  </si>
  <si>
    <t>Estimated Cost per month for Schedule Stretch</t>
  </si>
  <si>
    <t>thousand</t>
  </si>
  <si>
    <r>
      <t xml:space="preserve">Estimate </t>
    </r>
    <r>
      <rPr>
        <b/>
        <u val="single"/>
        <sz val="10"/>
        <rFont val="Arial"/>
        <family val="2"/>
      </rPr>
      <t>Uncertainty</t>
    </r>
  </si>
  <si>
    <r>
      <t xml:space="preserve">Adjusted </t>
    </r>
    <r>
      <rPr>
        <b/>
        <u val="single"/>
        <sz val="10"/>
        <rFont val="Arial"/>
        <family val="2"/>
      </rPr>
      <t>High</t>
    </r>
  </si>
  <si>
    <r>
      <t xml:space="preserve">Schedule </t>
    </r>
    <r>
      <rPr>
        <b/>
        <u val="single"/>
        <sz val="10"/>
        <rFont val="Arial"/>
        <family val="2"/>
      </rPr>
      <t>Duration</t>
    </r>
  </si>
  <si>
    <t>Standing army calculation</t>
  </si>
  <si>
    <t>WBS</t>
  </si>
  <si>
    <t>JOB</t>
  </si>
  <si>
    <t>Description</t>
  </si>
  <si>
    <t>Cost/yr</t>
  </si>
  <si>
    <t>Cost/mo.</t>
  </si>
  <si>
    <t>Stellarator core management</t>
  </si>
  <si>
    <t>PPPL Management</t>
  </si>
  <si>
    <t>ORNL Management</t>
  </si>
  <si>
    <t>Engineering mgt</t>
  </si>
  <si>
    <t>Design Integration</t>
  </si>
  <si>
    <t>Systems Analysis</t>
  </si>
  <si>
    <t>Dimensional control</t>
  </si>
  <si>
    <t>Plant Design</t>
  </si>
  <si>
    <t>Allocations</t>
  </si>
  <si>
    <t>Second Shift oversight,support, cost dif</t>
  </si>
  <si>
    <t>Crane support, fixture setup, misc support</t>
  </si>
  <si>
    <t>1.2 fte</t>
  </si>
  <si>
    <t>Field Supervision</t>
  </si>
  <si>
    <t>1.0 fte</t>
  </si>
  <si>
    <t>Metrology crews (task dependent)</t>
  </si>
  <si>
    <t>n/a</t>
  </si>
  <si>
    <t>Metrology engineer</t>
  </si>
  <si>
    <t>.5 fte</t>
  </si>
  <si>
    <t>Shift differntial (@ 5fte crew size)</t>
  </si>
  <si>
    <t>Schedule Mitigation Cost Adder</t>
  </si>
  <si>
    <t>Total Schedule Duration</t>
  </si>
  <si>
    <t>Percentiles</t>
  </si>
  <si>
    <t>0%</t>
  </si>
  <si>
    <t>5%</t>
  </si>
  <si>
    <t>10%</t>
  </si>
  <si>
    <t>15%</t>
  </si>
  <si>
    <t>20%</t>
  </si>
  <si>
    <t>25%</t>
  </si>
  <si>
    <t>30%</t>
  </si>
  <si>
    <t>35%</t>
  </si>
  <si>
    <t>40%</t>
  </si>
  <si>
    <t>45%</t>
  </si>
  <si>
    <t>50%</t>
  </si>
  <si>
    <t>55%</t>
  </si>
  <si>
    <t>60%</t>
  </si>
  <si>
    <t>65%</t>
  </si>
  <si>
    <t>70%</t>
  </si>
  <si>
    <t>75%</t>
  </si>
  <si>
    <t>80%</t>
  </si>
  <si>
    <t>85%</t>
  </si>
  <si>
    <t>90%</t>
  </si>
  <si>
    <t>95%</t>
  </si>
  <si>
    <t>100%</t>
  </si>
  <si>
    <t>Base ETC</t>
  </si>
  <si>
    <t>Base Schedule</t>
  </si>
  <si>
    <t>Cost of Schedule Risk Mitigation</t>
  </si>
  <si>
    <t>months</t>
  </si>
  <si>
    <t>Major Contributors to Uncertainty Contingency</t>
  </si>
  <si>
    <t>%</t>
  </si>
  <si>
    <t>Spread of Dollars by Year</t>
  </si>
  <si>
    <t>Weighted Contingency Spread by Year</t>
  </si>
  <si>
    <t>All Other</t>
  </si>
  <si>
    <t>Assume spread equally with none in 2007 and extra in 2011</t>
  </si>
  <si>
    <t>Total Uncertainty Contingency Spead</t>
  </si>
  <si>
    <t>Risk Contingency Spread</t>
  </si>
  <si>
    <t>Primary contributor is Labor Rate risk, so spread as constant % of base costs</t>
  </si>
  <si>
    <t>Uncertainty Contingency</t>
  </si>
  <si>
    <t>Risk Contingency</t>
  </si>
  <si>
    <t>Schedule Contingency all in 2011</t>
  </si>
  <si>
    <t>Total Contingency by Year</t>
  </si>
  <si>
    <t>Contingency Spread by Year</t>
  </si>
  <si>
    <t>Summary of Risk/Contingency Analysis Results</t>
  </si>
  <si>
    <t>NCSX Risk Register</t>
  </si>
  <si>
    <t>Cost Impact ($k)</t>
  </si>
  <si>
    <t>Schedule Impact (mos)</t>
  </si>
  <si>
    <t>No.</t>
  </si>
  <si>
    <t>Risk Description</t>
  </si>
  <si>
    <t>Mitigation Plan</t>
  </si>
  <si>
    <t>Consequences</t>
  </si>
  <si>
    <t>Risk Class</t>
  </si>
  <si>
    <t>Basis of Estimate</t>
  </si>
  <si>
    <t>Low CI</t>
  </si>
  <si>
    <t>High CI</t>
  </si>
  <si>
    <t>Low SI</t>
  </si>
  <si>
    <t>High SI</t>
  </si>
  <si>
    <t>Cost Pr</t>
  </si>
  <si>
    <t>Sched Pr</t>
  </si>
  <si>
    <t>Pr of Occurrence</t>
  </si>
  <si>
    <t>Cost Impact</t>
  </si>
  <si>
    <t>Schedule Impact</t>
  </si>
  <si>
    <t>1354
7503</t>
  </si>
  <si>
    <t>Additional trim coils may be required to suppress field errors from n&gt;1 modes</t>
  </si>
  <si>
    <t>Analysis being performed to firm up requirements</t>
  </si>
  <si>
    <t>U</t>
  </si>
  <si>
    <t>Marginal</t>
  </si>
  <si>
    <t>Costs could more than double the present estimate</t>
  </si>
  <si>
    <t>1361</t>
  </si>
  <si>
    <t>TF vendor produces a non-compliant coil requiring fabrication of an additional coil</t>
  </si>
  <si>
    <t>Conductor for extra coil already procured.  Ample float in schedule to avoid critical path impact.</t>
  </si>
  <si>
    <t>VU</t>
  </si>
  <si>
    <t>Negligible</t>
  </si>
  <si>
    <t>Increase PPPL Title III by ~1 man-month</t>
  </si>
  <si>
    <t>1352</t>
  </si>
  <si>
    <t>PF vendor produces a non-compliant coil requiring fabrication of an additional coil</t>
  </si>
  <si>
    <t>Conductor for extra coil will be procured in advance and available to wind a new coil if required.  Float in schedule appears adequate to avoid critical path impact.</t>
  </si>
  <si>
    <t>1421</t>
  </si>
  <si>
    <t>Modular coil interface design needs to change significantly from the baseline for unforeseen technical reasons</t>
  </si>
  <si>
    <t>Task forces formed to expedite resolution of feasibility issues.  Development activities are underway.</t>
  </si>
  <si>
    <t>Critical</t>
  </si>
  <si>
    <t>Moderate</t>
  </si>
  <si>
    <t xml:space="preserve">Design of the MC interface is on the critical path. Potential impacts include [1] additional design and development (4 engineers for 1-2 months) plus $100K M&amp;S and [2] a change in the cost of field period and final assembly to a change in the design (+/- </t>
  </si>
  <si>
    <t>As a result of the development trials for weld distortion, the welding time increases significantly above present allowance</t>
  </si>
  <si>
    <t>Welding time estimates consistent with time requirements for first R&amp;D article which appeared to have very low distortion.  Risk goes away at conclusion of ongoing weld R&amp;D.</t>
  </si>
  <si>
    <t>Significant</t>
  </si>
  <si>
    <t>Nominal welding time may double.  Estimate based on $300K/mo for FPA activities.</t>
  </si>
  <si>
    <t>1451</t>
  </si>
  <si>
    <t>Damage or loss of modular coil during VPI or testing requiring the conductor to be stripped off and re-wound</t>
  </si>
  <si>
    <t>Continue to use same rigorous process used for first 12 coils during which there were no fabrication mihaps requiring re-winding a coil</t>
  </si>
  <si>
    <t>~$35K in materials; ~$380K in labor.  7.5 months to do work with the potential for a 2 month impact on the critical path.</t>
  </si>
  <si>
    <t>Failure of major piece of winding equipment (e.g., motor, gear box, etc.) resulting in extended downtime in a winding station</t>
  </si>
  <si>
    <t>Use three remaining winding stations to continue MC fabrication while fourth station is being repaired</t>
  </si>
  <si>
    <t>~$10K for equipment plus repair costs</t>
  </si>
  <si>
    <t>1810
7503</t>
  </si>
  <si>
    <t>"Back office" support for FPA and final assembly becomes a chronic bottleneck, stretching out the time required to complete assembly operations</t>
  </si>
  <si>
    <t>Additional support budgeted for Brown, Brooks, and Ellis providing "2 deep" back office support.  Should be available to mitigate peak demands once training in key skills is completed.</t>
  </si>
  <si>
    <t>Estimated impact is &lt;2 months on the critical path.  Cost impact covers up to 2 months of FPA/final assembly.</t>
  </si>
  <si>
    <t>1810</t>
  </si>
  <si>
    <t>Modular coil damaged during assembly requiring significant rework to coil</t>
  </si>
  <si>
    <t>Equipment will be handled during FPA using carefully constructed procedures to minimize likelihood</t>
  </si>
  <si>
    <t>Nominally repaired with a 2-man crew within 2 weeks</t>
  </si>
  <si>
    <t>VV surface component (coolant tube, flux loop, or TC) damaged during FPA requiring significant rework</t>
  </si>
  <si>
    <t>Unacceptable distortion in a field period when welding modular coil shims requiring</t>
  </si>
  <si>
    <t>Total Uncertainty Contingency - 90% Confidence</t>
  </si>
  <si>
    <t>SHMS - Shims-Outboard</t>
  </si>
  <si>
    <t>SHMT - Shims-Inboard</t>
  </si>
  <si>
    <t>SHMU - Shims- C-C Joint</t>
  </si>
  <si>
    <t>S0P0 - General Assy Support</t>
  </si>
  <si>
    <t>Jobs 1806/1802-Field Period Assy station 2 specs, dwgs,procedures,training,prep.</t>
  </si>
  <si>
    <t>Job -1810 Field Period Assembly Stations 1,2,3</t>
  </si>
  <si>
    <t>Station 2 MC Sub-assy A1/B1/C1 and A2/B2/C2 (in parallel)</t>
  </si>
  <si>
    <t>Station 3 Assemble Mod Coils and VVSA FP#1</t>
  </si>
  <si>
    <t>Job - 1815 Field Period Assembly Station 5</t>
  </si>
  <si>
    <t>Station 5 Final Assembly FP#3</t>
  </si>
  <si>
    <t>Job 7503 Final Machine Assembly (Station 6)</t>
  </si>
  <si>
    <r>
      <t>Base Duration (mos) on Critical</t>
    </r>
    <r>
      <rPr>
        <b/>
        <u val="single"/>
        <sz val="10"/>
        <rFont val="Arial"/>
        <family val="2"/>
      </rPr>
      <t xml:space="preserve"> Path</t>
    </r>
  </si>
  <si>
    <r>
      <t xml:space="preserve">Mitigation </t>
    </r>
    <r>
      <rPr>
        <b/>
        <u val="single"/>
        <sz val="10"/>
        <rFont val="Arial"/>
        <family val="2"/>
      </rPr>
      <t>Cost Adder</t>
    </r>
  </si>
  <si>
    <r>
      <t xml:space="preserve">Schedule </t>
    </r>
    <r>
      <rPr>
        <b/>
        <u val="single"/>
        <sz val="10"/>
        <rFont val="Arial"/>
        <family val="2"/>
      </rPr>
      <t>Calc</t>
    </r>
  </si>
  <si>
    <t>Total ETC With Uncertainty Contingency</t>
  </si>
  <si>
    <t>ETC with Contingency (@90%)</t>
  </si>
  <si>
    <t>Total Schedule Contingency (90%)</t>
  </si>
  <si>
    <t>Total Cost Contingency (90%)</t>
  </si>
  <si>
    <t>* 7503 - Job: 7503 - Machine Assembly (station 6)-PERRY</t>
  </si>
  <si>
    <t>* S4P1 - Station 5- Final FP Assy -FP#1 (in NCSX TC)</t>
  </si>
  <si>
    <t>Cost of Schedule Uncertainty Contingency</t>
  </si>
  <si>
    <t>Risk Cost Contingency (from Risk Model) at 90%</t>
  </si>
  <si>
    <t>Risk Schedule Contingency (cost of stretch) - 90%</t>
  </si>
  <si>
    <t>Total Risk Contingency - 90% Confidence</t>
  </si>
  <si>
    <t>updated</t>
  </si>
  <si>
    <t>142H - Weld Access test</t>
  </si>
  <si>
    <t>1429 - Job: 1429 - MC Interface R&amp;D-GETTELFINGER</t>
  </si>
  <si>
    <t>TECH - Misc Tech Shop Support</t>
  </si>
  <si>
    <t>6201 - Job: 6201 - Cryogenic Syst-GETTELFINGER</t>
  </si>
  <si>
    <t>6401 - Job: 6401 - PFC/VV Htng/Cooling(bakeout)- KALISH</t>
  </si>
  <si>
    <t>8205 - Job: 8205 - Dimensional Control Coordin-ELLIS</t>
  </si>
  <si>
    <t>relative contingency mapping</t>
  </si>
  <si>
    <t>relative cont %</t>
  </si>
  <si>
    <t>ETC TOTAL</t>
  </si>
  <si>
    <t>"High" cont increment (High -ETC)</t>
  </si>
  <si>
    <t>total contingency  derived from the monteo carlo analysis plus our increment=</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</si>
</sst>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quot;$&quot;#,##0.00"/>
    <numFmt numFmtId="170" formatCode="&quot;$&quot;#,##0.0"/>
    <numFmt numFmtId="171" formatCode="[$-409]dddd\,\ mmmm\ dd\,\ yyyy"/>
    <numFmt numFmtId="172" formatCode="mm/dd/yy;@"/>
    <numFmt numFmtId="173" formatCode="0.0000000"/>
    <numFmt numFmtId="174" formatCode="0.000000"/>
    <numFmt numFmtId="175" formatCode="0.00000"/>
    <numFmt numFmtId="176" formatCode="0.0000"/>
    <numFmt numFmtId="177" formatCode="0.000"/>
    <numFmt numFmtId="178" formatCode="0.0"/>
    <numFmt numFmtId="179" formatCode="0.00_);[Red]\(0.00\)"/>
    <numFmt numFmtId="180" formatCode="&quot;$&quot;#,##0.0_);[Red]\(&quot;$&quot;#,##0.0\)"/>
    <numFmt numFmtId="181" formatCode="[Blue]\+\ \$#,##0_);[Red]\(&quot;$&quot;#,##0\)"/>
    <numFmt numFmtId="182" formatCode="[Blue]\+\ 0.00_);[Red]\(0.00\)"/>
    <numFmt numFmtId="183" formatCode="#,##0.000"/>
    <numFmt numFmtId="184" formatCode="&quot;$&quot;#,##0.000"/>
    <numFmt numFmtId="185" formatCode="&quot;$&quot;#,##0\ ;\(&quot;$&quot;#,##0\)"/>
    <numFmt numFmtId="186" formatCode="#,##0.0000"/>
    <numFmt numFmtId="187" formatCode="#,##0.00000"/>
    <numFmt numFmtId="188" formatCode="#,##0.000000"/>
    <numFmt numFmtId="189" formatCode="#,##0.0000000"/>
    <numFmt numFmtId="190" formatCode="m/d/yy\ h:mm"/>
    <numFmt numFmtId="191" formatCode="0.0###############"/>
    <numFmt numFmtId="192" formatCode="\-\+\ 0.00\ ;\(0.00\)"/>
    <numFmt numFmtId="193" formatCode="_(* #,##0_);_(* \(#,##0\);_(* &quot;-&quot;??_);_(@_)"/>
    <numFmt numFmtId="194" formatCode="_(* #,##0.0_);_(* \(#,##0.0\);_(* &quot;-&quot;??_);_(@_)"/>
  </numFmts>
  <fonts count="29">
    <font>
      <sz val="10"/>
      <name val="Arial"/>
      <family val="0"/>
    </font>
    <font>
      <sz val="12"/>
      <name val="Arial"/>
      <family val="0"/>
    </font>
    <font>
      <b/>
      <sz val="12"/>
      <name val="Arial"/>
      <family val="0"/>
    </font>
    <font>
      <sz val="8"/>
      <name val="Arial"/>
      <family val="0"/>
    </font>
    <font>
      <b/>
      <u val="single"/>
      <sz val="12"/>
      <name val="Arial"/>
      <family val="2"/>
    </font>
    <font>
      <sz val="10"/>
      <name val="Tahoma"/>
      <family val="0"/>
    </font>
    <font>
      <b/>
      <sz val="10"/>
      <name val="Tahoma"/>
      <family val="0"/>
    </font>
    <font>
      <u val="single"/>
      <sz val="12"/>
      <name val="Arial"/>
      <family val="0"/>
    </font>
    <font>
      <i/>
      <sz val="12"/>
      <name val="Arial"/>
      <family val="2"/>
    </font>
    <font>
      <i/>
      <sz val="10"/>
      <name val="Arial"/>
      <family val="2"/>
    </font>
    <font>
      <u val="single"/>
      <sz val="10"/>
      <color indexed="36"/>
      <name val="Arial"/>
      <family val="0"/>
    </font>
    <font>
      <u val="single"/>
      <sz val="10"/>
      <color indexed="12"/>
      <name val="Arial"/>
      <family val="0"/>
    </font>
    <font>
      <b/>
      <sz val="14"/>
      <name val="Arial"/>
      <family val="2"/>
    </font>
    <font>
      <b/>
      <sz val="10"/>
      <name val="Arial"/>
      <family val="2"/>
    </font>
    <font>
      <b/>
      <u val="single"/>
      <sz val="10"/>
      <name val="Arial"/>
      <family val="2"/>
    </font>
    <font>
      <u val="single"/>
      <sz val="10"/>
      <name val="Arial"/>
      <family val="0"/>
    </font>
    <font>
      <b/>
      <i/>
      <sz val="10"/>
      <name val="Arial"/>
      <family val="2"/>
    </font>
    <font>
      <b/>
      <vertAlign val="superscript"/>
      <sz val="12"/>
      <name val="Arial"/>
      <family val="2"/>
    </font>
    <font>
      <sz val="12"/>
      <color indexed="10"/>
      <name val="Arial"/>
      <family val="2"/>
    </font>
    <font>
      <vertAlign val="superscript"/>
      <sz val="12"/>
      <name val="Arial"/>
      <family val="2"/>
    </font>
    <font>
      <sz val="12"/>
      <color indexed="8"/>
      <name val="Arial"/>
      <family val="0"/>
    </font>
    <font>
      <sz val="10"/>
      <color indexed="8"/>
      <name val="Arial"/>
      <family val="0"/>
    </font>
    <font>
      <b/>
      <i/>
      <sz val="12"/>
      <name val="Arial"/>
      <family val="2"/>
    </font>
    <font>
      <b/>
      <i/>
      <sz val="14"/>
      <name val="Arial"/>
      <family val="2"/>
    </font>
    <font>
      <b/>
      <sz val="16"/>
      <name val="Arial"/>
      <family val="2"/>
    </font>
    <font>
      <b/>
      <u val="single"/>
      <sz val="14"/>
      <name val="Arial"/>
      <family val="2"/>
    </font>
    <font>
      <i/>
      <sz val="14"/>
      <name val="Arial"/>
      <family val="2"/>
    </font>
    <font>
      <sz val="14"/>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7"/>
        <bgColor indexed="64"/>
      </patternFill>
    </fill>
    <fill>
      <patternFill patternType="solid">
        <fgColor indexed="63"/>
        <bgColor indexed="64"/>
      </patternFill>
    </fill>
    <fill>
      <patternFill patternType="solid">
        <fgColor indexed="41"/>
        <bgColor indexed="64"/>
      </patternFill>
    </fill>
  </fills>
  <borders count="19">
    <border>
      <left/>
      <right/>
      <top/>
      <bottom/>
      <diagonal/>
    </border>
    <border>
      <left>
        <color indexed="63"/>
      </left>
      <right>
        <color indexed="63"/>
      </right>
      <top>
        <color indexed="63"/>
      </top>
      <bottom style="thin"/>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10">
    <xf numFmtId="0" fontId="0" fillId="0" borderId="0" xfId="0" applyAlignment="1">
      <alignment/>
    </xf>
    <xf numFmtId="0" fontId="1" fillId="0" borderId="0" xfId="0" applyFont="1" applyFill="1" applyAlignment="1">
      <alignment horizontal="center"/>
    </xf>
    <xf numFmtId="168" fontId="0" fillId="0" borderId="0" xfId="0" applyNumberFormat="1" applyAlignment="1">
      <alignment horizontal="right"/>
    </xf>
    <xf numFmtId="0" fontId="0" fillId="0" borderId="0" xfId="0" applyAlignment="1">
      <alignment horizontal="right"/>
    </xf>
    <xf numFmtId="9" fontId="0" fillId="0" borderId="0" xfId="21" applyAlignment="1">
      <alignment horizontal="right"/>
    </xf>
    <xf numFmtId="172" fontId="0" fillId="0" borderId="0" xfId="0" applyNumberFormat="1" applyAlignment="1">
      <alignment horizontal="right"/>
    </xf>
    <xf numFmtId="0" fontId="4" fillId="0" borderId="0" xfId="0" applyFont="1" applyFill="1" applyAlignment="1">
      <alignment horizontal="center"/>
    </xf>
    <xf numFmtId="0" fontId="0" fillId="0" borderId="0" xfId="0" applyFill="1" applyAlignment="1">
      <alignment/>
    </xf>
    <xf numFmtId="0" fontId="9" fillId="0" borderId="0" xfId="0" applyFont="1" applyFill="1" applyAlignment="1">
      <alignment horizontal="right"/>
    </xf>
    <xf numFmtId="9" fontId="0" fillId="0" borderId="0" xfId="21" applyAlignment="1">
      <alignment/>
    </xf>
    <xf numFmtId="9" fontId="0" fillId="0" borderId="0" xfId="0" applyNumberFormat="1" applyAlignment="1">
      <alignment/>
    </xf>
    <xf numFmtId="3" fontId="1" fillId="0" borderId="0" xfId="0" applyNumberFormat="1" applyFont="1" applyFill="1" applyAlignment="1">
      <alignment horizontal="right"/>
    </xf>
    <xf numFmtId="0" fontId="0" fillId="0" borderId="0" xfId="0" applyAlignment="1">
      <alignment horizontal="center"/>
    </xf>
    <xf numFmtId="0" fontId="13" fillId="0" borderId="0" xfId="0" applyFont="1" applyAlignment="1">
      <alignment/>
    </xf>
    <xf numFmtId="0" fontId="13" fillId="0" borderId="0" xfId="0" applyFont="1" applyAlignment="1">
      <alignment horizontal="center"/>
    </xf>
    <xf numFmtId="0" fontId="14" fillId="0" borderId="0" xfId="0" applyFont="1" applyAlignment="1">
      <alignment/>
    </xf>
    <xf numFmtId="2" fontId="0" fillId="0" borderId="0" xfId="0" applyNumberFormat="1" applyAlignment="1">
      <alignment/>
    </xf>
    <xf numFmtId="0" fontId="0" fillId="0" borderId="0" xfId="0" applyAlignment="1">
      <alignment/>
    </xf>
    <xf numFmtId="0" fontId="0" fillId="0" borderId="0" xfId="0" applyAlignment="1">
      <alignment horizontal="left"/>
    </xf>
    <xf numFmtId="3" fontId="0" fillId="0" borderId="0" xfId="0" applyNumberFormat="1" applyAlignment="1">
      <alignment horizontal="right"/>
    </xf>
    <xf numFmtId="4" fontId="0" fillId="0" borderId="0" xfId="0" applyNumberFormat="1" applyAlignment="1">
      <alignment horizontal="right"/>
    </xf>
    <xf numFmtId="0" fontId="13" fillId="0" borderId="1" xfId="0" applyFont="1" applyBorder="1" applyAlignment="1">
      <alignment horizontal="center"/>
    </xf>
    <xf numFmtId="0" fontId="0" fillId="2" borderId="0" xfId="0" applyFill="1" applyAlignment="1">
      <alignment horizontal="left"/>
    </xf>
    <xf numFmtId="3" fontId="0" fillId="0" borderId="0" xfId="0" applyNumberFormat="1" applyAlignment="1">
      <alignment/>
    </xf>
    <xf numFmtId="4" fontId="0" fillId="0" borderId="0" xfId="0" applyNumberFormat="1" applyAlignment="1">
      <alignment/>
    </xf>
    <xf numFmtId="0" fontId="13" fillId="0" borderId="0" xfId="0" applyFont="1" applyAlignment="1">
      <alignment horizontal="left"/>
    </xf>
    <xf numFmtId="3" fontId="0" fillId="2" borderId="0" xfId="0" applyNumberFormat="1" applyFill="1" applyAlignment="1">
      <alignment horizontal="right"/>
    </xf>
    <xf numFmtId="4" fontId="0" fillId="2" borderId="0" xfId="0" applyNumberFormat="1" applyFill="1" applyAlignment="1">
      <alignment horizontal="right"/>
    </xf>
    <xf numFmtId="3" fontId="13" fillId="0" borderId="0" xfId="0" applyNumberFormat="1" applyFont="1" applyAlignment="1">
      <alignment/>
    </xf>
    <xf numFmtId="4" fontId="13" fillId="0" borderId="0" xfId="0" applyNumberFormat="1" applyFont="1" applyAlignment="1">
      <alignment/>
    </xf>
    <xf numFmtId="0" fontId="16" fillId="0" borderId="0" xfId="0" applyFont="1" applyAlignment="1">
      <alignment/>
    </xf>
    <xf numFmtId="9" fontId="0" fillId="0" borderId="0" xfId="21" applyAlignment="1">
      <alignment horizontal="center"/>
    </xf>
    <xf numFmtId="9" fontId="13" fillId="0" borderId="0" xfId="21" applyFont="1" applyAlignment="1">
      <alignment horizontal="center"/>
    </xf>
    <xf numFmtId="0" fontId="0" fillId="0" borderId="0" xfId="0" applyFill="1" applyAlignment="1">
      <alignment horizontal="left"/>
    </xf>
    <xf numFmtId="0" fontId="20" fillId="0" borderId="0" xfId="0" applyFont="1" applyFill="1" applyAlignment="1">
      <alignment horizontal="center"/>
    </xf>
    <xf numFmtId="0" fontId="9" fillId="0" borderId="0" xfId="0" applyFont="1" applyAlignment="1">
      <alignment horizontal="right"/>
    </xf>
    <xf numFmtId="0" fontId="21" fillId="0" borderId="0" xfId="0" applyFont="1" applyFill="1" applyAlignment="1">
      <alignment horizontal="center"/>
    </xf>
    <xf numFmtId="9" fontId="1" fillId="0" borderId="0" xfId="21" applyFont="1" applyAlignment="1">
      <alignment horizontal="right"/>
    </xf>
    <xf numFmtId="3" fontId="16" fillId="0" borderId="0" xfId="0" applyNumberFormat="1" applyFont="1" applyAlignment="1">
      <alignment/>
    </xf>
    <xf numFmtId="2" fontId="13" fillId="0" borderId="0" xfId="0" applyNumberFormat="1" applyFont="1" applyAlignment="1">
      <alignment/>
    </xf>
    <xf numFmtId="0" fontId="0" fillId="3" borderId="0" xfId="0" applyFill="1" applyAlignment="1">
      <alignment/>
    </xf>
    <xf numFmtId="0" fontId="4" fillId="3" borderId="0" xfId="0" applyFont="1" applyFill="1" applyAlignment="1">
      <alignment horizontal="center"/>
    </xf>
    <xf numFmtId="193" fontId="0" fillId="3" borderId="0" xfId="15" applyNumberFormat="1" applyFill="1" applyAlignment="1">
      <alignment/>
    </xf>
    <xf numFmtId="0" fontId="9" fillId="3" borderId="0" xfId="0" applyFont="1" applyFill="1" applyAlignment="1">
      <alignment horizontal="right"/>
    </xf>
    <xf numFmtId="193" fontId="0" fillId="3" borderId="0" xfId="0" applyNumberFormat="1" applyFill="1" applyAlignment="1">
      <alignment/>
    </xf>
    <xf numFmtId="193" fontId="9" fillId="3" borderId="0" xfId="0" applyNumberFormat="1" applyFont="1" applyFill="1" applyAlignment="1">
      <alignment horizontal="right"/>
    </xf>
    <xf numFmtId="168" fontId="0" fillId="3" borderId="0" xfId="0" applyNumberFormat="1" applyFill="1" applyAlignment="1">
      <alignment horizontal="right"/>
    </xf>
    <xf numFmtId="3" fontId="22" fillId="3" borderId="0" xfId="0" applyNumberFormat="1" applyFont="1" applyFill="1" applyAlignment="1">
      <alignment horizontal="right"/>
    </xf>
    <xf numFmtId="193" fontId="0" fillId="0" borderId="0" xfId="0" applyNumberFormat="1" applyAlignment="1">
      <alignment/>
    </xf>
    <xf numFmtId="0" fontId="13" fillId="4" borderId="0" xfId="0" applyFont="1" applyFill="1" applyAlignment="1">
      <alignment/>
    </xf>
    <xf numFmtId="0" fontId="13" fillId="4" borderId="0" xfId="0" applyFont="1" applyFill="1" applyAlignment="1">
      <alignment horizontal="center"/>
    </xf>
    <xf numFmtId="0" fontId="14" fillId="4" borderId="0" xfId="0" applyFont="1" applyFill="1" applyAlignment="1">
      <alignment/>
    </xf>
    <xf numFmtId="0" fontId="14" fillId="4" borderId="0" xfId="0" applyFont="1" applyFill="1" applyAlignment="1">
      <alignment horizontal="center"/>
    </xf>
    <xf numFmtId="0" fontId="0" fillId="4" borderId="0" xfId="0" applyFill="1" applyAlignment="1">
      <alignment/>
    </xf>
    <xf numFmtId="9" fontId="0" fillId="4" borderId="0" xfId="21" applyFill="1" applyAlignment="1">
      <alignment/>
    </xf>
    <xf numFmtId="9" fontId="0" fillId="4" borderId="0" xfId="0" applyNumberFormat="1" applyFill="1" applyAlignment="1">
      <alignment horizontal="center"/>
    </xf>
    <xf numFmtId="9" fontId="0" fillId="4" borderId="0" xfId="0" applyNumberFormat="1" applyFill="1" applyAlignment="1">
      <alignment/>
    </xf>
    <xf numFmtId="0" fontId="0" fillId="4" borderId="0" xfId="0" applyFill="1" applyAlignment="1">
      <alignment horizontal="center"/>
    </xf>
    <xf numFmtId="0" fontId="0" fillId="4" borderId="0" xfId="0" applyFill="1" applyAlignment="1">
      <alignment horizontal="left"/>
    </xf>
    <xf numFmtId="0" fontId="0" fillId="4" borderId="0" xfId="0" applyFill="1" applyAlignment="1">
      <alignment/>
    </xf>
    <xf numFmtId="0" fontId="13" fillId="4" borderId="0" xfId="0" applyFont="1" applyFill="1" applyAlignment="1">
      <alignment horizontal="left"/>
    </xf>
    <xf numFmtId="0" fontId="13" fillId="4" borderId="2" xfId="0" applyFont="1" applyFill="1" applyBorder="1" applyAlignment="1">
      <alignment horizontal="center" vertical="top" wrapText="1"/>
    </xf>
    <xf numFmtId="3" fontId="0" fillId="4" borderId="0" xfId="0" applyNumberFormat="1" applyFill="1" applyAlignment="1">
      <alignment/>
    </xf>
    <xf numFmtId="9" fontId="0" fillId="4" borderId="0" xfId="21" applyFont="1" applyFill="1" applyAlignment="1">
      <alignment/>
    </xf>
    <xf numFmtId="0" fontId="16" fillId="4" borderId="0" xfId="0" applyFont="1" applyFill="1" applyAlignment="1">
      <alignment/>
    </xf>
    <xf numFmtId="9" fontId="16" fillId="4" borderId="0" xfId="0" applyNumberFormat="1" applyFont="1" applyFill="1" applyAlignment="1">
      <alignment/>
    </xf>
    <xf numFmtId="0" fontId="13" fillId="4" borderId="1" xfId="0" applyFont="1" applyFill="1" applyBorder="1" applyAlignment="1">
      <alignment horizontal="center"/>
    </xf>
    <xf numFmtId="4" fontId="0" fillId="4" borderId="0" xfId="0" applyNumberFormat="1" applyFill="1" applyAlignment="1">
      <alignment horizontal="right"/>
    </xf>
    <xf numFmtId="0" fontId="0" fillId="4" borderId="0" xfId="0" applyFill="1" applyAlignment="1" quotePrefix="1">
      <alignment horizontal="right"/>
    </xf>
    <xf numFmtId="168" fontId="0" fillId="4" borderId="0" xfId="0" applyNumberFormat="1" applyFill="1" applyAlignment="1">
      <alignment/>
    </xf>
    <xf numFmtId="0" fontId="12" fillId="4" borderId="0" xfId="0" applyFont="1" applyFill="1" applyAlignment="1">
      <alignment/>
    </xf>
    <xf numFmtId="0" fontId="13" fillId="4" borderId="0" xfId="0" applyFont="1" applyFill="1" applyAlignment="1">
      <alignment horizontal="center" wrapText="1"/>
    </xf>
    <xf numFmtId="0" fontId="15" fillId="4" borderId="0" xfId="0" applyFont="1" applyFill="1" applyAlignment="1">
      <alignment/>
    </xf>
    <xf numFmtId="178" fontId="0" fillId="4" borderId="0" xfId="0" applyNumberFormat="1" applyFill="1" applyAlignment="1">
      <alignment/>
    </xf>
    <xf numFmtId="2" fontId="0" fillId="4" borderId="0" xfId="0" applyNumberFormat="1" applyFill="1" applyAlignment="1">
      <alignment horizontal="center"/>
    </xf>
    <xf numFmtId="2" fontId="0" fillId="4" borderId="0" xfId="0" applyNumberFormat="1" applyFill="1" applyAlignment="1">
      <alignment/>
    </xf>
    <xf numFmtId="6" fontId="0" fillId="4" borderId="0" xfId="0" applyNumberFormat="1" applyFill="1" applyAlignment="1">
      <alignment horizontal="center"/>
    </xf>
    <xf numFmtId="0" fontId="2" fillId="4" borderId="0" xfId="0" applyFont="1" applyFill="1" applyBorder="1" applyAlignment="1">
      <alignment/>
    </xf>
    <xf numFmtId="0" fontId="2" fillId="4" borderId="0" xfId="0" applyFont="1" applyFill="1" applyAlignment="1">
      <alignment/>
    </xf>
    <xf numFmtId="0" fontId="2" fillId="4" borderId="3" xfId="0" applyFont="1" applyFill="1" applyBorder="1" applyAlignment="1">
      <alignment wrapText="1"/>
    </xf>
    <xf numFmtId="0" fontId="2" fillId="4" borderId="4" xfId="0" applyFont="1" applyFill="1" applyBorder="1" applyAlignment="1">
      <alignment horizontal="center"/>
    </xf>
    <xf numFmtId="0" fontId="2" fillId="4" borderId="4" xfId="0" applyFont="1" applyFill="1" applyBorder="1" applyAlignment="1">
      <alignment wrapText="1"/>
    </xf>
    <xf numFmtId="0" fontId="2" fillId="4" borderId="4" xfId="0" applyFont="1" applyFill="1" applyBorder="1" applyAlignment="1">
      <alignment horizontal="center" wrapText="1"/>
    </xf>
    <xf numFmtId="0" fontId="2" fillId="4" borderId="0" xfId="0" applyFont="1" applyFill="1" applyBorder="1" applyAlignment="1">
      <alignment horizontal="center" wrapText="1"/>
    </xf>
    <xf numFmtId="0" fontId="2" fillId="4" borderId="0" xfId="0" applyFont="1" applyFill="1" applyBorder="1" applyAlignment="1">
      <alignment wrapText="1"/>
    </xf>
    <xf numFmtId="0" fontId="2" fillId="4" borderId="5" xfId="0" applyFont="1" applyFill="1" applyBorder="1" applyAlignment="1">
      <alignment/>
    </xf>
    <xf numFmtId="0" fontId="2" fillId="4" borderId="1" xfId="0" applyFont="1" applyFill="1" applyBorder="1" applyAlignment="1">
      <alignment horizontal="center"/>
    </xf>
    <xf numFmtId="0" fontId="2" fillId="4" borderId="1" xfId="0" applyFont="1" applyFill="1" applyBorder="1" applyAlignment="1">
      <alignment wrapText="1"/>
    </xf>
    <xf numFmtId="0" fontId="2" fillId="4" borderId="1" xfId="0" applyFont="1" applyFill="1" applyBorder="1" applyAlignment="1">
      <alignment horizontal="center" wrapText="1"/>
    </xf>
    <xf numFmtId="0" fontId="2" fillId="4" borderId="5" xfId="0" applyFont="1" applyFill="1" applyBorder="1" applyAlignment="1">
      <alignment horizontal="center" wrapText="1"/>
    </xf>
    <xf numFmtId="0" fontId="2" fillId="4" borderId="6" xfId="0" applyFont="1" applyFill="1" applyBorder="1" applyAlignment="1">
      <alignment horizontal="center" wrapText="1"/>
    </xf>
    <xf numFmtId="0" fontId="2" fillId="4" borderId="1" xfId="0" applyFont="1" applyFill="1" applyBorder="1" applyAlignment="1">
      <alignment/>
    </xf>
    <xf numFmtId="0" fontId="1" fillId="4" borderId="7" xfId="0" applyFont="1" applyFill="1" applyBorder="1" applyAlignment="1">
      <alignment horizontal="center"/>
    </xf>
    <xf numFmtId="0" fontId="1" fillId="4" borderId="7" xfId="0" applyFont="1" applyFill="1" applyBorder="1" applyAlignment="1" quotePrefix="1">
      <alignment horizontal="center" wrapText="1"/>
    </xf>
    <xf numFmtId="0" fontId="1" fillId="4" borderId="7" xfId="0" applyFont="1" applyFill="1" applyBorder="1" applyAlignment="1">
      <alignment wrapText="1"/>
    </xf>
    <xf numFmtId="0" fontId="1" fillId="4" borderId="7" xfId="0" applyFont="1" applyFill="1" applyBorder="1" applyAlignment="1">
      <alignment horizontal="center" wrapText="1"/>
    </xf>
    <xf numFmtId="0" fontId="1" fillId="4" borderId="7" xfId="0" applyNumberFormat="1" applyFont="1" applyFill="1" applyBorder="1" applyAlignment="1">
      <alignment horizontal="center" wrapText="1"/>
    </xf>
    <xf numFmtId="181" fontId="1" fillId="4" borderId="7" xfId="0" applyNumberFormat="1" applyFont="1" applyFill="1" applyBorder="1" applyAlignment="1">
      <alignment wrapText="1"/>
    </xf>
    <xf numFmtId="181" fontId="1" fillId="4" borderId="7" xfId="0" applyNumberFormat="1" applyFont="1" applyFill="1" applyBorder="1" applyAlignment="1">
      <alignment/>
    </xf>
    <xf numFmtId="182" fontId="1" fillId="4" borderId="7" xfId="0" applyNumberFormat="1" applyFont="1" applyFill="1" applyBorder="1" applyAlignment="1">
      <alignment/>
    </xf>
    <xf numFmtId="182" fontId="1" fillId="4" borderId="0" xfId="0" applyNumberFormat="1" applyFont="1" applyFill="1" applyBorder="1" applyAlignment="1">
      <alignment/>
    </xf>
    <xf numFmtId="0" fontId="1" fillId="4" borderId="0" xfId="0" applyFont="1" applyFill="1" applyAlignment="1">
      <alignment/>
    </xf>
    <xf numFmtId="0" fontId="1" fillId="4" borderId="7" xfId="0" applyFont="1" applyFill="1" applyBorder="1" applyAlignment="1" quotePrefix="1">
      <alignment horizontal="center"/>
    </xf>
    <xf numFmtId="49" fontId="1" fillId="4" borderId="7" xfId="0" applyNumberFormat="1" applyFont="1" applyFill="1" applyBorder="1" applyAlignment="1">
      <alignment horizontal="center" wrapText="1"/>
    </xf>
    <xf numFmtId="0" fontId="1" fillId="4" borderId="8" xfId="0" applyFont="1" applyFill="1" applyBorder="1" applyAlignment="1" quotePrefix="1">
      <alignment horizontal="center"/>
    </xf>
    <xf numFmtId="0" fontId="1" fillId="4" borderId="8" xfId="0" applyFont="1" applyFill="1" applyBorder="1" applyAlignment="1">
      <alignment wrapText="1"/>
    </xf>
    <xf numFmtId="49" fontId="1" fillId="4" borderId="8" xfId="0" applyNumberFormat="1" applyFont="1" applyFill="1" applyBorder="1" applyAlignment="1">
      <alignment horizontal="center" wrapText="1"/>
    </xf>
    <xf numFmtId="0" fontId="1" fillId="4" borderId="8" xfId="0" applyNumberFormat="1" applyFont="1" applyFill="1" applyBorder="1" applyAlignment="1">
      <alignment horizontal="center" wrapText="1"/>
    </xf>
    <xf numFmtId="181" fontId="1" fillId="4" borderId="8" xfId="0" applyNumberFormat="1" applyFont="1" applyFill="1" applyBorder="1" applyAlignment="1">
      <alignment wrapText="1"/>
    </xf>
    <xf numFmtId="181" fontId="1" fillId="4" borderId="8" xfId="0" applyNumberFormat="1" applyFont="1" applyFill="1" applyBorder="1" applyAlignment="1">
      <alignment/>
    </xf>
    <xf numFmtId="182" fontId="1" fillId="4" borderId="8" xfId="0" applyNumberFormat="1" applyFont="1" applyFill="1" applyBorder="1" applyAlignment="1">
      <alignment/>
    </xf>
    <xf numFmtId="0" fontId="1" fillId="4" borderId="9" xfId="0" applyFont="1" applyFill="1" applyBorder="1" applyAlignment="1" quotePrefix="1">
      <alignment horizontal="center"/>
    </xf>
    <xf numFmtId="0" fontId="1" fillId="4" borderId="9" xfId="0" applyFont="1" applyFill="1" applyBorder="1" applyAlignment="1">
      <alignment wrapText="1"/>
    </xf>
    <xf numFmtId="181" fontId="1" fillId="4" borderId="7" xfId="0" applyNumberFormat="1" applyFont="1" applyFill="1" applyBorder="1" applyAlignment="1">
      <alignment/>
    </xf>
    <xf numFmtId="182" fontId="1" fillId="4" borderId="7" xfId="0" applyNumberFormat="1" applyFont="1" applyFill="1" applyBorder="1" applyAlignment="1">
      <alignment/>
    </xf>
    <xf numFmtId="182" fontId="1" fillId="4" borderId="0" xfId="0" applyNumberFormat="1" applyFont="1" applyFill="1" applyBorder="1" applyAlignment="1">
      <alignment/>
    </xf>
    <xf numFmtId="0" fontId="8" fillId="4" borderId="0" xfId="0" applyFont="1" applyFill="1" applyAlignment="1">
      <alignment/>
    </xf>
    <xf numFmtId="0" fontId="8" fillId="4" borderId="7" xfId="0" applyFont="1" applyFill="1" applyBorder="1" applyAlignment="1">
      <alignment wrapText="1"/>
    </xf>
    <xf numFmtId="0" fontId="1" fillId="4" borderId="8" xfId="0" applyFont="1" applyFill="1" applyBorder="1" applyAlignment="1">
      <alignment horizontal="center" wrapText="1"/>
    </xf>
    <xf numFmtId="0" fontId="1" fillId="4" borderId="7" xfId="0" applyFont="1" applyFill="1" applyBorder="1" applyAlignment="1">
      <alignment horizontal="right" wrapText="1"/>
    </xf>
    <xf numFmtId="0" fontId="1" fillId="4" borderId="9" xfId="0" applyFont="1" applyFill="1" applyBorder="1" applyAlignment="1">
      <alignment horizontal="center" wrapText="1"/>
    </xf>
    <xf numFmtId="0" fontId="1" fillId="4" borderId="9" xfId="0" applyFont="1" applyFill="1" applyBorder="1" applyAlignment="1">
      <alignment horizontal="center"/>
    </xf>
    <xf numFmtId="181" fontId="18" fillId="4" borderId="7" xfId="0" applyNumberFormat="1" applyFont="1" applyFill="1" applyBorder="1" applyAlignment="1">
      <alignment wrapText="1"/>
    </xf>
    <xf numFmtId="181" fontId="18" fillId="4" borderId="7" xfId="0" applyNumberFormat="1" applyFont="1" applyFill="1" applyBorder="1" applyAlignment="1">
      <alignment/>
    </xf>
    <xf numFmtId="0" fontId="1" fillId="4" borderId="0" xfId="0" applyFont="1" applyFill="1" applyBorder="1" applyAlignment="1">
      <alignment horizontal="center"/>
    </xf>
    <xf numFmtId="0" fontId="1" fillId="4" borderId="0" xfId="0" applyFont="1" applyFill="1" applyBorder="1" applyAlignment="1">
      <alignment/>
    </xf>
    <xf numFmtId="0" fontId="1" fillId="4" borderId="0" xfId="0" applyFont="1" applyFill="1" applyBorder="1" applyAlignment="1">
      <alignment wrapText="1"/>
    </xf>
    <xf numFmtId="0" fontId="1" fillId="4" borderId="0" xfId="0" applyFont="1" applyFill="1" applyBorder="1" applyAlignment="1">
      <alignment horizontal="right"/>
    </xf>
    <xf numFmtId="0" fontId="1" fillId="4" borderId="0" xfId="0" applyFont="1" applyFill="1" applyBorder="1" applyAlignment="1" quotePrefix="1">
      <alignment horizontal="center"/>
    </xf>
    <xf numFmtId="0" fontId="1" fillId="4" borderId="0" xfId="0" applyFont="1" applyFill="1" applyAlignment="1">
      <alignment horizontal="center"/>
    </xf>
    <xf numFmtId="0" fontId="1" fillId="4" borderId="0" xfId="0" applyFont="1" applyFill="1" applyAlignment="1">
      <alignment wrapText="1"/>
    </xf>
    <xf numFmtId="0" fontId="13" fillId="4" borderId="10" xfId="0" applyFont="1" applyFill="1" applyBorder="1" applyAlignment="1">
      <alignment horizontal="center" vertical="top" wrapText="1"/>
    </xf>
    <xf numFmtId="0" fontId="0" fillId="4" borderId="2" xfId="0" applyFont="1" applyFill="1" applyBorder="1" applyAlignment="1">
      <alignment horizontal="left" vertical="top" wrapText="1"/>
    </xf>
    <xf numFmtId="0" fontId="0" fillId="4" borderId="10" xfId="0" applyFont="1" applyFill="1" applyBorder="1" applyAlignment="1">
      <alignment horizontal="left" vertical="top" wrapText="1"/>
    </xf>
    <xf numFmtId="0" fontId="0" fillId="4" borderId="10" xfId="0" applyFont="1" applyFill="1" applyBorder="1" applyAlignment="1">
      <alignment vertical="top" wrapText="1"/>
    </xf>
    <xf numFmtId="0" fontId="0" fillId="4" borderId="0" xfId="0" applyFont="1" applyFill="1" applyAlignment="1">
      <alignment horizontal="center"/>
    </xf>
    <xf numFmtId="0" fontId="0" fillId="4" borderId="2" xfId="0" applyFont="1" applyFill="1" applyBorder="1" applyAlignment="1">
      <alignment vertical="top" wrapText="1"/>
    </xf>
    <xf numFmtId="0" fontId="0" fillId="4" borderId="0" xfId="0" applyFont="1" applyFill="1" applyAlignment="1">
      <alignment/>
    </xf>
    <xf numFmtId="168" fontId="15" fillId="4" borderId="0" xfId="0" applyNumberFormat="1" applyFont="1" applyFill="1" applyAlignment="1">
      <alignment/>
    </xf>
    <xf numFmtId="168" fontId="0" fillId="4" borderId="1" xfId="0" applyNumberFormat="1" applyFill="1" applyBorder="1" applyAlignment="1">
      <alignment/>
    </xf>
    <xf numFmtId="168" fontId="13" fillId="4" borderId="0" xfId="0" applyNumberFormat="1" applyFont="1" applyFill="1" applyAlignment="1">
      <alignment/>
    </xf>
    <xf numFmtId="183" fontId="0" fillId="4" borderId="0" xfId="0" applyNumberFormat="1" applyFont="1" applyFill="1" applyAlignment="1">
      <alignment/>
    </xf>
    <xf numFmtId="0" fontId="1" fillId="0" borderId="0" xfId="0" applyFont="1" applyFill="1" applyAlignment="1">
      <alignment/>
    </xf>
    <xf numFmtId="0" fontId="1" fillId="0" borderId="7" xfId="0" applyFont="1" applyFill="1" applyBorder="1" applyAlignment="1">
      <alignment/>
    </xf>
    <xf numFmtId="0" fontId="2" fillId="0" borderId="5" xfId="0" applyFont="1" applyFill="1" applyBorder="1" applyAlignment="1">
      <alignment/>
    </xf>
    <xf numFmtId="0" fontId="2" fillId="0" borderId="11" xfId="0" applyFont="1" applyFill="1" applyBorder="1" applyAlignment="1">
      <alignment horizontal="right"/>
    </xf>
    <xf numFmtId="9" fontId="1" fillId="0" borderId="11" xfId="0" applyNumberFormat="1" applyFont="1" applyFill="1" applyBorder="1" applyAlignment="1">
      <alignment/>
    </xf>
    <xf numFmtId="9" fontId="1" fillId="0" borderId="12" xfId="0" applyNumberFormat="1" applyFont="1" applyFill="1" applyBorder="1" applyAlignment="1">
      <alignment/>
    </xf>
    <xf numFmtId="0" fontId="2" fillId="0" borderId="5" xfId="0" applyFont="1" applyFill="1" applyBorder="1" applyAlignment="1">
      <alignment horizontal="right"/>
    </xf>
    <xf numFmtId="9" fontId="1" fillId="0" borderId="5" xfId="0" applyNumberFormat="1" applyFont="1" applyFill="1" applyBorder="1" applyAlignment="1">
      <alignment/>
    </xf>
    <xf numFmtId="9" fontId="1" fillId="0" borderId="6" xfId="0" applyNumberFormat="1" applyFont="1" applyFill="1" applyBorder="1" applyAlignment="1">
      <alignment/>
    </xf>
    <xf numFmtId="0" fontId="4" fillId="0" borderId="0" xfId="0" applyFont="1" applyFill="1" applyAlignment="1">
      <alignment horizontal="center"/>
    </xf>
    <xf numFmtId="9" fontId="1" fillId="0" borderId="0" xfId="0" applyNumberFormat="1" applyFont="1" applyFill="1" applyAlignment="1">
      <alignment horizontal="center"/>
    </xf>
    <xf numFmtId="0" fontId="4" fillId="0" borderId="0" xfId="0" applyFont="1" applyFill="1" applyAlignment="1">
      <alignment/>
    </xf>
    <xf numFmtId="0" fontId="7" fillId="0" borderId="0" xfId="0" applyFont="1" applyFill="1" applyAlignment="1">
      <alignment/>
    </xf>
    <xf numFmtId="0" fontId="1" fillId="0" borderId="1" xfId="0" applyFont="1" applyFill="1" applyBorder="1" applyAlignment="1">
      <alignment/>
    </xf>
    <xf numFmtId="0" fontId="1" fillId="0" borderId="4" xfId="0" applyFont="1" applyFill="1" applyBorder="1" applyAlignment="1">
      <alignment/>
    </xf>
    <xf numFmtId="0" fontId="8" fillId="0" borderId="0" xfId="0" applyFont="1" applyFill="1" applyAlignment="1">
      <alignment/>
    </xf>
    <xf numFmtId="0" fontId="1" fillId="0" borderId="0" xfId="0" applyFont="1" applyFill="1" applyAlignment="1" quotePrefix="1">
      <alignment/>
    </xf>
    <xf numFmtId="193" fontId="0" fillId="0" borderId="0" xfId="15" applyNumberFormat="1" applyAlignment="1">
      <alignment horizontal="right"/>
    </xf>
    <xf numFmtId="3" fontId="2" fillId="5" borderId="0" xfId="0" applyNumberFormat="1" applyFont="1" applyFill="1" applyAlignment="1">
      <alignment horizontal="right"/>
    </xf>
    <xf numFmtId="168" fontId="13" fillId="5" borderId="0" xfId="0" applyNumberFormat="1" applyFont="1" applyFill="1" applyAlignment="1">
      <alignment horizontal="right"/>
    </xf>
    <xf numFmtId="9" fontId="13" fillId="5" borderId="0" xfId="21" applyFont="1" applyFill="1" applyAlignment="1">
      <alignment horizontal="right"/>
    </xf>
    <xf numFmtId="0" fontId="0" fillId="0" borderId="0" xfId="0" applyFill="1" applyAlignment="1">
      <alignment/>
    </xf>
    <xf numFmtId="0" fontId="0" fillId="0" borderId="0" xfId="0" applyFill="1" applyAlignment="1">
      <alignment horizontal="right"/>
    </xf>
    <xf numFmtId="168" fontId="2" fillId="5" borderId="0" xfId="0" applyNumberFormat="1" applyFont="1" applyFill="1" applyAlignment="1">
      <alignment horizontal="center" vertical="center" wrapText="1"/>
    </xf>
    <xf numFmtId="168" fontId="2" fillId="5" borderId="0" xfId="0" applyNumberFormat="1" applyFont="1" applyFill="1" applyAlignment="1">
      <alignment horizontal="left"/>
    </xf>
    <xf numFmtId="0" fontId="4" fillId="5" borderId="0" xfId="0" applyFont="1" applyFill="1" applyAlignment="1">
      <alignment horizontal="center" wrapText="1"/>
    </xf>
    <xf numFmtId="3" fontId="1" fillId="5" borderId="0" xfId="0" applyNumberFormat="1" applyFont="1" applyFill="1" applyAlignment="1">
      <alignment horizontal="right"/>
    </xf>
    <xf numFmtId="3" fontId="7" fillId="5" borderId="0" xfId="0" applyNumberFormat="1" applyFont="1" applyFill="1" applyAlignment="1">
      <alignment horizontal="right"/>
    </xf>
    <xf numFmtId="9" fontId="1" fillId="5" borderId="0" xfId="21" applyFont="1" applyFill="1" applyAlignment="1">
      <alignment horizontal="right"/>
    </xf>
    <xf numFmtId="168" fontId="0" fillId="5" borderId="0" xfId="0" applyNumberFormat="1" applyFill="1" applyAlignment="1">
      <alignment horizontal="right"/>
    </xf>
    <xf numFmtId="193" fontId="0" fillId="5" borderId="0" xfId="15" applyNumberFormat="1" applyFill="1" applyAlignment="1">
      <alignment horizontal="right"/>
    </xf>
    <xf numFmtId="172" fontId="0" fillId="5" borderId="0" xfId="0" applyNumberFormat="1" applyFill="1" applyAlignment="1">
      <alignment horizontal="right"/>
    </xf>
    <xf numFmtId="3" fontId="12" fillId="0" borderId="0" xfId="0" applyNumberFormat="1" applyFont="1" applyFill="1" applyAlignment="1">
      <alignment horizontal="right" wrapText="1"/>
    </xf>
    <xf numFmtId="3" fontId="23" fillId="0" borderId="0" xfId="0" applyNumberFormat="1" applyFont="1" applyFill="1" applyAlignment="1">
      <alignment horizontal="right"/>
    </xf>
    <xf numFmtId="193" fontId="12" fillId="0" borderId="0" xfId="0" applyNumberFormat="1" applyFont="1" applyFill="1" applyAlignment="1">
      <alignment/>
    </xf>
    <xf numFmtId="3" fontId="12" fillId="0" borderId="0" xfId="0" applyNumberFormat="1" applyFont="1" applyFill="1" applyAlignment="1">
      <alignment horizontal="right"/>
    </xf>
    <xf numFmtId="168" fontId="24" fillId="5" borderId="0" xfId="0" applyNumberFormat="1" applyFont="1" applyFill="1" applyAlignment="1">
      <alignment horizontal="right"/>
    </xf>
    <xf numFmtId="3" fontId="3" fillId="5" borderId="0" xfId="0" applyNumberFormat="1" applyFont="1" applyFill="1" applyAlignment="1">
      <alignment horizontal="right"/>
    </xf>
    <xf numFmtId="9" fontId="27" fillId="5" borderId="0" xfId="21" applyFont="1" applyFill="1" applyAlignment="1">
      <alignment horizontal="right"/>
    </xf>
    <xf numFmtId="172" fontId="27" fillId="5" borderId="0" xfId="0" applyNumberFormat="1" applyFont="1" applyFill="1" applyAlignment="1">
      <alignment horizontal="right"/>
    </xf>
    <xf numFmtId="0" fontId="13" fillId="0" borderId="0" xfId="0" applyFont="1" applyAlignment="1">
      <alignment horizontal="center"/>
    </xf>
    <xf numFmtId="0" fontId="13" fillId="4" borderId="0" xfId="0" applyFont="1" applyFill="1" applyAlignment="1">
      <alignment horizontal="center"/>
    </xf>
    <xf numFmtId="0" fontId="20" fillId="0" borderId="0" xfId="0" applyFont="1" applyFill="1" applyAlignment="1">
      <alignment horizontal="center"/>
    </xf>
    <xf numFmtId="0" fontId="0" fillId="0" borderId="0" xfId="0" applyAlignment="1">
      <alignment horizontal="center"/>
    </xf>
    <xf numFmtId="0" fontId="2" fillId="0" borderId="0" xfId="0" applyFont="1" applyAlignment="1">
      <alignment horizontal="center"/>
    </xf>
    <xf numFmtId="168" fontId="2" fillId="0" borderId="0" xfId="0" applyNumberFormat="1" applyFont="1" applyAlignment="1">
      <alignment horizontal="center" vertical="center" wrapText="1"/>
    </xf>
    <xf numFmtId="0" fontId="2" fillId="4" borderId="9" xfId="0" applyFont="1" applyFill="1" applyBorder="1" applyAlignment="1">
      <alignment horizontal="center" wrapText="1"/>
    </xf>
    <xf numFmtId="0" fontId="2" fillId="4" borderId="13" xfId="0" applyFont="1" applyFill="1" applyBorder="1" applyAlignment="1">
      <alignment horizontal="center" wrapText="1"/>
    </xf>
    <xf numFmtId="0" fontId="2" fillId="4" borderId="14" xfId="0" applyFont="1" applyFill="1" applyBorder="1" applyAlignment="1">
      <alignment horizontal="center" wrapText="1"/>
    </xf>
    <xf numFmtId="0" fontId="19" fillId="4" borderId="4" xfId="0" applyFont="1" applyFill="1" applyBorder="1" applyAlignment="1">
      <alignment horizontal="center" wrapText="1"/>
    </xf>
    <xf numFmtId="0" fontId="0" fillId="4" borderId="4" xfId="0" applyFill="1" applyBorder="1" applyAlignment="1">
      <alignment horizontal="center" wrapText="1"/>
    </xf>
    <xf numFmtId="0" fontId="13" fillId="4" borderId="15" xfId="0" applyFont="1" applyFill="1" applyBorder="1" applyAlignment="1">
      <alignment horizontal="center" vertical="top" wrapText="1"/>
    </xf>
    <xf numFmtId="0" fontId="13" fillId="4" borderId="16" xfId="0" applyFont="1" applyFill="1" applyBorder="1" applyAlignment="1">
      <alignment horizontal="center" vertical="top" wrapText="1"/>
    </xf>
    <xf numFmtId="0" fontId="13" fillId="4" borderId="17" xfId="0" applyFont="1" applyFill="1" applyBorder="1" applyAlignment="1">
      <alignment horizontal="center" vertical="top" wrapText="1"/>
    </xf>
    <xf numFmtId="0" fontId="13" fillId="4" borderId="2" xfId="0" applyFont="1" applyFill="1" applyBorder="1" applyAlignment="1">
      <alignment horizontal="center" vertical="top" wrapText="1"/>
    </xf>
    <xf numFmtId="0" fontId="1" fillId="0" borderId="0" xfId="0" applyFont="1" applyFill="1" applyAlignment="1">
      <alignment horizontal="center"/>
    </xf>
    <xf numFmtId="0" fontId="7" fillId="0" borderId="0" xfId="0" applyFont="1" applyFill="1" applyAlignment="1">
      <alignment horizontal="center"/>
    </xf>
    <xf numFmtId="0" fontId="1" fillId="0" borderId="0" xfId="0" applyFont="1" applyFill="1" applyAlignment="1" quotePrefix="1">
      <alignment horizontal="center"/>
    </xf>
    <xf numFmtId="0" fontId="2" fillId="0" borderId="0" xfId="0" applyFont="1" applyFill="1" applyAlignment="1">
      <alignment horizontal="center"/>
    </xf>
    <xf numFmtId="0" fontId="2" fillId="0" borderId="4" xfId="0" applyFont="1" applyFill="1" applyBorder="1" applyAlignment="1">
      <alignment horizontal="center"/>
    </xf>
    <xf numFmtId="0" fontId="2" fillId="0" borderId="18" xfId="0" applyFont="1" applyFill="1" applyBorder="1" applyAlignment="1">
      <alignment horizontal="center"/>
    </xf>
    <xf numFmtId="0" fontId="2" fillId="0" borderId="9" xfId="0" applyFont="1" applyFill="1" applyBorder="1" applyAlignment="1">
      <alignment horizontal="center"/>
    </xf>
    <xf numFmtId="0" fontId="2" fillId="0" borderId="14" xfId="0" applyFont="1" applyFill="1" applyBorder="1" applyAlignment="1">
      <alignment horizontal="center"/>
    </xf>
    <xf numFmtId="168" fontId="12" fillId="5" borderId="0" xfId="0" applyNumberFormat="1" applyFont="1" applyFill="1" applyAlignment="1">
      <alignment horizontal="center"/>
    </xf>
    <xf numFmtId="0" fontId="25" fillId="5" borderId="0" xfId="0" applyFont="1" applyFill="1" applyAlignment="1">
      <alignment horizontal="center" wrapText="1"/>
    </xf>
    <xf numFmtId="9" fontId="26" fillId="5" borderId="0" xfId="21" applyFont="1" applyFill="1" applyAlignment="1">
      <alignment horizontal="right"/>
    </xf>
    <xf numFmtId="193" fontId="26" fillId="5" borderId="0" xfId="15" applyNumberFormat="1" applyFont="1" applyFill="1" applyAlignment="1">
      <alignment horizontal="right"/>
    </xf>
    <xf numFmtId="168" fontId="27" fillId="5" borderId="0" xfId="0" applyNumberFormat="1" applyFont="1" applyFill="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3</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3</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3</xdr:col>
      <xdr:colOff>9525</xdr:colOff>
      <xdr:row>0</xdr:row>
      <xdr:rowOff>9525</xdr:rowOff>
    </xdr:to>
    <xdr:pic>
      <xdr:nvPicPr>
        <xdr:cNvPr id="4"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3</xdr:col>
      <xdr:colOff>9525</xdr:colOff>
      <xdr:row>0</xdr:row>
      <xdr:rowOff>9525</xdr:rowOff>
    </xdr:to>
    <xdr:pic>
      <xdr:nvPicPr>
        <xdr:cNvPr id="5" name="CB_Block_7.0.0.0:6"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3</xdr:col>
      <xdr:colOff>9525</xdr:colOff>
      <xdr:row>0</xdr:row>
      <xdr:rowOff>9525</xdr:rowOff>
    </xdr:to>
    <xdr:pic>
      <xdr:nvPicPr>
        <xdr:cNvPr id="6" name="CB_Block_7.0.0.0:5"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3</xdr:col>
      <xdr:colOff>9525</xdr:colOff>
      <xdr:row>0</xdr:row>
      <xdr:rowOff>9525</xdr:rowOff>
    </xdr:to>
    <xdr:pic>
      <xdr:nvPicPr>
        <xdr:cNvPr id="7" name="CB_Block_7.0.0.0:4"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3</xdr:col>
      <xdr:colOff>9525</xdr:colOff>
      <xdr:row>0</xdr:row>
      <xdr:rowOff>9525</xdr:rowOff>
    </xdr:to>
    <xdr:pic>
      <xdr:nvPicPr>
        <xdr:cNvPr id="8" name="CB_Block_7.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3</xdr:col>
      <xdr:colOff>9525</xdr:colOff>
      <xdr:row>0</xdr:row>
      <xdr:rowOff>9525</xdr:rowOff>
    </xdr:to>
    <xdr:pic>
      <xdr:nvPicPr>
        <xdr:cNvPr id="9" name="CB_Block_7.0.0.0:2"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3</xdr:col>
      <xdr:colOff>9525</xdr:colOff>
      <xdr:row>0</xdr:row>
      <xdr:rowOff>9525</xdr:rowOff>
    </xdr:to>
    <xdr:pic>
      <xdr:nvPicPr>
        <xdr:cNvPr id="10"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3</xdr:col>
      <xdr:colOff>9525</xdr:colOff>
      <xdr:row>0</xdr:row>
      <xdr:rowOff>9525</xdr:rowOff>
    </xdr:to>
    <xdr:pic>
      <xdr:nvPicPr>
        <xdr:cNvPr id="11" name="CB_Block_7.0.0.0:7"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Block_7.0.0.0:2"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7"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M49"/>
  <sheetViews>
    <sheetView workbookViewId="0" topLeftCell="A1">
      <selection activeCell="B10" sqref="B10:D18"/>
    </sheetView>
  </sheetViews>
  <sheetFormatPr defaultColWidth="9.140625" defaultRowHeight="12.75"/>
  <cols>
    <col min="1" max="1" width="7.00390625" style="142" customWidth="1"/>
    <col min="2" max="2" width="17.57421875" style="142" customWidth="1"/>
    <col min="3" max="16384" width="9.140625" style="142" customWidth="1"/>
  </cols>
  <sheetData>
    <row r="1" spans="2:8" ht="15.75">
      <c r="B1" s="200" t="s">
        <v>174</v>
      </c>
      <c r="C1" s="200"/>
      <c r="D1" s="200"/>
      <c r="E1" s="200"/>
      <c r="F1" s="200"/>
      <c r="G1" s="200"/>
      <c r="H1" s="200"/>
    </row>
    <row r="3" spans="2:8" ht="15.75">
      <c r="B3" s="143"/>
      <c r="C3" s="201" t="s">
        <v>170</v>
      </c>
      <c r="D3" s="201"/>
      <c r="E3" s="201"/>
      <c r="F3" s="201"/>
      <c r="G3" s="201"/>
      <c r="H3" s="202"/>
    </row>
    <row r="4" spans="2:8" ht="15.75">
      <c r="B4" s="144" t="s">
        <v>169</v>
      </c>
      <c r="C4" s="203" t="s">
        <v>171</v>
      </c>
      <c r="D4" s="204"/>
      <c r="E4" s="203" t="s">
        <v>172</v>
      </c>
      <c r="F4" s="204"/>
      <c r="G4" s="203" t="s">
        <v>173</v>
      </c>
      <c r="H4" s="204"/>
    </row>
    <row r="5" spans="2:8" ht="15.75">
      <c r="B5" s="145" t="s">
        <v>171</v>
      </c>
      <c r="C5" s="146">
        <v>-0.15</v>
      </c>
      <c r="D5" s="147">
        <v>0.25</v>
      </c>
      <c r="E5" s="146">
        <v>-0.2</v>
      </c>
      <c r="F5" s="147">
        <v>0.4</v>
      </c>
      <c r="G5" s="146">
        <v>-0.3</v>
      </c>
      <c r="H5" s="147">
        <v>0.6</v>
      </c>
    </row>
    <row r="6" spans="2:8" ht="15.75">
      <c r="B6" s="145" t="s">
        <v>172</v>
      </c>
      <c r="C6" s="146">
        <v>-0.1</v>
      </c>
      <c r="D6" s="147">
        <v>0.15</v>
      </c>
      <c r="E6" s="146">
        <v>-0.15</v>
      </c>
      <c r="F6" s="147">
        <v>0.25</v>
      </c>
      <c r="G6" s="146">
        <v>-0.2</v>
      </c>
      <c r="H6" s="147">
        <v>0.4</v>
      </c>
    </row>
    <row r="7" spans="2:8" ht="15.75">
      <c r="B7" s="148" t="s">
        <v>173</v>
      </c>
      <c r="C7" s="149">
        <v>-0.05</v>
      </c>
      <c r="D7" s="150">
        <v>0.1</v>
      </c>
      <c r="E7" s="149">
        <v>-0.1</v>
      </c>
      <c r="F7" s="150">
        <v>0.15</v>
      </c>
      <c r="G7" s="149">
        <v>-0.15</v>
      </c>
      <c r="H7" s="150">
        <v>0.25</v>
      </c>
    </row>
    <row r="9" spans="3:4" ht="15.75">
      <c r="C9" s="151" t="s">
        <v>171</v>
      </c>
      <c r="D9" s="151" t="s">
        <v>173</v>
      </c>
    </row>
    <row r="10" spans="2:4" ht="15">
      <c r="B10" s="142" t="s">
        <v>186</v>
      </c>
      <c r="C10" s="152">
        <f>$G$7</f>
        <v>-0.15</v>
      </c>
      <c r="D10" s="152">
        <f>$H$7</f>
        <v>0.25</v>
      </c>
    </row>
    <row r="11" spans="2:4" ht="15">
      <c r="B11" s="142" t="s">
        <v>184</v>
      </c>
      <c r="C11" s="152">
        <f>$C$7</f>
        <v>-0.05</v>
      </c>
      <c r="D11" s="152">
        <f>$D$7</f>
        <v>0.1</v>
      </c>
    </row>
    <row r="12" spans="2:4" ht="15">
      <c r="B12" s="142" t="s">
        <v>185</v>
      </c>
      <c r="C12" s="152">
        <f>$E$7</f>
        <v>-0.1</v>
      </c>
      <c r="D12" s="152">
        <f>$F$7</f>
        <v>0.15</v>
      </c>
    </row>
    <row r="13" spans="2:4" ht="15">
      <c r="B13" s="142" t="s">
        <v>178</v>
      </c>
      <c r="C13" s="152">
        <f>$G$5</f>
        <v>-0.3</v>
      </c>
      <c r="D13" s="152">
        <f>$H$5</f>
        <v>0.6</v>
      </c>
    </row>
    <row r="14" spans="2:4" ht="15">
      <c r="B14" s="142" t="s">
        <v>179</v>
      </c>
      <c r="C14" s="152">
        <f>$C$5</f>
        <v>-0.15</v>
      </c>
      <c r="D14" s="152">
        <f>$D$5</f>
        <v>0.25</v>
      </c>
    </row>
    <row r="15" spans="2:4" ht="15">
      <c r="B15" s="142" t="s">
        <v>180</v>
      </c>
      <c r="C15" s="152">
        <f>$E$5</f>
        <v>-0.2</v>
      </c>
      <c r="D15" s="152">
        <f>$F$5</f>
        <v>0.4</v>
      </c>
    </row>
    <row r="16" spans="2:4" ht="15">
      <c r="B16" s="142" t="s">
        <v>183</v>
      </c>
      <c r="C16" s="152">
        <f>$G$6</f>
        <v>-0.2</v>
      </c>
      <c r="D16" s="152">
        <f>$H$6</f>
        <v>0.4</v>
      </c>
    </row>
    <row r="17" spans="2:4" ht="15">
      <c r="B17" s="142" t="s">
        <v>181</v>
      </c>
      <c r="C17" s="152">
        <f>$C$6</f>
        <v>-0.1</v>
      </c>
      <c r="D17" s="152">
        <f>$D$6</f>
        <v>0.15</v>
      </c>
    </row>
    <row r="18" spans="2:4" ht="15">
      <c r="B18" s="142" t="s">
        <v>182</v>
      </c>
      <c r="C18" s="152">
        <f>$E$6</f>
        <v>-0.15</v>
      </c>
      <c r="D18" s="152">
        <f>$F$6</f>
        <v>0.25</v>
      </c>
    </row>
    <row r="19" spans="3:4" ht="15">
      <c r="C19" s="152"/>
      <c r="D19" s="152"/>
    </row>
    <row r="20" spans="3:4" ht="15">
      <c r="C20" s="152"/>
      <c r="D20" s="152"/>
    </row>
    <row r="21" ht="15.75">
      <c r="A21" s="153" t="s">
        <v>189</v>
      </c>
    </row>
    <row r="23" ht="15">
      <c r="A23" s="154" t="s">
        <v>169</v>
      </c>
    </row>
    <row r="24" spans="2:3" ht="15">
      <c r="B24" s="142" t="s">
        <v>173</v>
      </c>
      <c r="C24" s="142" t="s">
        <v>190</v>
      </c>
    </row>
    <row r="25" spans="2:11" ht="15">
      <c r="B25" s="155"/>
      <c r="C25" s="155" t="s">
        <v>191</v>
      </c>
      <c r="D25" s="155"/>
      <c r="E25" s="155"/>
      <c r="F25" s="155"/>
      <c r="G25" s="155"/>
      <c r="H25" s="155"/>
      <c r="I25" s="155"/>
      <c r="J25" s="155"/>
      <c r="K25" s="155"/>
    </row>
    <row r="26" spans="2:11" ht="15">
      <c r="B26" s="156" t="s">
        <v>172</v>
      </c>
      <c r="C26" s="156" t="s">
        <v>200</v>
      </c>
      <c r="D26" s="156"/>
      <c r="E26" s="156"/>
      <c r="F26" s="156"/>
      <c r="G26" s="156"/>
      <c r="H26" s="156"/>
      <c r="I26" s="156"/>
      <c r="J26" s="156"/>
      <c r="K26" s="156"/>
    </row>
    <row r="27" spans="2:11" ht="15">
      <c r="B27" s="155"/>
      <c r="C27" s="155" t="s">
        <v>192</v>
      </c>
      <c r="D27" s="155"/>
      <c r="E27" s="155"/>
      <c r="F27" s="155"/>
      <c r="G27" s="155"/>
      <c r="H27" s="155"/>
      <c r="I27" s="155"/>
      <c r="J27" s="155"/>
      <c r="K27" s="155"/>
    </row>
    <row r="28" spans="2:3" ht="15">
      <c r="B28" s="142" t="s">
        <v>171</v>
      </c>
      <c r="C28" s="142" t="s">
        <v>193</v>
      </c>
    </row>
    <row r="29" spans="2:11" ht="15">
      <c r="B29" s="155"/>
      <c r="C29" s="155" t="s">
        <v>194</v>
      </c>
      <c r="D29" s="155"/>
      <c r="E29" s="155"/>
      <c r="F29" s="155"/>
      <c r="G29" s="155"/>
      <c r="H29" s="155"/>
      <c r="I29" s="155"/>
      <c r="J29" s="155"/>
      <c r="K29" s="155"/>
    </row>
    <row r="30" ht="15">
      <c r="A30" s="154" t="s">
        <v>170</v>
      </c>
    </row>
    <row r="31" spans="2:3" ht="15">
      <c r="B31" s="142" t="s">
        <v>171</v>
      </c>
      <c r="C31" s="142" t="s">
        <v>195</v>
      </c>
    </row>
    <row r="32" spans="2:11" ht="15">
      <c r="B32" s="155"/>
      <c r="C32" s="155" t="s">
        <v>202</v>
      </c>
      <c r="D32" s="155"/>
      <c r="E32" s="155"/>
      <c r="F32" s="155"/>
      <c r="G32" s="155"/>
      <c r="H32" s="155"/>
      <c r="I32" s="155"/>
      <c r="J32" s="155"/>
      <c r="K32" s="155"/>
    </row>
    <row r="33" spans="2:3" ht="15">
      <c r="B33" s="142" t="s">
        <v>172</v>
      </c>
      <c r="C33" s="142" t="s">
        <v>196</v>
      </c>
    </row>
    <row r="34" spans="2:11" ht="15">
      <c r="B34" s="155"/>
      <c r="C34" s="155" t="s">
        <v>197</v>
      </c>
      <c r="D34" s="155"/>
      <c r="E34" s="155"/>
      <c r="F34" s="155"/>
      <c r="G34" s="155"/>
      <c r="H34" s="155"/>
      <c r="I34" s="155"/>
      <c r="J34" s="155"/>
      <c r="K34" s="155"/>
    </row>
    <row r="35" spans="2:3" ht="15">
      <c r="B35" s="142" t="s">
        <v>173</v>
      </c>
      <c r="C35" s="142" t="s">
        <v>198</v>
      </c>
    </row>
    <row r="36" spans="2:11" ht="15">
      <c r="B36" s="155"/>
      <c r="C36" s="155" t="s">
        <v>199</v>
      </c>
      <c r="D36" s="155"/>
      <c r="E36" s="155"/>
      <c r="F36" s="155"/>
      <c r="G36" s="155"/>
      <c r="H36" s="155"/>
      <c r="I36" s="155"/>
      <c r="J36" s="155"/>
      <c r="K36" s="155"/>
    </row>
    <row r="39" ht="15.75">
      <c r="A39" s="153" t="s">
        <v>203</v>
      </c>
    </row>
    <row r="41" spans="1:2" ht="15">
      <c r="A41" s="157" t="s">
        <v>204</v>
      </c>
      <c r="B41" s="157"/>
    </row>
    <row r="42" ht="15">
      <c r="B42" s="157" t="s">
        <v>205</v>
      </c>
    </row>
    <row r="44" spans="2:13" ht="15">
      <c r="B44" s="154" t="s">
        <v>206</v>
      </c>
      <c r="C44" s="154" t="s">
        <v>207</v>
      </c>
      <c r="D44" s="154"/>
      <c r="E44" s="154" t="s">
        <v>208</v>
      </c>
      <c r="F44" s="154"/>
      <c r="G44" s="154"/>
      <c r="I44" s="154" t="s">
        <v>209</v>
      </c>
      <c r="J44" s="154"/>
      <c r="L44" s="198" t="s">
        <v>210</v>
      </c>
      <c r="M44" s="198"/>
    </row>
    <row r="45" spans="2:13" ht="15">
      <c r="B45" s="1">
        <v>5</v>
      </c>
      <c r="C45" s="197" t="s">
        <v>211</v>
      </c>
      <c r="D45" s="197"/>
      <c r="E45" s="158" t="s">
        <v>216</v>
      </c>
      <c r="I45" s="142" t="s">
        <v>221</v>
      </c>
      <c r="L45" s="199" t="s">
        <v>230</v>
      </c>
      <c r="M45" s="199"/>
    </row>
    <row r="46" spans="2:13" ht="15">
      <c r="B46" s="1">
        <v>4</v>
      </c>
      <c r="C46" s="197" t="s">
        <v>213</v>
      </c>
      <c r="D46" s="197"/>
      <c r="E46" s="158" t="s">
        <v>217</v>
      </c>
      <c r="I46" s="142" t="s">
        <v>222</v>
      </c>
      <c r="L46" s="199" t="s">
        <v>226</v>
      </c>
      <c r="M46" s="199"/>
    </row>
    <row r="47" spans="2:13" ht="15">
      <c r="B47" s="1">
        <v>3</v>
      </c>
      <c r="C47" s="197" t="s">
        <v>212</v>
      </c>
      <c r="D47" s="197"/>
      <c r="E47" s="158" t="s">
        <v>218</v>
      </c>
      <c r="I47" s="142" t="s">
        <v>223</v>
      </c>
      <c r="L47" s="199" t="s">
        <v>227</v>
      </c>
      <c r="M47" s="199"/>
    </row>
    <row r="48" spans="2:13" ht="15">
      <c r="B48" s="1">
        <v>2</v>
      </c>
      <c r="C48" s="197" t="s">
        <v>214</v>
      </c>
      <c r="D48" s="197"/>
      <c r="E48" s="158" t="s">
        <v>219</v>
      </c>
      <c r="I48" s="142" t="s">
        <v>224</v>
      </c>
      <c r="L48" s="199" t="s">
        <v>228</v>
      </c>
      <c r="M48" s="199"/>
    </row>
    <row r="49" spans="2:13" ht="15">
      <c r="B49" s="1">
        <v>1</v>
      </c>
      <c r="C49" s="197" t="s">
        <v>215</v>
      </c>
      <c r="D49" s="197"/>
      <c r="E49" s="158" t="s">
        <v>220</v>
      </c>
      <c r="I49" s="142" t="s">
        <v>225</v>
      </c>
      <c r="L49" s="199" t="s">
        <v>229</v>
      </c>
      <c r="M49" s="199"/>
    </row>
  </sheetData>
  <mergeCells count="16">
    <mergeCell ref="C48:D48"/>
    <mergeCell ref="B1:H1"/>
    <mergeCell ref="C3:H3"/>
    <mergeCell ref="C4:D4"/>
    <mergeCell ref="E4:F4"/>
    <mergeCell ref="G4:H4"/>
    <mergeCell ref="C49:D49"/>
    <mergeCell ref="L44:M44"/>
    <mergeCell ref="L45:M45"/>
    <mergeCell ref="L46:M46"/>
    <mergeCell ref="L47:M47"/>
    <mergeCell ref="L48:M48"/>
    <mergeCell ref="L49:M49"/>
    <mergeCell ref="C45:D45"/>
    <mergeCell ref="C46:D46"/>
    <mergeCell ref="C47:D47"/>
  </mergeCells>
  <printOptions/>
  <pageMargins left="0.75" right="0.75" top="1" bottom="1" header="0.5" footer="0.5"/>
  <pageSetup fitToHeight="1" fitToWidth="1" horizontalDpi="600" verticalDpi="600" orientation="landscape" scale="64" r:id="rId1"/>
</worksheet>
</file>

<file path=xl/worksheets/sheet11.xml><?xml version="1.0" encoding="utf-8"?>
<worksheet xmlns="http://schemas.openxmlformats.org/spreadsheetml/2006/main" xmlns:r="http://schemas.openxmlformats.org/officeDocument/2006/relationships">
  <dimension ref="B2:F31"/>
  <sheetViews>
    <sheetView workbookViewId="0" topLeftCell="A1">
      <selection activeCell="A1" sqref="A1:IV16384"/>
    </sheetView>
  </sheetViews>
  <sheetFormatPr defaultColWidth="9.140625" defaultRowHeight="12.75"/>
  <cols>
    <col min="1" max="3" width="9.140625" style="53" customWidth="1"/>
    <col min="4" max="4" width="24.140625" style="53" customWidth="1"/>
    <col min="5" max="16384" width="9.140625" style="53" customWidth="1"/>
  </cols>
  <sheetData>
    <row r="2" spans="5:6" ht="12.75">
      <c r="E2" s="69"/>
      <c r="F2" s="69"/>
    </row>
    <row r="3" spans="2:6" ht="12.75">
      <c r="B3" s="51" t="s">
        <v>407</v>
      </c>
      <c r="E3" s="69"/>
      <c r="F3" s="69"/>
    </row>
    <row r="4" spans="5:6" ht="12.75">
      <c r="E4" s="69"/>
      <c r="F4" s="69"/>
    </row>
    <row r="5" spans="5:6" ht="12.75">
      <c r="E5" s="69"/>
      <c r="F5" s="69"/>
    </row>
    <row r="6" spans="2:6" ht="12.75">
      <c r="B6" s="53" t="s">
        <v>408</v>
      </c>
      <c r="C6" s="53" t="s">
        <v>409</v>
      </c>
      <c r="D6" s="53" t="s">
        <v>410</v>
      </c>
      <c r="E6" s="69" t="s">
        <v>411</v>
      </c>
      <c r="F6" s="69" t="s">
        <v>412</v>
      </c>
    </row>
    <row r="7" spans="2:6" ht="12.75">
      <c r="B7" s="53">
        <v>19</v>
      </c>
      <c r="C7" s="53">
        <v>1901</v>
      </c>
      <c r="D7" s="53" t="s">
        <v>413</v>
      </c>
      <c r="E7" s="69">
        <v>185</v>
      </c>
      <c r="F7" s="69">
        <f>+E7/12</f>
        <v>15.416666666666666</v>
      </c>
    </row>
    <row r="8" spans="2:6" ht="12.75">
      <c r="B8" s="53">
        <v>81</v>
      </c>
      <c r="C8" s="53">
        <v>8101</v>
      </c>
      <c r="D8" s="53" t="s">
        <v>414</v>
      </c>
      <c r="E8" s="69">
        <v>1000</v>
      </c>
      <c r="F8" s="69">
        <f aca="true" t="shared" si="0" ref="F8:F15">+E8/12</f>
        <v>83.33333333333333</v>
      </c>
    </row>
    <row r="9" spans="2:6" ht="12.75">
      <c r="B9" s="53">
        <v>81</v>
      </c>
      <c r="C9" s="53">
        <v>8102</v>
      </c>
      <c r="D9" s="53" t="s">
        <v>415</v>
      </c>
      <c r="E9" s="69">
        <v>158</v>
      </c>
      <c r="F9" s="69">
        <f t="shared" si="0"/>
        <v>13.166666666666666</v>
      </c>
    </row>
    <row r="10" spans="2:6" ht="12.75">
      <c r="B10" s="53">
        <v>82</v>
      </c>
      <c r="C10" s="53">
        <v>8202</v>
      </c>
      <c r="D10" s="53" t="s">
        <v>416</v>
      </c>
      <c r="E10" s="69">
        <v>550</v>
      </c>
      <c r="F10" s="69">
        <f t="shared" si="0"/>
        <v>45.833333333333336</v>
      </c>
    </row>
    <row r="11" spans="2:6" ht="12.75">
      <c r="B11" s="53">
        <v>82</v>
      </c>
      <c r="C11" s="53">
        <v>8203</v>
      </c>
      <c r="D11" s="53" t="s">
        <v>417</v>
      </c>
      <c r="E11" s="69">
        <v>98</v>
      </c>
      <c r="F11" s="69">
        <f t="shared" si="0"/>
        <v>8.166666666666666</v>
      </c>
    </row>
    <row r="12" spans="2:6" ht="12.75">
      <c r="B12" s="53">
        <v>82</v>
      </c>
      <c r="C12" s="53">
        <v>8204</v>
      </c>
      <c r="D12" s="53" t="s">
        <v>418</v>
      </c>
      <c r="E12" s="69">
        <v>0</v>
      </c>
      <c r="F12" s="69">
        <f t="shared" si="0"/>
        <v>0</v>
      </c>
    </row>
    <row r="13" spans="2:6" ht="12.75">
      <c r="B13" s="53">
        <v>82</v>
      </c>
      <c r="C13" s="53">
        <v>8205</v>
      </c>
      <c r="D13" s="53" t="s">
        <v>419</v>
      </c>
      <c r="E13" s="69">
        <v>0</v>
      </c>
      <c r="F13" s="69">
        <f t="shared" si="0"/>
        <v>0</v>
      </c>
    </row>
    <row r="14" spans="2:6" ht="12.75">
      <c r="B14" s="53">
        <v>82</v>
      </c>
      <c r="C14" s="53">
        <v>8215</v>
      </c>
      <c r="D14" s="53" t="s">
        <v>420</v>
      </c>
      <c r="E14" s="69">
        <v>0</v>
      </c>
      <c r="F14" s="69">
        <f t="shared" si="0"/>
        <v>0</v>
      </c>
    </row>
    <row r="15" spans="2:6" ht="12.75">
      <c r="B15" s="53">
        <v>89</v>
      </c>
      <c r="C15" s="53">
        <v>8998</v>
      </c>
      <c r="D15" s="53" t="s">
        <v>421</v>
      </c>
      <c r="E15" s="69">
        <v>430</v>
      </c>
      <c r="F15" s="138">
        <f t="shared" si="0"/>
        <v>35.833333333333336</v>
      </c>
    </row>
    <row r="16" spans="5:6" ht="12.75">
      <c r="E16" s="69"/>
      <c r="F16" s="69">
        <f>SUM(F7:F15)</f>
        <v>201.75</v>
      </c>
    </row>
    <row r="17" spans="5:6" ht="12.75">
      <c r="E17" s="69"/>
      <c r="F17" s="69"/>
    </row>
    <row r="18" spans="2:6" ht="12.75">
      <c r="B18" s="51" t="s">
        <v>422</v>
      </c>
      <c r="E18" s="69"/>
      <c r="F18" s="69"/>
    </row>
    <row r="19" spans="5:6" ht="12.75">
      <c r="E19" s="69"/>
      <c r="F19" s="69"/>
    </row>
    <row r="20" spans="2:6" ht="12.75">
      <c r="B20" s="53" t="s">
        <v>423</v>
      </c>
      <c r="E20" s="69" t="s">
        <v>424</v>
      </c>
      <c r="F20" s="69">
        <v>16.6</v>
      </c>
    </row>
    <row r="21" spans="2:6" ht="12.75">
      <c r="B21" s="53" t="s">
        <v>425</v>
      </c>
      <c r="E21" s="69" t="s">
        <v>426</v>
      </c>
      <c r="F21" s="69">
        <v>24.69</v>
      </c>
    </row>
    <row r="22" spans="2:6" ht="12.75">
      <c r="B22" s="53" t="s">
        <v>427</v>
      </c>
      <c r="E22" s="69" t="s">
        <v>428</v>
      </c>
      <c r="F22" s="69">
        <v>0</v>
      </c>
    </row>
    <row r="23" spans="2:6" ht="12.75">
      <c r="B23" s="53" t="s">
        <v>429</v>
      </c>
      <c r="E23" s="69" t="s">
        <v>430</v>
      </c>
      <c r="F23" s="69">
        <v>16</v>
      </c>
    </row>
    <row r="24" spans="2:6" ht="12.75">
      <c r="B24" s="53" t="s">
        <v>431</v>
      </c>
      <c r="E24" s="69"/>
      <c r="F24" s="138">
        <f>5*8*21*82.5*0.1/1000</f>
        <v>6.93</v>
      </c>
    </row>
    <row r="25" spans="5:6" ht="12.75">
      <c r="E25" s="69"/>
      <c r="F25" s="69">
        <f>SUM(F20:F24)</f>
        <v>64.22</v>
      </c>
    </row>
    <row r="26" spans="5:6" ht="12.75">
      <c r="E26" s="69"/>
      <c r="F26" s="69"/>
    </row>
    <row r="27" spans="5:6" ht="12.75">
      <c r="E27" s="69"/>
      <c r="F27" s="69"/>
    </row>
    <row r="28" spans="5:6" ht="12.75">
      <c r="E28" s="69"/>
      <c r="F28" s="69"/>
    </row>
    <row r="29" spans="5:6" ht="12.75">
      <c r="E29" s="69"/>
      <c r="F29" s="69"/>
    </row>
    <row r="30" spans="5:6" ht="12.75">
      <c r="E30" s="69"/>
      <c r="F30" s="69"/>
    </row>
    <row r="31" spans="5:6" ht="12.75">
      <c r="E31" s="69"/>
      <c r="F31" s="69"/>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4"/>
  <dimension ref="A1:J39"/>
  <sheetViews>
    <sheetView workbookViewId="0" topLeftCell="D16">
      <selection activeCell="D16" sqref="A1:IV16384"/>
    </sheetView>
  </sheetViews>
  <sheetFormatPr defaultColWidth="9.140625" defaultRowHeight="12.75"/>
  <cols>
    <col min="1" max="1" width="6.57421875" style="53" customWidth="1"/>
    <col min="2" max="2" width="53.28125" style="53" bestFit="1" customWidth="1"/>
    <col min="3" max="3" width="9.7109375" style="53" bestFit="1" customWidth="1"/>
    <col min="4" max="4" width="39.8515625" style="53" customWidth="1"/>
    <col min="5" max="9" width="9.8515625" style="53" bestFit="1" customWidth="1"/>
    <col min="10" max="16384" width="9.140625" style="53" customWidth="1"/>
  </cols>
  <sheetData>
    <row r="1" ht="12.75">
      <c r="A1" s="51" t="s">
        <v>111</v>
      </c>
    </row>
    <row r="2" spans="1:5" ht="12.75">
      <c r="A2" s="53" t="s">
        <v>112</v>
      </c>
      <c r="E2" s="53" t="s">
        <v>113</v>
      </c>
    </row>
    <row r="3" spans="5:10" ht="12.75">
      <c r="E3" s="51" t="s">
        <v>114</v>
      </c>
      <c r="F3" s="51" t="s">
        <v>115</v>
      </c>
      <c r="G3" s="51" t="s">
        <v>116</v>
      </c>
      <c r="H3" s="51" t="s">
        <v>117</v>
      </c>
      <c r="I3" s="51" t="s">
        <v>118</v>
      </c>
      <c r="J3" s="51" t="s">
        <v>304</v>
      </c>
    </row>
    <row r="4" spans="1:10" ht="12.75">
      <c r="A4" s="53" t="s">
        <v>119</v>
      </c>
      <c r="E4" s="69"/>
      <c r="F4" s="69"/>
      <c r="G4" s="69"/>
      <c r="H4" s="69"/>
      <c r="I4" s="69"/>
      <c r="J4" s="69"/>
    </row>
    <row r="5" spans="2:10" ht="12.75">
      <c r="B5" s="53" t="s">
        <v>313</v>
      </c>
      <c r="C5" s="53" t="s">
        <v>120</v>
      </c>
      <c r="D5" s="53" t="s">
        <v>121</v>
      </c>
      <c r="E5" s="69"/>
      <c r="F5" s="69">
        <v>95.3</v>
      </c>
      <c r="G5" s="69"/>
      <c r="H5" s="69"/>
      <c r="I5" s="69"/>
      <c r="J5" s="69">
        <v>95.3</v>
      </c>
    </row>
    <row r="6" spans="2:10" ht="12.75">
      <c r="B6" s="53" t="s">
        <v>315</v>
      </c>
      <c r="C6" s="53" t="s">
        <v>122</v>
      </c>
      <c r="D6" s="53" t="s">
        <v>123</v>
      </c>
      <c r="E6" s="69"/>
      <c r="F6" s="69"/>
      <c r="G6" s="69">
        <v>33.7</v>
      </c>
      <c r="H6" s="69"/>
      <c r="I6" s="69"/>
      <c r="J6" s="69">
        <v>33.7</v>
      </c>
    </row>
    <row r="7" spans="2:10" ht="12.75">
      <c r="B7" s="53" t="s">
        <v>336</v>
      </c>
      <c r="C7" s="53" t="s">
        <v>124</v>
      </c>
      <c r="D7" s="53" t="s">
        <v>125</v>
      </c>
      <c r="E7" s="69"/>
      <c r="F7" s="69"/>
      <c r="G7" s="69">
        <v>64.7</v>
      </c>
      <c r="H7" s="69">
        <v>17.8</v>
      </c>
      <c r="I7" s="69"/>
      <c r="J7" s="69">
        <v>82.5</v>
      </c>
    </row>
    <row r="8" spans="2:10" ht="12.75">
      <c r="B8" s="53" t="s">
        <v>362</v>
      </c>
      <c r="C8" s="53" t="s">
        <v>126</v>
      </c>
      <c r="D8" s="53" t="s">
        <v>127</v>
      </c>
      <c r="E8" s="69"/>
      <c r="F8" s="69"/>
      <c r="G8" s="69">
        <v>10</v>
      </c>
      <c r="H8" s="69"/>
      <c r="I8" s="69"/>
      <c r="J8" s="69">
        <v>10</v>
      </c>
    </row>
    <row r="9" spans="2:10" ht="12.75">
      <c r="B9" s="53" t="s">
        <v>363</v>
      </c>
      <c r="C9" s="53" t="s">
        <v>128</v>
      </c>
      <c r="D9" s="53" t="s">
        <v>129</v>
      </c>
      <c r="E9" s="69"/>
      <c r="F9" s="69"/>
      <c r="G9" s="69">
        <v>45</v>
      </c>
      <c r="H9" s="69"/>
      <c r="I9" s="69"/>
      <c r="J9" s="69">
        <v>45</v>
      </c>
    </row>
    <row r="10" spans="2:10" ht="12.75">
      <c r="B10" s="53" t="s">
        <v>363</v>
      </c>
      <c r="C10" s="53" t="s">
        <v>130</v>
      </c>
      <c r="D10" s="53" t="s">
        <v>131</v>
      </c>
      <c r="E10" s="139"/>
      <c r="F10" s="139"/>
      <c r="G10" s="139">
        <v>140</v>
      </c>
      <c r="H10" s="139"/>
      <c r="I10" s="139"/>
      <c r="J10" s="139">
        <v>140</v>
      </c>
    </row>
    <row r="11" spans="5:10" ht="12.75">
      <c r="E11" s="140">
        <f aca="true" t="shared" si="0" ref="E11:J11">SUM(E4:E10)</f>
        <v>0</v>
      </c>
      <c r="F11" s="140">
        <f t="shared" si="0"/>
        <v>95.3</v>
      </c>
      <c r="G11" s="140">
        <f t="shared" si="0"/>
        <v>293.4</v>
      </c>
      <c r="H11" s="140">
        <f t="shared" si="0"/>
        <v>17.8</v>
      </c>
      <c r="I11" s="140">
        <f t="shared" si="0"/>
        <v>0</v>
      </c>
      <c r="J11" s="140">
        <f t="shared" si="0"/>
        <v>406.5</v>
      </c>
    </row>
    <row r="12" spans="1:10" ht="12.75">
      <c r="A12" s="53" t="s">
        <v>132</v>
      </c>
      <c r="E12" s="69"/>
      <c r="F12" s="69"/>
      <c r="G12" s="69"/>
      <c r="H12" s="69"/>
      <c r="I12" s="69"/>
      <c r="J12" s="69"/>
    </row>
    <row r="13" spans="2:10" ht="12.75">
      <c r="B13" s="53" t="s">
        <v>310</v>
      </c>
      <c r="C13" s="53" t="s">
        <v>133</v>
      </c>
      <c r="D13" s="53" t="s">
        <v>134</v>
      </c>
      <c r="E13" s="69"/>
      <c r="F13" s="69"/>
      <c r="G13" s="69">
        <v>58.5</v>
      </c>
      <c r="H13" s="69"/>
      <c r="I13" s="69"/>
      <c r="J13" s="69">
        <v>58.5</v>
      </c>
    </row>
    <row r="14" spans="2:10" ht="12.75">
      <c r="B14" s="53" t="s">
        <v>322</v>
      </c>
      <c r="C14" s="53" t="s">
        <v>135</v>
      </c>
      <c r="D14" s="53" t="s">
        <v>136</v>
      </c>
      <c r="E14" s="69">
        <v>30</v>
      </c>
      <c r="F14" s="69"/>
      <c r="G14" s="69"/>
      <c r="H14" s="69"/>
      <c r="I14" s="69"/>
      <c r="J14" s="69">
        <v>30</v>
      </c>
    </row>
    <row r="15" spans="2:10" ht="12.75">
      <c r="B15" s="53" t="s">
        <v>331</v>
      </c>
      <c r="C15" s="53" t="s">
        <v>137</v>
      </c>
      <c r="D15" s="53" t="s">
        <v>138</v>
      </c>
      <c r="E15" s="69">
        <v>77.6</v>
      </c>
      <c r="F15" s="69"/>
      <c r="G15" s="69"/>
      <c r="H15" s="69"/>
      <c r="I15" s="69"/>
      <c r="J15" s="69">
        <v>77.6</v>
      </c>
    </row>
    <row r="16" spans="2:10" ht="12.75">
      <c r="B16" s="53" t="s">
        <v>331</v>
      </c>
      <c r="C16" s="53" t="s">
        <v>139</v>
      </c>
      <c r="D16" s="53" t="s">
        <v>140</v>
      </c>
      <c r="E16" s="69">
        <v>57.1</v>
      </c>
      <c r="F16" s="69">
        <v>3.5</v>
      </c>
      <c r="G16" s="69"/>
      <c r="H16" s="69"/>
      <c r="I16" s="69"/>
      <c r="J16" s="69">
        <v>60.6</v>
      </c>
    </row>
    <row r="17" spans="2:10" ht="12.75">
      <c r="B17" s="53" t="s">
        <v>340</v>
      </c>
      <c r="C17" s="53" t="s">
        <v>141</v>
      </c>
      <c r="D17" s="53" t="s">
        <v>142</v>
      </c>
      <c r="E17" s="69"/>
      <c r="F17" s="69">
        <v>30</v>
      </c>
      <c r="G17" s="69"/>
      <c r="H17" s="69"/>
      <c r="I17" s="69"/>
      <c r="J17" s="69">
        <v>30</v>
      </c>
    </row>
    <row r="18" spans="2:10" ht="12.75">
      <c r="B18" s="53" t="s">
        <v>335</v>
      </c>
      <c r="C18" s="53" t="s">
        <v>143</v>
      </c>
      <c r="D18" s="53" t="s">
        <v>144</v>
      </c>
      <c r="E18" s="69"/>
      <c r="F18" s="69">
        <v>371.2</v>
      </c>
      <c r="G18" s="69">
        <v>88.4</v>
      </c>
      <c r="H18" s="69"/>
      <c r="I18" s="69"/>
      <c r="J18" s="69">
        <v>459.6</v>
      </c>
    </row>
    <row r="19" spans="2:10" ht="12.75">
      <c r="B19" s="53" t="s">
        <v>335</v>
      </c>
      <c r="C19" s="53" t="s">
        <v>145</v>
      </c>
      <c r="D19" s="53" t="s">
        <v>146</v>
      </c>
      <c r="E19" s="69"/>
      <c r="F19" s="69"/>
      <c r="G19" s="69">
        <v>480.1</v>
      </c>
      <c r="H19" s="69">
        <v>108.7</v>
      </c>
      <c r="I19" s="69"/>
      <c r="J19" s="69">
        <v>588.8</v>
      </c>
    </row>
    <row r="20" spans="2:10" ht="12.75">
      <c r="B20" s="53" t="s">
        <v>335</v>
      </c>
      <c r="C20" s="53" t="s">
        <v>147</v>
      </c>
      <c r="D20" s="53" t="s">
        <v>148</v>
      </c>
      <c r="E20" s="69"/>
      <c r="F20" s="69"/>
      <c r="G20" s="69">
        <v>83.6</v>
      </c>
      <c r="H20" s="69"/>
      <c r="I20" s="69"/>
      <c r="J20" s="69">
        <v>83.6</v>
      </c>
    </row>
    <row r="21" spans="2:10" ht="12.75">
      <c r="B21" s="53" t="s">
        <v>335</v>
      </c>
      <c r="C21" s="53" t="s">
        <v>149</v>
      </c>
      <c r="D21" s="53" t="s">
        <v>150</v>
      </c>
      <c r="E21" s="69"/>
      <c r="F21" s="69"/>
      <c r="G21" s="69">
        <v>84.8</v>
      </c>
      <c r="H21" s="69"/>
      <c r="I21" s="69"/>
      <c r="J21" s="69">
        <v>84.8</v>
      </c>
    </row>
    <row r="22" spans="2:10" ht="12.75">
      <c r="B22" s="53" t="s">
        <v>335</v>
      </c>
      <c r="C22" s="53" t="s">
        <v>151</v>
      </c>
      <c r="D22" s="53" t="s">
        <v>152</v>
      </c>
      <c r="E22" s="69"/>
      <c r="F22" s="69">
        <v>97.5</v>
      </c>
      <c r="G22" s="69"/>
      <c r="H22" s="69"/>
      <c r="I22" s="69"/>
      <c r="J22" s="69">
        <v>97.5</v>
      </c>
    </row>
    <row r="23" spans="2:10" ht="12.75">
      <c r="B23" s="53" t="s">
        <v>335</v>
      </c>
      <c r="C23" s="53" t="s">
        <v>153</v>
      </c>
      <c r="D23" s="53" t="s">
        <v>154</v>
      </c>
      <c r="E23" s="139"/>
      <c r="F23" s="139">
        <v>13.9</v>
      </c>
      <c r="G23" s="139"/>
      <c r="H23" s="139"/>
      <c r="I23" s="139"/>
      <c r="J23" s="139">
        <v>13.9</v>
      </c>
    </row>
    <row r="24" spans="5:10" ht="12.75">
      <c r="E24" s="140">
        <f aca="true" t="shared" si="1" ref="E24:J24">SUM(E13:E23)</f>
        <v>164.7</v>
      </c>
      <c r="F24" s="140">
        <f t="shared" si="1"/>
        <v>516.1</v>
      </c>
      <c r="G24" s="140">
        <f t="shared" si="1"/>
        <v>795.4</v>
      </c>
      <c r="H24" s="140">
        <f t="shared" si="1"/>
        <v>108.7</v>
      </c>
      <c r="I24" s="140">
        <f t="shared" si="1"/>
        <v>0</v>
      </c>
      <c r="J24" s="140">
        <f t="shared" si="1"/>
        <v>1584.8999999999999</v>
      </c>
    </row>
    <row r="25" spans="5:10" ht="12.75">
      <c r="E25" s="69"/>
      <c r="F25" s="69"/>
      <c r="G25" s="69"/>
      <c r="H25" s="69"/>
      <c r="I25" s="69"/>
      <c r="J25" s="69"/>
    </row>
    <row r="26" spans="5:10" ht="12.75">
      <c r="E26" s="69"/>
      <c r="F26" s="69"/>
      <c r="G26" s="69"/>
      <c r="H26" s="69"/>
      <c r="I26" s="69"/>
      <c r="J26" s="69"/>
    </row>
    <row r="27" spans="1:10" ht="12.75">
      <c r="A27" s="64" t="s">
        <v>155</v>
      </c>
      <c r="E27" s="69"/>
      <c r="F27" s="69"/>
      <c r="G27" s="69"/>
      <c r="H27" s="69"/>
      <c r="I27" s="69"/>
      <c r="J27" s="69"/>
    </row>
    <row r="28" spans="5:10" ht="12.75">
      <c r="E28" s="69"/>
      <c r="F28" s="69"/>
      <c r="G28" s="69"/>
      <c r="H28" s="69"/>
      <c r="I28" s="69"/>
      <c r="J28" s="69"/>
    </row>
    <row r="29" spans="2:10" ht="12.75">
      <c r="B29" s="53" t="s">
        <v>156</v>
      </c>
      <c r="E29" s="140">
        <f aca="true" t="shared" si="2" ref="E29:J29">+E11/2</f>
        <v>0</v>
      </c>
      <c r="F29" s="140">
        <f t="shared" si="2"/>
        <v>47.65</v>
      </c>
      <c r="G29" s="140">
        <f t="shared" si="2"/>
        <v>146.7</v>
      </c>
      <c r="H29" s="140">
        <f t="shared" si="2"/>
        <v>8.9</v>
      </c>
      <c r="I29" s="140">
        <f t="shared" si="2"/>
        <v>0</v>
      </c>
      <c r="J29" s="140">
        <f t="shared" si="2"/>
        <v>203.25</v>
      </c>
    </row>
    <row r="30" spans="2:10" ht="12.75">
      <c r="B30" s="53" t="s">
        <v>157</v>
      </c>
      <c r="C30" s="56">
        <v>0.03</v>
      </c>
      <c r="D30" s="53" t="s">
        <v>158</v>
      </c>
      <c r="E30" s="141">
        <v>0</v>
      </c>
      <c r="F30" s="141">
        <f>(1+$C$30)-1</f>
        <v>0.030000000000000027</v>
      </c>
      <c r="G30" s="141">
        <f>((1+C30)*(1+C30))-1</f>
        <v>0.060899999999999954</v>
      </c>
      <c r="H30" s="141">
        <f>((1+C30)*(1+C30)*(1+C30))-1</f>
        <v>0.092727</v>
      </c>
      <c r="I30" s="141">
        <f>((1+C30)*(1+C30)*(1+C30)*(1+C30))-1</f>
        <v>0.12550881000000014</v>
      </c>
      <c r="J30" s="141"/>
    </row>
    <row r="31" spans="3:10" ht="12.75">
      <c r="C31" s="56"/>
      <c r="E31" s="140">
        <f>E30*E$29</f>
        <v>0</v>
      </c>
      <c r="F31" s="140">
        <f>F30*F$29</f>
        <v>1.4295000000000013</v>
      </c>
      <c r="G31" s="140">
        <f>G30*G$29</f>
        <v>8.934029999999993</v>
      </c>
      <c r="H31" s="140">
        <f>H30*H$29</f>
        <v>0.8252703</v>
      </c>
      <c r="I31" s="140">
        <f>I30*I$29</f>
        <v>0</v>
      </c>
      <c r="J31" s="140">
        <f>SUM(E31:I31)</f>
        <v>11.188800299999993</v>
      </c>
    </row>
    <row r="32" spans="2:10" ht="12.75">
      <c r="B32" s="53" t="s">
        <v>159</v>
      </c>
      <c r="C32" s="56">
        <v>0.2</v>
      </c>
      <c r="D32" s="53" t="s">
        <v>158</v>
      </c>
      <c r="E32" s="141">
        <v>0</v>
      </c>
      <c r="F32" s="141">
        <f>(1+$C$32)-1</f>
        <v>0.19999999999999996</v>
      </c>
      <c r="G32" s="141">
        <f>((1+C32)*(1+C32))-1</f>
        <v>0.43999999999999995</v>
      </c>
      <c r="H32" s="141">
        <f>((1+C32)*(1+C32)*(1+C32))-1</f>
        <v>0.728</v>
      </c>
      <c r="I32" s="141">
        <f>((1+C32)*(1+C32)*(1+C32)*(1+C32))-1</f>
        <v>1.0735999999999999</v>
      </c>
      <c r="J32" s="141"/>
    </row>
    <row r="33" spans="5:10" ht="12.75">
      <c r="E33" s="140">
        <f>E32*E$29</f>
        <v>0</v>
      </c>
      <c r="F33" s="140">
        <f>F32*F$29</f>
        <v>9.529999999999998</v>
      </c>
      <c r="G33" s="140">
        <f>G32*G$29</f>
        <v>64.54799999999999</v>
      </c>
      <c r="H33" s="140">
        <f>H32*H$29</f>
        <v>6.4792000000000005</v>
      </c>
      <c r="I33" s="140">
        <f>I32*I$29</f>
        <v>0</v>
      </c>
      <c r="J33" s="140">
        <f>SUM(E33:I33)</f>
        <v>80.5572</v>
      </c>
    </row>
    <row r="34" spans="5:10" ht="12.75">
      <c r="E34" s="140"/>
      <c r="F34" s="140"/>
      <c r="G34" s="140"/>
      <c r="H34" s="140"/>
      <c r="I34" s="140"/>
      <c r="J34" s="140"/>
    </row>
    <row r="35" spans="2:10" ht="12.75">
      <c r="B35" s="53" t="s">
        <v>160</v>
      </c>
      <c r="E35" s="140">
        <f aca="true" t="shared" si="3" ref="E35:J35">+E24/2</f>
        <v>82.35</v>
      </c>
      <c r="F35" s="140">
        <f t="shared" si="3"/>
        <v>258.05</v>
      </c>
      <c r="G35" s="140">
        <f t="shared" si="3"/>
        <v>397.7</v>
      </c>
      <c r="H35" s="140">
        <f t="shared" si="3"/>
        <v>54.35</v>
      </c>
      <c r="I35" s="140">
        <f t="shared" si="3"/>
        <v>0</v>
      </c>
      <c r="J35" s="140">
        <f t="shared" si="3"/>
        <v>792.4499999999999</v>
      </c>
    </row>
    <row r="36" spans="2:10" ht="12.75">
      <c r="B36" s="53" t="s">
        <v>161</v>
      </c>
      <c r="C36" s="56">
        <v>0.03</v>
      </c>
      <c r="D36" s="53" t="s">
        <v>158</v>
      </c>
      <c r="E36" s="141">
        <v>0</v>
      </c>
      <c r="F36" s="141">
        <f>(1+$C$36)-1</f>
        <v>0.030000000000000027</v>
      </c>
      <c r="G36" s="141">
        <f>((1+C36)*(1+C36))-1</f>
        <v>0.060899999999999954</v>
      </c>
      <c r="H36" s="141">
        <f>((1+C36)*(1+C36)*(1+C36))-1</f>
        <v>0.092727</v>
      </c>
      <c r="I36" s="141">
        <f>((1+C36)*(1+C36)*(1+C36)*(1+C36))-1</f>
        <v>0.12550881000000014</v>
      </c>
      <c r="J36" s="141"/>
    </row>
    <row r="37" spans="3:10" ht="12.75">
      <c r="C37" s="56"/>
      <c r="E37" s="140">
        <f>E36*E$35</f>
        <v>0</v>
      </c>
      <c r="F37" s="140">
        <f>F36*F$35</f>
        <v>7.741500000000007</v>
      </c>
      <c r="G37" s="140">
        <f>G36*G$35</f>
        <v>24.21992999999998</v>
      </c>
      <c r="H37" s="140">
        <f>H36*H$35</f>
        <v>5.039712450000001</v>
      </c>
      <c r="I37" s="140">
        <f>I36*I$35</f>
        <v>0</v>
      </c>
      <c r="J37" s="140">
        <f>SUM(E37:I37)</f>
        <v>37.00114244999999</v>
      </c>
    </row>
    <row r="38" spans="2:10" ht="12.75">
      <c r="B38" s="53" t="s">
        <v>162</v>
      </c>
      <c r="C38" s="56">
        <v>0.2</v>
      </c>
      <c r="D38" s="53" t="s">
        <v>158</v>
      </c>
      <c r="E38" s="141">
        <v>0</v>
      </c>
      <c r="F38" s="141">
        <f>(1+$C$38)-1</f>
        <v>0.19999999999999996</v>
      </c>
      <c r="G38" s="141">
        <f>((1+C38)*(1+C38))-1</f>
        <v>0.43999999999999995</v>
      </c>
      <c r="H38" s="141">
        <f>((1+C38)*(1+C38)*(1+C38))-1</f>
        <v>0.728</v>
      </c>
      <c r="I38" s="141">
        <f>((1+C38)*(1+C38)*(1+C38)*(1+C38))-1</f>
        <v>1.0735999999999999</v>
      </c>
      <c r="J38" s="141"/>
    </row>
    <row r="39" spans="5:10" ht="12.75">
      <c r="E39" s="140">
        <f>E38*E$35</f>
        <v>0</v>
      </c>
      <c r="F39" s="140">
        <f>F38*F$35</f>
        <v>51.60999999999999</v>
      </c>
      <c r="G39" s="140">
        <f>G38*G$35</f>
        <v>174.98799999999997</v>
      </c>
      <c r="H39" s="140">
        <f>H38*H$35</f>
        <v>39.5668</v>
      </c>
      <c r="I39" s="140">
        <f>I38*I$35</f>
        <v>0</v>
      </c>
      <c r="J39" s="140">
        <f>SUM(E39:I39)</f>
        <v>266.16479999999996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34"/>
  <sheetViews>
    <sheetView workbookViewId="0" topLeftCell="A1">
      <selection activeCell="A1" sqref="A1:D1"/>
    </sheetView>
  </sheetViews>
  <sheetFormatPr defaultColWidth="9.140625" defaultRowHeight="12.75"/>
  <cols>
    <col min="1" max="1" width="7.8515625" style="0" customWidth="1"/>
    <col min="2" max="2" width="34.8515625" style="0" customWidth="1"/>
    <col min="3" max="3" width="16.140625" style="0" customWidth="1"/>
    <col min="4" max="4" width="9.7109375" style="0" customWidth="1"/>
  </cols>
  <sheetData>
    <row r="1" spans="1:4" ht="12.75">
      <c r="A1" s="182" t="s">
        <v>474</v>
      </c>
      <c r="B1" s="182"/>
      <c r="C1" s="182"/>
      <c r="D1" s="182"/>
    </row>
    <row r="3" spans="1:4" ht="12.75">
      <c r="A3" s="13" t="s">
        <v>457</v>
      </c>
      <c r="B3" s="13"/>
      <c r="C3" s="39">
        <f>'Schedule Ranges'!C16</f>
        <v>45.25</v>
      </c>
      <c r="D3" t="s">
        <v>459</v>
      </c>
    </row>
    <row r="4" ht="12.75">
      <c r="C4" s="16"/>
    </row>
    <row r="5" spans="1:3" ht="12.75">
      <c r="A5" t="s">
        <v>164</v>
      </c>
      <c r="C5" s="24">
        <f>'Uncertainty Results'!C20-'Summary-Separate Models'!C3</f>
        <v>7.913857075377045</v>
      </c>
    </row>
    <row r="6" spans="1:3" ht="12.75">
      <c r="A6" t="s">
        <v>165</v>
      </c>
      <c r="C6" s="24">
        <f>'Risk Results'!C20</f>
        <v>3.642106657745318</v>
      </c>
    </row>
    <row r="7" ht="12.75">
      <c r="C7" s="24"/>
    </row>
    <row r="8" spans="1:4" ht="12.75">
      <c r="A8" s="13" t="s">
        <v>552</v>
      </c>
      <c r="C8" s="29">
        <f>SUM(C5:C6)</f>
        <v>11.555963733122363</v>
      </c>
      <c r="D8" s="13" t="s">
        <v>459</v>
      </c>
    </row>
    <row r="9" ht="12.75">
      <c r="C9" s="24"/>
    </row>
    <row r="11" spans="1:3" ht="12.75">
      <c r="A11" s="25" t="s">
        <v>456</v>
      </c>
      <c r="B11" s="13"/>
      <c r="C11" s="28">
        <f>'Estimate Uncertainty Range'!I150</f>
        <v>50848.67999999999</v>
      </c>
    </row>
    <row r="13" spans="1:5" ht="12.75">
      <c r="A13" s="18" t="s">
        <v>166</v>
      </c>
      <c r="C13" s="23">
        <f>'Uncertainty Results'!B20-'Summary-Separate Models'!C11</f>
        <v>7221.420040534278</v>
      </c>
      <c r="D13" s="31">
        <f>C13/$C$11</f>
        <v>0.14201784668813977</v>
      </c>
      <c r="E13" s="23"/>
    </row>
    <row r="14" spans="1:4" ht="12.75">
      <c r="A14" s="18" t="s">
        <v>556</v>
      </c>
      <c r="C14" s="23">
        <f>C5*'Misc Inputs'!F16</f>
        <v>1596.620664957319</v>
      </c>
      <c r="D14" s="31">
        <f>C14/$C$11</f>
        <v>0.031399451568011584</v>
      </c>
    </row>
    <row r="15" spans="1:4" ht="12.75">
      <c r="A15" s="18" t="s">
        <v>458</v>
      </c>
      <c r="C15" s="23">
        <f>'Uncertainty Results'!D20</f>
        <v>350.34424849922215</v>
      </c>
      <c r="D15" s="31">
        <f>C15/$C$11</f>
        <v>0.006889937919710446</v>
      </c>
    </row>
    <row r="16" ht="12.75">
      <c r="D16" s="12"/>
    </row>
    <row r="17" spans="1:4" ht="12.75">
      <c r="A17" t="s">
        <v>535</v>
      </c>
      <c r="C17" s="23">
        <f>SUM(C13:C16)</f>
        <v>9168.38495399082</v>
      </c>
      <c r="D17" s="31">
        <f>C17/$C$11</f>
        <v>0.18030723617586183</v>
      </c>
    </row>
    <row r="18" ht="12.75">
      <c r="D18" s="31"/>
    </row>
    <row r="19" spans="1:4" ht="12.75">
      <c r="A19" t="s">
        <v>557</v>
      </c>
      <c r="C19" s="23">
        <f>'Risk Results'!C26</f>
        <v>1279.158472265241</v>
      </c>
      <c r="D19" s="31">
        <f>C19/$C$11</f>
        <v>0.025156178533351135</v>
      </c>
    </row>
    <row r="20" spans="1:4" ht="12.75">
      <c r="A20" t="s">
        <v>558</v>
      </c>
      <c r="C20" s="23">
        <f>'Risk Results'!C27</f>
        <v>734.7950182001179</v>
      </c>
      <c r="D20" s="31">
        <f>C20/$C$11</f>
        <v>0.014450621298332975</v>
      </c>
    </row>
    <row r="21" spans="3:4" ht="12.75">
      <c r="C21" s="23"/>
      <c r="D21" s="12"/>
    </row>
    <row r="22" spans="1:4" ht="12.75">
      <c r="A22" t="s">
        <v>559</v>
      </c>
      <c r="C22" s="23">
        <f>SUM(C19:C21)</f>
        <v>2013.9534904653588</v>
      </c>
      <c r="D22" s="31">
        <f>C22/$C$11</f>
        <v>0.03960679983168411</v>
      </c>
    </row>
    <row r="23" spans="3:4" ht="12.75">
      <c r="C23" s="23"/>
      <c r="D23" s="12"/>
    </row>
    <row r="24" spans="1:4" ht="12.75">
      <c r="A24" s="13" t="s">
        <v>553</v>
      </c>
      <c r="B24" s="13"/>
      <c r="C24" s="28">
        <f>C17+C22</f>
        <v>11182.33844445618</v>
      </c>
      <c r="D24" s="32">
        <f>C24/$C$11</f>
        <v>0.21991403600754594</v>
      </c>
    </row>
    <row r="25" ht="12.75">
      <c r="C25" s="23"/>
    </row>
    <row r="26" spans="1:3" ht="12.75">
      <c r="A26" s="30" t="s">
        <v>551</v>
      </c>
      <c r="B26" s="30"/>
      <c r="C26" s="38">
        <f>C11+C24</f>
        <v>62031.018444456175</v>
      </c>
    </row>
    <row r="27" ht="12.75">
      <c r="C27" s="23"/>
    </row>
    <row r="28" spans="2:4" ht="12.75">
      <c r="B28" s="15" t="s">
        <v>473</v>
      </c>
      <c r="C28" s="23"/>
      <c r="D28" s="14" t="s">
        <v>163</v>
      </c>
    </row>
    <row r="29" spans="2:4" ht="12.75">
      <c r="B29">
        <v>2008</v>
      </c>
      <c r="C29" s="10">
        <f>'Contingency by Year'!J32</f>
        <v>0.2</v>
      </c>
      <c r="D29" s="16">
        <f>$C$24*C29/1000</f>
        <v>2.236467688891236</v>
      </c>
    </row>
    <row r="30" spans="2:4" ht="12.75">
      <c r="B30">
        <v>2009</v>
      </c>
      <c r="C30" s="10">
        <f>'Contingency by Year'!K32</f>
        <v>0.25</v>
      </c>
      <c r="D30" s="16">
        <f>$C$24*C30/1000</f>
        <v>2.795584611114045</v>
      </c>
    </row>
    <row r="31" spans="2:4" ht="12.75">
      <c r="B31">
        <v>2010</v>
      </c>
      <c r="C31" s="10">
        <f>'Contingency by Year'!L32</f>
        <v>0.3</v>
      </c>
      <c r="D31" s="16">
        <f>$C$24*C31/1000</f>
        <v>3.354701533336854</v>
      </c>
    </row>
    <row r="32" spans="2:4" ht="12.75">
      <c r="B32">
        <v>2011</v>
      </c>
      <c r="C32" s="10">
        <f>'Contingency by Year'!M32</f>
        <v>0.25</v>
      </c>
      <c r="D32" s="16">
        <f>$C$24*C32/1000</f>
        <v>2.795584611114045</v>
      </c>
    </row>
    <row r="34" ht="12.75">
      <c r="D34" s="16"/>
    </row>
  </sheetData>
  <mergeCells count="1">
    <mergeCell ref="A1:D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22"/>
  <sheetViews>
    <sheetView workbookViewId="0" topLeftCell="A1">
      <selection activeCell="D1" sqref="D1:D22"/>
    </sheetView>
  </sheetViews>
  <sheetFormatPr defaultColWidth="9.140625" defaultRowHeight="12.75"/>
  <cols>
    <col min="1" max="1" width="11.140625" style="0" bestFit="1" customWidth="1"/>
    <col min="2" max="2" width="41.421875" style="0" customWidth="1"/>
    <col min="3" max="3" width="23.421875" style="0" customWidth="1"/>
    <col min="4" max="4" width="30.28125" style="0" customWidth="1"/>
  </cols>
  <sheetData>
    <row r="1" spans="1:4" ht="12.75">
      <c r="A1" s="21" t="s">
        <v>434</v>
      </c>
      <c r="B1" s="21" t="s">
        <v>550</v>
      </c>
      <c r="C1" s="21" t="s">
        <v>433</v>
      </c>
      <c r="D1" s="21" t="s">
        <v>432</v>
      </c>
    </row>
    <row r="2" spans="1:4" ht="12.75">
      <c r="A2" s="18" t="s">
        <v>435</v>
      </c>
      <c r="B2" s="19">
        <v>51641.34303836546</v>
      </c>
      <c r="C2" s="20">
        <v>39.7674375775674</v>
      </c>
      <c r="D2" s="20">
        <v>6.978636818837712</v>
      </c>
    </row>
    <row r="3" spans="1:4" ht="12.75">
      <c r="A3" s="18" t="s">
        <v>436</v>
      </c>
      <c r="B3" s="19">
        <v>54215.25733776084</v>
      </c>
      <c r="C3" s="20">
        <v>43.286412247079795</v>
      </c>
      <c r="D3" s="20">
        <v>8.7</v>
      </c>
    </row>
    <row r="4" spans="1:4" ht="12.75">
      <c r="A4" s="18" t="s">
        <v>437</v>
      </c>
      <c r="B4" s="19">
        <v>54620.04661918877</v>
      </c>
      <c r="C4" s="20">
        <v>44.070154765167494</v>
      </c>
      <c r="D4" s="20">
        <v>24.53101122441205</v>
      </c>
    </row>
    <row r="5" spans="1:4" ht="12.75">
      <c r="A5" s="18" t="s">
        <v>438</v>
      </c>
      <c r="B5" s="19">
        <v>54914.38284439373</v>
      </c>
      <c r="C5" s="20">
        <v>44.68456725736127</v>
      </c>
      <c r="D5" s="20">
        <v>43.88774167206235</v>
      </c>
    </row>
    <row r="6" spans="1:4" ht="12.75">
      <c r="A6" s="18" t="s">
        <v>439</v>
      </c>
      <c r="B6" s="19">
        <v>55146.166235758596</v>
      </c>
      <c r="C6" s="20">
        <v>45.16552292495329</v>
      </c>
      <c r="D6" s="20">
        <v>61.95097960327364</v>
      </c>
    </row>
    <row r="7" spans="1:4" ht="12.75">
      <c r="A7" s="18" t="s">
        <v>440</v>
      </c>
      <c r="B7" s="19">
        <v>55347.24922585818</v>
      </c>
      <c r="C7" s="20">
        <v>45.65994255573705</v>
      </c>
      <c r="D7" s="20">
        <v>79.35321447002232</v>
      </c>
    </row>
    <row r="8" spans="1:4" ht="12.75">
      <c r="A8" s="18" t="s">
        <v>441</v>
      </c>
      <c r="B8" s="19">
        <v>55536.39451732504</v>
      </c>
      <c r="C8" s="20">
        <v>46.11029132818712</v>
      </c>
      <c r="D8" s="20">
        <v>96.97756104916918</v>
      </c>
    </row>
    <row r="9" spans="1:4" ht="12.75">
      <c r="A9" s="18" t="s">
        <v>442</v>
      </c>
      <c r="B9" s="19">
        <v>55720.29410859646</v>
      </c>
      <c r="C9" s="20">
        <v>46.49897237163125</v>
      </c>
      <c r="D9" s="20">
        <v>114.4498665653035</v>
      </c>
    </row>
    <row r="10" spans="1:4" ht="12.75">
      <c r="A10" s="18" t="s">
        <v>443</v>
      </c>
      <c r="B10" s="19">
        <v>55888.27592387669</v>
      </c>
      <c r="C10" s="20">
        <v>46.93876312243005</v>
      </c>
      <c r="D10" s="20">
        <v>131.18140686674042</v>
      </c>
    </row>
    <row r="11" spans="1:4" ht="12.75">
      <c r="A11" s="18" t="s">
        <v>444</v>
      </c>
      <c r="B11" s="19">
        <v>56064.78621410033</v>
      </c>
      <c r="C11" s="20">
        <v>47.362465592033814</v>
      </c>
      <c r="D11" s="20">
        <v>147.7953697630703</v>
      </c>
    </row>
    <row r="12" spans="1:4" ht="12.75">
      <c r="A12" s="18" t="s">
        <v>445</v>
      </c>
      <c r="B12" s="19">
        <v>56252.87740686076</v>
      </c>
      <c r="C12" s="20">
        <v>47.791327955532346</v>
      </c>
      <c r="D12" s="20">
        <v>164.89322574935017</v>
      </c>
    </row>
    <row r="13" spans="1:4" ht="12.75">
      <c r="A13" s="18" t="s">
        <v>446</v>
      </c>
      <c r="B13" s="19">
        <v>56430.539438381005</v>
      </c>
      <c r="C13" s="20">
        <v>48.30413390702992</v>
      </c>
      <c r="D13" s="20">
        <v>181.8274407796409</v>
      </c>
    </row>
    <row r="14" spans="1:4" ht="12.75">
      <c r="A14" s="18" t="s">
        <v>447</v>
      </c>
      <c r="B14" s="19">
        <v>56615.725797626495</v>
      </c>
      <c r="C14" s="20">
        <v>48.806963126702485</v>
      </c>
      <c r="D14" s="20">
        <v>199.85378784534117</v>
      </c>
    </row>
    <row r="15" spans="1:4" ht="12.75">
      <c r="A15" s="18" t="s">
        <v>448</v>
      </c>
      <c r="B15" s="19">
        <v>56804.83190100005</v>
      </c>
      <c r="C15" s="20">
        <v>49.34634448603334</v>
      </c>
      <c r="D15" s="20">
        <v>218.08808666772492</v>
      </c>
    </row>
    <row r="16" spans="1:4" ht="12.75">
      <c r="A16" s="18" t="s">
        <v>449</v>
      </c>
      <c r="B16" s="19">
        <v>56993.165094390795</v>
      </c>
      <c r="C16" s="20">
        <v>49.946770603779754</v>
      </c>
      <c r="D16" s="20">
        <v>237.53563210992542</v>
      </c>
    </row>
    <row r="17" spans="1:4" ht="12.75">
      <c r="A17" s="18" t="s">
        <v>450</v>
      </c>
      <c r="B17" s="19">
        <v>57207.327799737504</v>
      </c>
      <c r="C17" s="20">
        <v>50.60280476763598</v>
      </c>
      <c r="D17" s="20">
        <v>257.0154669791488</v>
      </c>
    </row>
    <row r="18" spans="1:4" ht="12.75">
      <c r="A18" s="33" t="s">
        <v>451</v>
      </c>
      <c r="B18" s="19">
        <v>57445.21068135232</v>
      </c>
      <c r="C18" s="20">
        <v>51.327504611604205</v>
      </c>
      <c r="D18" s="20">
        <v>283.8522370284194</v>
      </c>
    </row>
    <row r="19" spans="1:4" ht="12.75">
      <c r="A19" s="18" t="s">
        <v>452</v>
      </c>
      <c r="B19" s="19">
        <v>57736.22546185572</v>
      </c>
      <c r="C19" s="20">
        <v>52.1607349890544</v>
      </c>
      <c r="D19" s="20">
        <v>313.2931574933319</v>
      </c>
    </row>
    <row r="20" spans="1:4" s="7" customFormat="1" ht="12.75">
      <c r="A20" s="22" t="s">
        <v>453</v>
      </c>
      <c r="B20" s="26">
        <v>58070.10004053427</v>
      </c>
      <c r="C20" s="27">
        <v>53.163857075377045</v>
      </c>
      <c r="D20" s="27">
        <v>350.34424849922215</v>
      </c>
    </row>
    <row r="21" spans="1:4" ht="12.75">
      <c r="A21" s="18" t="s">
        <v>454</v>
      </c>
      <c r="B21" s="19">
        <v>58637.13681194626</v>
      </c>
      <c r="C21" s="20">
        <v>54.388345195496726</v>
      </c>
      <c r="D21" s="20">
        <v>405.5816338016905</v>
      </c>
    </row>
    <row r="22" spans="1:4" ht="12.75">
      <c r="A22" s="18" t="s">
        <v>455</v>
      </c>
      <c r="B22" s="19">
        <v>60997.440618211025</v>
      </c>
      <c r="C22" s="20">
        <v>58.921969141525295</v>
      </c>
      <c r="D22" s="20">
        <v>650.4426768541462</v>
      </c>
    </row>
  </sheetData>
  <printOptions/>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C29"/>
  <sheetViews>
    <sheetView workbookViewId="0" topLeftCell="A1">
      <selection activeCell="A1" sqref="A1:IV16384"/>
    </sheetView>
  </sheetViews>
  <sheetFormatPr defaultColWidth="9.140625" defaultRowHeight="12.75"/>
  <cols>
    <col min="1" max="1" width="11.140625" style="53" bestFit="1" customWidth="1"/>
    <col min="2" max="2" width="21.421875" style="53" bestFit="1" customWidth="1"/>
    <col min="3" max="3" width="26.28125" style="53" bestFit="1" customWidth="1"/>
    <col min="4" max="16384" width="9.140625" style="53" customWidth="1"/>
  </cols>
  <sheetData>
    <row r="1" spans="1:3" ht="12.75">
      <c r="A1" s="66" t="s">
        <v>434</v>
      </c>
      <c r="B1" s="66" t="s">
        <v>105</v>
      </c>
      <c r="C1" s="66" t="s">
        <v>106</v>
      </c>
    </row>
    <row r="2" spans="1:3" ht="12.75">
      <c r="A2" s="58" t="s">
        <v>435</v>
      </c>
      <c r="B2" s="67">
        <v>-494.524945036709</v>
      </c>
      <c r="C2" s="67">
        <v>-2.1868739893288476</v>
      </c>
    </row>
    <row r="3" spans="1:3" ht="12.75">
      <c r="A3" s="58" t="s">
        <v>436</v>
      </c>
      <c r="B3" s="67">
        <v>-212.26172130403424</v>
      </c>
      <c r="C3" s="67">
        <v>-0.40844469327266214</v>
      </c>
    </row>
    <row r="4" spans="1:3" ht="12.75">
      <c r="A4" s="58" t="s">
        <v>437</v>
      </c>
      <c r="B4" s="67">
        <v>-95.4082428612428</v>
      </c>
      <c r="C4" s="67">
        <v>-0.29246920198083953</v>
      </c>
    </row>
    <row r="5" spans="1:3" ht="12.75">
      <c r="A5" s="58" t="s">
        <v>438</v>
      </c>
      <c r="B5" s="67">
        <v>0</v>
      </c>
      <c r="C5" s="67">
        <v>-0.17957368850830907</v>
      </c>
    </row>
    <row r="6" spans="1:3" ht="12.75">
      <c r="A6" s="58" t="s">
        <v>439</v>
      </c>
      <c r="B6" s="67">
        <v>67.44836771153737</v>
      </c>
      <c r="C6" s="67">
        <v>-0.06076044056648283</v>
      </c>
    </row>
    <row r="7" spans="1:3" ht="12.75">
      <c r="A7" s="58" t="s">
        <v>440</v>
      </c>
      <c r="B7" s="67">
        <v>110.32096827729852</v>
      </c>
      <c r="C7" s="67">
        <v>0</v>
      </c>
    </row>
    <row r="8" spans="1:3" ht="12.75">
      <c r="A8" s="58" t="s">
        <v>441</v>
      </c>
      <c r="B8" s="67">
        <v>144.19705302608287</v>
      </c>
      <c r="C8" s="67">
        <v>0</v>
      </c>
    </row>
    <row r="9" spans="1:3" ht="12.75">
      <c r="A9" s="58" t="s">
        <v>442</v>
      </c>
      <c r="B9" s="67">
        <v>177.17190862994116</v>
      </c>
      <c r="C9" s="67">
        <v>0</v>
      </c>
    </row>
    <row r="10" spans="1:3" ht="12.75">
      <c r="A10" s="58" t="s">
        <v>443</v>
      </c>
      <c r="B10" s="67">
        <v>209.15322688991517</v>
      </c>
      <c r="C10" s="67">
        <v>0</v>
      </c>
    </row>
    <row r="11" spans="1:3" ht="12.75">
      <c r="A11" s="58" t="s">
        <v>444</v>
      </c>
      <c r="B11" s="67">
        <v>239.75827443715488</v>
      </c>
      <c r="C11" s="67">
        <v>0</v>
      </c>
    </row>
    <row r="12" spans="1:3" ht="12.75">
      <c r="A12" s="58" t="s">
        <v>445</v>
      </c>
      <c r="B12" s="67">
        <v>270.3695256893808</v>
      </c>
      <c r="C12" s="67">
        <v>0</v>
      </c>
    </row>
    <row r="13" spans="1:3" ht="12.75">
      <c r="A13" s="58" t="s">
        <v>446</v>
      </c>
      <c r="B13" s="67">
        <v>303.9738698060336</v>
      </c>
      <c r="C13" s="67">
        <v>0.075463863358252</v>
      </c>
    </row>
    <row r="14" spans="1:3" ht="12.75">
      <c r="A14" s="58" t="s">
        <v>447</v>
      </c>
      <c r="B14" s="67">
        <v>377.38986194243694</v>
      </c>
      <c r="C14" s="67">
        <v>0.189152354231282</v>
      </c>
    </row>
    <row r="15" spans="1:3" ht="12.75">
      <c r="A15" s="58" t="s">
        <v>448</v>
      </c>
      <c r="B15" s="67">
        <v>484.1365853817453</v>
      </c>
      <c r="C15" s="67">
        <v>0.301722071043622</v>
      </c>
    </row>
    <row r="16" spans="1:3" ht="12.75">
      <c r="A16" s="58" t="s">
        <v>449</v>
      </c>
      <c r="B16" s="67">
        <v>585.6302688889396</v>
      </c>
      <c r="C16" s="67">
        <v>0.417062077170323</v>
      </c>
    </row>
    <row r="17" spans="1:3" ht="12.75">
      <c r="A17" s="58" t="s">
        <v>450</v>
      </c>
      <c r="B17" s="67">
        <v>708.7710937396561</v>
      </c>
      <c r="C17" s="67">
        <v>0.951537588599763</v>
      </c>
    </row>
    <row r="18" spans="1:3" ht="12.75">
      <c r="A18" s="58" t="s">
        <v>451</v>
      </c>
      <c r="B18" s="67">
        <v>910.1531460865684</v>
      </c>
      <c r="C18" s="67">
        <v>1.892679228884503</v>
      </c>
    </row>
    <row r="19" spans="1:3" ht="12.75">
      <c r="A19" s="58" t="s">
        <v>452</v>
      </c>
      <c r="B19" s="67">
        <v>1093.8855186814399</v>
      </c>
      <c r="C19" s="67">
        <v>2.744332385824564</v>
      </c>
    </row>
    <row r="20" spans="1:3" ht="12.75">
      <c r="A20" s="58" t="s">
        <v>453</v>
      </c>
      <c r="B20" s="67">
        <v>1279.158472265241</v>
      </c>
      <c r="C20" s="67">
        <v>3.642106657745318</v>
      </c>
    </row>
    <row r="21" spans="1:3" ht="12.75">
      <c r="A21" s="58" t="s">
        <v>454</v>
      </c>
      <c r="B21" s="67">
        <v>1532.9624398216345</v>
      </c>
      <c r="C21" s="67">
        <v>6.682233827307988</v>
      </c>
    </row>
    <row r="22" spans="1:3" ht="12.75">
      <c r="A22" s="58" t="s">
        <v>455</v>
      </c>
      <c r="B22" s="67">
        <v>3185.946783275839</v>
      </c>
      <c r="C22" s="67">
        <v>14.730214788062671</v>
      </c>
    </row>
    <row r="25" ht="12.75">
      <c r="A25" s="58" t="s">
        <v>107</v>
      </c>
    </row>
    <row r="26" spans="1:3" ht="12.75">
      <c r="A26" s="68" t="s">
        <v>167</v>
      </c>
      <c r="B26" s="53" t="s">
        <v>108</v>
      </c>
      <c r="C26" s="69">
        <f>B20</f>
        <v>1279.158472265241</v>
      </c>
    </row>
    <row r="27" spans="2:3" ht="12.75">
      <c r="B27" s="53" t="s">
        <v>109</v>
      </c>
      <c r="C27" s="69">
        <f>C20*'Misc Inputs'!F16</f>
        <v>734.7950182001179</v>
      </c>
    </row>
    <row r="28" ht="12.75">
      <c r="C28" s="69"/>
    </row>
    <row r="29" spans="2:3" ht="12.75">
      <c r="B29" s="53" t="s">
        <v>110</v>
      </c>
      <c r="C29" s="69">
        <f>SUM(C26:C28)</f>
        <v>2013.9534904653588</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2:N32"/>
  <sheetViews>
    <sheetView workbookViewId="0" topLeftCell="A1">
      <selection activeCell="A1" sqref="A1:IV16384"/>
    </sheetView>
  </sheetViews>
  <sheetFormatPr defaultColWidth="9.140625" defaultRowHeight="12.75"/>
  <cols>
    <col min="1" max="1" width="22.28125" style="53" customWidth="1"/>
    <col min="2" max="7" width="9.140625" style="53" customWidth="1"/>
    <col min="8" max="8" width="12.8515625" style="53" customWidth="1"/>
    <col min="9" max="9" width="9.140625" style="53" customWidth="1"/>
    <col min="10" max="10" width="10.7109375" style="53" bestFit="1" customWidth="1"/>
    <col min="11" max="16384" width="9.140625" style="53" customWidth="1"/>
  </cols>
  <sheetData>
    <row r="1" ht="12.75"/>
    <row r="2" s="49" customFormat="1" ht="12.75">
      <c r="A2" s="49" t="s">
        <v>460</v>
      </c>
    </row>
    <row r="3" spans="3:13" s="49" customFormat="1" ht="12.75">
      <c r="C3" s="183" t="s">
        <v>462</v>
      </c>
      <c r="D3" s="183"/>
      <c r="E3" s="183"/>
      <c r="F3" s="183"/>
      <c r="G3" s="183"/>
      <c r="I3" s="183" t="s">
        <v>463</v>
      </c>
      <c r="J3" s="183"/>
      <c r="K3" s="183"/>
      <c r="L3" s="183"/>
      <c r="M3" s="183"/>
    </row>
    <row r="4" spans="1:13" s="51" customFormat="1" ht="12.75">
      <c r="A4" s="51" t="s">
        <v>175</v>
      </c>
      <c r="B4" s="52" t="s">
        <v>461</v>
      </c>
      <c r="C4" s="52">
        <v>2007</v>
      </c>
      <c r="D4" s="52">
        <v>2008</v>
      </c>
      <c r="E4" s="52">
        <v>2009</v>
      </c>
      <c r="F4" s="52">
        <v>2010</v>
      </c>
      <c r="G4" s="52">
        <v>2011</v>
      </c>
      <c r="I4" s="52">
        <v>2007</v>
      </c>
      <c r="J4" s="52">
        <v>2008</v>
      </c>
      <c r="K4" s="52">
        <v>2009</v>
      </c>
      <c r="L4" s="52">
        <v>2010</v>
      </c>
      <c r="M4" s="52">
        <v>2011</v>
      </c>
    </row>
    <row r="5" spans="1:13" ht="12.75">
      <c r="A5" s="53" t="s">
        <v>554</v>
      </c>
      <c r="B5" s="54">
        <v>0.384888891321885</v>
      </c>
      <c r="C5" s="55">
        <f>'Estimate Uncertainty Range'!U130</f>
        <v>0</v>
      </c>
      <c r="D5" s="55">
        <f>'Estimate Uncertainty Range'!V130</f>
        <v>0</v>
      </c>
      <c r="E5" s="55">
        <f>'Estimate Uncertainty Range'!W130</f>
        <v>0.18658876874782002</v>
      </c>
      <c r="F5" s="55">
        <f>'Estimate Uncertainty Range'!X130</f>
        <v>0.8134112312521801</v>
      </c>
      <c r="G5" s="55">
        <f>'Estimate Uncertainty Range'!Y130</f>
        <v>0</v>
      </c>
      <c r="I5" s="56">
        <f aca="true" t="shared" si="0" ref="I5:M9">C5*$B5</f>
        <v>0</v>
      </c>
      <c r="J5" s="56">
        <f t="shared" si="0"/>
        <v>0</v>
      </c>
      <c r="K5" s="56">
        <f t="shared" si="0"/>
        <v>0.07181594433646403</v>
      </c>
      <c r="L5" s="56">
        <f t="shared" si="0"/>
        <v>0.313072946985421</v>
      </c>
      <c r="M5" s="56">
        <f t="shared" si="0"/>
        <v>0</v>
      </c>
    </row>
    <row r="6" spans="1:13" ht="12.75">
      <c r="A6" s="53" t="s">
        <v>284</v>
      </c>
      <c r="B6" s="54">
        <v>0.0508549432613499</v>
      </c>
      <c r="C6" s="55">
        <f>'Estimate Uncertainty Range'!U132</f>
        <v>0</v>
      </c>
      <c r="D6" s="55">
        <f>'Estimate Uncertainty Range'!V132</f>
        <v>0</v>
      </c>
      <c r="E6" s="55">
        <f>'Estimate Uncertainty Range'!W132</f>
        <v>0.34758780486340796</v>
      </c>
      <c r="F6" s="55">
        <f>'Estimate Uncertainty Range'!X132</f>
        <v>0.5144095419320371</v>
      </c>
      <c r="G6" s="55">
        <f>'Estimate Uncertainty Range'!Y132</f>
        <v>0.13800265320455488</v>
      </c>
      <c r="I6" s="56">
        <f t="shared" si="0"/>
        <v>0</v>
      </c>
      <c r="J6" s="56">
        <f t="shared" si="0"/>
        <v>0</v>
      </c>
      <c r="K6" s="56">
        <f t="shared" si="0"/>
        <v>0.017676558094665774</v>
      </c>
      <c r="L6" s="56">
        <f t="shared" si="0"/>
        <v>0.026160268068050743</v>
      </c>
      <c r="M6" s="56">
        <f t="shared" si="0"/>
        <v>0.007018117098633385</v>
      </c>
    </row>
    <row r="7" spans="1:13" ht="12.75">
      <c r="A7" s="53" t="s">
        <v>539</v>
      </c>
      <c r="B7" s="54">
        <v>0.06</v>
      </c>
      <c r="C7" s="55">
        <f>'Estimate Uncertainty Range'!U134</f>
        <v>0</v>
      </c>
      <c r="D7" s="55">
        <f>'Estimate Uncertainty Range'!V134</f>
        <v>0</v>
      </c>
      <c r="E7" s="55">
        <f>'Estimate Uncertainty Range'!W134</f>
        <v>0.23858174785996644</v>
      </c>
      <c r="F7" s="55">
        <f>'Estimate Uncertainty Range'!X134</f>
        <v>0.5727824702101642</v>
      </c>
      <c r="G7" s="55">
        <f>'Estimate Uncertainty Range'!Y134</f>
        <v>0.18863578192986946</v>
      </c>
      <c r="I7" s="56">
        <f t="shared" si="0"/>
        <v>0</v>
      </c>
      <c r="J7" s="56">
        <f t="shared" si="0"/>
        <v>0</v>
      </c>
      <c r="K7" s="56">
        <f t="shared" si="0"/>
        <v>0.014314904871597986</v>
      </c>
      <c r="L7" s="56">
        <f t="shared" si="0"/>
        <v>0.03436694821260985</v>
      </c>
      <c r="M7" s="56">
        <f t="shared" si="0"/>
        <v>0.011318146915792167</v>
      </c>
    </row>
    <row r="8" spans="1:13" ht="12.75">
      <c r="A8" s="53" t="s">
        <v>555</v>
      </c>
      <c r="B8" s="54">
        <v>0.0204937865435155</v>
      </c>
      <c r="C8" s="55">
        <f>'Estimate Uncertainty Range'!U91</f>
        <v>0</v>
      </c>
      <c r="D8" s="55">
        <f>'Estimate Uncertainty Range'!V91</f>
        <v>0</v>
      </c>
      <c r="E8" s="55">
        <f>'Estimate Uncertainty Range'!W91</f>
        <v>1</v>
      </c>
      <c r="F8" s="55">
        <f>'Estimate Uncertainty Range'!X91</f>
        <v>0</v>
      </c>
      <c r="G8" s="55">
        <f>'Estimate Uncertainty Range'!Y91</f>
        <v>0</v>
      </c>
      <c r="I8" s="56">
        <f t="shared" si="0"/>
        <v>0</v>
      </c>
      <c r="J8" s="56">
        <f t="shared" si="0"/>
        <v>0</v>
      </c>
      <c r="K8" s="56">
        <f t="shared" si="0"/>
        <v>0.0204937865435155</v>
      </c>
      <c r="L8" s="56">
        <f t="shared" si="0"/>
        <v>0</v>
      </c>
      <c r="M8" s="56">
        <f t="shared" si="0"/>
        <v>0</v>
      </c>
    </row>
    <row r="9" spans="1:13" ht="12.75">
      <c r="A9" s="53" t="s">
        <v>258</v>
      </c>
      <c r="B9" s="54">
        <v>0.0201816268718253</v>
      </c>
      <c r="C9" s="55">
        <f>'Estimate Uncertainty Range'!U12</f>
        <v>0</v>
      </c>
      <c r="D9" s="55">
        <f>'Estimate Uncertainty Range'!V12</f>
        <v>0.5938903477556631</v>
      </c>
      <c r="E9" s="55">
        <f>'Estimate Uncertainty Range'!W12</f>
        <v>0.3887034628316195</v>
      </c>
      <c r="F9" s="55">
        <f>'Estimate Uncertainty Range'!X12</f>
        <v>0.0174061894127175</v>
      </c>
      <c r="G9" s="55">
        <f>'Estimate Uncertainty Range'!Y12</f>
        <v>0</v>
      </c>
      <c r="I9" s="56">
        <f t="shared" si="0"/>
        <v>0</v>
      </c>
      <c r="J9" s="56">
        <f t="shared" si="0"/>
        <v>0.011985673401183363</v>
      </c>
      <c r="K9" s="56">
        <f t="shared" si="0"/>
        <v>0.00784466825065416</v>
      </c>
      <c r="L9" s="56">
        <f t="shared" si="0"/>
        <v>0.00035128521998778055</v>
      </c>
      <c r="M9" s="56">
        <f t="shared" si="0"/>
        <v>0</v>
      </c>
    </row>
    <row r="10" spans="3:7" ht="12.75">
      <c r="C10" s="57"/>
      <c r="D10" s="57"/>
      <c r="E10" s="57"/>
      <c r="F10" s="57"/>
      <c r="G10" s="57"/>
    </row>
    <row r="11" spans="3:7" ht="12.75">
      <c r="C11" s="57"/>
      <c r="D11" s="57"/>
      <c r="E11" s="57"/>
      <c r="F11" s="57"/>
      <c r="G11" s="57"/>
    </row>
    <row r="12" spans="2:13" ht="12.75">
      <c r="B12" s="56">
        <f>SUM(B5:B11)</f>
        <v>0.5364192479985757</v>
      </c>
      <c r="C12" s="57"/>
      <c r="D12" s="57"/>
      <c r="E12" s="57"/>
      <c r="F12" s="57"/>
      <c r="G12" s="57"/>
      <c r="I12" s="56">
        <f>SUM(I5:I7)</f>
        <v>0</v>
      </c>
      <c r="J12" s="56">
        <f>SUM(J5:J7)</f>
        <v>0</v>
      </c>
      <c r="K12" s="56">
        <f>SUM(K5:K7)</f>
        <v>0.10380740730272779</v>
      </c>
      <c r="L12" s="56">
        <f>SUM(L5:L7)</f>
        <v>0.37360016326608153</v>
      </c>
      <c r="M12" s="56">
        <f>SUM(M5:M7)</f>
        <v>0.018336264014425552</v>
      </c>
    </row>
    <row r="13" spans="1:13" ht="12.75">
      <c r="A13" s="53" t="s">
        <v>464</v>
      </c>
      <c r="B13" s="56">
        <f>1-B12</f>
        <v>0.46358075200142435</v>
      </c>
      <c r="C13" s="58" t="s">
        <v>465</v>
      </c>
      <c r="D13" s="54"/>
      <c r="E13" s="54"/>
      <c r="F13" s="54"/>
      <c r="G13" s="54"/>
      <c r="J13" s="54">
        <f>$B13/4</f>
        <v>0.11589518800035609</v>
      </c>
      <c r="K13" s="54">
        <f>$B13/4</f>
        <v>0.11589518800035609</v>
      </c>
      <c r="L13" s="54">
        <f>$B13/4</f>
        <v>0.11589518800035609</v>
      </c>
      <c r="M13" s="54">
        <f>$B13/4</f>
        <v>0.11589518800035609</v>
      </c>
    </row>
    <row r="14" spans="2:7" ht="12.75">
      <c r="B14" s="59"/>
      <c r="D14" s="57"/>
      <c r="E14" s="57"/>
      <c r="F14" s="57"/>
      <c r="G14" s="57"/>
    </row>
    <row r="15" spans="3:7" ht="12.75">
      <c r="C15" s="57"/>
      <c r="D15" s="57"/>
      <c r="E15" s="57"/>
      <c r="F15" s="57"/>
      <c r="G15" s="57"/>
    </row>
    <row r="16" spans="3:14" ht="12.75">
      <c r="C16" s="57"/>
      <c r="D16" s="57"/>
      <c r="E16" s="60" t="s">
        <v>466</v>
      </c>
      <c r="J16" s="56">
        <f>SUM(J12:J13)</f>
        <v>0.11589518800035609</v>
      </c>
      <c r="K16" s="56">
        <f>SUM(K12:K13)</f>
        <v>0.2197025953030839</v>
      </c>
      <c r="L16" s="56">
        <f>SUM(L12:L13)</f>
        <v>0.4894953512664376</v>
      </c>
      <c r="M16" s="56">
        <v>0.18</v>
      </c>
      <c r="N16" s="56"/>
    </row>
    <row r="17" spans="3:14" ht="12.75">
      <c r="C17" s="57"/>
      <c r="D17" s="57"/>
      <c r="E17" s="57"/>
      <c r="F17" s="60"/>
      <c r="J17" s="56"/>
      <c r="K17" s="56"/>
      <c r="L17" s="56"/>
      <c r="M17" s="56"/>
      <c r="N17" s="56"/>
    </row>
    <row r="18" spans="3:14" ht="12.75">
      <c r="C18" s="57"/>
      <c r="D18" s="57"/>
      <c r="E18" s="60" t="s">
        <v>469</v>
      </c>
      <c r="H18" s="62">
        <f>'Summary-Separate Models'!C13+'Summary-Separate Models'!C15</f>
        <v>7571.7642890335</v>
      </c>
      <c r="J18" s="62">
        <f>J16*$H$18</f>
        <v>877.53104577192</v>
      </c>
      <c r="K18" s="62">
        <f>K16*$H$18</f>
        <v>1663.5362653238699</v>
      </c>
      <c r="L18" s="62">
        <f>L16*$H$18</f>
        <v>3706.3434203671213</v>
      </c>
      <c r="M18" s="62">
        <f>M16*$H$18</f>
        <v>1362.91757202603</v>
      </c>
      <c r="N18" s="56"/>
    </row>
    <row r="19" spans="3:14" ht="12.75">
      <c r="C19" s="57"/>
      <c r="D19" s="57"/>
      <c r="E19" s="57"/>
      <c r="F19" s="60"/>
      <c r="J19" s="56"/>
      <c r="K19" s="56"/>
      <c r="L19" s="56"/>
      <c r="M19" s="56"/>
      <c r="N19" s="56"/>
    </row>
    <row r="20" spans="1:7" ht="12.75">
      <c r="A20" s="53" t="s">
        <v>467</v>
      </c>
      <c r="C20" s="57"/>
      <c r="D20" s="57"/>
      <c r="E20" s="57"/>
      <c r="F20" s="57"/>
      <c r="G20" s="57"/>
    </row>
    <row r="21" spans="2:13" ht="12.75">
      <c r="B21" s="53" t="s">
        <v>468</v>
      </c>
      <c r="C21" s="57"/>
      <c r="D21" s="57"/>
      <c r="E21" s="57"/>
      <c r="F21" s="57"/>
      <c r="G21" s="57"/>
      <c r="J21" s="56">
        <v>0.25</v>
      </c>
      <c r="K21" s="56">
        <v>0.25</v>
      </c>
      <c r="L21" s="56">
        <v>0.25</v>
      </c>
      <c r="M21" s="56">
        <v>0.25</v>
      </c>
    </row>
    <row r="22" spans="3:7" ht="12.75">
      <c r="C22" s="57"/>
      <c r="D22" s="57"/>
      <c r="E22" s="57"/>
      <c r="F22" s="57"/>
      <c r="G22" s="57"/>
    </row>
    <row r="23" spans="3:13" ht="12.75">
      <c r="C23" s="57"/>
      <c r="D23" s="57"/>
      <c r="E23" s="60" t="s">
        <v>470</v>
      </c>
      <c r="F23" s="57"/>
      <c r="G23" s="57"/>
      <c r="H23" s="62">
        <f>'Risk Results'!$C$26</f>
        <v>1279.158472265241</v>
      </c>
      <c r="J23" s="62">
        <f>J21*$H$23</f>
        <v>319.78961806631025</v>
      </c>
      <c r="K23" s="62">
        <f>K21*$H$23</f>
        <v>319.78961806631025</v>
      </c>
      <c r="L23" s="62">
        <f>L21*$H$23</f>
        <v>319.78961806631025</v>
      </c>
      <c r="M23" s="62">
        <f>M21*$H$23</f>
        <v>319.78961806631025</v>
      </c>
    </row>
    <row r="24" spans="3:7" ht="12.75">
      <c r="C24" s="57"/>
      <c r="D24" s="57"/>
      <c r="E24" s="57"/>
      <c r="F24" s="57"/>
      <c r="G24" s="57"/>
    </row>
    <row r="25" spans="3:7" ht="12.75">
      <c r="C25" s="57"/>
      <c r="D25" s="57"/>
      <c r="E25" s="57"/>
      <c r="F25" s="57"/>
      <c r="G25" s="57"/>
    </row>
    <row r="26" spans="5:13" ht="12.75">
      <c r="E26" s="49" t="s">
        <v>471</v>
      </c>
      <c r="M26" s="62">
        <f>'Summary-Separate Models'!C14+'Risk Results'!$C$27</f>
        <v>2331.415683157437</v>
      </c>
    </row>
    <row r="29" spans="5:13" ht="12.75">
      <c r="E29" s="49" t="s">
        <v>472</v>
      </c>
      <c r="H29" s="62">
        <f>SUM(J29:M29)</f>
        <v>11220.902458911618</v>
      </c>
      <c r="J29" s="62">
        <f>J23+J18+J26</f>
        <v>1197.3206638382303</v>
      </c>
      <c r="K29" s="62">
        <f>K23+K18+K26</f>
        <v>1983.32588339018</v>
      </c>
      <c r="L29" s="62">
        <f>L23+L18+L26</f>
        <v>4026.1330384334315</v>
      </c>
      <c r="M29" s="62">
        <f>M23+M18+M26</f>
        <v>4014.122873249777</v>
      </c>
    </row>
    <row r="31" spans="10:13" ht="12.75">
      <c r="J31" s="63">
        <f>J29/$H$29</f>
        <v>0.10670448907496925</v>
      </c>
      <c r="K31" s="63">
        <f>K29/$H$29</f>
        <v>0.17675279601196664</v>
      </c>
      <c r="L31" s="63">
        <f>L29/$H$29</f>
        <v>0.35880652676344094</v>
      </c>
      <c r="M31" s="63">
        <f>M29/$H$29</f>
        <v>0.35773618814962327</v>
      </c>
    </row>
    <row r="32" spans="8:13" ht="12.75">
      <c r="H32" s="64" t="s">
        <v>168</v>
      </c>
      <c r="I32" s="64"/>
      <c r="J32" s="65">
        <v>0.2</v>
      </c>
      <c r="K32" s="65">
        <v>0.25</v>
      </c>
      <c r="L32" s="65">
        <v>0.3</v>
      </c>
      <c r="M32" s="65">
        <v>0.25</v>
      </c>
    </row>
  </sheetData>
  <mergeCells count="2">
    <mergeCell ref="C3:G3"/>
    <mergeCell ref="I3:M3"/>
  </mergeCells>
  <printOptions/>
  <pageMargins left="0.75" right="0.75" top="1" bottom="1" header="0.5" footer="0.5"/>
  <pageSetup fitToHeight="1" fitToWidth="1" horizontalDpi="600" verticalDpi="600" orientation="landscape" scale="89"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Z157"/>
  <sheetViews>
    <sheetView tabSelected="1" zoomScale="85" zoomScaleNormal="85" workbookViewId="0" topLeftCell="A1">
      <pane xSplit="3" ySplit="2" topLeftCell="D123" activePane="bottomRight" state="frozen"/>
      <selection pane="topLeft" activeCell="A1" sqref="A1"/>
      <selection pane="topRight" activeCell="D1" sqref="D1"/>
      <selection pane="bottomLeft" activeCell="A3" sqref="A3"/>
      <selection pane="bottomRight" activeCell="AE124" sqref="AE124"/>
    </sheetView>
  </sheetViews>
  <sheetFormatPr defaultColWidth="9.140625" defaultRowHeight="12.75"/>
  <cols>
    <col min="1" max="3" width="8.00390625" style="0" hidden="1" customWidth="1"/>
    <col min="4" max="4" width="53.57421875" style="7" bestFit="1" customWidth="1"/>
    <col min="5" max="5" width="35.00390625" style="7" customWidth="1"/>
    <col min="6" max="6" width="11.57421875" style="7" customWidth="1"/>
    <col min="7" max="7" width="12.7109375" style="7" customWidth="1"/>
    <col min="8" max="8" width="9.8515625" style="7" customWidth="1"/>
    <col min="9" max="9" width="11.57421875" style="177" customWidth="1"/>
    <col min="10" max="10" width="8.28125" style="2" customWidth="1"/>
    <col min="11" max="11" width="8.7109375" style="2" customWidth="1"/>
    <col min="12" max="12" width="14.7109375" style="171" hidden="1" customWidth="1"/>
    <col min="13" max="13" width="16.421875" style="171" customWidth="1"/>
    <col min="14" max="14" width="16.57421875" style="209" customWidth="1"/>
    <col min="15" max="19" width="12.28125" style="46" hidden="1" customWidth="1"/>
    <col min="20" max="27" width="0" style="0" hidden="1" customWidth="1"/>
  </cols>
  <sheetData>
    <row r="1" spans="9:25" ht="30.75" customHeight="1">
      <c r="I1" s="175" t="s">
        <v>560</v>
      </c>
      <c r="J1" s="187" t="s">
        <v>394</v>
      </c>
      <c r="K1" s="187"/>
      <c r="L1" s="165"/>
      <c r="M1" s="166"/>
      <c r="N1" s="205"/>
      <c r="P1" s="47" t="s">
        <v>560</v>
      </c>
      <c r="Q1" s="47" t="s">
        <v>560</v>
      </c>
      <c r="R1" s="47" t="s">
        <v>560</v>
      </c>
      <c r="S1" s="47" t="s">
        <v>560</v>
      </c>
      <c r="U1" s="186" t="s">
        <v>395</v>
      </c>
      <c r="V1" s="186"/>
      <c r="W1" s="186"/>
      <c r="X1" s="186"/>
      <c r="Y1" s="186"/>
    </row>
    <row r="2" spans="1:25" ht="57.75" customHeight="1">
      <c r="A2" s="6" t="s">
        <v>303</v>
      </c>
      <c r="D2" s="6" t="s">
        <v>175</v>
      </c>
      <c r="E2" s="6" t="s">
        <v>231</v>
      </c>
      <c r="F2" s="6" t="s">
        <v>176</v>
      </c>
      <c r="G2" s="6" t="s">
        <v>177</v>
      </c>
      <c r="H2" s="6" t="s">
        <v>393</v>
      </c>
      <c r="I2" s="174" t="s">
        <v>569</v>
      </c>
      <c r="J2" s="6" t="s">
        <v>171</v>
      </c>
      <c r="K2" s="6" t="s">
        <v>173</v>
      </c>
      <c r="L2" s="167" t="s">
        <v>570</v>
      </c>
      <c r="M2" s="167" t="s">
        <v>567</v>
      </c>
      <c r="N2" s="206" t="s">
        <v>568</v>
      </c>
      <c r="O2" s="41" t="s">
        <v>305</v>
      </c>
      <c r="P2" s="41" t="s">
        <v>306</v>
      </c>
      <c r="Q2" s="41" t="s">
        <v>307</v>
      </c>
      <c r="R2" s="41" t="s">
        <v>308</v>
      </c>
      <c r="S2" s="41" t="s">
        <v>309</v>
      </c>
      <c r="U2" s="6" t="s">
        <v>305</v>
      </c>
      <c r="V2" s="6" t="s">
        <v>306</v>
      </c>
      <c r="W2" s="6" t="s">
        <v>307</v>
      </c>
      <c r="X2" s="6" t="s">
        <v>308</v>
      </c>
      <c r="Y2" s="6" t="s">
        <v>309</v>
      </c>
    </row>
    <row r="3" spans="1:25" ht="18.75">
      <c r="A3">
        <v>12</v>
      </c>
      <c r="B3" s="17" t="s">
        <v>310</v>
      </c>
      <c r="C3" s="17" t="s">
        <v>255</v>
      </c>
      <c r="D3" s="7" t="s">
        <v>310</v>
      </c>
      <c r="E3" s="7" t="s">
        <v>255</v>
      </c>
      <c r="F3" s="34" t="s">
        <v>187</v>
      </c>
      <c r="G3" s="34" t="s">
        <v>201</v>
      </c>
      <c r="H3" s="1" t="str">
        <f>CONCATENATE(F3,G3)</f>
        <v>HL</v>
      </c>
      <c r="I3" s="176">
        <f>SUM(O3:S3)</f>
        <v>83.79</v>
      </c>
      <c r="J3" s="11">
        <f>(VLOOKUP($H3,'Standard Estimate Uncertainty '!$B$10:$D$18,2)*$I3)+$I3</f>
        <v>79.60050000000001</v>
      </c>
      <c r="K3" s="11">
        <f>(VLOOKUP($H3,'Standard Estimate Uncertainty '!$B$10:$D$18,3)*$I3)+$I3</f>
        <v>92.16900000000001</v>
      </c>
      <c r="L3" s="168">
        <f aca="true" t="shared" si="0" ref="L3:L67">+K3-I3</f>
        <v>8.379000000000005</v>
      </c>
      <c r="M3" s="168">
        <f>+L3/L$150*M$153</f>
        <v>9.203836999709774</v>
      </c>
      <c r="N3" s="207">
        <f>+M3/I3</f>
        <v>0.10984409833762708</v>
      </c>
      <c r="O3" s="42"/>
      <c r="P3" s="42"/>
      <c r="Q3" s="42"/>
      <c r="R3" s="42">
        <v>83.79</v>
      </c>
      <c r="S3" s="42"/>
      <c r="T3" s="48"/>
      <c r="U3" s="9">
        <f aca="true" t="shared" si="1" ref="U3:U34">O3/$I3</f>
        <v>0</v>
      </c>
      <c r="V3" s="9">
        <f aca="true" t="shared" si="2" ref="V3:V34">P3/$I3</f>
        <v>0</v>
      </c>
      <c r="W3" s="9">
        <f aca="true" t="shared" si="3" ref="W3:W34">Q3/$I3</f>
        <v>0</v>
      </c>
      <c r="X3" s="9">
        <f aca="true" t="shared" si="4" ref="X3:X34">R3/$I3</f>
        <v>1</v>
      </c>
      <c r="Y3" s="9">
        <f aca="true" t="shared" si="5" ref="Y3:Y34">S3/$I3</f>
        <v>0</v>
      </c>
    </row>
    <row r="4" spans="2:25" ht="18.75">
      <c r="B4" s="17" t="s">
        <v>310</v>
      </c>
      <c r="C4" s="17" t="s">
        <v>257</v>
      </c>
      <c r="D4" s="7" t="s">
        <v>310</v>
      </c>
      <c r="E4" s="7" t="s">
        <v>257</v>
      </c>
      <c r="F4" s="34" t="s">
        <v>187</v>
      </c>
      <c r="G4" s="34" t="s">
        <v>201</v>
      </c>
      <c r="H4" s="1" t="str">
        <f aca="true" t="shared" si="6" ref="H4:H65">CONCATENATE(F4,G4)</f>
        <v>HL</v>
      </c>
      <c r="I4" s="176">
        <f aca="true" t="shared" si="7" ref="I4:I67">SUM(O4:S4)</f>
        <v>34.4</v>
      </c>
      <c r="J4" s="11">
        <f>(VLOOKUP($H4,'Standard Estimate Uncertainty '!$B$10:$D$18,2)*$I4)+$I4</f>
        <v>32.68</v>
      </c>
      <c r="K4" s="11">
        <f>(VLOOKUP($H4,'Standard Estimate Uncertainty '!$B$10:$D$18,3)*$I4)+$I4</f>
        <v>37.839999999999996</v>
      </c>
      <c r="L4" s="168">
        <f t="shared" si="0"/>
        <v>3.4399999999999977</v>
      </c>
      <c r="M4" s="168">
        <f aca="true" t="shared" si="8" ref="M4:M67">+L4/L$150*M$153</f>
        <v>3.778636982814367</v>
      </c>
      <c r="N4" s="207">
        <f aca="true" t="shared" si="9" ref="N4:N67">+M4/I4</f>
        <v>0.10984409833762696</v>
      </c>
      <c r="O4" s="42">
        <v>34.4</v>
      </c>
      <c r="P4" s="42"/>
      <c r="Q4" s="42"/>
      <c r="R4" s="42"/>
      <c r="S4" s="42"/>
      <c r="T4" s="48"/>
      <c r="U4" s="9">
        <f t="shared" si="1"/>
        <v>1</v>
      </c>
      <c r="V4" s="9">
        <f t="shared" si="2"/>
        <v>0</v>
      </c>
      <c r="W4" s="9">
        <f t="shared" si="3"/>
        <v>0</v>
      </c>
      <c r="X4" s="9">
        <f t="shared" si="4"/>
        <v>0</v>
      </c>
      <c r="Y4" s="9">
        <f t="shared" si="5"/>
        <v>0</v>
      </c>
    </row>
    <row r="5" spans="2:25" ht="18.75">
      <c r="B5" s="17" t="s">
        <v>310</v>
      </c>
      <c r="C5" s="17" t="s">
        <v>254</v>
      </c>
      <c r="D5" s="7" t="s">
        <v>310</v>
      </c>
      <c r="E5" s="7" t="s">
        <v>254</v>
      </c>
      <c r="F5" s="34" t="s">
        <v>187</v>
      </c>
      <c r="G5" s="34" t="s">
        <v>201</v>
      </c>
      <c r="H5" s="1" t="str">
        <f t="shared" si="6"/>
        <v>HL</v>
      </c>
      <c r="I5" s="176">
        <f t="shared" si="7"/>
        <v>220.25</v>
      </c>
      <c r="J5" s="11">
        <f>(VLOOKUP($H5,'Standard Estimate Uncertainty '!$B$10:$D$18,2)*$I5)+$I5</f>
        <v>209.2375</v>
      </c>
      <c r="K5" s="11">
        <f>(VLOOKUP($H5,'Standard Estimate Uncertainty '!$B$10:$D$18,3)*$I5)+$I5</f>
        <v>242.275</v>
      </c>
      <c r="L5" s="168">
        <f t="shared" si="0"/>
        <v>22.025000000000006</v>
      </c>
      <c r="M5" s="168">
        <f t="shared" si="8"/>
        <v>24.193162658862356</v>
      </c>
      <c r="N5" s="207">
        <f t="shared" si="9"/>
        <v>0.10984409833762704</v>
      </c>
      <c r="O5" s="42"/>
      <c r="P5" s="42">
        <v>104.57</v>
      </c>
      <c r="Q5" s="42">
        <v>1.12</v>
      </c>
      <c r="R5" s="42">
        <v>114.56</v>
      </c>
      <c r="S5" s="42"/>
      <c r="T5" s="48"/>
      <c r="U5" s="9">
        <f t="shared" si="1"/>
        <v>0</v>
      </c>
      <c r="V5" s="9">
        <f t="shared" si="2"/>
        <v>0.47477866061293983</v>
      </c>
      <c r="W5" s="9">
        <f t="shared" si="3"/>
        <v>0.005085130533484677</v>
      </c>
      <c r="X5" s="9">
        <f t="shared" si="4"/>
        <v>0.5201362088535755</v>
      </c>
      <c r="Y5" s="9">
        <f t="shared" si="5"/>
        <v>0</v>
      </c>
    </row>
    <row r="6" spans="2:25" ht="18.75">
      <c r="B6" s="17" t="s">
        <v>310</v>
      </c>
      <c r="C6" s="17" t="s">
        <v>256</v>
      </c>
      <c r="D6" s="7" t="s">
        <v>310</v>
      </c>
      <c r="E6" s="7" t="s">
        <v>256</v>
      </c>
      <c r="F6" s="34" t="s">
        <v>187</v>
      </c>
      <c r="G6" s="34" t="s">
        <v>201</v>
      </c>
      <c r="H6" s="1" t="str">
        <f t="shared" si="6"/>
        <v>HL</v>
      </c>
      <c r="I6" s="176">
        <f t="shared" si="7"/>
        <v>20.14</v>
      </c>
      <c r="J6" s="11">
        <f>(VLOOKUP($H6,'Standard Estimate Uncertainty '!$B$10:$D$18,2)*$I6)+$I6</f>
        <v>19.133</v>
      </c>
      <c r="K6" s="11">
        <f>(VLOOKUP($H6,'Standard Estimate Uncertainty '!$B$10:$D$18,3)*$I6)+$I6</f>
        <v>22.154</v>
      </c>
      <c r="L6" s="168">
        <f t="shared" si="0"/>
        <v>2.0139999999999993</v>
      </c>
      <c r="M6" s="168">
        <f t="shared" si="8"/>
        <v>2.2122601405198075</v>
      </c>
      <c r="N6" s="207">
        <f t="shared" si="9"/>
        <v>0.10984409833762698</v>
      </c>
      <c r="O6" s="42"/>
      <c r="P6" s="42">
        <v>20.14</v>
      </c>
      <c r="Q6" s="42"/>
      <c r="R6" s="42"/>
      <c r="S6" s="42"/>
      <c r="T6" s="48"/>
      <c r="U6" s="9">
        <f t="shared" si="1"/>
        <v>0</v>
      </c>
      <c r="V6" s="9">
        <f t="shared" si="2"/>
        <v>1</v>
      </c>
      <c r="W6" s="9">
        <f t="shared" si="3"/>
        <v>0</v>
      </c>
      <c r="X6" s="9">
        <f t="shared" si="4"/>
        <v>0</v>
      </c>
      <c r="Y6" s="9">
        <f t="shared" si="5"/>
        <v>0</v>
      </c>
    </row>
    <row r="7" spans="2:25" ht="18.75">
      <c r="B7" s="17" t="s">
        <v>310</v>
      </c>
      <c r="C7" s="17" t="s">
        <v>233</v>
      </c>
      <c r="D7" s="7" t="s">
        <v>310</v>
      </c>
      <c r="E7" s="7" t="s">
        <v>233</v>
      </c>
      <c r="F7" s="34" t="s">
        <v>187</v>
      </c>
      <c r="G7" s="34" t="s">
        <v>201</v>
      </c>
      <c r="H7" s="1" t="str">
        <f t="shared" si="6"/>
        <v>HL</v>
      </c>
      <c r="I7" s="176">
        <f t="shared" si="7"/>
        <v>36.95</v>
      </c>
      <c r="J7" s="11">
        <f>(VLOOKUP($H7,'Standard Estimate Uncertainty '!$B$10:$D$18,2)*$I7)+$I7</f>
        <v>35.102500000000006</v>
      </c>
      <c r="K7" s="11">
        <f>(VLOOKUP($H7,'Standard Estimate Uncertainty '!$B$10:$D$18,3)*$I7)+$I7</f>
        <v>40.645</v>
      </c>
      <c r="L7" s="168">
        <f t="shared" si="0"/>
        <v>3.6950000000000003</v>
      </c>
      <c r="M7" s="168">
        <f t="shared" si="8"/>
        <v>4.058739433575318</v>
      </c>
      <c r="N7" s="207">
        <f t="shared" si="9"/>
        <v>0.109844098337627</v>
      </c>
      <c r="O7" s="42"/>
      <c r="P7" s="42">
        <v>36.95</v>
      </c>
      <c r="Q7" s="42"/>
      <c r="R7" s="42"/>
      <c r="S7" s="42"/>
      <c r="T7" s="48"/>
      <c r="U7" s="9">
        <f t="shared" si="1"/>
        <v>0</v>
      </c>
      <c r="V7" s="9">
        <f t="shared" si="2"/>
        <v>1</v>
      </c>
      <c r="W7" s="9">
        <f t="shared" si="3"/>
        <v>0</v>
      </c>
      <c r="X7" s="9">
        <f t="shared" si="4"/>
        <v>0</v>
      </c>
      <c r="Y7" s="9">
        <f t="shared" si="5"/>
        <v>0</v>
      </c>
    </row>
    <row r="8" spans="2:25" ht="18.75">
      <c r="B8" s="17" t="s">
        <v>310</v>
      </c>
      <c r="C8" s="17" t="s">
        <v>234</v>
      </c>
      <c r="D8" s="7" t="s">
        <v>310</v>
      </c>
      <c r="E8" s="7" t="s">
        <v>234</v>
      </c>
      <c r="F8" s="34" t="s">
        <v>187</v>
      </c>
      <c r="G8" s="34" t="s">
        <v>201</v>
      </c>
      <c r="H8" s="1" t="str">
        <f t="shared" si="6"/>
        <v>HL</v>
      </c>
      <c r="I8" s="176">
        <f t="shared" si="7"/>
        <v>12.28</v>
      </c>
      <c r="J8" s="11">
        <f>(VLOOKUP($H8,'Standard Estimate Uncertainty '!$B$10:$D$18,2)*$I8)+$I8</f>
        <v>11.665999999999999</v>
      </c>
      <c r="K8" s="11">
        <f>(VLOOKUP($H8,'Standard Estimate Uncertainty '!$B$10:$D$18,3)*$I8)+$I8</f>
        <v>13.508</v>
      </c>
      <c r="L8" s="168">
        <f t="shared" si="0"/>
        <v>1.2279999999999998</v>
      </c>
      <c r="M8" s="168">
        <f t="shared" si="8"/>
        <v>1.3488855275860596</v>
      </c>
      <c r="N8" s="207">
        <f t="shared" si="9"/>
        <v>0.10984409833762701</v>
      </c>
      <c r="O8" s="42">
        <v>12.28</v>
      </c>
      <c r="P8" s="42"/>
      <c r="Q8" s="42"/>
      <c r="R8" s="42"/>
      <c r="S8" s="42"/>
      <c r="T8" s="48"/>
      <c r="U8" s="9">
        <f t="shared" si="1"/>
        <v>1</v>
      </c>
      <c r="V8" s="9">
        <f t="shared" si="2"/>
        <v>0</v>
      </c>
      <c r="W8" s="9">
        <f t="shared" si="3"/>
        <v>0</v>
      </c>
      <c r="X8" s="9">
        <f t="shared" si="4"/>
        <v>0</v>
      </c>
      <c r="Y8" s="9">
        <f t="shared" si="5"/>
        <v>0</v>
      </c>
    </row>
    <row r="9" spans="2:25" ht="18.75">
      <c r="B9" s="17" t="s">
        <v>311</v>
      </c>
      <c r="C9" s="17"/>
      <c r="D9" s="7" t="s">
        <v>311</v>
      </c>
      <c r="F9" s="184" t="s">
        <v>392</v>
      </c>
      <c r="G9" s="185"/>
      <c r="H9" s="1" t="str">
        <f t="shared" si="6"/>
        <v>FROZEN</v>
      </c>
      <c r="I9" s="176">
        <f t="shared" si="7"/>
        <v>-251.69</v>
      </c>
      <c r="J9" s="11">
        <f>I9</f>
        <v>-251.69</v>
      </c>
      <c r="K9" s="11">
        <f>I9</f>
        <v>-251.69</v>
      </c>
      <c r="L9" s="168">
        <f t="shared" si="0"/>
        <v>0</v>
      </c>
      <c r="M9" s="168">
        <f t="shared" si="8"/>
        <v>0</v>
      </c>
      <c r="N9" s="207">
        <f t="shared" si="9"/>
        <v>0</v>
      </c>
      <c r="O9" s="42">
        <v>-251.69</v>
      </c>
      <c r="P9" s="42"/>
      <c r="Q9" s="42"/>
      <c r="R9" s="42"/>
      <c r="S9" s="42"/>
      <c r="T9" s="48"/>
      <c r="U9" s="9">
        <f t="shared" si="1"/>
        <v>1</v>
      </c>
      <c r="V9" s="9">
        <f t="shared" si="2"/>
        <v>0</v>
      </c>
      <c r="W9" s="9">
        <f t="shared" si="3"/>
        <v>0</v>
      </c>
      <c r="X9" s="9">
        <f t="shared" si="4"/>
        <v>0</v>
      </c>
      <c r="Y9" s="9">
        <f t="shared" si="5"/>
        <v>0</v>
      </c>
    </row>
    <row r="10" spans="1:25" ht="18.75">
      <c r="A10">
        <v>13</v>
      </c>
      <c r="B10" s="17" t="s">
        <v>312</v>
      </c>
      <c r="C10" s="17" t="s">
        <v>252</v>
      </c>
      <c r="D10" s="7" t="s">
        <v>312</v>
      </c>
      <c r="E10" s="7" t="s">
        <v>252</v>
      </c>
      <c r="F10" s="184" t="s">
        <v>392</v>
      </c>
      <c r="G10" s="185"/>
      <c r="H10" s="1" t="str">
        <f t="shared" si="6"/>
        <v>FROZEN</v>
      </c>
      <c r="I10" s="176">
        <f t="shared" si="7"/>
        <v>4.53</v>
      </c>
      <c r="J10" s="11">
        <f>I10</f>
        <v>4.53</v>
      </c>
      <c r="K10" s="11">
        <f>I10</f>
        <v>4.53</v>
      </c>
      <c r="L10" s="168">
        <f t="shared" si="0"/>
        <v>0</v>
      </c>
      <c r="M10" s="168">
        <f t="shared" si="8"/>
        <v>0</v>
      </c>
      <c r="N10" s="207">
        <f t="shared" si="9"/>
        <v>0</v>
      </c>
      <c r="O10" s="42">
        <v>4.53</v>
      </c>
      <c r="P10" s="42"/>
      <c r="Q10" s="42"/>
      <c r="R10" s="42"/>
      <c r="S10" s="42"/>
      <c r="T10" s="48"/>
      <c r="U10" s="9">
        <f t="shared" si="1"/>
        <v>1</v>
      </c>
      <c r="V10" s="9">
        <f t="shared" si="2"/>
        <v>0</v>
      </c>
      <c r="W10" s="9">
        <f t="shared" si="3"/>
        <v>0</v>
      </c>
      <c r="X10" s="9">
        <f t="shared" si="4"/>
        <v>0</v>
      </c>
      <c r="Y10" s="9">
        <f t="shared" si="5"/>
        <v>0</v>
      </c>
    </row>
    <row r="11" spans="2:25" ht="18.75">
      <c r="B11" s="17" t="s">
        <v>312</v>
      </c>
      <c r="C11" s="17" t="s">
        <v>232</v>
      </c>
      <c r="D11" s="7" t="s">
        <v>312</v>
      </c>
      <c r="E11" s="7" t="s">
        <v>232</v>
      </c>
      <c r="F11" s="34" t="s">
        <v>201</v>
      </c>
      <c r="G11" s="34" t="s">
        <v>201</v>
      </c>
      <c r="H11" s="1" t="str">
        <f t="shared" si="6"/>
        <v>LL</v>
      </c>
      <c r="I11" s="176">
        <f t="shared" si="7"/>
        <v>252.68</v>
      </c>
      <c r="J11" s="11">
        <f>(VLOOKUP($H11,'Standard Estimate Uncertainty '!$B$10:$D$18,2)*$I11)+$I11</f>
        <v>214.77800000000002</v>
      </c>
      <c r="K11" s="11">
        <f>(VLOOKUP($H11,'Standard Estimate Uncertainty '!$B$10:$D$18,3)*$I11)+$I11</f>
        <v>315.85</v>
      </c>
      <c r="L11" s="168">
        <f t="shared" si="0"/>
        <v>63.170000000000016</v>
      </c>
      <c r="M11" s="168">
        <f t="shared" si="8"/>
        <v>69.388516919879</v>
      </c>
      <c r="N11" s="207">
        <f t="shared" si="9"/>
        <v>0.27461024584406757</v>
      </c>
      <c r="O11" s="42">
        <v>39.25</v>
      </c>
      <c r="P11" s="42">
        <v>213.43</v>
      </c>
      <c r="Q11" s="42"/>
      <c r="R11" s="42"/>
      <c r="S11" s="42"/>
      <c r="T11" s="48"/>
      <c r="U11" s="9">
        <f t="shared" si="1"/>
        <v>0.15533481082792464</v>
      </c>
      <c r="V11" s="9">
        <f t="shared" si="2"/>
        <v>0.8446651891720753</v>
      </c>
      <c r="W11" s="9">
        <f t="shared" si="3"/>
        <v>0</v>
      </c>
      <c r="X11" s="9">
        <f t="shared" si="4"/>
        <v>0</v>
      </c>
      <c r="Y11" s="9">
        <f t="shared" si="5"/>
        <v>0</v>
      </c>
    </row>
    <row r="12" spans="2:25" ht="18.75">
      <c r="B12" s="17" t="s">
        <v>313</v>
      </c>
      <c r="C12" s="17" t="s">
        <v>258</v>
      </c>
      <c r="D12" s="7" t="s">
        <v>313</v>
      </c>
      <c r="E12" s="7" t="s">
        <v>258</v>
      </c>
      <c r="F12" s="34" t="s">
        <v>201</v>
      </c>
      <c r="G12" s="34" t="s">
        <v>201</v>
      </c>
      <c r="H12" s="1" t="str">
        <f t="shared" si="6"/>
        <v>LL</v>
      </c>
      <c r="I12" s="176">
        <f t="shared" si="7"/>
        <v>1629.8799999999999</v>
      </c>
      <c r="J12" s="11">
        <f>(VLOOKUP($H12,'Standard Estimate Uncertainty '!$B$10:$D$18,2)*$I12)+$I12</f>
        <v>1385.398</v>
      </c>
      <c r="K12" s="11">
        <f>(VLOOKUP($H12,'Standard Estimate Uncertainty '!$B$10:$D$18,3)*$I12)+$I12</f>
        <v>2037.35</v>
      </c>
      <c r="L12" s="168">
        <f t="shared" si="0"/>
        <v>407.47</v>
      </c>
      <c r="M12" s="168">
        <f t="shared" si="8"/>
        <v>447.5817474963289</v>
      </c>
      <c r="N12" s="207">
        <f t="shared" si="9"/>
        <v>0.2746102458440676</v>
      </c>
      <c r="O12" s="42"/>
      <c r="P12" s="42">
        <v>967.97</v>
      </c>
      <c r="Q12" s="42">
        <v>633.54</v>
      </c>
      <c r="R12" s="42">
        <v>28.37</v>
      </c>
      <c r="S12" s="42"/>
      <c r="T12" s="48"/>
      <c r="U12" s="9">
        <f t="shared" si="1"/>
        <v>0</v>
      </c>
      <c r="V12" s="9">
        <f t="shared" si="2"/>
        <v>0.5938903477556631</v>
      </c>
      <c r="W12" s="9">
        <f t="shared" si="3"/>
        <v>0.3887034628316195</v>
      </c>
      <c r="X12" s="9">
        <f t="shared" si="4"/>
        <v>0.0174061894127175</v>
      </c>
      <c r="Y12" s="9">
        <f t="shared" si="5"/>
        <v>0</v>
      </c>
    </row>
    <row r="13" spans="2:25" ht="18.75">
      <c r="B13" s="17" t="s">
        <v>314</v>
      </c>
      <c r="C13" s="17" t="s">
        <v>259</v>
      </c>
      <c r="D13" s="7" t="s">
        <v>314</v>
      </c>
      <c r="E13" s="7" t="s">
        <v>259</v>
      </c>
      <c r="F13" s="34" t="s">
        <v>187</v>
      </c>
      <c r="G13" s="34" t="s">
        <v>201</v>
      </c>
      <c r="H13" s="1" t="str">
        <f t="shared" si="6"/>
        <v>HL</v>
      </c>
      <c r="I13" s="176">
        <f t="shared" si="7"/>
        <v>337.33</v>
      </c>
      <c r="J13" s="11">
        <f>(VLOOKUP($H13,'Standard Estimate Uncertainty '!$B$10:$D$18,2)*$I13)+$I13</f>
        <v>320.4635</v>
      </c>
      <c r="K13" s="11">
        <f>(VLOOKUP($H13,'Standard Estimate Uncertainty '!$B$10:$D$18,3)*$I13)+$I13</f>
        <v>371.063</v>
      </c>
      <c r="L13" s="168">
        <f t="shared" si="0"/>
        <v>33.733000000000004</v>
      </c>
      <c r="M13" s="168">
        <f t="shared" si="8"/>
        <v>37.05370969223173</v>
      </c>
      <c r="N13" s="207">
        <f t="shared" si="9"/>
        <v>0.10984409833762704</v>
      </c>
      <c r="O13" s="42"/>
      <c r="P13" s="42"/>
      <c r="Q13" s="42">
        <v>78.26</v>
      </c>
      <c r="R13" s="42">
        <v>259.07</v>
      </c>
      <c r="S13" s="42"/>
      <c r="T13" s="48"/>
      <c r="U13" s="9">
        <f t="shared" si="1"/>
        <v>0</v>
      </c>
      <c r="V13" s="9">
        <f t="shared" si="2"/>
        <v>0</v>
      </c>
      <c r="W13" s="9">
        <f t="shared" si="3"/>
        <v>0.23199833990454455</v>
      </c>
      <c r="X13" s="9">
        <f t="shared" si="4"/>
        <v>0.7680016600954555</v>
      </c>
      <c r="Y13" s="9">
        <f t="shared" si="5"/>
        <v>0</v>
      </c>
    </row>
    <row r="14" spans="2:25" ht="18.75">
      <c r="B14" s="17" t="s">
        <v>315</v>
      </c>
      <c r="C14" s="17" t="s">
        <v>260</v>
      </c>
      <c r="D14" s="7" t="s">
        <v>315</v>
      </c>
      <c r="E14" s="7" t="s">
        <v>260</v>
      </c>
      <c r="F14" s="34" t="s">
        <v>201</v>
      </c>
      <c r="G14" s="34" t="s">
        <v>201</v>
      </c>
      <c r="H14" s="1" t="str">
        <f t="shared" si="6"/>
        <v>LL</v>
      </c>
      <c r="I14" s="176">
        <f t="shared" si="7"/>
        <v>161.9</v>
      </c>
      <c r="J14" s="11">
        <f>(VLOOKUP($H14,'Standard Estimate Uncertainty '!$B$10:$D$18,2)*$I14)+$I14</f>
        <v>137.615</v>
      </c>
      <c r="K14" s="11">
        <f>(VLOOKUP($H14,'Standard Estimate Uncertainty '!$B$10:$D$18,3)*$I14)+$I14</f>
        <v>202.375</v>
      </c>
      <c r="L14" s="168">
        <f t="shared" si="0"/>
        <v>40.474999999999994</v>
      </c>
      <c r="M14" s="168">
        <f t="shared" si="8"/>
        <v>44.45939880215453</v>
      </c>
      <c r="N14" s="207">
        <f t="shared" si="9"/>
        <v>0.2746102458440675</v>
      </c>
      <c r="O14" s="42"/>
      <c r="P14" s="42"/>
      <c r="Q14" s="42">
        <v>161.9</v>
      </c>
      <c r="R14" s="42"/>
      <c r="S14" s="42"/>
      <c r="T14" s="48"/>
      <c r="U14" s="9">
        <f t="shared" si="1"/>
        <v>0</v>
      </c>
      <c r="V14" s="9">
        <f t="shared" si="2"/>
        <v>0</v>
      </c>
      <c r="W14" s="9">
        <f t="shared" si="3"/>
        <v>1</v>
      </c>
      <c r="X14" s="9">
        <f t="shared" si="4"/>
        <v>0</v>
      </c>
      <c r="Y14" s="9">
        <f t="shared" si="5"/>
        <v>0</v>
      </c>
    </row>
    <row r="15" spans="2:25" ht="18.75">
      <c r="B15" s="17" t="s">
        <v>316</v>
      </c>
      <c r="C15" s="17" t="s">
        <v>261</v>
      </c>
      <c r="D15" s="7" t="s">
        <v>316</v>
      </c>
      <c r="E15" s="7" t="s">
        <v>261</v>
      </c>
      <c r="F15" s="34" t="s">
        <v>188</v>
      </c>
      <c r="G15" s="34" t="s">
        <v>201</v>
      </c>
      <c r="H15" s="1" t="str">
        <f t="shared" si="6"/>
        <v>ML</v>
      </c>
      <c r="I15" s="176">
        <f t="shared" si="7"/>
        <v>72.01</v>
      </c>
      <c r="J15" s="11">
        <f>(VLOOKUP($H15,'Standard Estimate Uncertainty '!$B$10:$D$18,2)*$I15)+$I15</f>
        <v>64.809</v>
      </c>
      <c r="K15" s="11">
        <f>(VLOOKUP($H15,'Standard Estimate Uncertainty '!$B$10:$D$18,3)*$I15)+$I15</f>
        <v>82.81150000000001</v>
      </c>
      <c r="L15" s="168">
        <f t="shared" si="0"/>
        <v>10.801500000000004</v>
      </c>
      <c r="M15" s="168">
        <f t="shared" si="8"/>
        <v>11.864810281938787</v>
      </c>
      <c r="N15" s="207">
        <f t="shared" si="9"/>
        <v>0.16476614750644059</v>
      </c>
      <c r="O15" s="42"/>
      <c r="P15" s="42">
        <v>31.66</v>
      </c>
      <c r="Q15" s="42">
        <v>38.79</v>
      </c>
      <c r="R15" s="42">
        <v>1.56</v>
      </c>
      <c r="S15" s="42"/>
      <c r="T15" s="48"/>
      <c r="U15" s="9">
        <f t="shared" si="1"/>
        <v>0</v>
      </c>
      <c r="V15" s="9">
        <f t="shared" si="2"/>
        <v>0.43966115817247603</v>
      </c>
      <c r="W15" s="9">
        <f t="shared" si="3"/>
        <v>0.5386751840022219</v>
      </c>
      <c r="X15" s="9">
        <f t="shared" si="4"/>
        <v>0.02166365782530204</v>
      </c>
      <c r="Y15" s="9">
        <f t="shared" si="5"/>
        <v>0</v>
      </c>
    </row>
    <row r="16" spans="2:25" ht="18.75">
      <c r="B16" s="17" t="s">
        <v>317</v>
      </c>
      <c r="C16" s="17" t="s">
        <v>262</v>
      </c>
      <c r="D16" s="7" t="s">
        <v>317</v>
      </c>
      <c r="E16" s="7" t="s">
        <v>262</v>
      </c>
      <c r="F16" s="34" t="s">
        <v>187</v>
      </c>
      <c r="G16" s="34" t="s">
        <v>188</v>
      </c>
      <c r="H16" s="1" t="str">
        <f t="shared" si="6"/>
        <v>HM</v>
      </c>
      <c r="I16" s="176">
        <f t="shared" si="7"/>
        <v>212.76</v>
      </c>
      <c r="J16" s="11">
        <f>(VLOOKUP($H16,'Standard Estimate Uncertainty '!$B$10:$D$18,2)*$I16)+$I16</f>
        <v>191.48399999999998</v>
      </c>
      <c r="K16" s="11">
        <f>(VLOOKUP($H16,'Standard Estimate Uncertainty '!$B$10:$D$18,3)*$I16)+$I16</f>
        <v>244.67399999999998</v>
      </c>
      <c r="L16" s="168">
        <f t="shared" si="0"/>
        <v>31.913999999999987</v>
      </c>
      <c r="M16" s="168">
        <f t="shared" si="8"/>
        <v>35.05564554347028</v>
      </c>
      <c r="N16" s="207">
        <f t="shared" si="9"/>
        <v>0.1647661475064405</v>
      </c>
      <c r="O16" s="42">
        <v>99.18</v>
      </c>
      <c r="P16" s="42">
        <v>113.58</v>
      </c>
      <c r="Q16" s="42"/>
      <c r="R16" s="42"/>
      <c r="S16" s="42"/>
      <c r="T16" s="48"/>
      <c r="U16" s="9">
        <f t="shared" si="1"/>
        <v>0.4661590524534687</v>
      </c>
      <c r="V16" s="9">
        <f t="shared" si="2"/>
        <v>0.5338409475465313</v>
      </c>
      <c r="W16" s="9">
        <f t="shared" si="3"/>
        <v>0</v>
      </c>
      <c r="X16" s="9">
        <f t="shared" si="4"/>
        <v>0</v>
      </c>
      <c r="Y16" s="9">
        <f t="shared" si="5"/>
        <v>0</v>
      </c>
    </row>
    <row r="17" spans="2:25" ht="18.75">
      <c r="B17" s="17" t="s">
        <v>317</v>
      </c>
      <c r="C17" s="17" t="s">
        <v>263</v>
      </c>
      <c r="D17" s="7" t="s">
        <v>317</v>
      </c>
      <c r="E17" s="7" t="s">
        <v>263</v>
      </c>
      <c r="F17" s="34" t="s">
        <v>187</v>
      </c>
      <c r="G17" s="34" t="s">
        <v>188</v>
      </c>
      <c r="H17" s="1" t="str">
        <f t="shared" si="6"/>
        <v>HM</v>
      </c>
      <c r="I17" s="176">
        <f t="shared" si="7"/>
        <v>826.2</v>
      </c>
      <c r="J17" s="11">
        <f>(VLOOKUP($H17,'Standard Estimate Uncertainty '!$B$10:$D$18,2)*$I17)+$I17</f>
        <v>743.58</v>
      </c>
      <c r="K17" s="11">
        <f>(VLOOKUP($H17,'Standard Estimate Uncertainty '!$B$10:$D$18,3)*$I17)+$I17</f>
        <v>950.1300000000001</v>
      </c>
      <c r="L17" s="168">
        <f t="shared" si="0"/>
        <v>123.93000000000006</v>
      </c>
      <c r="M17" s="168">
        <f t="shared" si="8"/>
        <v>136.12979106982124</v>
      </c>
      <c r="N17" s="207">
        <f t="shared" si="9"/>
        <v>0.1647661475064406</v>
      </c>
      <c r="O17" s="42">
        <v>165.22</v>
      </c>
      <c r="P17" s="42">
        <v>660.98</v>
      </c>
      <c r="Q17" s="42"/>
      <c r="R17" s="42"/>
      <c r="S17" s="42"/>
      <c r="T17" s="48"/>
      <c r="U17" s="9">
        <f t="shared" si="1"/>
        <v>0.1999757927862503</v>
      </c>
      <c r="V17" s="9">
        <f t="shared" si="2"/>
        <v>0.8000242072137497</v>
      </c>
      <c r="W17" s="9">
        <f t="shared" si="3"/>
        <v>0</v>
      </c>
      <c r="X17" s="9">
        <f t="shared" si="4"/>
        <v>0</v>
      </c>
      <c r="Y17" s="9">
        <f t="shared" si="5"/>
        <v>0</v>
      </c>
    </row>
    <row r="18" spans="2:25" ht="18.75">
      <c r="B18" s="17" t="s">
        <v>317</v>
      </c>
      <c r="C18" s="17" t="s">
        <v>252</v>
      </c>
      <c r="D18" s="7" t="s">
        <v>317</v>
      </c>
      <c r="E18" s="7" t="s">
        <v>252</v>
      </c>
      <c r="F18" s="184" t="s">
        <v>392</v>
      </c>
      <c r="G18" s="185"/>
      <c r="H18" s="1" t="str">
        <f t="shared" si="6"/>
        <v>FROZEN</v>
      </c>
      <c r="I18" s="176">
        <f t="shared" si="7"/>
        <v>1.39</v>
      </c>
      <c r="J18" s="11">
        <f>I18</f>
        <v>1.39</v>
      </c>
      <c r="K18" s="11">
        <f>I18</f>
        <v>1.39</v>
      </c>
      <c r="L18" s="168">
        <f t="shared" si="0"/>
        <v>0</v>
      </c>
      <c r="M18" s="168">
        <f t="shared" si="8"/>
        <v>0</v>
      </c>
      <c r="N18" s="207">
        <f t="shared" si="9"/>
        <v>0</v>
      </c>
      <c r="O18" s="42">
        <v>1.39</v>
      </c>
      <c r="P18" s="42"/>
      <c r="Q18" s="40"/>
      <c r="R18" s="40"/>
      <c r="S18" s="40"/>
      <c r="T18" s="48"/>
      <c r="U18" s="9">
        <f t="shared" si="1"/>
        <v>1</v>
      </c>
      <c r="V18" s="9">
        <f t="shared" si="2"/>
        <v>0</v>
      </c>
      <c r="W18" s="9">
        <f t="shared" si="3"/>
        <v>0</v>
      </c>
      <c r="X18" s="9">
        <f t="shared" si="4"/>
        <v>0</v>
      </c>
      <c r="Y18" s="9">
        <f t="shared" si="5"/>
        <v>0</v>
      </c>
    </row>
    <row r="19" spans="2:25" ht="18.75">
      <c r="B19" s="17" t="s">
        <v>317</v>
      </c>
      <c r="C19" s="17" t="s">
        <v>232</v>
      </c>
      <c r="D19" s="7" t="s">
        <v>317</v>
      </c>
      <c r="E19" s="7" t="s">
        <v>232</v>
      </c>
      <c r="F19" s="184" t="s">
        <v>392</v>
      </c>
      <c r="G19" s="185"/>
      <c r="H19" s="1" t="str">
        <f t="shared" si="6"/>
        <v>FROZEN</v>
      </c>
      <c r="I19" s="176">
        <f t="shared" si="7"/>
        <v>-38.28</v>
      </c>
      <c r="J19" s="11">
        <f>I19</f>
        <v>-38.28</v>
      </c>
      <c r="K19" s="11">
        <f>I19</f>
        <v>-38.28</v>
      </c>
      <c r="L19" s="168">
        <f t="shared" si="0"/>
        <v>0</v>
      </c>
      <c r="M19" s="168">
        <f t="shared" si="8"/>
        <v>0</v>
      </c>
      <c r="N19" s="207">
        <f t="shared" si="9"/>
        <v>0</v>
      </c>
      <c r="O19" s="42">
        <v>-38.28</v>
      </c>
      <c r="P19" s="42"/>
      <c r="Q19" s="40"/>
      <c r="R19" s="40"/>
      <c r="S19" s="40"/>
      <c r="T19" s="48"/>
      <c r="U19" s="9">
        <f t="shared" si="1"/>
        <v>1</v>
      </c>
      <c r="V19" s="9">
        <f t="shared" si="2"/>
        <v>0</v>
      </c>
      <c r="W19" s="9">
        <f t="shared" si="3"/>
        <v>0</v>
      </c>
      <c r="X19" s="9">
        <f t="shared" si="4"/>
        <v>0</v>
      </c>
      <c r="Y19" s="9">
        <f t="shared" si="5"/>
        <v>0</v>
      </c>
    </row>
    <row r="20" spans="1:25" ht="18.75">
      <c r="A20">
        <v>14</v>
      </c>
      <c r="B20" s="17" t="s">
        <v>318</v>
      </c>
      <c r="C20" s="17" t="s">
        <v>232</v>
      </c>
      <c r="D20" s="7" t="s">
        <v>318</v>
      </c>
      <c r="E20" s="7" t="s">
        <v>232</v>
      </c>
      <c r="F20" s="184" t="s">
        <v>392</v>
      </c>
      <c r="G20" s="185"/>
      <c r="H20" s="1" t="str">
        <f t="shared" si="6"/>
        <v>FROZEN</v>
      </c>
      <c r="I20" s="176">
        <f t="shared" si="7"/>
        <v>-35.94</v>
      </c>
      <c r="J20" s="11">
        <f>I20</f>
        <v>-35.94</v>
      </c>
      <c r="K20" s="11">
        <f>I20</f>
        <v>-35.94</v>
      </c>
      <c r="L20" s="168">
        <f t="shared" si="0"/>
        <v>0</v>
      </c>
      <c r="M20" s="168">
        <f t="shared" si="8"/>
        <v>0</v>
      </c>
      <c r="N20" s="207">
        <f t="shared" si="9"/>
        <v>0</v>
      </c>
      <c r="O20" s="42">
        <v>-35.94</v>
      </c>
      <c r="P20" s="42"/>
      <c r="Q20" s="40"/>
      <c r="R20" s="40"/>
      <c r="S20" s="40"/>
      <c r="T20" s="48"/>
      <c r="U20" s="9">
        <f t="shared" si="1"/>
        <v>1</v>
      </c>
      <c r="V20" s="9">
        <f t="shared" si="2"/>
        <v>0</v>
      </c>
      <c r="W20" s="9">
        <f t="shared" si="3"/>
        <v>0</v>
      </c>
      <c r="X20" s="9">
        <f t="shared" si="4"/>
        <v>0</v>
      </c>
      <c r="Y20" s="9">
        <f t="shared" si="5"/>
        <v>0</v>
      </c>
    </row>
    <row r="21" spans="2:25" ht="18.75">
      <c r="B21" s="17" t="s">
        <v>319</v>
      </c>
      <c r="C21" s="17" t="s">
        <v>232</v>
      </c>
      <c r="D21" s="7" t="s">
        <v>319</v>
      </c>
      <c r="E21" s="7" t="s">
        <v>232</v>
      </c>
      <c r="F21" s="34" t="s">
        <v>201</v>
      </c>
      <c r="G21" s="34" t="s">
        <v>188</v>
      </c>
      <c r="H21" s="1" t="str">
        <f t="shared" si="6"/>
        <v>LM</v>
      </c>
      <c r="I21" s="176">
        <f t="shared" si="7"/>
        <v>349.6</v>
      </c>
      <c r="J21" s="11">
        <f>(VLOOKUP($H21,'Standard Estimate Uncertainty '!$B$10:$D$18,2)*$I21)+$I21</f>
        <v>279.68</v>
      </c>
      <c r="K21" s="11">
        <f>(VLOOKUP($H21,'Standard Estimate Uncertainty '!$B$10:$D$18,3)*$I21)+$I21</f>
        <v>489.44000000000005</v>
      </c>
      <c r="L21" s="168">
        <f t="shared" si="0"/>
        <v>139.84000000000003</v>
      </c>
      <c r="M21" s="168">
        <f t="shared" si="8"/>
        <v>153.60598711533765</v>
      </c>
      <c r="N21" s="207">
        <f t="shared" si="9"/>
        <v>0.43937639335050815</v>
      </c>
      <c r="O21" s="42">
        <v>177.74</v>
      </c>
      <c r="P21" s="42">
        <v>171.86</v>
      </c>
      <c r="Q21" s="40"/>
      <c r="R21" s="40"/>
      <c r="S21" s="40"/>
      <c r="T21" s="48"/>
      <c r="U21" s="9">
        <f t="shared" si="1"/>
        <v>0.5084096109839817</v>
      </c>
      <c r="V21" s="9">
        <f t="shared" si="2"/>
        <v>0.4915903890160183</v>
      </c>
      <c r="W21" s="9">
        <f t="shared" si="3"/>
        <v>0</v>
      </c>
      <c r="X21" s="9">
        <f t="shared" si="4"/>
        <v>0</v>
      </c>
      <c r="Y21" s="9">
        <f t="shared" si="5"/>
        <v>0</v>
      </c>
    </row>
    <row r="22" spans="2:25" ht="18.75">
      <c r="B22" s="17" t="s">
        <v>320</v>
      </c>
      <c r="C22" s="17" t="s">
        <v>232</v>
      </c>
      <c r="D22" s="7" t="s">
        <v>320</v>
      </c>
      <c r="E22" s="7" t="s">
        <v>232</v>
      </c>
      <c r="F22" s="34" t="s">
        <v>187</v>
      </c>
      <c r="G22" s="34" t="s">
        <v>201</v>
      </c>
      <c r="H22" s="1" t="str">
        <f t="shared" si="6"/>
        <v>HL</v>
      </c>
      <c r="I22" s="176">
        <f t="shared" si="7"/>
        <v>-80.39</v>
      </c>
      <c r="J22" s="11">
        <f>(VLOOKUP($H22,'Standard Estimate Uncertainty '!$B$10:$D$18,2)*$I22)+$I22</f>
        <v>-76.3705</v>
      </c>
      <c r="K22" s="11">
        <f>(VLOOKUP($H22,'Standard Estimate Uncertainty '!$B$10:$D$18,3)*$I22)+$I22</f>
        <v>-88.429</v>
      </c>
      <c r="L22" s="168">
        <f t="shared" si="0"/>
        <v>-8.039000000000001</v>
      </c>
      <c r="M22" s="168">
        <f t="shared" si="8"/>
        <v>-8.830367065361838</v>
      </c>
      <c r="N22" s="207">
        <f t="shared" si="9"/>
        <v>0.10984409833762704</v>
      </c>
      <c r="O22" s="42">
        <v>-80.39</v>
      </c>
      <c r="P22" s="42"/>
      <c r="Q22" s="40"/>
      <c r="R22" s="40"/>
      <c r="S22" s="40"/>
      <c r="T22" s="48"/>
      <c r="U22" s="9">
        <f t="shared" si="1"/>
        <v>1</v>
      </c>
      <c r="V22" s="9">
        <f t="shared" si="2"/>
        <v>0</v>
      </c>
      <c r="W22" s="9">
        <f t="shared" si="3"/>
        <v>0</v>
      </c>
      <c r="X22" s="9">
        <f t="shared" si="4"/>
        <v>0</v>
      </c>
      <c r="Y22" s="9">
        <f t="shared" si="5"/>
        <v>0</v>
      </c>
    </row>
    <row r="23" spans="2:25" ht="18.75">
      <c r="B23" s="17" t="s">
        <v>321</v>
      </c>
      <c r="C23" s="17" t="s">
        <v>264</v>
      </c>
      <c r="D23" s="7" t="s">
        <v>321</v>
      </c>
      <c r="E23" s="7" t="s">
        <v>264</v>
      </c>
      <c r="F23" s="34" t="s">
        <v>201</v>
      </c>
      <c r="G23" s="34" t="s">
        <v>188</v>
      </c>
      <c r="H23" s="1" t="str">
        <f t="shared" si="6"/>
        <v>LM</v>
      </c>
      <c r="I23" s="176">
        <f t="shared" si="7"/>
        <v>7.79</v>
      </c>
      <c r="J23" s="11">
        <f>(VLOOKUP($H23,'Standard Estimate Uncertainty '!$B$10:$D$18,2)*$I23)+$I23</f>
        <v>6.232</v>
      </c>
      <c r="K23" s="11">
        <f>(VLOOKUP($H23,'Standard Estimate Uncertainty '!$B$10:$D$18,3)*$I23)+$I23</f>
        <v>10.906</v>
      </c>
      <c r="L23" s="168">
        <f t="shared" si="0"/>
        <v>3.1160000000000005</v>
      </c>
      <c r="M23" s="168">
        <f t="shared" si="8"/>
        <v>3.4227421042004584</v>
      </c>
      <c r="N23" s="207">
        <f t="shared" si="9"/>
        <v>0.43937639335050815</v>
      </c>
      <c r="O23" s="42">
        <v>7.79</v>
      </c>
      <c r="P23" s="42"/>
      <c r="Q23" s="40"/>
      <c r="R23" s="40"/>
      <c r="S23" s="40"/>
      <c r="T23" s="48"/>
      <c r="U23" s="9">
        <f t="shared" si="1"/>
        <v>1</v>
      </c>
      <c r="V23" s="9">
        <f t="shared" si="2"/>
        <v>0</v>
      </c>
      <c r="W23" s="9">
        <f t="shared" si="3"/>
        <v>0</v>
      </c>
      <c r="X23" s="9">
        <f t="shared" si="4"/>
        <v>0</v>
      </c>
      <c r="Y23" s="9">
        <f t="shared" si="5"/>
        <v>0</v>
      </c>
    </row>
    <row r="24" spans="2:25" ht="18.75">
      <c r="B24" s="17" t="s">
        <v>321</v>
      </c>
      <c r="C24" s="17" t="s">
        <v>265</v>
      </c>
      <c r="D24" s="7" t="s">
        <v>321</v>
      </c>
      <c r="E24" s="7" t="s">
        <v>265</v>
      </c>
      <c r="F24" s="34" t="s">
        <v>201</v>
      </c>
      <c r="G24" s="34" t="s">
        <v>188</v>
      </c>
      <c r="H24" s="1" t="str">
        <f t="shared" si="6"/>
        <v>LM</v>
      </c>
      <c r="I24" s="176">
        <f t="shared" si="7"/>
        <v>23.38</v>
      </c>
      <c r="J24" s="11">
        <f>(VLOOKUP($H24,'Standard Estimate Uncertainty '!$B$10:$D$18,2)*$I24)+$I24</f>
        <v>18.704</v>
      </c>
      <c r="K24" s="11">
        <f>(VLOOKUP($H24,'Standard Estimate Uncertainty '!$B$10:$D$18,3)*$I24)+$I24</f>
        <v>32.732</v>
      </c>
      <c r="L24" s="168">
        <f t="shared" si="0"/>
        <v>9.352</v>
      </c>
      <c r="M24" s="168">
        <f t="shared" si="8"/>
        <v>10.27262007653488</v>
      </c>
      <c r="N24" s="207">
        <f t="shared" si="9"/>
        <v>0.43937639335050815</v>
      </c>
      <c r="O24" s="42">
        <v>23.38</v>
      </c>
      <c r="P24" s="42"/>
      <c r="Q24" s="40"/>
      <c r="R24" s="40"/>
      <c r="S24" s="40"/>
      <c r="T24" s="48"/>
      <c r="U24" s="9">
        <f t="shared" si="1"/>
        <v>1</v>
      </c>
      <c r="V24" s="9">
        <f t="shared" si="2"/>
        <v>0</v>
      </c>
      <c r="W24" s="9">
        <f t="shared" si="3"/>
        <v>0</v>
      </c>
      <c r="X24" s="9">
        <f t="shared" si="4"/>
        <v>0</v>
      </c>
      <c r="Y24" s="9">
        <f t="shared" si="5"/>
        <v>0</v>
      </c>
    </row>
    <row r="25" spans="2:25" ht="18.75">
      <c r="B25" s="17" t="s">
        <v>321</v>
      </c>
      <c r="C25" s="17" t="s">
        <v>266</v>
      </c>
      <c r="D25" s="7" t="s">
        <v>321</v>
      </c>
      <c r="E25" s="7" t="s">
        <v>266</v>
      </c>
      <c r="F25" s="34" t="s">
        <v>201</v>
      </c>
      <c r="G25" s="34" t="s">
        <v>188</v>
      </c>
      <c r="H25" s="1" t="str">
        <f t="shared" si="6"/>
        <v>LM</v>
      </c>
      <c r="I25" s="176">
        <f t="shared" si="7"/>
        <v>76.15</v>
      </c>
      <c r="J25" s="11">
        <f>(VLOOKUP($H25,'Standard Estimate Uncertainty '!$B$10:$D$18,2)*$I25)+$I25</f>
        <v>60.92</v>
      </c>
      <c r="K25" s="11">
        <f>(VLOOKUP($H25,'Standard Estimate Uncertainty '!$B$10:$D$18,3)*$I25)+$I25</f>
        <v>106.61000000000001</v>
      </c>
      <c r="L25" s="168">
        <f t="shared" si="0"/>
        <v>30.460000000000008</v>
      </c>
      <c r="M25" s="168">
        <f t="shared" si="8"/>
        <v>33.4585123536412</v>
      </c>
      <c r="N25" s="207">
        <f t="shared" si="9"/>
        <v>0.43937639335050815</v>
      </c>
      <c r="O25" s="42">
        <v>39.1</v>
      </c>
      <c r="P25" s="42">
        <v>37.05</v>
      </c>
      <c r="Q25" s="40"/>
      <c r="R25" s="40"/>
      <c r="S25" s="40"/>
      <c r="T25" s="48"/>
      <c r="U25" s="9">
        <f t="shared" si="1"/>
        <v>0.5134602757715035</v>
      </c>
      <c r="V25" s="9">
        <f t="shared" si="2"/>
        <v>0.48653972422849634</v>
      </c>
      <c r="W25" s="9">
        <f t="shared" si="3"/>
        <v>0</v>
      </c>
      <c r="X25" s="9">
        <f t="shared" si="4"/>
        <v>0</v>
      </c>
      <c r="Y25" s="9">
        <f t="shared" si="5"/>
        <v>0</v>
      </c>
    </row>
    <row r="26" spans="2:25" ht="18.75">
      <c r="B26" s="17" t="s">
        <v>321</v>
      </c>
      <c r="C26" s="17" t="s">
        <v>267</v>
      </c>
      <c r="D26" s="7" t="s">
        <v>321</v>
      </c>
      <c r="E26" s="7" t="s">
        <v>267</v>
      </c>
      <c r="F26" s="34" t="s">
        <v>201</v>
      </c>
      <c r="G26" s="34" t="s">
        <v>188</v>
      </c>
      <c r="H26" s="1" t="str">
        <f t="shared" si="6"/>
        <v>LM</v>
      </c>
      <c r="I26" s="176">
        <f t="shared" si="7"/>
        <v>165.11</v>
      </c>
      <c r="J26" s="11">
        <f>(VLOOKUP($H26,'Standard Estimate Uncertainty '!$B$10:$D$18,2)*$I26)+$I26</f>
        <v>132.08800000000002</v>
      </c>
      <c r="K26" s="11">
        <f>(VLOOKUP($H26,'Standard Estimate Uncertainty '!$B$10:$D$18,3)*$I26)+$I26</f>
        <v>231.15400000000002</v>
      </c>
      <c r="L26" s="168">
        <f t="shared" si="0"/>
        <v>66.04400000000001</v>
      </c>
      <c r="M26" s="168">
        <f t="shared" si="8"/>
        <v>72.5454363061024</v>
      </c>
      <c r="N26" s="207">
        <f t="shared" si="9"/>
        <v>0.4393763933505081</v>
      </c>
      <c r="O26" s="42"/>
      <c r="P26" s="42">
        <v>165.11</v>
      </c>
      <c r="Q26" s="40"/>
      <c r="R26" s="40"/>
      <c r="S26" s="40"/>
      <c r="T26" s="48"/>
      <c r="U26" s="9">
        <f t="shared" si="1"/>
        <v>0</v>
      </c>
      <c r="V26" s="9">
        <f t="shared" si="2"/>
        <v>1</v>
      </c>
      <c r="W26" s="9">
        <f t="shared" si="3"/>
        <v>0</v>
      </c>
      <c r="X26" s="9">
        <f t="shared" si="4"/>
        <v>0</v>
      </c>
      <c r="Y26" s="9">
        <f t="shared" si="5"/>
        <v>0</v>
      </c>
    </row>
    <row r="27" spans="2:25" ht="18.75">
      <c r="B27" s="17" t="s">
        <v>321</v>
      </c>
      <c r="C27" s="17" t="s">
        <v>268</v>
      </c>
      <c r="D27" s="7" t="s">
        <v>321</v>
      </c>
      <c r="E27" s="7" t="s">
        <v>268</v>
      </c>
      <c r="F27" s="34" t="s">
        <v>201</v>
      </c>
      <c r="G27" s="34" t="s">
        <v>188</v>
      </c>
      <c r="H27" s="1" t="str">
        <f t="shared" si="6"/>
        <v>LM</v>
      </c>
      <c r="I27" s="176">
        <f t="shared" si="7"/>
        <v>7.43</v>
      </c>
      <c r="J27" s="11">
        <f>(VLOOKUP($H27,'Standard Estimate Uncertainty '!$B$10:$D$18,2)*$I27)+$I27</f>
        <v>5.944</v>
      </c>
      <c r="K27" s="11">
        <f>(VLOOKUP($H27,'Standard Estimate Uncertainty '!$B$10:$D$18,3)*$I27)+$I27</f>
        <v>10.402</v>
      </c>
      <c r="L27" s="168">
        <f t="shared" si="0"/>
        <v>2.9719999999999995</v>
      </c>
      <c r="M27" s="168">
        <f t="shared" si="8"/>
        <v>3.2645666025942743</v>
      </c>
      <c r="N27" s="207">
        <f t="shared" si="9"/>
        <v>0.439376393350508</v>
      </c>
      <c r="O27" s="42"/>
      <c r="P27" s="42">
        <v>7.43</v>
      </c>
      <c r="Q27" s="40"/>
      <c r="R27" s="40"/>
      <c r="S27" s="40"/>
      <c r="T27" s="48"/>
      <c r="U27" s="9">
        <f t="shared" si="1"/>
        <v>0</v>
      </c>
      <c r="V27" s="9">
        <f t="shared" si="2"/>
        <v>1</v>
      </c>
      <c r="W27" s="9">
        <f t="shared" si="3"/>
        <v>0</v>
      </c>
      <c r="X27" s="9">
        <f t="shared" si="4"/>
        <v>0</v>
      </c>
      <c r="Y27" s="9">
        <f t="shared" si="5"/>
        <v>0</v>
      </c>
    </row>
    <row r="28" spans="2:25" ht="18.75">
      <c r="B28" s="17" t="s">
        <v>322</v>
      </c>
      <c r="C28" s="17" t="s">
        <v>323</v>
      </c>
      <c r="D28" s="7" t="s">
        <v>322</v>
      </c>
      <c r="E28" s="7" t="s">
        <v>323</v>
      </c>
      <c r="F28" s="34" t="s">
        <v>201</v>
      </c>
      <c r="G28" s="34" t="s">
        <v>188</v>
      </c>
      <c r="H28" s="1" t="str">
        <f t="shared" si="6"/>
        <v>LM</v>
      </c>
      <c r="I28" s="176">
        <f t="shared" si="7"/>
        <v>24.92</v>
      </c>
      <c r="J28" s="11">
        <f>(VLOOKUP($H28,'Standard Estimate Uncertainty '!$B$10:$D$18,2)*$I28)+$I28</f>
        <v>19.936</v>
      </c>
      <c r="K28" s="11">
        <f>(VLOOKUP($H28,'Standard Estimate Uncertainty '!$B$10:$D$18,3)*$I28)+$I28</f>
        <v>34.888000000000005</v>
      </c>
      <c r="L28" s="168">
        <f t="shared" si="0"/>
        <v>9.968000000000004</v>
      </c>
      <c r="M28" s="168">
        <f t="shared" si="8"/>
        <v>10.949259722294666</v>
      </c>
      <c r="N28" s="207">
        <f t="shared" si="9"/>
        <v>0.43937639335050827</v>
      </c>
      <c r="O28" s="42">
        <v>24.92</v>
      </c>
      <c r="P28" s="42"/>
      <c r="Q28" s="40"/>
      <c r="R28" s="40"/>
      <c r="S28" s="40"/>
      <c r="T28" s="48"/>
      <c r="U28" s="9">
        <f t="shared" si="1"/>
        <v>1</v>
      </c>
      <c r="V28" s="9">
        <f t="shared" si="2"/>
        <v>0</v>
      </c>
      <c r="W28" s="9">
        <f t="shared" si="3"/>
        <v>0</v>
      </c>
      <c r="X28" s="9">
        <f t="shared" si="4"/>
        <v>0</v>
      </c>
      <c r="Y28" s="9">
        <f t="shared" si="5"/>
        <v>0</v>
      </c>
    </row>
    <row r="29" spans="2:25" ht="18.75">
      <c r="B29" s="17" t="s">
        <v>322</v>
      </c>
      <c r="C29" s="17" t="s">
        <v>232</v>
      </c>
      <c r="D29" s="7" t="s">
        <v>322</v>
      </c>
      <c r="E29" s="7" t="s">
        <v>232</v>
      </c>
      <c r="F29" s="34" t="s">
        <v>201</v>
      </c>
      <c r="G29" s="34" t="s">
        <v>188</v>
      </c>
      <c r="H29" s="1" t="str">
        <f t="shared" si="6"/>
        <v>LM</v>
      </c>
      <c r="I29" s="176">
        <f t="shared" si="7"/>
        <v>272.96</v>
      </c>
      <c r="J29" s="11">
        <f>(VLOOKUP($H29,'Standard Estimate Uncertainty '!$B$10:$D$18,2)*$I29)+$I29</f>
        <v>218.368</v>
      </c>
      <c r="K29" s="11">
        <f>(VLOOKUP($H29,'Standard Estimate Uncertainty '!$B$10:$D$18,3)*$I29)+$I29</f>
        <v>382.144</v>
      </c>
      <c r="L29" s="168">
        <f t="shared" si="0"/>
        <v>109.18400000000003</v>
      </c>
      <c r="M29" s="168">
        <f t="shared" si="8"/>
        <v>119.93218032895473</v>
      </c>
      <c r="N29" s="207">
        <f t="shared" si="9"/>
        <v>0.43937639335050827</v>
      </c>
      <c r="O29" s="42">
        <v>159.23</v>
      </c>
      <c r="P29" s="42">
        <v>113.73</v>
      </c>
      <c r="Q29" s="40"/>
      <c r="R29" s="40"/>
      <c r="S29" s="40"/>
      <c r="T29" s="48"/>
      <c r="U29" s="9">
        <f t="shared" si="1"/>
        <v>0.5833455451348183</v>
      </c>
      <c r="V29" s="9">
        <f t="shared" si="2"/>
        <v>0.41665445486518177</v>
      </c>
      <c r="W29" s="9">
        <f t="shared" si="3"/>
        <v>0</v>
      </c>
      <c r="X29" s="9">
        <f t="shared" si="4"/>
        <v>0</v>
      </c>
      <c r="Y29" s="9">
        <f t="shared" si="5"/>
        <v>0</v>
      </c>
    </row>
    <row r="30" spans="2:25" ht="18.75">
      <c r="B30" s="17" t="s">
        <v>322</v>
      </c>
      <c r="C30" s="17" t="s">
        <v>324</v>
      </c>
      <c r="D30" s="7" t="s">
        <v>322</v>
      </c>
      <c r="E30" s="7" t="s">
        <v>324</v>
      </c>
      <c r="F30" s="34" t="s">
        <v>201</v>
      </c>
      <c r="G30" s="34" t="s">
        <v>188</v>
      </c>
      <c r="H30" s="1" t="str">
        <f t="shared" si="6"/>
        <v>LM</v>
      </c>
      <c r="I30" s="176">
        <f t="shared" si="7"/>
        <v>72.38</v>
      </c>
      <c r="J30" s="11">
        <f>(VLOOKUP($H30,'Standard Estimate Uncertainty '!$B$10:$D$18,2)*$I30)+$I30</f>
        <v>57.903999999999996</v>
      </c>
      <c r="K30" s="11">
        <f>(VLOOKUP($H30,'Standard Estimate Uncertainty '!$B$10:$D$18,3)*$I30)+$I30</f>
        <v>101.332</v>
      </c>
      <c r="L30" s="168">
        <f t="shared" si="0"/>
        <v>28.951999999999998</v>
      </c>
      <c r="M30" s="168">
        <f t="shared" si="8"/>
        <v>31.80206335070977</v>
      </c>
      <c r="N30" s="207">
        <f t="shared" si="9"/>
        <v>0.43937639335050804</v>
      </c>
      <c r="O30" s="42">
        <v>72.38</v>
      </c>
      <c r="P30" s="42"/>
      <c r="Q30" s="40"/>
      <c r="R30" s="40"/>
      <c r="S30" s="40"/>
      <c r="T30" s="48"/>
      <c r="U30" s="9">
        <f t="shared" si="1"/>
        <v>1</v>
      </c>
      <c r="V30" s="9">
        <f t="shared" si="2"/>
        <v>0</v>
      </c>
      <c r="W30" s="9">
        <f t="shared" si="3"/>
        <v>0</v>
      </c>
      <c r="X30" s="9">
        <f t="shared" si="4"/>
        <v>0</v>
      </c>
      <c r="Y30" s="9">
        <f t="shared" si="5"/>
        <v>0</v>
      </c>
    </row>
    <row r="31" spans="2:25" ht="18.75">
      <c r="B31" s="17" t="s">
        <v>322</v>
      </c>
      <c r="C31" s="17" t="s">
        <v>325</v>
      </c>
      <c r="D31" s="7" t="s">
        <v>322</v>
      </c>
      <c r="E31" s="7" t="s">
        <v>325</v>
      </c>
      <c r="F31" s="34" t="s">
        <v>201</v>
      </c>
      <c r="G31" s="34" t="s">
        <v>188</v>
      </c>
      <c r="H31" s="1" t="str">
        <f t="shared" si="6"/>
        <v>LM</v>
      </c>
      <c r="I31" s="176">
        <f t="shared" si="7"/>
        <v>88.63</v>
      </c>
      <c r="J31" s="11">
        <f>(VLOOKUP($H31,'Standard Estimate Uncertainty '!$B$10:$D$18,2)*$I31)+$I31</f>
        <v>70.904</v>
      </c>
      <c r="K31" s="11">
        <f>(VLOOKUP($H31,'Standard Estimate Uncertainty '!$B$10:$D$18,3)*$I31)+$I31</f>
        <v>124.082</v>
      </c>
      <c r="L31" s="168">
        <f t="shared" si="0"/>
        <v>35.452</v>
      </c>
      <c r="M31" s="168">
        <f t="shared" si="8"/>
        <v>38.94192974265553</v>
      </c>
      <c r="N31" s="207">
        <f t="shared" si="9"/>
        <v>0.4393763933505081</v>
      </c>
      <c r="O31" s="42">
        <v>87.8</v>
      </c>
      <c r="P31" s="42">
        <v>0.83</v>
      </c>
      <c r="Q31" s="40"/>
      <c r="R31" s="40"/>
      <c r="S31" s="40"/>
      <c r="T31" s="48"/>
      <c r="U31" s="9">
        <f t="shared" si="1"/>
        <v>0.9906352250930837</v>
      </c>
      <c r="V31" s="9">
        <f t="shared" si="2"/>
        <v>0.009364774906916394</v>
      </c>
      <c r="W31" s="9">
        <f t="shared" si="3"/>
        <v>0</v>
      </c>
      <c r="X31" s="9">
        <f t="shared" si="4"/>
        <v>0</v>
      </c>
      <c r="Y31" s="9">
        <f t="shared" si="5"/>
        <v>0</v>
      </c>
    </row>
    <row r="32" spans="2:25" ht="18.75">
      <c r="B32" s="40" t="s">
        <v>562</v>
      </c>
      <c r="C32" s="17" t="s">
        <v>326</v>
      </c>
      <c r="D32" s="7" t="s">
        <v>562</v>
      </c>
      <c r="E32" s="7" t="s">
        <v>326</v>
      </c>
      <c r="F32" s="34" t="s">
        <v>201</v>
      </c>
      <c r="G32" s="34" t="s">
        <v>188</v>
      </c>
      <c r="H32" s="1" t="str">
        <f t="shared" si="6"/>
        <v>LM</v>
      </c>
      <c r="I32" s="176">
        <f t="shared" si="7"/>
        <v>118.16</v>
      </c>
      <c r="J32" s="11">
        <f>(VLOOKUP($H32,'Standard Estimate Uncertainty '!$B$10:$D$18,2)*$I32)+$I32</f>
        <v>94.52799999999999</v>
      </c>
      <c r="K32" s="11">
        <f>(VLOOKUP($H32,'Standard Estimate Uncertainty '!$B$10:$D$18,3)*$I32)+$I32</f>
        <v>165.424</v>
      </c>
      <c r="L32" s="168">
        <f t="shared" si="0"/>
        <v>47.26400000000001</v>
      </c>
      <c r="M32" s="168">
        <f t="shared" si="8"/>
        <v>51.91671463829604</v>
      </c>
      <c r="N32" s="207">
        <f t="shared" si="9"/>
        <v>0.43937639335050815</v>
      </c>
      <c r="O32" s="42">
        <v>118.16</v>
      </c>
      <c r="P32" s="42"/>
      <c r="Q32" s="42"/>
      <c r="R32" s="42"/>
      <c r="S32" s="40"/>
      <c r="T32" s="48"/>
      <c r="U32" s="9">
        <f t="shared" si="1"/>
        <v>1</v>
      </c>
      <c r="V32" s="9">
        <f t="shared" si="2"/>
        <v>0</v>
      </c>
      <c r="W32" s="9">
        <f t="shared" si="3"/>
        <v>0</v>
      </c>
      <c r="X32" s="9">
        <f t="shared" si="4"/>
        <v>0</v>
      </c>
      <c r="Y32" s="9">
        <f t="shared" si="5"/>
        <v>0</v>
      </c>
    </row>
    <row r="33" spans="2:25" ht="18.75">
      <c r="B33" s="17" t="s">
        <v>322</v>
      </c>
      <c r="C33" s="17" t="s">
        <v>327</v>
      </c>
      <c r="D33" s="7" t="s">
        <v>322</v>
      </c>
      <c r="E33" s="7" t="s">
        <v>327</v>
      </c>
      <c r="F33" s="34" t="s">
        <v>201</v>
      </c>
      <c r="G33" s="34" t="s">
        <v>188</v>
      </c>
      <c r="H33" s="1" t="str">
        <f t="shared" si="6"/>
        <v>LM</v>
      </c>
      <c r="I33" s="176">
        <f t="shared" si="7"/>
        <v>173.03</v>
      </c>
      <c r="J33" s="11">
        <f>(VLOOKUP($H33,'Standard Estimate Uncertainty '!$B$10:$D$18,2)*$I33)+$I33</f>
        <v>138.424</v>
      </c>
      <c r="K33" s="11">
        <f>(VLOOKUP($H33,'Standard Estimate Uncertainty '!$B$10:$D$18,3)*$I33)+$I33</f>
        <v>242.24200000000002</v>
      </c>
      <c r="L33" s="168">
        <f t="shared" si="0"/>
        <v>69.21200000000002</v>
      </c>
      <c r="M33" s="168">
        <f t="shared" si="8"/>
        <v>76.02529734143843</v>
      </c>
      <c r="N33" s="207">
        <f t="shared" si="9"/>
        <v>0.4393763933505082</v>
      </c>
      <c r="O33" s="42">
        <v>173.03</v>
      </c>
      <c r="P33" s="42"/>
      <c r="Q33" s="40"/>
      <c r="R33" s="40"/>
      <c r="S33" s="40"/>
      <c r="T33" s="48"/>
      <c r="U33" s="9">
        <f t="shared" si="1"/>
        <v>1</v>
      </c>
      <c r="V33" s="9">
        <f t="shared" si="2"/>
        <v>0</v>
      </c>
      <c r="W33" s="9">
        <f t="shared" si="3"/>
        <v>0</v>
      </c>
      <c r="X33" s="9">
        <f t="shared" si="4"/>
        <v>0</v>
      </c>
      <c r="Y33" s="9">
        <f t="shared" si="5"/>
        <v>0</v>
      </c>
    </row>
    <row r="34" spans="2:25" ht="18.75">
      <c r="B34" s="17" t="s">
        <v>322</v>
      </c>
      <c r="C34" s="17" t="s">
        <v>328</v>
      </c>
      <c r="D34" s="7" t="s">
        <v>322</v>
      </c>
      <c r="E34" s="7" t="s">
        <v>328</v>
      </c>
      <c r="F34" s="34" t="s">
        <v>201</v>
      </c>
      <c r="G34" s="34" t="s">
        <v>188</v>
      </c>
      <c r="H34" s="1" t="str">
        <f t="shared" si="6"/>
        <v>LM</v>
      </c>
      <c r="I34" s="176">
        <f t="shared" si="7"/>
        <v>93.86</v>
      </c>
      <c r="J34" s="11">
        <f>(VLOOKUP($H34,'Standard Estimate Uncertainty '!$B$10:$D$18,2)*$I34)+$I34</f>
        <v>75.088</v>
      </c>
      <c r="K34" s="11">
        <f>(VLOOKUP($H34,'Standard Estimate Uncertainty '!$B$10:$D$18,3)*$I34)+$I34</f>
        <v>131.404</v>
      </c>
      <c r="L34" s="168">
        <f t="shared" si="0"/>
        <v>37.544</v>
      </c>
      <c r="M34" s="168">
        <f t="shared" si="8"/>
        <v>41.239868279878685</v>
      </c>
      <c r="N34" s="207">
        <f t="shared" si="9"/>
        <v>0.43937639335050804</v>
      </c>
      <c r="O34" s="42">
        <v>93.86</v>
      </c>
      <c r="P34" s="42"/>
      <c r="Q34" s="40"/>
      <c r="R34" s="40"/>
      <c r="S34" s="40"/>
      <c r="T34" s="48"/>
      <c r="U34" s="9">
        <f t="shared" si="1"/>
        <v>1</v>
      </c>
      <c r="V34" s="9">
        <f t="shared" si="2"/>
        <v>0</v>
      </c>
      <c r="W34" s="9">
        <f t="shared" si="3"/>
        <v>0</v>
      </c>
      <c r="X34" s="9">
        <f t="shared" si="4"/>
        <v>0</v>
      </c>
      <c r="Y34" s="9">
        <f t="shared" si="5"/>
        <v>0</v>
      </c>
    </row>
    <row r="35" spans="2:25" ht="18.75">
      <c r="B35" s="17" t="s">
        <v>322</v>
      </c>
      <c r="C35" s="17" t="s">
        <v>329</v>
      </c>
      <c r="D35" s="7" t="s">
        <v>322</v>
      </c>
      <c r="E35" s="7" t="s">
        <v>329</v>
      </c>
      <c r="F35" s="34" t="s">
        <v>201</v>
      </c>
      <c r="G35" s="34" t="s">
        <v>188</v>
      </c>
      <c r="H35" s="1" t="str">
        <f t="shared" si="6"/>
        <v>LM</v>
      </c>
      <c r="I35" s="176">
        <f t="shared" si="7"/>
        <v>237.21</v>
      </c>
      <c r="J35" s="11">
        <f>(VLOOKUP($H35,'Standard Estimate Uncertainty '!$B$10:$D$18,2)*$I35)+$I35</f>
        <v>189.768</v>
      </c>
      <c r="K35" s="11">
        <f>(VLOOKUP($H35,'Standard Estimate Uncertainty '!$B$10:$D$18,3)*$I35)+$I35</f>
        <v>332.09400000000005</v>
      </c>
      <c r="L35" s="168">
        <f t="shared" si="0"/>
        <v>94.88400000000004</v>
      </c>
      <c r="M35" s="168">
        <f t="shared" si="8"/>
        <v>104.22447426667406</v>
      </c>
      <c r="N35" s="207">
        <f t="shared" si="9"/>
        <v>0.43937639335050827</v>
      </c>
      <c r="O35" s="42">
        <v>140.15</v>
      </c>
      <c r="P35" s="42">
        <v>97.06</v>
      </c>
      <c r="Q35" s="42"/>
      <c r="R35" s="42"/>
      <c r="S35" s="40"/>
      <c r="T35" s="48"/>
      <c r="U35" s="9">
        <f aca="true" t="shared" si="10" ref="U35:U65">O35/$I35</f>
        <v>0.5908266936469795</v>
      </c>
      <c r="V35" s="9">
        <f aca="true" t="shared" si="11" ref="V35:V65">P35/$I35</f>
        <v>0.4091733063530205</v>
      </c>
      <c r="W35" s="9">
        <f aca="true" t="shared" si="12" ref="W35:W65">Q35/$I35</f>
        <v>0</v>
      </c>
      <c r="X35" s="9">
        <f aca="true" t="shared" si="13" ref="X35:X65">R35/$I35</f>
        <v>0</v>
      </c>
      <c r="Y35" s="9">
        <f aca="true" t="shared" si="14" ref="Y35:Y65">S35/$I35</f>
        <v>0</v>
      </c>
    </row>
    <row r="36" spans="2:25" ht="18.75">
      <c r="B36" s="17" t="s">
        <v>322</v>
      </c>
      <c r="C36" s="40" t="s">
        <v>561</v>
      </c>
      <c r="D36" s="7" t="s">
        <v>322</v>
      </c>
      <c r="E36" s="7" t="s">
        <v>561</v>
      </c>
      <c r="F36" s="34" t="s">
        <v>201</v>
      </c>
      <c r="G36" s="34" t="s">
        <v>188</v>
      </c>
      <c r="H36" s="1" t="str">
        <f t="shared" si="6"/>
        <v>LM</v>
      </c>
      <c r="I36" s="176">
        <f t="shared" si="7"/>
        <v>104</v>
      </c>
      <c r="J36" s="11">
        <f>(VLOOKUP($H36,'Standard Estimate Uncertainty '!$B$10:$D$18,2)*$I36)+$I36</f>
        <v>83.2</v>
      </c>
      <c r="K36" s="11">
        <f>(VLOOKUP($H36,'Standard Estimate Uncertainty '!$B$10:$D$18,3)*$I36)+$I36</f>
        <v>145.6</v>
      </c>
      <c r="L36" s="168">
        <f t="shared" si="0"/>
        <v>41.599999999999994</v>
      </c>
      <c r="M36" s="168">
        <f t="shared" si="8"/>
        <v>45.69514490845283</v>
      </c>
      <c r="N36" s="207">
        <f t="shared" si="9"/>
        <v>0.439376393350508</v>
      </c>
      <c r="O36" s="42">
        <v>104</v>
      </c>
      <c r="P36" s="42"/>
      <c r="Q36" s="42"/>
      <c r="R36" s="42"/>
      <c r="S36" s="40"/>
      <c r="T36" s="48"/>
      <c r="U36" s="9">
        <f t="shared" si="10"/>
        <v>1</v>
      </c>
      <c r="V36" s="9">
        <f t="shared" si="11"/>
        <v>0</v>
      </c>
      <c r="W36" s="9">
        <f t="shared" si="12"/>
        <v>0</v>
      </c>
      <c r="X36" s="9">
        <f t="shared" si="13"/>
        <v>0</v>
      </c>
      <c r="Y36" s="9">
        <f t="shared" si="14"/>
        <v>0</v>
      </c>
    </row>
    <row r="37" spans="2:25" ht="18.75">
      <c r="B37" s="17" t="s">
        <v>322</v>
      </c>
      <c r="C37" s="17" t="s">
        <v>330</v>
      </c>
      <c r="D37" s="7" t="s">
        <v>322</v>
      </c>
      <c r="E37" s="7" t="s">
        <v>330</v>
      </c>
      <c r="F37" s="34" t="s">
        <v>201</v>
      </c>
      <c r="G37" s="34" t="s">
        <v>188</v>
      </c>
      <c r="H37" s="1" t="str">
        <f t="shared" si="6"/>
        <v>LM</v>
      </c>
      <c r="I37" s="176">
        <f t="shared" si="7"/>
        <v>140.15</v>
      </c>
      <c r="J37" s="11">
        <f>(VLOOKUP($H37,'Standard Estimate Uncertainty '!$B$10:$D$18,2)*$I37)+$I37</f>
        <v>112.12</v>
      </c>
      <c r="K37" s="11">
        <f>(VLOOKUP($H37,'Standard Estimate Uncertainty '!$B$10:$D$18,3)*$I37)+$I37</f>
        <v>196.21</v>
      </c>
      <c r="L37" s="168">
        <f t="shared" si="0"/>
        <v>56.06</v>
      </c>
      <c r="M37" s="168">
        <f t="shared" si="8"/>
        <v>61.578601528073705</v>
      </c>
      <c r="N37" s="207">
        <f t="shared" si="9"/>
        <v>0.43937639335050804</v>
      </c>
      <c r="O37" s="42">
        <v>140.15</v>
      </c>
      <c r="P37" s="42"/>
      <c r="Q37" s="42"/>
      <c r="R37" s="42"/>
      <c r="S37" s="40"/>
      <c r="T37" s="48"/>
      <c r="U37" s="9">
        <f t="shared" si="10"/>
        <v>1</v>
      </c>
      <c r="V37" s="9">
        <f t="shared" si="11"/>
        <v>0</v>
      </c>
      <c r="W37" s="9">
        <f t="shared" si="12"/>
        <v>0</v>
      </c>
      <c r="X37" s="9">
        <f t="shared" si="13"/>
        <v>0</v>
      </c>
      <c r="Y37" s="9">
        <f t="shared" si="14"/>
        <v>0</v>
      </c>
    </row>
    <row r="38" spans="2:25" ht="18.75">
      <c r="B38" s="17" t="s">
        <v>331</v>
      </c>
      <c r="C38" s="40" t="s">
        <v>563</v>
      </c>
      <c r="D38" s="7" t="s">
        <v>331</v>
      </c>
      <c r="E38" s="7" t="s">
        <v>563</v>
      </c>
      <c r="F38" s="34" t="s">
        <v>188</v>
      </c>
      <c r="G38" s="34" t="s">
        <v>188</v>
      </c>
      <c r="H38" s="1" t="str">
        <f t="shared" si="6"/>
        <v>MM</v>
      </c>
      <c r="I38" s="176">
        <f t="shared" si="7"/>
        <v>76.91</v>
      </c>
      <c r="J38" s="11">
        <f>(VLOOKUP($H38,'Standard Estimate Uncertainty '!$B$10:$D$18,2)*$I38)+$I38</f>
        <v>65.37349999999999</v>
      </c>
      <c r="K38" s="11">
        <f>(VLOOKUP($H38,'Standard Estimate Uncertainty '!$B$10:$D$18,3)*$I38)+$I38</f>
        <v>96.13749999999999</v>
      </c>
      <c r="L38" s="168">
        <f t="shared" si="0"/>
        <v>19.227499999999992</v>
      </c>
      <c r="M38" s="168">
        <f t="shared" si="8"/>
        <v>21.120274007867227</v>
      </c>
      <c r="N38" s="207">
        <f t="shared" si="9"/>
        <v>0.27461024584406746</v>
      </c>
      <c r="O38" s="42"/>
      <c r="P38" s="42">
        <v>76.91</v>
      </c>
      <c r="Q38" s="42"/>
      <c r="R38" s="42"/>
      <c r="S38" s="40"/>
      <c r="T38" s="48"/>
      <c r="U38" s="9">
        <f t="shared" si="10"/>
        <v>0</v>
      </c>
      <c r="V38" s="9">
        <f t="shared" si="11"/>
        <v>1</v>
      </c>
      <c r="W38" s="9">
        <f t="shared" si="12"/>
        <v>0</v>
      </c>
      <c r="X38" s="9">
        <f t="shared" si="13"/>
        <v>0</v>
      </c>
      <c r="Y38" s="9">
        <f t="shared" si="14"/>
        <v>0</v>
      </c>
    </row>
    <row r="39" spans="2:25" ht="18.75">
      <c r="B39" s="17" t="s">
        <v>331</v>
      </c>
      <c r="C39" s="17" t="s">
        <v>269</v>
      </c>
      <c r="D39" s="7" t="s">
        <v>331</v>
      </c>
      <c r="E39" s="7" t="s">
        <v>269</v>
      </c>
      <c r="F39" s="34" t="s">
        <v>188</v>
      </c>
      <c r="G39" s="34" t="s">
        <v>188</v>
      </c>
      <c r="H39" s="1" t="str">
        <f t="shared" si="6"/>
        <v>MM</v>
      </c>
      <c r="I39" s="176">
        <f t="shared" si="7"/>
        <v>16.4</v>
      </c>
      <c r="J39" s="11">
        <f>(VLOOKUP($H39,'Standard Estimate Uncertainty '!$B$10:$D$18,2)*$I39)+$I39</f>
        <v>13.94</v>
      </c>
      <c r="K39" s="11">
        <f>(VLOOKUP($H39,'Standard Estimate Uncertainty '!$B$10:$D$18,3)*$I39)+$I39</f>
        <v>20.5</v>
      </c>
      <c r="L39" s="168">
        <f t="shared" si="0"/>
        <v>4.100000000000001</v>
      </c>
      <c r="M39" s="168">
        <f t="shared" si="8"/>
        <v>4.50360803184271</v>
      </c>
      <c r="N39" s="207">
        <f t="shared" si="9"/>
        <v>0.2746102458440677</v>
      </c>
      <c r="O39" s="42">
        <v>16.4</v>
      </c>
      <c r="P39" s="42"/>
      <c r="Q39" s="42"/>
      <c r="R39" s="42"/>
      <c r="S39" s="40"/>
      <c r="T39" s="48"/>
      <c r="U39" s="9">
        <f t="shared" si="10"/>
        <v>1</v>
      </c>
      <c r="V39" s="9">
        <f t="shared" si="11"/>
        <v>0</v>
      </c>
      <c r="W39" s="9">
        <f t="shared" si="12"/>
        <v>0</v>
      </c>
      <c r="X39" s="9">
        <f t="shared" si="13"/>
        <v>0</v>
      </c>
      <c r="Y39" s="9">
        <f t="shared" si="14"/>
        <v>0</v>
      </c>
    </row>
    <row r="40" spans="2:25" ht="18.75">
      <c r="B40" s="17" t="s">
        <v>331</v>
      </c>
      <c r="C40" s="17" t="s">
        <v>270</v>
      </c>
      <c r="D40" s="7" t="s">
        <v>331</v>
      </c>
      <c r="E40" s="7" t="s">
        <v>270</v>
      </c>
      <c r="F40" s="34" t="s">
        <v>188</v>
      </c>
      <c r="G40" s="34" t="s">
        <v>188</v>
      </c>
      <c r="H40" s="1" t="str">
        <f t="shared" si="6"/>
        <v>MM</v>
      </c>
      <c r="I40" s="176">
        <f t="shared" si="7"/>
        <v>54.19</v>
      </c>
      <c r="J40" s="11">
        <f>(VLOOKUP($H40,'Standard Estimate Uncertainty '!$B$10:$D$18,2)*$I40)+$I40</f>
        <v>46.061499999999995</v>
      </c>
      <c r="K40" s="11">
        <f>(VLOOKUP($H40,'Standard Estimate Uncertainty '!$B$10:$D$18,3)*$I40)+$I40</f>
        <v>67.7375</v>
      </c>
      <c r="L40" s="168">
        <f t="shared" si="0"/>
        <v>13.5475</v>
      </c>
      <c r="M40" s="168">
        <f t="shared" si="8"/>
        <v>14.88112922229002</v>
      </c>
      <c r="N40" s="207">
        <f t="shared" si="9"/>
        <v>0.27461024584406757</v>
      </c>
      <c r="O40" s="42">
        <v>17.71</v>
      </c>
      <c r="P40" s="42">
        <v>36.48</v>
      </c>
      <c r="Q40" s="42"/>
      <c r="R40" s="42"/>
      <c r="S40" s="40"/>
      <c r="T40" s="48"/>
      <c r="U40" s="9">
        <f t="shared" si="10"/>
        <v>0.32681306514117</v>
      </c>
      <c r="V40" s="9">
        <f t="shared" si="11"/>
        <v>0.67318693485883</v>
      </c>
      <c r="W40" s="9">
        <f t="shared" si="12"/>
        <v>0</v>
      </c>
      <c r="X40" s="9">
        <f t="shared" si="13"/>
        <v>0</v>
      </c>
      <c r="Y40" s="9">
        <f t="shared" si="14"/>
        <v>0</v>
      </c>
    </row>
    <row r="41" spans="2:25" ht="18.75">
      <c r="B41" s="17" t="s">
        <v>331</v>
      </c>
      <c r="C41" s="17" t="s">
        <v>536</v>
      </c>
      <c r="D41" s="7" t="s">
        <v>331</v>
      </c>
      <c r="E41" s="7" t="s">
        <v>536</v>
      </c>
      <c r="F41" s="34" t="s">
        <v>188</v>
      </c>
      <c r="G41" s="34" t="s">
        <v>188</v>
      </c>
      <c r="H41" s="1" t="str">
        <f t="shared" si="6"/>
        <v>MM</v>
      </c>
      <c r="I41" s="176">
        <f t="shared" si="7"/>
        <v>138.65</v>
      </c>
      <c r="J41" s="11">
        <f>(VLOOKUP($H41,'Standard Estimate Uncertainty '!$B$10:$D$18,2)*$I41)+$I41</f>
        <v>117.8525</v>
      </c>
      <c r="K41" s="11">
        <f>(VLOOKUP($H41,'Standard Estimate Uncertainty '!$B$10:$D$18,3)*$I41)+$I41</f>
        <v>173.3125</v>
      </c>
      <c r="L41" s="168">
        <f t="shared" si="0"/>
        <v>34.662499999999994</v>
      </c>
      <c r="M41" s="168">
        <f t="shared" si="8"/>
        <v>38.074710586279956</v>
      </c>
      <c r="N41" s="207">
        <f t="shared" si="9"/>
        <v>0.27461024584406746</v>
      </c>
      <c r="O41" s="42">
        <v>83.68</v>
      </c>
      <c r="P41" s="42">
        <v>54.97</v>
      </c>
      <c r="Q41" s="42"/>
      <c r="R41" s="42"/>
      <c r="S41" s="40"/>
      <c r="T41" s="48"/>
      <c r="U41" s="9">
        <f t="shared" si="10"/>
        <v>0.6035340786152182</v>
      </c>
      <c r="V41" s="9">
        <f t="shared" si="11"/>
        <v>0.3964659213847818</v>
      </c>
      <c r="W41" s="9">
        <f t="shared" si="12"/>
        <v>0</v>
      </c>
      <c r="X41" s="9">
        <f t="shared" si="13"/>
        <v>0</v>
      </c>
      <c r="Y41" s="9">
        <f t="shared" si="14"/>
        <v>0</v>
      </c>
    </row>
    <row r="42" spans="2:25" ht="18.75">
      <c r="B42" s="17" t="s">
        <v>331</v>
      </c>
      <c r="C42" s="17" t="s">
        <v>537</v>
      </c>
      <c r="D42" s="7" t="s">
        <v>331</v>
      </c>
      <c r="E42" s="7" t="s">
        <v>537</v>
      </c>
      <c r="F42" s="34" t="s">
        <v>188</v>
      </c>
      <c r="G42" s="34" t="s">
        <v>188</v>
      </c>
      <c r="H42" s="1" t="str">
        <f t="shared" si="6"/>
        <v>MM</v>
      </c>
      <c r="I42" s="176">
        <f t="shared" si="7"/>
        <v>19.259999999999998</v>
      </c>
      <c r="J42" s="11">
        <f>(VLOOKUP($H42,'Standard Estimate Uncertainty '!$B$10:$D$18,2)*$I42)+$I42</f>
        <v>16.371</v>
      </c>
      <c r="K42" s="11">
        <f>(VLOOKUP($H42,'Standard Estimate Uncertainty '!$B$10:$D$18,3)*$I42)+$I42</f>
        <v>24.074999999999996</v>
      </c>
      <c r="L42" s="168">
        <f t="shared" si="0"/>
        <v>4.814999999999998</v>
      </c>
      <c r="M42" s="168">
        <f t="shared" si="8"/>
        <v>5.288993334956738</v>
      </c>
      <c r="N42" s="207">
        <f t="shared" si="9"/>
        <v>0.27461024584406746</v>
      </c>
      <c r="O42" s="42">
        <v>1.93</v>
      </c>
      <c r="P42" s="42">
        <v>17.33</v>
      </c>
      <c r="Q42" s="42"/>
      <c r="R42" s="42"/>
      <c r="S42" s="40"/>
      <c r="T42" s="48"/>
      <c r="U42" s="9">
        <f t="shared" si="10"/>
        <v>0.10020768431983386</v>
      </c>
      <c r="V42" s="9">
        <f t="shared" si="11"/>
        <v>0.8997923156801662</v>
      </c>
      <c r="W42" s="9">
        <f t="shared" si="12"/>
        <v>0</v>
      </c>
      <c r="X42" s="9">
        <f t="shared" si="13"/>
        <v>0</v>
      </c>
      <c r="Y42" s="9">
        <f t="shared" si="14"/>
        <v>0</v>
      </c>
    </row>
    <row r="43" spans="2:25" ht="18.75">
      <c r="B43" s="17" t="s">
        <v>331</v>
      </c>
      <c r="C43" s="17" t="s">
        <v>538</v>
      </c>
      <c r="D43" s="7" t="s">
        <v>331</v>
      </c>
      <c r="E43" s="7" t="s">
        <v>538</v>
      </c>
      <c r="F43" s="34" t="s">
        <v>188</v>
      </c>
      <c r="G43" s="34" t="s">
        <v>188</v>
      </c>
      <c r="H43" s="1" t="str">
        <f t="shared" si="6"/>
        <v>MM</v>
      </c>
      <c r="I43" s="176">
        <f t="shared" si="7"/>
        <v>17.48</v>
      </c>
      <c r="J43" s="11">
        <f>(VLOOKUP($H43,'Standard Estimate Uncertainty '!$B$10:$D$18,2)*$I43)+$I43</f>
        <v>14.858</v>
      </c>
      <c r="K43" s="11">
        <f>(VLOOKUP($H43,'Standard Estimate Uncertainty '!$B$10:$D$18,3)*$I43)+$I43</f>
        <v>21.85</v>
      </c>
      <c r="L43" s="168">
        <f t="shared" si="0"/>
        <v>4.370000000000001</v>
      </c>
      <c r="M43" s="168">
        <f t="shared" si="8"/>
        <v>4.800187097354302</v>
      </c>
      <c r="N43" s="207">
        <f t="shared" si="9"/>
        <v>0.2746102458440676</v>
      </c>
      <c r="O43" s="42"/>
      <c r="P43" s="42"/>
      <c r="Q43" s="42"/>
      <c r="R43" s="42">
        <v>17.48</v>
      </c>
      <c r="S43" s="40"/>
      <c r="T43" s="48"/>
      <c r="U43" s="9">
        <f t="shared" si="10"/>
        <v>0</v>
      </c>
      <c r="V43" s="9">
        <f t="shared" si="11"/>
        <v>0</v>
      </c>
      <c r="W43" s="9">
        <f t="shared" si="12"/>
        <v>0</v>
      </c>
      <c r="X43" s="9">
        <f t="shared" si="13"/>
        <v>1</v>
      </c>
      <c r="Y43" s="9">
        <f t="shared" si="14"/>
        <v>0</v>
      </c>
    </row>
    <row r="44" spans="2:25" ht="18.75">
      <c r="B44" s="17" t="s">
        <v>331</v>
      </c>
      <c r="C44" s="17" t="s">
        <v>271</v>
      </c>
      <c r="D44" s="7" t="s">
        <v>331</v>
      </c>
      <c r="E44" s="7" t="s">
        <v>271</v>
      </c>
      <c r="F44" s="34" t="s">
        <v>188</v>
      </c>
      <c r="G44" s="34" t="s">
        <v>188</v>
      </c>
      <c r="H44" s="1" t="str">
        <f t="shared" si="6"/>
        <v>MM</v>
      </c>
      <c r="I44" s="176">
        <f t="shared" si="7"/>
        <v>716.5699999999999</v>
      </c>
      <c r="J44" s="11">
        <f>(VLOOKUP($H44,'Standard Estimate Uncertainty '!$B$10:$D$18,2)*$I44)+$I44</f>
        <v>609.0844999999999</v>
      </c>
      <c r="K44" s="11">
        <f>(VLOOKUP($H44,'Standard Estimate Uncertainty '!$B$10:$D$18,3)*$I44)+$I44</f>
        <v>895.7124999999999</v>
      </c>
      <c r="L44" s="168">
        <f t="shared" si="0"/>
        <v>179.14249999999993</v>
      </c>
      <c r="M44" s="168">
        <f t="shared" si="8"/>
        <v>196.77746386448342</v>
      </c>
      <c r="N44" s="207">
        <f t="shared" si="9"/>
        <v>0.2746102458440675</v>
      </c>
      <c r="O44" s="42">
        <v>242.54</v>
      </c>
      <c r="P44" s="42">
        <v>474.03</v>
      </c>
      <c r="Q44" s="42"/>
      <c r="R44" s="42"/>
      <c r="S44" s="40"/>
      <c r="T44" s="48"/>
      <c r="U44" s="9">
        <f t="shared" si="10"/>
        <v>0.3384735615501626</v>
      </c>
      <c r="V44" s="9">
        <f t="shared" si="11"/>
        <v>0.6615264384498375</v>
      </c>
      <c r="W44" s="9">
        <f t="shared" si="12"/>
        <v>0</v>
      </c>
      <c r="X44" s="9">
        <f t="shared" si="13"/>
        <v>0</v>
      </c>
      <c r="Y44" s="9">
        <f t="shared" si="14"/>
        <v>0</v>
      </c>
    </row>
    <row r="45" spans="2:25" ht="18.75">
      <c r="B45" s="17" t="s">
        <v>332</v>
      </c>
      <c r="C45" s="17" t="s">
        <v>273</v>
      </c>
      <c r="D45" s="7" t="s">
        <v>332</v>
      </c>
      <c r="E45" s="7" t="s">
        <v>273</v>
      </c>
      <c r="F45" s="34" t="s">
        <v>187</v>
      </c>
      <c r="G45" s="34" t="s">
        <v>187</v>
      </c>
      <c r="H45" s="1" t="str">
        <f t="shared" si="6"/>
        <v>HH</v>
      </c>
      <c r="I45" s="176">
        <f t="shared" si="7"/>
        <v>248.15999999999997</v>
      </c>
      <c r="J45" s="11">
        <f>(VLOOKUP($H45,'Standard Estimate Uncertainty '!$B$10:$D$18,2)*$I45)+$I45</f>
        <v>210.93599999999998</v>
      </c>
      <c r="K45" s="11">
        <f>(VLOOKUP($H45,'Standard Estimate Uncertainty '!$B$10:$D$18,3)*$I45)+$I45</f>
        <v>310.19999999999993</v>
      </c>
      <c r="L45" s="168">
        <f t="shared" si="0"/>
        <v>62.039999999999964</v>
      </c>
      <c r="M45" s="168">
        <f t="shared" si="8"/>
        <v>68.14727860866377</v>
      </c>
      <c r="N45" s="207">
        <f t="shared" si="9"/>
        <v>0.27461024584406746</v>
      </c>
      <c r="O45" s="42">
        <v>110.74</v>
      </c>
      <c r="P45" s="42">
        <v>137.42</v>
      </c>
      <c r="Q45" s="42"/>
      <c r="R45" s="42"/>
      <c r="S45" s="40"/>
      <c r="T45" s="48"/>
      <c r="U45" s="9">
        <f t="shared" si="10"/>
        <v>0.44624435847840105</v>
      </c>
      <c r="V45" s="9">
        <f t="shared" si="11"/>
        <v>0.553755641521599</v>
      </c>
      <c r="W45" s="9">
        <f t="shared" si="12"/>
        <v>0</v>
      </c>
      <c r="X45" s="9">
        <f t="shared" si="13"/>
        <v>0</v>
      </c>
      <c r="Y45" s="9">
        <f t="shared" si="14"/>
        <v>0</v>
      </c>
    </row>
    <row r="46" spans="2:25" ht="18.75">
      <c r="B46" s="17" t="s">
        <v>332</v>
      </c>
      <c r="C46" s="17" t="s">
        <v>274</v>
      </c>
      <c r="D46" s="7" t="s">
        <v>332</v>
      </c>
      <c r="E46" s="7" t="s">
        <v>274</v>
      </c>
      <c r="F46" s="34" t="s">
        <v>187</v>
      </c>
      <c r="G46" s="34" t="s">
        <v>187</v>
      </c>
      <c r="H46" s="1" t="str">
        <f t="shared" si="6"/>
        <v>HH</v>
      </c>
      <c r="I46" s="176">
        <f t="shared" si="7"/>
        <v>578.01</v>
      </c>
      <c r="J46" s="11">
        <f>(VLOOKUP($H46,'Standard Estimate Uncertainty '!$B$10:$D$18,2)*$I46)+$I46</f>
        <v>491.3085</v>
      </c>
      <c r="K46" s="11">
        <f>(VLOOKUP($H46,'Standard Estimate Uncertainty '!$B$10:$D$18,3)*$I46)+$I46</f>
        <v>722.5125</v>
      </c>
      <c r="L46" s="168">
        <f t="shared" si="0"/>
        <v>144.50250000000005</v>
      </c>
      <c r="M46" s="168">
        <f t="shared" si="8"/>
        <v>158.72746820032955</v>
      </c>
      <c r="N46" s="207">
        <f t="shared" si="9"/>
        <v>0.2746102458440677</v>
      </c>
      <c r="O46" s="42">
        <v>276.6</v>
      </c>
      <c r="P46" s="42">
        <v>301.41</v>
      </c>
      <c r="Q46" s="42"/>
      <c r="R46" s="42"/>
      <c r="S46" s="40"/>
      <c r="T46" s="48"/>
      <c r="U46" s="9">
        <f t="shared" si="10"/>
        <v>0.47853843359111436</v>
      </c>
      <c r="V46" s="9">
        <f t="shared" si="11"/>
        <v>0.5214615664088857</v>
      </c>
      <c r="W46" s="9">
        <f t="shared" si="12"/>
        <v>0</v>
      </c>
      <c r="X46" s="9">
        <f t="shared" si="13"/>
        <v>0</v>
      </c>
      <c r="Y46" s="9">
        <f t="shared" si="14"/>
        <v>0</v>
      </c>
    </row>
    <row r="47" spans="2:25" ht="18.75">
      <c r="B47" s="17" t="s">
        <v>332</v>
      </c>
      <c r="C47" s="17" t="s">
        <v>275</v>
      </c>
      <c r="D47" s="7" t="s">
        <v>332</v>
      </c>
      <c r="E47" s="7" t="s">
        <v>275</v>
      </c>
      <c r="F47" s="34" t="s">
        <v>187</v>
      </c>
      <c r="G47" s="34" t="s">
        <v>187</v>
      </c>
      <c r="H47" s="1" t="str">
        <f t="shared" si="6"/>
        <v>HH</v>
      </c>
      <c r="I47" s="176">
        <f t="shared" si="7"/>
        <v>645.71</v>
      </c>
      <c r="J47" s="11">
        <f>(VLOOKUP($H47,'Standard Estimate Uncertainty '!$B$10:$D$18,2)*$I47)+$I47</f>
        <v>548.8535</v>
      </c>
      <c r="K47" s="11">
        <f>(VLOOKUP($H47,'Standard Estimate Uncertainty '!$B$10:$D$18,3)*$I47)+$I47</f>
        <v>807.1375</v>
      </c>
      <c r="L47" s="168">
        <f t="shared" si="0"/>
        <v>161.4275</v>
      </c>
      <c r="M47" s="168">
        <f t="shared" si="8"/>
        <v>177.31858184397285</v>
      </c>
      <c r="N47" s="207">
        <f t="shared" si="9"/>
        <v>0.2746102458440675</v>
      </c>
      <c r="O47" s="42">
        <v>248.27</v>
      </c>
      <c r="P47" s="42">
        <v>397.44</v>
      </c>
      <c r="Q47" s="42"/>
      <c r="R47" s="42"/>
      <c r="S47" s="40"/>
      <c r="T47" s="48"/>
      <c r="U47" s="9">
        <f t="shared" si="10"/>
        <v>0.3844914899877654</v>
      </c>
      <c r="V47" s="9">
        <f t="shared" si="11"/>
        <v>0.6155085100122346</v>
      </c>
      <c r="W47" s="9">
        <f t="shared" si="12"/>
        <v>0</v>
      </c>
      <c r="X47" s="9">
        <f t="shared" si="13"/>
        <v>0</v>
      </c>
      <c r="Y47" s="9">
        <f t="shared" si="14"/>
        <v>0</v>
      </c>
    </row>
    <row r="48" spans="2:25" ht="18.75">
      <c r="B48" s="17" t="s">
        <v>332</v>
      </c>
      <c r="C48" s="17" t="s">
        <v>276</v>
      </c>
      <c r="D48" s="7" t="s">
        <v>332</v>
      </c>
      <c r="E48" s="7" t="s">
        <v>276</v>
      </c>
      <c r="F48" s="34" t="s">
        <v>187</v>
      </c>
      <c r="G48" s="34" t="s">
        <v>187</v>
      </c>
      <c r="H48" s="1" t="str">
        <f t="shared" si="6"/>
        <v>HH</v>
      </c>
      <c r="I48" s="176">
        <f t="shared" si="7"/>
        <v>326.53</v>
      </c>
      <c r="J48" s="11">
        <f>(VLOOKUP($H48,'Standard Estimate Uncertainty '!$B$10:$D$18,2)*$I48)+$I48</f>
        <v>277.5505</v>
      </c>
      <c r="K48" s="11">
        <f>(VLOOKUP($H48,'Standard Estimate Uncertainty '!$B$10:$D$18,3)*$I48)+$I48</f>
        <v>408.16249999999997</v>
      </c>
      <c r="L48" s="168">
        <f t="shared" si="0"/>
        <v>81.6325</v>
      </c>
      <c r="M48" s="168">
        <f t="shared" si="8"/>
        <v>89.66848357546337</v>
      </c>
      <c r="N48" s="207">
        <f t="shared" si="9"/>
        <v>0.27461024584406757</v>
      </c>
      <c r="O48" s="42">
        <v>122.88</v>
      </c>
      <c r="P48" s="42">
        <v>203.65</v>
      </c>
      <c r="Q48" s="42"/>
      <c r="R48" s="42"/>
      <c r="S48" s="40"/>
      <c r="T48" s="48"/>
      <c r="U48" s="9">
        <f t="shared" si="10"/>
        <v>0.376320705601323</v>
      </c>
      <c r="V48" s="9">
        <f t="shared" si="11"/>
        <v>0.6236792943986771</v>
      </c>
      <c r="W48" s="9">
        <f t="shared" si="12"/>
        <v>0</v>
      </c>
      <c r="X48" s="9">
        <f t="shared" si="13"/>
        <v>0</v>
      </c>
      <c r="Y48" s="9">
        <f t="shared" si="14"/>
        <v>0</v>
      </c>
    </row>
    <row r="49" spans="2:25" ht="18.75">
      <c r="B49" s="17" t="s">
        <v>332</v>
      </c>
      <c r="C49" s="17" t="s">
        <v>272</v>
      </c>
      <c r="D49" s="7" t="s">
        <v>332</v>
      </c>
      <c r="E49" s="7" t="s">
        <v>272</v>
      </c>
      <c r="F49" s="34" t="s">
        <v>187</v>
      </c>
      <c r="G49" s="34" t="s">
        <v>187</v>
      </c>
      <c r="H49" s="1" t="str">
        <f t="shared" si="6"/>
        <v>HH</v>
      </c>
      <c r="I49" s="176">
        <f t="shared" si="7"/>
        <v>203.39</v>
      </c>
      <c r="J49" s="11">
        <f>(VLOOKUP($H49,'Standard Estimate Uncertainty '!$B$10:$D$18,2)*$I49)+$I49</f>
        <v>172.8815</v>
      </c>
      <c r="K49" s="11">
        <f>(VLOOKUP($H49,'Standard Estimate Uncertainty '!$B$10:$D$18,3)*$I49)+$I49</f>
        <v>254.23749999999998</v>
      </c>
      <c r="L49" s="168">
        <f t="shared" si="0"/>
        <v>50.8475</v>
      </c>
      <c r="M49" s="168">
        <f t="shared" si="8"/>
        <v>55.85297790222489</v>
      </c>
      <c r="N49" s="207">
        <f t="shared" si="9"/>
        <v>0.2746102458440675</v>
      </c>
      <c r="O49" s="42">
        <v>73.25</v>
      </c>
      <c r="P49" s="42">
        <v>130.14</v>
      </c>
      <c r="Q49" s="42"/>
      <c r="R49" s="42"/>
      <c r="S49" s="40"/>
      <c r="T49" s="48"/>
      <c r="U49" s="9">
        <f t="shared" si="10"/>
        <v>0.36014553321205567</v>
      </c>
      <c r="V49" s="9">
        <f t="shared" si="11"/>
        <v>0.6398544667879443</v>
      </c>
      <c r="W49" s="9">
        <f t="shared" si="12"/>
        <v>0</v>
      </c>
      <c r="X49" s="9">
        <f t="shared" si="13"/>
        <v>0</v>
      </c>
      <c r="Y49" s="9">
        <f t="shared" si="14"/>
        <v>0</v>
      </c>
    </row>
    <row r="50" spans="2:25" ht="18.75">
      <c r="B50" s="17" t="s">
        <v>332</v>
      </c>
      <c r="C50" s="17" t="s">
        <v>277</v>
      </c>
      <c r="D50" s="7" t="s">
        <v>332</v>
      </c>
      <c r="E50" s="7" t="s">
        <v>277</v>
      </c>
      <c r="F50" s="34" t="s">
        <v>187</v>
      </c>
      <c r="G50" s="34" t="s">
        <v>187</v>
      </c>
      <c r="H50" s="1" t="str">
        <f t="shared" si="6"/>
        <v>HH</v>
      </c>
      <c r="I50" s="176">
        <f t="shared" si="7"/>
        <v>860.0699999999999</v>
      </c>
      <c r="J50" s="11">
        <f>(VLOOKUP($H50,'Standard Estimate Uncertainty '!$B$10:$D$18,2)*$I50)+$I50</f>
        <v>731.0595</v>
      </c>
      <c r="K50" s="11">
        <f>(VLOOKUP($H50,'Standard Estimate Uncertainty '!$B$10:$D$18,3)*$I50)+$I50</f>
        <v>1075.0874999999999</v>
      </c>
      <c r="L50" s="168">
        <f t="shared" si="0"/>
        <v>215.01749999999993</v>
      </c>
      <c r="M50" s="168">
        <f t="shared" si="8"/>
        <v>236.18403414310708</v>
      </c>
      <c r="N50" s="207">
        <f t="shared" si="9"/>
        <v>0.27461024584406746</v>
      </c>
      <c r="O50" s="42">
        <v>309.04</v>
      </c>
      <c r="P50" s="42">
        <v>551.03</v>
      </c>
      <c r="Q50" s="42"/>
      <c r="R50" s="42"/>
      <c r="S50" s="40"/>
      <c r="T50" s="48"/>
      <c r="U50" s="9">
        <f t="shared" si="10"/>
        <v>0.35931959026590865</v>
      </c>
      <c r="V50" s="9">
        <f t="shared" si="11"/>
        <v>0.6406804097340915</v>
      </c>
      <c r="W50" s="9">
        <f t="shared" si="12"/>
        <v>0</v>
      </c>
      <c r="X50" s="9">
        <f t="shared" si="13"/>
        <v>0</v>
      </c>
      <c r="Y50" s="9">
        <f t="shared" si="14"/>
        <v>0</v>
      </c>
    </row>
    <row r="51" spans="2:25" ht="18.75">
      <c r="B51" s="17" t="s">
        <v>333</v>
      </c>
      <c r="C51" s="17" t="s">
        <v>279</v>
      </c>
      <c r="D51" s="7" t="s">
        <v>333</v>
      </c>
      <c r="E51" s="7" t="s">
        <v>279</v>
      </c>
      <c r="F51" s="34" t="s">
        <v>188</v>
      </c>
      <c r="G51" s="34" t="s">
        <v>201</v>
      </c>
      <c r="H51" s="1" t="str">
        <f t="shared" si="6"/>
        <v>ML</v>
      </c>
      <c r="I51" s="176">
        <f t="shared" si="7"/>
        <v>175.81</v>
      </c>
      <c r="J51" s="11">
        <f>(VLOOKUP($H51,'Standard Estimate Uncertainty '!$B$10:$D$18,2)*$I51)+$I51</f>
        <v>158.229</v>
      </c>
      <c r="K51" s="11">
        <f>(VLOOKUP($H51,'Standard Estimate Uncertainty '!$B$10:$D$18,3)*$I51)+$I51</f>
        <v>202.1815</v>
      </c>
      <c r="L51" s="168">
        <f t="shared" si="0"/>
        <v>26.371499999999997</v>
      </c>
      <c r="M51" s="168">
        <f t="shared" si="8"/>
        <v>28.96753639310731</v>
      </c>
      <c r="N51" s="207">
        <f t="shared" si="9"/>
        <v>0.16476614750644053</v>
      </c>
      <c r="O51" s="42">
        <v>40.87</v>
      </c>
      <c r="P51" s="42">
        <v>134.94</v>
      </c>
      <c r="Q51" s="42"/>
      <c r="R51" s="42"/>
      <c r="S51" s="40"/>
      <c r="T51" s="48"/>
      <c r="U51" s="9">
        <f t="shared" si="10"/>
        <v>0.23246686764120356</v>
      </c>
      <c r="V51" s="9">
        <f t="shared" si="11"/>
        <v>0.7675331323587964</v>
      </c>
      <c r="W51" s="9">
        <f t="shared" si="12"/>
        <v>0</v>
      </c>
      <c r="X51" s="9">
        <f t="shared" si="13"/>
        <v>0</v>
      </c>
      <c r="Y51" s="9">
        <f t="shared" si="14"/>
        <v>0</v>
      </c>
    </row>
    <row r="52" spans="2:25" ht="18.75">
      <c r="B52" s="17" t="s">
        <v>333</v>
      </c>
      <c r="C52" s="17" t="s">
        <v>278</v>
      </c>
      <c r="D52" s="7" t="s">
        <v>333</v>
      </c>
      <c r="E52" s="7" t="s">
        <v>278</v>
      </c>
      <c r="F52" s="34" t="s">
        <v>188</v>
      </c>
      <c r="G52" s="34" t="s">
        <v>201</v>
      </c>
      <c r="H52" s="1" t="str">
        <f t="shared" si="6"/>
        <v>ML</v>
      </c>
      <c r="I52" s="176">
        <f t="shared" si="7"/>
        <v>325.25</v>
      </c>
      <c r="J52" s="11">
        <f>(VLOOKUP($H52,'Standard Estimate Uncertainty '!$B$10:$D$18,2)*$I52)+$I52</f>
        <v>292.725</v>
      </c>
      <c r="K52" s="11">
        <f>(VLOOKUP($H52,'Standard Estimate Uncertainty '!$B$10:$D$18,3)*$I52)+$I52</f>
        <v>374.0375</v>
      </c>
      <c r="L52" s="168">
        <f t="shared" si="0"/>
        <v>48.78750000000002</v>
      </c>
      <c r="M52" s="168">
        <f t="shared" si="8"/>
        <v>53.5901894764698</v>
      </c>
      <c r="N52" s="207">
        <f t="shared" si="9"/>
        <v>0.16476614750644059</v>
      </c>
      <c r="O52" s="42">
        <v>48.7</v>
      </c>
      <c r="P52" s="42">
        <v>276.55</v>
      </c>
      <c r="Q52" s="42"/>
      <c r="R52" s="42"/>
      <c r="S52" s="40"/>
      <c r="T52" s="48"/>
      <c r="U52" s="9">
        <f t="shared" si="10"/>
        <v>0.14973097617217526</v>
      </c>
      <c r="V52" s="9">
        <f t="shared" si="11"/>
        <v>0.8502690238278248</v>
      </c>
      <c r="W52" s="9">
        <f t="shared" si="12"/>
        <v>0</v>
      </c>
      <c r="X52" s="9">
        <f t="shared" si="13"/>
        <v>0</v>
      </c>
      <c r="Y52" s="9">
        <f t="shared" si="14"/>
        <v>0</v>
      </c>
    </row>
    <row r="53" spans="1:25" ht="18.75">
      <c r="A53">
        <v>15</v>
      </c>
      <c r="B53" s="17" t="s">
        <v>334</v>
      </c>
      <c r="C53" s="17" t="s">
        <v>232</v>
      </c>
      <c r="D53" s="7" t="s">
        <v>334</v>
      </c>
      <c r="E53" s="7" t="s">
        <v>232</v>
      </c>
      <c r="F53" s="34" t="s">
        <v>188</v>
      </c>
      <c r="G53" s="34" t="s">
        <v>201</v>
      </c>
      <c r="H53" s="1" t="str">
        <f t="shared" si="6"/>
        <v>ML</v>
      </c>
      <c r="I53" s="176">
        <f t="shared" si="7"/>
        <v>186.61</v>
      </c>
      <c r="J53" s="11">
        <f>(VLOOKUP($H53,'Standard Estimate Uncertainty '!$B$10:$D$18,2)*$I53)+$I53</f>
        <v>167.949</v>
      </c>
      <c r="K53" s="11">
        <f>(VLOOKUP($H53,'Standard Estimate Uncertainty '!$B$10:$D$18,3)*$I53)+$I53</f>
        <v>214.60150000000002</v>
      </c>
      <c r="L53" s="168">
        <f t="shared" si="0"/>
        <v>27.991500000000002</v>
      </c>
      <c r="M53" s="168">
        <f t="shared" si="8"/>
        <v>30.74701078617687</v>
      </c>
      <c r="N53" s="207">
        <f t="shared" si="9"/>
        <v>0.16476614750644053</v>
      </c>
      <c r="O53" s="42">
        <v>164.21</v>
      </c>
      <c r="P53" s="42">
        <v>22.4</v>
      </c>
      <c r="Q53" s="42"/>
      <c r="R53" s="42"/>
      <c r="S53" s="40"/>
      <c r="T53" s="48"/>
      <c r="U53" s="9">
        <f t="shared" si="10"/>
        <v>0.8799635603665398</v>
      </c>
      <c r="V53" s="9">
        <f t="shared" si="11"/>
        <v>0.12003643963346014</v>
      </c>
      <c r="W53" s="9">
        <f t="shared" si="12"/>
        <v>0</v>
      </c>
      <c r="X53" s="9">
        <f t="shared" si="13"/>
        <v>0</v>
      </c>
      <c r="Y53" s="9">
        <f t="shared" si="14"/>
        <v>0</v>
      </c>
    </row>
    <row r="54" spans="2:25" ht="18.75">
      <c r="B54" s="17" t="s">
        <v>335</v>
      </c>
      <c r="C54" s="17" t="s">
        <v>232</v>
      </c>
      <c r="D54" s="7" t="s">
        <v>335</v>
      </c>
      <c r="E54" s="7" t="s">
        <v>232</v>
      </c>
      <c r="F54" s="34" t="s">
        <v>188</v>
      </c>
      <c r="G54" s="34" t="s">
        <v>201</v>
      </c>
      <c r="H54" s="1" t="str">
        <f t="shared" si="6"/>
        <v>ML</v>
      </c>
      <c r="I54" s="176">
        <f t="shared" si="7"/>
        <v>1075.76</v>
      </c>
      <c r="J54" s="11">
        <f>(VLOOKUP($H54,'Standard Estimate Uncertainty '!$B$10:$D$18,2)*$I54)+$I54</f>
        <v>968.184</v>
      </c>
      <c r="K54" s="11">
        <f>(VLOOKUP($H54,'Standard Estimate Uncertainty '!$B$10:$D$18,3)*$I54)+$I54</f>
        <v>1237.124</v>
      </c>
      <c r="L54" s="168">
        <f t="shared" si="0"/>
        <v>161.36400000000003</v>
      </c>
      <c r="M54" s="168">
        <f t="shared" si="8"/>
        <v>177.2488308415285</v>
      </c>
      <c r="N54" s="207">
        <f t="shared" si="9"/>
        <v>0.16476614750644056</v>
      </c>
      <c r="O54" s="42"/>
      <c r="P54" s="42">
        <v>402.95</v>
      </c>
      <c r="Q54" s="42">
        <v>672.81</v>
      </c>
      <c r="R54" s="42"/>
      <c r="S54" s="40"/>
      <c r="T54" s="48"/>
      <c r="U54" s="9">
        <f t="shared" si="10"/>
        <v>0</v>
      </c>
      <c r="V54" s="9">
        <f t="shared" si="11"/>
        <v>0.37457239532981335</v>
      </c>
      <c r="W54" s="9">
        <f t="shared" si="12"/>
        <v>0.6254276046701867</v>
      </c>
      <c r="X54" s="9">
        <f t="shared" si="13"/>
        <v>0</v>
      </c>
      <c r="Y54" s="9">
        <f t="shared" si="14"/>
        <v>0</v>
      </c>
    </row>
    <row r="55" spans="1:25" ht="18.75">
      <c r="A55">
        <v>16</v>
      </c>
      <c r="B55" s="17" t="s">
        <v>336</v>
      </c>
      <c r="C55" s="17" t="s">
        <v>252</v>
      </c>
      <c r="D55" s="7" t="s">
        <v>336</v>
      </c>
      <c r="E55" s="7" t="s">
        <v>252</v>
      </c>
      <c r="F55" s="34" t="s">
        <v>187</v>
      </c>
      <c r="G55" s="34" t="s">
        <v>201</v>
      </c>
      <c r="H55" s="1" t="str">
        <f t="shared" si="6"/>
        <v>HL</v>
      </c>
      <c r="I55" s="176">
        <f t="shared" si="7"/>
        <v>6.23</v>
      </c>
      <c r="J55" s="11">
        <f>(VLOOKUP($H55,'Standard Estimate Uncertainty '!$B$10:$D$18,2)*$I55)+$I55</f>
        <v>5.918500000000001</v>
      </c>
      <c r="K55" s="11">
        <f>(VLOOKUP($H55,'Standard Estimate Uncertainty '!$B$10:$D$18,3)*$I55)+$I55</f>
        <v>6.853000000000001</v>
      </c>
      <c r="L55" s="168">
        <f t="shared" si="0"/>
        <v>0.6230000000000002</v>
      </c>
      <c r="M55" s="168">
        <f t="shared" si="8"/>
        <v>0.6843287326434166</v>
      </c>
      <c r="N55" s="207">
        <f t="shared" si="9"/>
        <v>0.10984409833762707</v>
      </c>
      <c r="O55" s="42">
        <v>6.23</v>
      </c>
      <c r="P55" s="42"/>
      <c r="Q55" s="42"/>
      <c r="R55" s="42"/>
      <c r="S55" s="40"/>
      <c r="T55" s="48"/>
      <c r="U55" s="9">
        <f t="shared" si="10"/>
        <v>1</v>
      </c>
      <c r="V55" s="9">
        <f t="shared" si="11"/>
        <v>0</v>
      </c>
      <c r="W55" s="9">
        <f t="shared" si="12"/>
        <v>0</v>
      </c>
      <c r="X55" s="9">
        <f t="shared" si="13"/>
        <v>0</v>
      </c>
      <c r="Y55" s="9">
        <f t="shared" si="14"/>
        <v>0</v>
      </c>
    </row>
    <row r="56" spans="2:25" ht="18.75">
      <c r="B56" s="17" t="s">
        <v>336</v>
      </c>
      <c r="C56" s="17" t="s">
        <v>280</v>
      </c>
      <c r="D56" s="7" t="s">
        <v>336</v>
      </c>
      <c r="E56" s="7" t="s">
        <v>280</v>
      </c>
      <c r="F56" s="34" t="s">
        <v>187</v>
      </c>
      <c r="G56" s="34" t="s">
        <v>201</v>
      </c>
      <c r="H56" s="1" t="str">
        <f t="shared" si="6"/>
        <v>HL</v>
      </c>
      <c r="I56" s="176">
        <f t="shared" si="7"/>
        <v>338.72</v>
      </c>
      <c r="J56" s="11">
        <f>(VLOOKUP($H56,'Standard Estimate Uncertainty '!$B$10:$D$18,2)*$I56)+$I56</f>
        <v>321.78400000000005</v>
      </c>
      <c r="K56" s="11">
        <f>(VLOOKUP($H56,'Standard Estimate Uncertainty '!$B$10:$D$18,3)*$I56)+$I56</f>
        <v>372.59200000000004</v>
      </c>
      <c r="L56" s="168">
        <f t="shared" si="0"/>
        <v>33.872000000000014</v>
      </c>
      <c r="M56" s="168">
        <f t="shared" si="8"/>
        <v>37.20639298892104</v>
      </c>
      <c r="N56" s="207">
        <f t="shared" si="9"/>
        <v>0.10984409833762705</v>
      </c>
      <c r="O56" s="42"/>
      <c r="P56" s="42">
        <v>239.44</v>
      </c>
      <c r="Q56" s="42">
        <v>99.28</v>
      </c>
      <c r="R56" s="42"/>
      <c r="S56" s="40"/>
      <c r="T56" s="48"/>
      <c r="U56" s="9">
        <f t="shared" si="10"/>
        <v>0</v>
      </c>
      <c r="V56" s="9">
        <f t="shared" si="11"/>
        <v>0.7068965517241379</v>
      </c>
      <c r="W56" s="9">
        <f t="shared" si="12"/>
        <v>0.29310344827586204</v>
      </c>
      <c r="X56" s="9">
        <f t="shared" si="13"/>
        <v>0</v>
      </c>
      <c r="Y56" s="9">
        <f t="shared" si="14"/>
        <v>0</v>
      </c>
    </row>
    <row r="57" spans="2:25" ht="18.75">
      <c r="B57" s="17" t="s">
        <v>336</v>
      </c>
      <c r="C57" s="17" t="s">
        <v>281</v>
      </c>
      <c r="D57" s="7" t="s">
        <v>336</v>
      </c>
      <c r="E57" s="7" t="s">
        <v>281</v>
      </c>
      <c r="F57" s="34" t="s">
        <v>187</v>
      </c>
      <c r="G57" s="34" t="s">
        <v>201</v>
      </c>
      <c r="H57" s="1" t="str">
        <f t="shared" si="6"/>
        <v>HL</v>
      </c>
      <c r="I57" s="176">
        <f t="shared" si="7"/>
        <v>478.75</v>
      </c>
      <c r="J57" s="11">
        <f>(VLOOKUP($H57,'Standard Estimate Uncertainty '!$B$10:$D$18,2)*$I57)+$I57</f>
        <v>454.8125</v>
      </c>
      <c r="K57" s="11">
        <f>(VLOOKUP($H57,'Standard Estimate Uncertainty '!$B$10:$D$18,3)*$I57)+$I57</f>
        <v>526.625</v>
      </c>
      <c r="L57" s="168">
        <f t="shared" si="0"/>
        <v>47.875</v>
      </c>
      <c r="M57" s="168">
        <f t="shared" si="8"/>
        <v>52.58786207913894</v>
      </c>
      <c r="N57" s="207">
        <f t="shared" si="9"/>
        <v>0.10984409833762702</v>
      </c>
      <c r="O57" s="42"/>
      <c r="P57" s="42">
        <v>83.9</v>
      </c>
      <c r="Q57" s="42">
        <v>235.06</v>
      </c>
      <c r="R57" s="42">
        <v>159.79</v>
      </c>
      <c r="S57" s="40"/>
      <c r="T57" s="48"/>
      <c r="U57" s="9">
        <f t="shared" si="10"/>
        <v>0</v>
      </c>
      <c r="V57" s="9">
        <f t="shared" si="11"/>
        <v>0.17524804177545694</v>
      </c>
      <c r="W57" s="9">
        <f t="shared" si="12"/>
        <v>0.4909869451697128</v>
      </c>
      <c r="X57" s="9">
        <f t="shared" si="13"/>
        <v>0.33376501305483025</v>
      </c>
      <c r="Y57" s="9">
        <f t="shared" si="14"/>
        <v>0</v>
      </c>
    </row>
    <row r="58" spans="2:25" ht="18.75">
      <c r="B58" s="17" t="s">
        <v>336</v>
      </c>
      <c r="C58" s="17" t="s">
        <v>282</v>
      </c>
      <c r="D58" s="7" t="s">
        <v>336</v>
      </c>
      <c r="E58" s="7" t="s">
        <v>282</v>
      </c>
      <c r="F58" s="34" t="s">
        <v>187</v>
      </c>
      <c r="G58" s="34" t="s">
        <v>201</v>
      </c>
      <c r="H58" s="1" t="str">
        <f t="shared" si="6"/>
        <v>HL</v>
      </c>
      <c r="I58" s="176">
        <f t="shared" si="7"/>
        <v>38.15</v>
      </c>
      <c r="J58" s="11">
        <f>(VLOOKUP($H58,'Standard Estimate Uncertainty '!$B$10:$D$18,2)*$I58)+$I58</f>
        <v>36.2425</v>
      </c>
      <c r="K58" s="11">
        <f>(VLOOKUP($H58,'Standard Estimate Uncertainty '!$B$10:$D$18,3)*$I58)+$I58</f>
        <v>41.964999999999996</v>
      </c>
      <c r="L58" s="168">
        <f t="shared" si="0"/>
        <v>3.8149999999999977</v>
      </c>
      <c r="M58" s="168">
        <f t="shared" si="8"/>
        <v>4.190552351580468</v>
      </c>
      <c r="N58" s="207">
        <f t="shared" si="9"/>
        <v>0.10984409833762696</v>
      </c>
      <c r="O58" s="42"/>
      <c r="P58" s="42"/>
      <c r="Q58" s="42">
        <v>38.15</v>
      </c>
      <c r="R58" s="42"/>
      <c r="S58" s="40"/>
      <c r="T58" s="48"/>
      <c r="U58" s="9">
        <f t="shared" si="10"/>
        <v>0</v>
      </c>
      <c r="V58" s="9">
        <f t="shared" si="11"/>
        <v>0</v>
      </c>
      <c r="W58" s="9">
        <f t="shared" si="12"/>
        <v>1</v>
      </c>
      <c r="X58" s="9">
        <f t="shared" si="13"/>
        <v>0</v>
      </c>
      <c r="Y58" s="9">
        <f t="shared" si="14"/>
        <v>0</v>
      </c>
    </row>
    <row r="59" spans="1:25" ht="18.75">
      <c r="A59">
        <v>17</v>
      </c>
      <c r="B59" s="17" t="s">
        <v>337</v>
      </c>
      <c r="C59" s="17" t="s">
        <v>232</v>
      </c>
      <c r="D59" s="7" t="s">
        <v>337</v>
      </c>
      <c r="E59" s="7" t="s">
        <v>232</v>
      </c>
      <c r="F59" s="34" t="s">
        <v>201</v>
      </c>
      <c r="G59" s="34" t="s">
        <v>188</v>
      </c>
      <c r="H59" s="1" t="str">
        <f t="shared" si="6"/>
        <v>LM</v>
      </c>
      <c r="I59" s="176">
        <f t="shared" si="7"/>
        <v>206.97</v>
      </c>
      <c r="J59" s="11">
        <f>(VLOOKUP($H59,'Standard Estimate Uncertainty '!$B$10:$D$18,2)*$I59)+$I59</f>
        <v>165.576</v>
      </c>
      <c r="K59" s="11">
        <f>(VLOOKUP($H59,'Standard Estimate Uncertainty '!$B$10:$D$18,3)*$I59)+$I59</f>
        <v>289.75800000000004</v>
      </c>
      <c r="L59" s="168">
        <f t="shared" si="0"/>
        <v>82.78800000000004</v>
      </c>
      <c r="M59" s="168">
        <f t="shared" si="8"/>
        <v>90.9377321317547</v>
      </c>
      <c r="N59" s="207">
        <f t="shared" si="9"/>
        <v>0.43937639335050827</v>
      </c>
      <c r="O59" s="42"/>
      <c r="P59" s="42"/>
      <c r="Q59" s="42">
        <v>206.97</v>
      </c>
      <c r="R59" s="42"/>
      <c r="S59" s="40"/>
      <c r="T59" s="48"/>
      <c r="U59" s="9">
        <f t="shared" si="10"/>
        <v>0</v>
      </c>
      <c r="V59" s="9">
        <f t="shared" si="11"/>
        <v>0</v>
      </c>
      <c r="W59" s="9">
        <f t="shared" si="12"/>
        <v>1</v>
      </c>
      <c r="X59" s="9">
        <f t="shared" si="13"/>
        <v>0</v>
      </c>
      <c r="Y59" s="9">
        <f t="shared" si="14"/>
        <v>0</v>
      </c>
    </row>
    <row r="60" spans="2:25" ht="18.75">
      <c r="B60" s="17" t="s">
        <v>338</v>
      </c>
      <c r="C60" s="17" t="s">
        <v>232</v>
      </c>
      <c r="D60" s="7" t="s">
        <v>338</v>
      </c>
      <c r="E60" s="7" t="s">
        <v>232</v>
      </c>
      <c r="F60" s="34" t="s">
        <v>188</v>
      </c>
      <c r="G60" s="34" t="s">
        <v>201</v>
      </c>
      <c r="H60" s="1" t="str">
        <f t="shared" si="6"/>
        <v>ML</v>
      </c>
      <c r="I60" s="176">
        <f t="shared" si="7"/>
        <v>163.47</v>
      </c>
      <c r="J60" s="11">
        <f>(VLOOKUP($H60,'Standard Estimate Uncertainty '!$B$10:$D$18,2)*$I60)+$I60</f>
        <v>147.123</v>
      </c>
      <c r="K60" s="11">
        <f>(VLOOKUP($H60,'Standard Estimate Uncertainty '!$B$10:$D$18,3)*$I60)+$I60</f>
        <v>187.9905</v>
      </c>
      <c r="L60" s="168">
        <f t="shared" si="0"/>
        <v>24.5205</v>
      </c>
      <c r="M60" s="168">
        <f t="shared" si="8"/>
        <v>26.93432213287783</v>
      </c>
      <c r="N60" s="207">
        <f t="shared" si="9"/>
        <v>0.16476614750644053</v>
      </c>
      <c r="O60" s="42"/>
      <c r="P60" s="42">
        <v>163.47</v>
      </c>
      <c r="Q60" s="42"/>
      <c r="R60" s="42"/>
      <c r="S60" s="40"/>
      <c r="T60" s="48"/>
      <c r="U60" s="9">
        <f t="shared" si="10"/>
        <v>0</v>
      </c>
      <c r="V60" s="9">
        <f t="shared" si="11"/>
        <v>1</v>
      </c>
      <c r="W60" s="9">
        <f t="shared" si="12"/>
        <v>0</v>
      </c>
      <c r="X60" s="9">
        <f t="shared" si="13"/>
        <v>0</v>
      </c>
      <c r="Y60" s="9">
        <f t="shared" si="14"/>
        <v>0</v>
      </c>
    </row>
    <row r="61" spans="2:25" ht="18.75">
      <c r="B61" s="17" t="s">
        <v>339</v>
      </c>
      <c r="C61" s="17" t="s">
        <v>232</v>
      </c>
      <c r="D61" s="7" t="s">
        <v>339</v>
      </c>
      <c r="E61" s="7" t="s">
        <v>232</v>
      </c>
      <c r="F61" s="34" t="s">
        <v>187</v>
      </c>
      <c r="G61" s="34" t="s">
        <v>201</v>
      </c>
      <c r="H61" s="1" t="str">
        <f t="shared" si="6"/>
        <v>HL</v>
      </c>
      <c r="I61" s="176">
        <f t="shared" si="7"/>
        <v>324.85</v>
      </c>
      <c r="J61" s="11">
        <f>(VLOOKUP($H61,'Standard Estimate Uncertainty '!$B$10:$D$18,2)*$I61)+$I61</f>
        <v>308.6075</v>
      </c>
      <c r="K61" s="11">
        <f>(VLOOKUP($H61,'Standard Estimate Uncertainty '!$B$10:$D$18,3)*$I61)+$I61</f>
        <v>357.33500000000004</v>
      </c>
      <c r="L61" s="168">
        <f t="shared" si="0"/>
        <v>32.485000000000014</v>
      </c>
      <c r="M61" s="168">
        <f t="shared" si="8"/>
        <v>35.68285534497815</v>
      </c>
      <c r="N61" s="207">
        <f t="shared" si="9"/>
        <v>0.10984409833762705</v>
      </c>
      <c r="O61" s="42"/>
      <c r="P61" s="42"/>
      <c r="Q61" s="42"/>
      <c r="R61" s="42">
        <v>324.85</v>
      </c>
      <c r="S61" s="40"/>
      <c r="T61" s="48"/>
      <c r="U61" s="9">
        <f t="shared" si="10"/>
        <v>0</v>
      </c>
      <c r="V61" s="9">
        <f t="shared" si="11"/>
        <v>0</v>
      </c>
      <c r="W61" s="9">
        <f t="shared" si="12"/>
        <v>0</v>
      </c>
      <c r="X61" s="9">
        <f t="shared" si="13"/>
        <v>1</v>
      </c>
      <c r="Y61" s="9">
        <f t="shared" si="14"/>
        <v>0</v>
      </c>
    </row>
    <row r="62" spans="2:25" ht="18.75">
      <c r="B62" s="17" t="s">
        <v>340</v>
      </c>
      <c r="C62" s="17" t="s">
        <v>283</v>
      </c>
      <c r="D62" s="7" t="s">
        <v>340</v>
      </c>
      <c r="E62" s="7" t="s">
        <v>283</v>
      </c>
      <c r="F62" s="34" t="s">
        <v>188</v>
      </c>
      <c r="G62" s="34" t="s">
        <v>201</v>
      </c>
      <c r="H62" s="1" t="str">
        <f t="shared" si="6"/>
        <v>ML</v>
      </c>
      <c r="I62" s="176">
        <f t="shared" si="7"/>
        <v>89.65</v>
      </c>
      <c r="J62" s="11">
        <f>(VLOOKUP($H62,'Standard Estimate Uncertainty '!$B$10:$D$18,2)*$I62)+$I62</f>
        <v>80.685</v>
      </c>
      <c r="K62" s="11">
        <f>(VLOOKUP($H62,'Standard Estimate Uncertainty '!$B$10:$D$18,3)*$I62)+$I62</f>
        <v>103.09750000000001</v>
      </c>
      <c r="L62" s="168">
        <f t="shared" si="0"/>
        <v>13.447500000000005</v>
      </c>
      <c r="M62" s="168">
        <f t="shared" si="8"/>
        <v>14.7712851239524</v>
      </c>
      <c r="N62" s="207">
        <f t="shared" si="9"/>
        <v>0.16476614750644059</v>
      </c>
      <c r="O62" s="42"/>
      <c r="P62" s="42">
        <v>61.39</v>
      </c>
      <c r="Q62" s="42">
        <v>28.26</v>
      </c>
      <c r="R62" s="42"/>
      <c r="S62" s="40"/>
      <c r="T62" s="48"/>
      <c r="U62" s="9">
        <f t="shared" si="10"/>
        <v>0</v>
      </c>
      <c r="V62" s="9">
        <f t="shared" si="11"/>
        <v>0.6847741215839375</v>
      </c>
      <c r="W62" s="9">
        <f t="shared" si="12"/>
        <v>0.3152258784160625</v>
      </c>
      <c r="X62" s="9">
        <f t="shared" si="13"/>
        <v>0</v>
      </c>
      <c r="Y62" s="9">
        <f t="shared" si="14"/>
        <v>0</v>
      </c>
    </row>
    <row r="63" spans="1:25" ht="18.75">
      <c r="A63">
        <v>18</v>
      </c>
      <c r="B63" s="17" t="s">
        <v>341</v>
      </c>
      <c r="C63" s="17" t="s">
        <v>284</v>
      </c>
      <c r="D63" s="7" t="s">
        <v>341</v>
      </c>
      <c r="E63" s="7" t="s">
        <v>284</v>
      </c>
      <c r="F63" s="34" t="s">
        <v>187</v>
      </c>
      <c r="G63" s="34" t="s">
        <v>188</v>
      </c>
      <c r="H63" s="1" t="str">
        <f t="shared" si="6"/>
        <v>HM</v>
      </c>
      <c r="I63" s="176">
        <f t="shared" si="7"/>
        <v>1988.2200000000003</v>
      </c>
      <c r="J63" s="11">
        <f>(VLOOKUP($H63,'Standard Estimate Uncertainty '!$B$10:$D$18,2)*$I63)+$I63</f>
        <v>1789.3980000000001</v>
      </c>
      <c r="K63" s="11">
        <f>(VLOOKUP($H63,'Standard Estimate Uncertainty '!$B$10:$D$18,3)*$I63)+$I63</f>
        <v>2286.4530000000004</v>
      </c>
      <c r="L63" s="168">
        <f t="shared" si="0"/>
        <v>298.2330000000002</v>
      </c>
      <c r="M63" s="168">
        <f t="shared" si="8"/>
        <v>327.5913497952554</v>
      </c>
      <c r="N63" s="207">
        <f t="shared" si="9"/>
        <v>0.1647661475064406</v>
      </c>
      <c r="O63" s="42">
        <v>252.65</v>
      </c>
      <c r="P63" s="42">
        <v>789.76</v>
      </c>
      <c r="Q63" s="42">
        <v>857.93</v>
      </c>
      <c r="R63" s="42">
        <v>87.88</v>
      </c>
      <c r="S63" s="40"/>
      <c r="T63" s="48"/>
      <c r="U63" s="9">
        <f t="shared" si="10"/>
        <v>0.12707346269527517</v>
      </c>
      <c r="V63" s="9">
        <f t="shared" si="11"/>
        <v>0.39721962358290325</v>
      </c>
      <c r="W63" s="9">
        <f t="shared" si="12"/>
        <v>0.43150657371920603</v>
      </c>
      <c r="X63" s="9">
        <f t="shared" si="13"/>
        <v>0.0442003400026154</v>
      </c>
      <c r="Y63" s="9">
        <f t="shared" si="14"/>
        <v>0</v>
      </c>
    </row>
    <row r="64" spans="2:25" ht="18.75">
      <c r="B64" s="17" t="s">
        <v>342</v>
      </c>
      <c r="C64" s="17" t="s">
        <v>285</v>
      </c>
      <c r="D64" s="7" t="s">
        <v>342</v>
      </c>
      <c r="E64" s="7" t="s">
        <v>285</v>
      </c>
      <c r="F64" s="34" t="s">
        <v>201</v>
      </c>
      <c r="G64" s="34" t="s">
        <v>201</v>
      </c>
      <c r="H64" s="1" t="str">
        <f t="shared" si="6"/>
        <v>LL</v>
      </c>
      <c r="I64" s="176">
        <f t="shared" si="7"/>
        <v>0</v>
      </c>
      <c r="J64" s="11">
        <f>(VLOOKUP($H64,'Standard Estimate Uncertainty '!$B$10:$D$18,2)*$I64)+$I64</f>
        <v>0</v>
      </c>
      <c r="K64" s="11">
        <f>(VLOOKUP($H64,'Standard Estimate Uncertainty '!$B$10:$D$18,3)*$I64)+$I64</f>
        <v>0</v>
      </c>
      <c r="L64" s="168">
        <f t="shared" si="0"/>
        <v>0</v>
      </c>
      <c r="M64" s="168">
        <f t="shared" si="8"/>
        <v>0</v>
      </c>
      <c r="N64" s="207" t="e">
        <f t="shared" si="9"/>
        <v>#DIV/0!</v>
      </c>
      <c r="O64" s="42"/>
      <c r="P64" s="42"/>
      <c r="Q64" s="42"/>
      <c r="R64" s="42"/>
      <c r="S64" s="40"/>
      <c r="T64" s="48"/>
      <c r="U64" s="9" t="e">
        <f t="shared" si="10"/>
        <v>#DIV/0!</v>
      </c>
      <c r="V64" s="9" t="e">
        <f t="shared" si="11"/>
        <v>#DIV/0!</v>
      </c>
      <c r="W64" s="9" t="e">
        <f t="shared" si="12"/>
        <v>#DIV/0!</v>
      </c>
      <c r="X64" s="9" t="e">
        <f t="shared" si="13"/>
        <v>#DIV/0!</v>
      </c>
      <c r="Y64" s="9" t="e">
        <f t="shared" si="14"/>
        <v>#DIV/0!</v>
      </c>
    </row>
    <row r="65" spans="2:25" ht="18.75">
      <c r="B65" s="17" t="s">
        <v>342</v>
      </c>
      <c r="C65" s="17" t="s">
        <v>286</v>
      </c>
      <c r="D65" s="7" t="s">
        <v>342</v>
      </c>
      <c r="E65" s="7" t="s">
        <v>286</v>
      </c>
      <c r="F65" s="34" t="s">
        <v>188</v>
      </c>
      <c r="G65" s="34" t="s">
        <v>201</v>
      </c>
      <c r="H65" s="1" t="str">
        <f t="shared" si="6"/>
        <v>ML</v>
      </c>
      <c r="I65" s="176">
        <f t="shared" si="7"/>
        <v>122.11</v>
      </c>
      <c r="J65" s="11">
        <f>(VLOOKUP($H65,'Standard Estimate Uncertainty '!$B$10:$D$18,2)*$I65)+$I65</f>
        <v>109.899</v>
      </c>
      <c r="K65" s="11">
        <f>(VLOOKUP($H65,'Standard Estimate Uncertainty '!$B$10:$D$18,3)*$I65)+$I65</f>
        <v>140.4265</v>
      </c>
      <c r="L65" s="168">
        <f t="shared" si="0"/>
        <v>18.316500000000005</v>
      </c>
      <c r="M65" s="168">
        <f t="shared" si="8"/>
        <v>20.119594272011458</v>
      </c>
      <c r="N65" s="207">
        <f t="shared" si="9"/>
        <v>0.16476614750644056</v>
      </c>
      <c r="O65" s="42">
        <v>97.38</v>
      </c>
      <c r="P65" s="42">
        <v>24.73</v>
      </c>
      <c r="Q65" s="42"/>
      <c r="R65" s="42"/>
      <c r="S65" s="40"/>
      <c r="T65" s="48"/>
      <c r="U65" s="9">
        <f t="shared" si="10"/>
        <v>0.7974776840553599</v>
      </c>
      <c r="V65" s="9">
        <f t="shared" si="11"/>
        <v>0.2025223159446401</v>
      </c>
      <c r="W65" s="9">
        <f t="shared" si="12"/>
        <v>0</v>
      </c>
      <c r="X65" s="9">
        <f t="shared" si="13"/>
        <v>0</v>
      </c>
      <c r="Y65" s="9">
        <f t="shared" si="14"/>
        <v>0</v>
      </c>
    </row>
    <row r="66" spans="2:25" ht="18.75">
      <c r="B66" s="17" t="s">
        <v>342</v>
      </c>
      <c r="C66" s="17" t="s">
        <v>287</v>
      </c>
      <c r="D66" s="7" t="s">
        <v>342</v>
      </c>
      <c r="E66" s="7" t="s">
        <v>287</v>
      </c>
      <c r="F66" s="34" t="s">
        <v>188</v>
      </c>
      <c r="G66" s="34" t="s">
        <v>201</v>
      </c>
      <c r="H66" s="1" t="str">
        <f aca="true" t="shared" si="15" ref="H66:H129">CONCATENATE(F66,G66)</f>
        <v>ML</v>
      </c>
      <c r="I66" s="176">
        <f t="shared" si="7"/>
        <v>186.12</v>
      </c>
      <c r="J66" s="11">
        <f>(VLOOKUP($H66,'Standard Estimate Uncertainty '!$B$10:$D$18,2)*$I66)+$I66</f>
        <v>167.508</v>
      </c>
      <c r="K66" s="11">
        <f>(VLOOKUP($H66,'Standard Estimate Uncertainty '!$B$10:$D$18,3)*$I66)+$I66</f>
        <v>214.038</v>
      </c>
      <c r="L66" s="168">
        <f t="shared" si="0"/>
        <v>27.918000000000006</v>
      </c>
      <c r="M66" s="168">
        <f t="shared" si="8"/>
        <v>30.666275373898717</v>
      </c>
      <c r="N66" s="207">
        <f t="shared" si="9"/>
        <v>0.16476614750644056</v>
      </c>
      <c r="O66" s="42">
        <v>33.37</v>
      </c>
      <c r="P66" s="42">
        <v>152.75</v>
      </c>
      <c r="Q66" s="42"/>
      <c r="R66" s="42"/>
      <c r="S66" s="40"/>
      <c r="T66" s="48"/>
      <c r="U66" s="9">
        <f aca="true" t="shared" si="16" ref="U66:U129">O66/$I66</f>
        <v>0.17929292929292928</v>
      </c>
      <c r="V66" s="9">
        <f aca="true" t="shared" si="17" ref="V66:V129">P66/$I66</f>
        <v>0.8207070707070707</v>
      </c>
      <c r="W66" s="9">
        <f aca="true" t="shared" si="18" ref="W66:W129">Q66/$I66</f>
        <v>0</v>
      </c>
      <c r="X66" s="9">
        <f aca="true" t="shared" si="19" ref="X66:X129">R66/$I66</f>
        <v>0</v>
      </c>
      <c r="Y66" s="9">
        <f aca="true" t="shared" si="20" ref="Y66:Y129">S66/$I66</f>
        <v>0</v>
      </c>
    </row>
    <row r="67" spans="2:25" ht="18.75">
      <c r="B67" s="17" t="s">
        <v>342</v>
      </c>
      <c r="C67" s="17" t="s">
        <v>288</v>
      </c>
      <c r="D67" s="7" t="s">
        <v>342</v>
      </c>
      <c r="E67" s="7" t="s">
        <v>288</v>
      </c>
      <c r="F67" s="34" t="s">
        <v>201</v>
      </c>
      <c r="G67" s="34" t="s">
        <v>188</v>
      </c>
      <c r="H67" s="1" t="str">
        <f t="shared" si="15"/>
        <v>LM</v>
      </c>
      <c r="I67" s="176">
        <f t="shared" si="7"/>
        <v>213.63</v>
      </c>
      <c r="J67" s="11">
        <f>(VLOOKUP($H67,'Standard Estimate Uncertainty '!$B$10:$D$18,2)*$I67)+$I67</f>
        <v>170.904</v>
      </c>
      <c r="K67" s="11">
        <f>(VLOOKUP($H67,'Standard Estimate Uncertainty '!$B$10:$D$18,3)*$I67)+$I67</f>
        <v>299.082</v>
      </c>
      <c r="L67" s="168">
        <f t="shared" si="0"/>
        <v>85.452</v>
      </c>
      <c r="M67" s="168">
        <f t="shared" si="8"/>
        <v>93.86397891146905</v>
      </c>
      <c r="N67" s="207">
        <f t="shared" si="9"/>
        <v>0.4393763933505081</v>
      </c>
      <c r="O67" s="42"/>
      <c r="P67" s="42">
        <v>138.16</v>
      </c>
      <c r="Q67" s="42">
        <v>75.47</v>
      </c>
      <c r="R67" s="42"/>
      <c r="S67" s="40"/>
      <c r="T67" s="48"/>
      <c r="U67" s="9">
        <f t="shared" si="16"/>
        <v>0</v>
      </c>
      <c r="V67" s="9">
        <f t="shared" si="17"/>
        <v>0.6467256471469363</v>
      </c>
      <c r="W67" s="9">
        <f t="shared" si="18"/>
        <v>0.3532743528530637</v>
      </c>
      <c r="X67" s="9">
        <f t="shared" si="19"/>
        <v>0</v>
      </c>
      <c r="Y67" s="9">
        <f t="shared" si="20"/>
        <v>0</v>
      </c>
    </row>
    <row r="68" spans="2:25" ht="18.75">
      <c r="B68" s="17" t="s">
        <v>343</v>
      </c>
      <c r="C68" s="17" t="s">
        <v>289</v>
      </c>
      <c r="D68" s="7" t="s">
        <v>343</v>
      </c>
      <c r="E68" s="7" t="s">
        <v>289</v>
      </c>
      <c r="F68" s="34" t="s">
        <v>188</v>
      </c>
      <c r="G68" s="34" t="s">
        <v>188</v>
      </c>
      <c r="H68" s="1" t="str">
        <f t="shared" si="15"/>
        <v>MM</v>
      </c>
      <c r="I68" s="176">
        <f aca="true" t="shared" si="21" ref="I68:I131">SUM(O68:S68)</f>
        <v>17</v>
      </c>
      <c r="J68" s="11">
        <f>(VLOOKUP($H68,'Standard Estimate Uncertainty '!$B$10:$D$18,2)*$I68)+$I68</f>
        <v>14.45</v>
      </c>
      <c r="K68" s="11">
        <f>(VLOOKUP($H68,'Standard Estimate Uncertainty '!$B$10:$D$18,3)*$I68)+$I68</f>
        <v>21.25</v>
      </c>
      <c r="L68" s="168">
        <f aca="true" t="shared" si="22" ref="L68:L131">+K68-I68</f>
        <v>4.25</v>
      </c>
      <c r="M68" s="168">
        <f aca="true" t="shared" si="23" ref="M68:M131">+L68/L$150*M$153</f>
        <v>4.668374179349148</v>
      </c>
      <c r="N68" s="207">
        <f aca="true" t="shared" si="24" ref="N68:N131">+M68/I68</f>
        <v>0.2746102458440675</v>
      </c>
      <c r="O68" s="42"/>
      <c r="P68" s="42">
        <v>9.18</v>
      </c>
      <c r="Q68" s="42">
        <v>7.82</v>
      </c>
      <c r="R68" s="42"/>
      <c r="S68" s="40"/>
      <c r="T68" s="48"/>
      <c r="U68" s="9">
        <f t="shared" si="16"/>
        <v>0</v>
      </c>
      <c r="V68" s="9">
        <f t="shared" si="17"/>
        <v>0.54</v>
      </c>
      <c r="W68" s="9">
        <f t="shared" si="18"/>
        <v>0.46</v>
      </c>
      <c r="X68" s="9">
        <f t="shared" si="19"/>
        <v>0</v>
      </c>
      <c r="Y68" s="9">
        <f t="shared" si="20"/>
        <v>0</v>
      </c>
    </row>
    <row r="69" spans="2:25" ht="18.75">
      <c r="B69" s="17" t="s">
        <v>343</v>
      </c>
      <c r="C69" s="17" t="s">
        <v>285</v>
      </c>
      <c r="D69" s="7" t="s">
        <v>343</v>
      </c>
      <c r="E69" s="7" t="s">
        <v>285</v>
      </c>
      <c r="F69" s="34" t="s">
        <v>188</v>
      </c>
      <c r="G69" s="34" t="s">
        <v>188</v>
      </c>
      <c r="H69" s="1" t="str">
        <f t="shared" si="15"/>
        <v>MM</v>
      </c>
      <c r="I69" s="176">
        <f t="shared" si="21"/>
        <v>25.66</v>
      </c>
      <c r="J69" s="11">
        <f>(VLOOKUP($H69,'Standard Estimate Uncertainty '!$B$10:$D$18,2)*$I69)+$I69</f>
        <v>21.811</v>
      </c>
      <c r="K69" s="11">
        <f>(VLOOKUP($H69,'Standard Estimate Uncertainty '!$B$10:$D$18,3)*$I69)+$I69</f>
        <v>32.075</v>
      </c>
      <c r="L69" s="168">
        <f t="shared" si="22"/>
        <v>6.415000000000003</v>
      </c>
      <c r="M69" s="168">
        <f t="shared" si="23"/>
        <v>7.046498908358777</v>
      </c>
      <c r="N69" s="207">
        <f t="shared" si="24"/>
        <v>0.2746102458440677</v>
      </c>
      <c r="O69" s="42">
        <v>25.66</v>
      </c>
      <c r="P69" s="42"/>
      <c r="Q69" s="42"/>
      <c r="R69" s="42"/>
      <c r="S69" s="40"/>
      <c r="T69" s="48"/>
      <c r="U69" s="9">
        <f t="shared" si="16"/>
        <v>1</v>
      </c>
      <c r="V69" s="9">
        <f t="shared" si="17"/>
        <v>0</v>
      </c>
      <c r="W69" s="9">
        <f t="shared" si="18"/>
        <v>0</v>
      </c>
      <c r="X69" s="9">
        <f t="shared" si="19"/>
        <v>0</v>
      </c>
      <c r="Y69" s="9">
        <f t="shared" si="20"/>
        <v>0</v>
      </c>
    </row>
    <row r="70" spans="2:25" ht="18.75">
      <c r="B70" s="17" t="s">
        <v>343</v>
      </c>
      <c r="C70" s="17" t="s">
        <v>286</v>
      </c>
      <c r="D70" s="7" t="s">
        <v>343</v>
      </c>
      <c r="E70" s="7" t="s">
        <v>286</v>
      </c>
      <c r="F70" s="34" t="s">
        <v>188</v>
      </c>
      <c r="G70" s="34" t="s">
        <v>188</v>
      </c>
      <c r="H70" s="1" t="str">
        <f t="shared" si="15"/>
        <v>MM</v>
      </c>
      <c r="I70" s="176">
        <f t="shared" si="21"/>
        <v>51.5</v>
      </c>
      <c r="J70" s="11">
        <f>(VLOOKUP($H70,'Standard Estimate Uncertainty '!$B$10:$D$18,2)*$I70)+$I70</f>
        <v>43.775</v>
      </c>
      <c r="K70" s="11">
        <f>(VLOOKUP($H70,'Standard Estimate Uncertainty '!$B$10:$D$18,3)*$I70)+$I70</f>
        <v>64.375</v>
      </c>
      <c r="L70" s="168">
        <f t="shared" si="22"/>
        <v>12.875</v>
      </c>
      <c r="M70" s="168">
        <f t="shared" si="23"/>
        <v>14.142427660969478</v>
      </c>
      <c r="N70" s="207">
        <f t="shared" si="24"/>
        <v>0.2746102458440675</v>
      </c>
      <c r="O70" s="42">
        <v>22.73</v>
      </c>
      <c r="P70" s="42">
        <v>28.77</v>
      </c>
      <c r="Q70" s="42"/>
      <c r="R70" s="42"/>
      <c r="S70" s="40"/>
      <c r="T70" s="48"/>
      <c r="U70" s="9">
        <f t="shared" si="16"/>
        <v>0.4413592233009709</v>
      </c>
      <c r="V70" s="9">
        <f t="shared" si="17"/>
        <v>0.5586407766990291</v>
      </c>
      <c r="W70" s="9">
        <f t="shared" si="18"/>
        <v>0</v>
      </c>
      <c r="X70" s="9">
        <f t="shared" si="19"/>
        <v>0</v>
      </c>
      <c r="Y70" s="9">
        <f t="shared" si="20"/>
        <v>0</v>
      </c>
    </row>
    <row r="71" spans="2:25" ht="18.75">
      <c r="B71" s="17" t="s">
        <v>343</v>
      </c>
      <c r="C71" s="17" t="s">
        <v>287</v>
      </c>
      <c r="D71" s="7" t="s">
        <v>343</v>
      </c>
      <c r="E71" s="7" t="s">
        <v>287</v>
      </c>
      <c r="F71" s="34" t="s">
        <v>188</v>
      </c>
      <c r="G71" s="34" t="s">
        <v>188</v>
      </c>
      <c r="H71" s="1" t="str">
        <f t="shared" si="15"/>
        <v>MM</v>
      </c>
      <c r="I71" s="176">
        <f t="shared" si="21"/>
        <v>112.63</v>
      </c>
      <c r="J71" s="11">
        <f>(VLOOKUP($H71,'Standard Estimate Uncertainty '!$B$10:$D$18,2)*$I71)+$I71</f>
        <v>95.7355</v>
      </c>
      <c r="K71" s="11">
        <f>(VLOOKUP($H71,'Standard Estimate Uncertainty '!$B$10:$D$18,3)*$I71)+$I71</f>
        <v>140.7875</v>
      </c>
      <c r="L71" s="168">
        <f t="shared" si="22"/>
        <v>28.1575</v>
      </c>
      <c r="M71" s="168">
        <f t="shared" si="23"/>
        <v>30.929351989417327</v>
      </c>
      <c r="N71" s="207">
        <f t="shared" si="24"/>
        <v>0.27461024584406757</v>
      </c>
      <c r="O71" s="42"/>
      <c r="P71" s="42">
        <v>112.63</v>
      </c>
      <c r="Q71" s="42"/>
      <c r="R71" s="42"/>
      <c r="S71" s="40"/>
      <c r="T71" s="48"/>
      <c r="U71" s="9">
        <f t="shared" si="16"/>
        <v>0</v>
      </c>
      <c r="V71" s="9">
        <f t="shared" si="17"/>
        <v>1</v>
      </c>
      <c r="W71" s="9">
        <f t="shared" si="18"/>
        <v>0</v>
      </c>
      <c r="X71" s="9">
        <f t="shared" si="19"/>
        <v>0</v>
      </c>
      <c r="Y71" s="9">
        <f t="shared" si="20"/>
        <v>0</v>
      </c>
    </row>
    <row r="72" spans="2:25" ht="18.75">
      <c r="B72" s="17" t="s">
        <v>343</v>
      </c>
      <c r="C72" s="17" t="s">
        <v>288</v>
      </c>
      <c r="D72" s="7" t="s">
        <v>343</v>
      </c>
      <c r="E72" s="7" t="s">
        <v>288</v>
      </c>
      <c r="F72" s="34" t="s">
        <v>188</v>
      </c>
      <c r="G72" s="34" t="s">
        <v>188</v>
      </c>
      <c r="H72" s="1" t="str">
        <f t="shared" si="15"/>
        <v>MM</v>
      </c>
      <c r="I72" s="176">
        <f t="shared" si="21"/>
        <v>131.5</v>
      </c>
      <c r="J72" s="11">
        <f>(VLOOKUP($H72,'Standard Estimate Uncertainty '!$B$10:$D$18,2)*$I72)+$I72</f>
        <v>111.775</v>
      </c>
      <c r="K72" s="11">
        <f>(VLOOKUP($H72,'Standard Estimate Uncertainty '!$B$10:$D$18,3)*$I72)+$I72</f>
        <v>164.375</v>
      </c>
      <c r="L72" s="168">
        <f t="shared" si="22"/>
        <v>32.875</v>
      </c>
      <c r="M72" s="168">
        <f t="shared" si="23"/>
        <v>36.11124732849488</v>
      </c>
      <c r="N72" s="207">
        <f t="shared" si="24"/>
        <v>0.27461024584406757</v>
      </c>
      <c r="O72" s="42"/>
      <c r="P72" s="42">
        <v>129.31</v>
      </c>
      <c r="Q72" s="42">
        <v>2.19</v>
      </c>
      <c r="R72" s="42"/>
      <c r="S72" s="40"/>
      <c r="T72" s="48"/>
      <c r="U72" s="9">
        <f t="shared" si="16"/>
        <v>0</v>
      </c>
      <c r="V72" s="9">
        <f t="shared" si="17"/>
        <v>0.9833460076045627</v>
      </c>
      <c r="W72" s="9">
        <f t="shared" si="18"/>
        <v>0.016653992395437262</v>
      </c>
      <c r="X72" s="9">
        <f t="shared" si="19"/>
        <v>0</v>
      </c>
      <c r="Y72" s="9">
        <f t="shared" si="20"/>
        <v>0</v>
      </c>
    </row>
    <row r="73" spans="2:25" ht="18.75">
      <c r="B73" s="17" t="s">
        <v>343</v>
      </c>
      <c r="C73" s="17" t="s">
        <v>232</v>
      </c>
      <c r="D73" s="7" t="s">
        <v>343</v>
      </c>
      <c r="E73" s="7" t="s">
        <v>232</v>
      </c>
      <c r="F73" s="34" t="s">
        <v>188</v>
      </c>
      <c r="G73" s="34" t="s">
        <v>188</v>
      </c>
      <c r="H73" s="1" t="str">
        <f t="shared" si="15"/>
        <v>MM</v>
      </c>
      <c r="I73" s="176">
        <f t="shared" si="21"/>
        <v>176.47</v>
      </c>
      <c r="J73" s="11">
        <f>(VLOOKUP($H73,'Standard Estimate Uncertainty '!$B$10:$D$18,2)*$I73)+$I73</f>
        <v>149.9995</v>
      </c>
      <c r="K73" s="11">
        <f>(VLOOKUP($H73,'Standard Estimate Uncertainty '!$B$10:$D$18,3)*$I73)+$I73</f>
        <v>220.5875</v>
      </c>
      <c r="L73" s="168">
        <f t="shared" si="22"/>
        <v>44.11750000000001</v>
      </c>
      <c r="M73" s="168">
        <f t="shared" si="23"/>
        <v>48.46047008410261</v>
      </c>
      <c r="N73" s="207">
        <f t="shared" si="24"/>
        <v>0.2746102458440676</v>
      </c>
      <c r="O73" s="42">
        <v>43.5</v>
      </c>
      <c r="P73" s="42">
        <v>102.6</v>
      </c>
      <c r="Q73" s="42">
        <v>30.37</v>
      </c>
      <c r="R73" s="42"/>
      <c r="S73" s="40"/>
      <c r="T73" s="48"/>
      <c r="U73" s="9">
        <f t="shared" si="16"/>
        <v>0.24650082166940557</v>
      </c>
      <c r="V73" s="9">
        <f t="shared" si="17"/>
        <v>0.58140193800646</v>
      </c>
      <c r="W73" s="9">
        <f t="shared" si="18"/>
        <v>0.17209724032413443</v>
      </c>
      <c r="X73" s="9">
        <f t="shared" si="19"/>
        <v>0</v>
      </c>
      <c r="Y73" s="9">
        <f t="shared" si="20"/>
        <v>0</v>
      </c>
    </row>
    <row r="74" spans="2:25" ht="18.75">
      <c r="B74" s="17" t="s">
        <v>344</v>
      </c>
      <c r="C74" s="17" t="s">
        <v>539</v>
      </c>
      <c r="D74" s="7" t="s">
        <v>344</v>
      </c>
      <c r="E74" s="7" t="s">
        <v>539</v>
      </c>
      <c r="F74" s="34" t="s">
        <v>187</v>
      </c>
      <c r="G74" s="34" t="s">
        <v>188</v>
      </c>
      <c r="H74" s="1" t="str">
        <f t="shared" si="15"/>
        <v>HM</v>
      </c>
      <c r="I74" s="176">
        <f t="shared" si="21"/>
        <v>2922.26</v>
      </c>
      <c r="J74" s="11">
        <f>(VLOOKUP($H74,'Standard Estimate Uncertainty '!$B$10:$D$18,2)*$I74)+$I74</f>
        <v>2630.034</v>
      </c>
      <c r="K74" s="11">
        <f>(VLOOKUP($H74,'Standard Estimate Uncertainty '!$B$10:$D$18,3)*$I74)+$I74</f>
        <v>3360.599</v>
      </c>
      <c r="L74" s="168">
        <f t="shared" si="22"/>
        <v>438.33899999999994</v>
      </c>
      <c r="M74" s="168">
        <f t="shared" si="23"/>
        <v>481.4895222121708</v>
      </c>
      <c r="N74" s="207">
        <f t="shared" si="24"/>
        <v>0.16476614750644047</v>
      </c>
      <c r="O74" s="42">
        <v>377.86</v>
      </c>
      <c r="P74" s="42">
        <v>1229.89</v>
      </c>
      <c r="Q74" s="42">
        <v>1149.69</v>
      </c>
      <c r="R74" s="42">
        <v>164.82</v>
      </c>
      <c r="S74" s="40"/>
      <c r="T74" s="48"/>
      <c r="U74" s="9">
        <f t="shared" si="16"/>
        <v>0.1293040318109956</v>
      </c>
      <c r="V74" s="9">
        <f t="shared" si="17"/>
        <v>0.4208694640449515</v>
      </c>
      <c r="W74" s="9">
        <f t="shared" si="18"/>
        <v>0.39342495192077365</v>
      </c>
      <c r="X74" s="9">
        <f t="shared" si="19"/>
        <v>0.056401552223279236</v>
      </c>
      <c r="Y74" s="9">
        <f t="shared" si="20"/>
        <v>0</v>
      </c>
    </row>
    <row r="75" spans="2:25" ht="18.75">
      <c r="B75" s="17" t="s">
        <v>344</v>
      </c>
      <c r="C75" s="17" t="s">
        <v>293</v>
      </c>
      <c r="D75" s="7" t="s">
        <v>344</v>
      </c>
      <c r="E75" s="7" t="s">
        <v>293</v>
      </c>
      <c r="F75" s="34" t="s">
        <v>187</v>
      </c>
      <c r="G75" s="34" t="s">
        <v>188</v>
      </c>
      <c r="H75" s="1" t="str">
        <f t="shared" si="15"/>
        <v>HM</v>
      </c>
      <c r="I75" s="176">
        <f t="shared" si="21"/>
        <v>131.57999999999998</v>
      </c>
      <c r="J75" s="11">
        <f>(VLOOKUP($H75,'Standard Estimate Uncertainty '!$B$10:$D$18,2)*$I75)+$I75</f>
        <v>118.42199999999998</v>
      </c>
      <c r="K75" s="11">
        <f>(VLOOKUP($H75,'Standard Estimate Uncertainty '!$B$10:$D$18,3)*$I75)+$I75</f>
        <v>151.31699999999998</v>
      </c>
      <c r="L75" s="168">
        <f t="shared" si="22"/>
        <v>19.736999999999995</v>
      </c>
      <c r="M75" s="168">
        <f t="shared" si="23"/>
        <v>21.679929688897438</v>
      </c>
      <c r="N75" s="207">
        <f t="shared" si="24"/>
        <v>0.1647661475064405</v>
      </c>
      <c r="O75" s="42">
        <v>96.33</v>
      </c>
      <c r="P75" s="42">
        <v>35.25</v>
      </c>
      <c r="Q75" s="42"/>
      <c r="R75" s="42"/>
      <c r="S75" s="40"/>
      <c r="T75" s="48"/>
      <c r="U75" s="9">
        <f t="shared" si="16"/>
        <v>0.7321021431828546</v>
      </c>
      <c r="V75" s="9">
        <f t="shared" si="17"/>
        <v>0.2678978568171455</v>
      </c>
      <c r="W75" s="9">
        <f t="shared" si="18"/>
        <v>0</v>
      </c>
      <c r="X75" s="9">
        <f t="shared" si="19"/>
        <v>0</v>
      </c>
      <c r="Y75" s="9">
        <f t="shared" si="20"/>
        <v>0</v>
      </c>
    </row>
    <row r="76" spans="2:25" ht="18.75">
      <c r="B76" s="17" t="s">
        <v>344</v>
      </c>
      <c r="C76" s="17" t="s">
        <v>294</v>
      </c>
      <c r="D76" s="7" t="s">
        <v>344</v>
      </c>
      <c r="E76" s="7" t="s">
        <v>294</v>
      </c>
      <c r="F76" s="34" t="s">
        <v>187</v>
      </c>
      <c r="G76" s="34" t="s">
        <v>188</v>
      </c>
      <c r="H76" s="1" t="str">
        <f t="shared" si="15"/>
        <v>HM</v>
      </c>
      <c r="I76" s="176">
        <f t="shared" si="21"/>
        <v>135.96</v>
      </c>
      <c r="J76" s="11">
        <f>(VLOOKUP($H76,'Standard Estimate Uncertainty '!$B$10:$D$18,2)*$I76)+$I76</f>
        <v>122.364</v>
      </c>
      <c r="K76" s="11">
        <f>(VLOOKUP($H76,'Standard Estimate Uncertainty '!$B$10:$D$18,3)*$I76)+$I76</f>
        <v>156.354</v>
      </c>
      <c r="L76" s="168">
        <f t="shared" si="22"/>
        <v>20.394000000000005</v>
      </c>
      <c r="M76" s="168">
        <f t="shared" si="23"/>
        <v>22.401605414975663</v>
      </c>
      <c r="N76" s="207">
        <f t="shared" si="24"/>
        <v>0.16476614750644059</v>
      </c>
      <c r="O76" s="42">
        <v>70.56</v>
      </c>
      <c r="P76" s="42">
        <v>65.4</v>
      </c>
      <c r="Q76" s="42"/>
      <c r="R76" s="42"/>
      <c r="S76" s="40"/>
      <c r="T76" s="48"/>
      <c r="U76" s="9">
        <f t="shared" si="16"/>
        <v>0.5189761694616063</v>
      </c>
      <c r="V76" s="9">
        <f t="shared" si="17"/>
        <v>0.48102383053839365</v>
      </c>
      <c r="W76" s="9">
        <f t="shared" si="18"/>
        <v>0</v>
      </c>
      <c r="X76" s="9">
        <f t="shared" si="19"/>
        <v>0</v>
      </c>
      <c r="Y76" s="9">
        <f t="shared" si="20"/>
        <v>0</v>
      </c>
    </row>
    <row r="77" spans="2:25" ht="18.75">
      <c r="B77" s="17" t="s">
        <v>344</v>
      </c>
      <c r="C77" s="17" t="s">
        <v>295</v>
      </c>
      <c r="D77" s="7" t="s">
        <v>344</v>
      </c>
      <c r="E77" s="7" t="s">
        <v>295</v>
      </c>
      <c r="F77" s="34" t="s">
        <v>187</v>
      </c>
      <c r="G77" s="34" t="s">
        <v>188</v>
      </c>
      <c r="H77" s="1" t="str">
        <f t="shared" si="15"/>
        <v>HM</v>
      </c>
      <c r="I77" s="176">
        <f t="shared" si="21"/>
        <v>209.54999999999998</v>
      </c>
      <c r="J77" s="11">
        <f>(VLOOKUP($H77,'Standard Estimate Uncertainty '!$B$10:$D$18,2)*$I77)+$I77</f>
        <v>188.59499999999997</v>
      </c>
      <c r="K77" s="11">
        <f>(VLOOKUP($H77,'Standard Estimate Uncertainty '!$B$10:$D$18,3)*$I77)+$I77</f>
        <v>240.9825</v>
      </c>
      <c r="L77" s="168">
        <f t="shared" si="22"/>
        <v>31.432500000000005</v>
      </c>
      <c r="M77" s="168">
        <f t="shared" si="23"/>
        <v>34.52674620997462</v>
      </c>
      <c r="N77" s="207">
        <f t="shared" si="24"/>
        <v>0.16476614750644056</v>
      </c>
      <c r="O77" s="42">
        <v>143.14</v>
      </c>
      <c r="P77" s="42">
        <v>66.41</v>
      </c>
      <c r="Q77" s="42"/>
      <c r="R77" s="42"/>
      <c r="S77" s="40"/>
      <c r="T77" s="48"/>
      <c r="U77" s="9">
        <f t="shared" si="16"/>
        <v>0.6830827964686232</v>
      </c>
      <c r="V77" s="9">
        <f t="shared" si="17"/>
        <v>0.31691720353137676</v>
      </c>
      <c r="W77" s="9">
        <f t="shared" si="18"/>
        <v>0</v>
      </c>
      <c r="X77" s="9">
        <f t="shared" si="19"/>
        <v>0</v>
      </c>
      <c r="Y77" s="9">
        <f t="shared" si="20"/>
        <v>0</v>
      </c>
    </row>
    <row r="78" spans="2:25" ht="18.75">
      <c r="B78" s="17" t="s">
        <v>344</v>
      </c>
      <c r="C78" s="17" t="s">
        <v>296</v>
      </c>
      <c r="D78" s="7" t="s">
        <v>344</v>
      </c>
      <c r="E78" s="7" t="s">
        <v>296</v>
      </c>
      <c r="F78" s="34" t="s">
        <v>187</v>
      </c>
      <c r="G78" s="34" t="s">
        <v>188</v>
      </c>
      <c r="H78" s="1" t="str">
        <f t="shared" si="15"/>
        <v>HM</v>
      </c>
      <c r="I78" s="176">
        <f t="shared" si="21"/>
        <v>31.33</v>
      </c>
      <c r="J78" s="11">
        <f>(VLOOKUP($H78,'Standard Estimate Uncertainty '!$B$10:$D$18,2)*$I78)+$I78</f>
        <v>28.197</v>
      </c>
      <c r="K78" s="11">
        <f>(VLOOKUP($H78,'Standard Estimate Uncertainty '!$B$10:$D$18,3)*$I78)+$I78</f>
        <v>36.0295</v>
      </c>
      <c r="L78" s="168">
        <f t="shared" si="22"/>
        <v>4.6995000000000005</v>
      </c>
      <c r="M78" s="168">
        <f t="shared" si="23"/>
        <v>5.162123401376782</v>
      </c>
      <c r="N78" s="207">
        <f t="shared" si="24"/>
        <v>0.16476614750644053</v>
      </c>
      <c r="O78" s="42"/>
      <c r="P78" s="42"/>
      <c r="Q78" s="42">
        <v>31.33</v>
      </c>
      <c r="R78" s="42"/>
      <c r="S78" s="40"/>
      <c r="T78" s="48"/>
      <c r="U78" s="9">
        <f t="shared" si="16"/>
        <v>0</v>
      </c>
      <c r="V78" s="9">
        <f t="shared" si="17"/>
        <v>0</v>
      </c>
      <c r="W78" s="9">
        <f t="shared" si="18"/>
        <v>1</v>
      </c>
      <c r="X78" s="9">
        <f t="shared" si="19"/>
        <v>0</v>
      </c>
      <c r="Y78" s="9">
        <f t="shared" si="20"/>
        <v>0</v>
      </c>
    </row>
    <row r="79" spans="2:25" ht="18.75">
      <c r="B79" s="17" t="s">
        <v>344</v>
      </c>
      <c r="C79" s="17" t="s">
        <v>299</v>
      </c>
      <c r="D79" s="7" t="s">
        <v>344</v>
      </c>
      <c r="E79" s="7" t="s">
        <v>299</v>
      </c>
      <c r="F79" s="34" t="s">
        <v>201</v>
      </c>
      <c r="G79" s="34" t="s">
        <v>187</v>
      </c>
      <c r="H79" s="1" t="str">
        <f t="shared" si="15"/>
        <v>LH</v>
      </c>
      <c r="I79" s="176">
        <f t="shared" si="21"/>
        <v>532.95</v>
      </c>
      <c r="J79" s="11">
        <f>(VLOOKUP($H79,'Standard Estimate Uncertainty '!$B$10:$D$18,2)*$I79)+$I79</f>
        <v>373.06500000000005</v>
      </c>
      <c r="K79" s="11">
        <f>(VLOOKUP($H79,'Standard Estimate Uncertainty '!$B$10:$D$18,3)*$I79)+$I79</f>
        <v>852.72</v>
      </c>
      <c r="L79" s="168">
        <f t="shared" si="22"/>
        <v>319.77</v>
      </c>
      <c r="M79" s="168">
        <f t="shared" si="23"/>
        <v>351.2484732542299</v>
      </c>
      <c r="N79" s="207">
        <f t="shared" si="24"/>
        <v>0.659064590025762</v>
      </c>
      <c r="O79" s="42">
        <v>480.88</v>
      </c>
      <c r="P79" s="42">
        <v>52.07</v>
      </c>
      <c r="Q79" s="42"/>
      <c r="R79" s="42"/>
      <c r="S79" s="40"/>
      <c r="T79" s="48"/>
      <c r="U79" s="9">
        <f t="shared" si="16"/>
        <v>0.9022985270663288</v>
      </c>
      <c r="V79" s="9">
        <f t="shared" si="17"/>
        <v>0.09770147293367107</v>
      </c>
      <c r="W79" s="9">
        <f t="shared" si="18"/>
        <v>0</v>
      </c>
      <c r="X79" s="9">
        <f t="shared" si="19"/>
        <v>0</v>
      </c>
      <c r="Y79" s="9">
        <f t="shared" si="20"/>
        <v>0</v>
      </c>
    </row>
    <row r="80" spans="2:25" ht="18.75">
      <c r="B80" s="17" t="s">
        <v>344</v>
      </c>
      <c r="C80" s="17" t="s">
        <v>345</v>
      </c>
      <c r="D80" s="7" t="s">
        <v>344</v>
      </c>
      <c r="E80" s="7" t="s">
        <v>345</v>
      </c>
      <c r="F80" s="34" t="s">
        <v>201</v>
      </c>
      <c r="G80" s="34" t="s">
        <v>187</v>
      </c>
      <c r="H80" s="1" t="str">
        <f t="shared" si="15"/>
        <v>LH</v>
      </c>
      <c r="I80" s="176">
        <f t="shared" si="21"/>
        <v>100.46000000000001</v>
      </c>
      <c r="J80" s="11">
        <f>(VLOOKUP($H80,'Standard Estimate Uncertainty '!$B$10:$D$18,2)*$I80)+$I80</f>
        <v>70.322</v>
      </c>
      <c r="K80" s="11">
        <f>(VLOOKUP($H80,'Standard Estimate Uncertainty '!$B$10:$D$18,3)*$I80)+$I80</f>
        <v>160.73600000000002</v>
      </c>
      <c r="L80" s="168">
        <f t="shared" si="22"/>
        <v>60.27600000000001</v>
      </c>
      <c r="M80" s="168">
        <f t="shared" si="23"/>
        <v>66.20962871398807</v>
      </c>
      <c r="N80" s="207">
        <f t="shared" si="24"/>
        <v>0.6590645900257621</v>
      </c>
      <c r="O80" s="42">
        <v>77.06</v>
      </c>
      <c r="P80" s="42">
        <v>23.4</v>
      </c>
      <c r="Q80" s="42"/>
      <c r="R80" s="42"/>
      <c r="S80" s="40"/>
      <c r="T80" s="48"/>
      <c r="U80" s="9">
        <f t="shared" si="16"/>
        <v>0.7670714712323312</v>
      </c>
      <c r="V80" s="9">
        <f t="shared" si="17"/>
        <v>0.2329285287676687</v>
      </c>
      <c r="W80" s="9">
        <f t="shared" si="18"/>
        <v>0</v>
      </c>
      <c r="X80" s="9">
        <f t="shared" si="19"/>
        <v>0</v>
      </c>
      <c r="Y80" s="9">
        <f t="shared" si="20"/>
        <v>0</v>
      </c>
    </row>
    <row r="81" spans="2:25" ht="18.75">
      <c r="B81" s="17" t="s">
        <v>344</v>
      </c>
      <c r="C81" s="17" t="s">
        <v>346</v>
      </c>
      <c r="D81" s="7" t="s">
        <v>344</v>
      </c>
      <c r="E81" s="7" t="s">
        <v>346</v>
      </c>
      <c r="F81" s="34" t="s">
        <v>201</v>
      </c>
      <c r="G81" s="34" t="s">
        <v>187</v>
      </c>
      <c r="H81" s="1" t="str">
        <f t="shared" si="15"/>
        <v>LH</v>
      </c>
      <c r="I81" s="176">
        <f t="shared" si="21"/>
        <v>169.36</v>
      </c>
      <c r="J81" s="11">
        <f>(VLOOKUP($H81,'Standard Estimate Uncertainty '!$B$10:$D$18,2)*$I81)+$I81</f>
        <v>118.55200000000002</v>
      </c>
      <c r="K81" s="11">
        <f>(VLOOKUP($H81,'Standard Estimate Uncertainty '!$B$10:$D$18,3)*$I81)+$I81</f>
        <v>270.976</v>
      </c>
      <c r="L81" s="168">
        <f t="shared" si="22"/>
        <v>101.61599999999999</v>
      </c>
      <c r="M81" s="168">
        <f t="shared" si="23"/>
        <v>111.61917896676306</v>
      </c>
      <c r="N81" s="207">
        <f t="shared" si="24"/>
        <v>0.659064590025762</v>
      </c>
      <c r="O81" s="42">
        <v>20.27</v>
      </c>
      <c r="P81" s="42">
        <v>118.62</v>
      </c>
      <c r="Q81" s="42">
        <v>30.47</v>
      </c>
      <c r="R81" s="42"/>
      <c r="S81" s="40"/>
      <c r="T81" s="48"/>
      <c r="U81" s="9">
        <f t="shared" si="16"/>
        <v>0.1196858762399622</v>
      </c>
      <c r="V81" s="9">
        <f t="shared" si="17"/>
        <v>0.7004015115729806</v>
      </c>
      <c r="W81" s="9">
        <f t="shared" si="18"/>
        <v>0.17991261218705715</v>
      </c>
      <c r="X81" s="9">
        <f t="shared" si="19"/>
        <v>0</v>
      </c>
      <c r="Y81" s="9">
        <f t="shared" si="20"/>
        <v>0</v>
      </c>
    </row>
    <row r="82" spans="2:25" ht="18.75">
      <c r="B82" s="17" t="s">
        <v>344</v>
      </c>
      <c r="C82" s="17" t="s">
        <v>347</v>
      </c>
      <c r="D82" s="7" t="s">
        <v>344</v>
      </c>
      <c r="E82" s="7" t="s">
        <v>347</v>
      </c>
      <c r="F82" s="34" t="s">
        <v>201</v>
      </c>
      <c r="G82" s="34" t="s">
        <v>187</v>
      </c>
      <c r="H82" s="1" t="str">
        <f t="shared" si="15"/>
        <v>LH</v>
      </c>
      <c r="I82" s="176">
        <f t="shared" si="21"/>
        <v>159.82</v>
      </c>
      <c r="J82" s="11">
        <f>(VLOOKUP($H82,'Standard Estimate Uncertainty '!$B$10:$D$18,2)*$I82)+$I82</f>
        <v>111.874</v>
      </c>
      <c r="K82" s="11">
        <f>(VLOOKUP($H82,'Standard Estimate Uncertainty '!$B$10:$D$18,3)*$I82)+$I82</f>
        <v>255.712</v>
      </c>
      <c r="L82" s="168">
        <f t="shared" si="22"/>
        <v>95.892</v>
      </c>
      <c r="M82" s="168">
        <f t="shared" si="23"/>
        <v>105.3317027779173</v>
      </c>
      <c r="N82" s="207">
        <f t="shared" si="24"/>
        <v>0.6590645900257621</v>
      </c>
      <c r="O82" s="42"/>
      <c r="P82" s="42">
        <v>159.82</v>
      </c>
      <c r="Q82" s="42"/>
      <c r="R82" s="42"/>
      <c r="S82" s="42"/>
      <c r="T82" s="48"/>
      <c r="U82" s="9">
        <f t="shared" si="16"/>
        <v>0</v>
      </c>
      <c r="V82" s="9">
        <f t="shared" si="17"/>
        <v>1</v>
      </c>
      <c r="W82" s="9">
        <f t="shared" si="18"/>
        <v>0</v>
      </c>
      <c r="X82" s="9">
        <f t="shared" si="19"/>
        <v>0</v>
      </c>
      <c r="Y82" s="9">
        <f t="shared" si="20"/>
        <v>0</v>
      </c>
    </row>
    <row r="83" spans="2:25" ht="18.75">
      <c r="B83" s="17" t="s">
        <v>344</v>
      </c>
      <c r="C83" s="17" t="s">
        <v>348</v>
      </c>
      <c r="D83" s="7" t="s">
        <v>344</v>
      </c>
      <c r="E83" s="7" t="s">
        <v>348</v>
      </c>
      <c r="F83" s="34" t="s">
        <v>201</v>
      </c>
      <c r="G83" s="34" t="s">
        <v>187</v>
      </c>
      <c r="H83" s="1" t="str">
        <f t="shared" si="15"/>
        <v>LH</v>
      </c>
      <c r="I83" s="176">
        <f t="shared" si="21"/>
        <v>95.33</v>
      </c>
      <c r="J83" s="11">
        <f>(VLOOKUP($H83,'Standard Estimate Uncertainty '!$B$10:$D$18,2)*$I83)+$I83</f>
        <v>66.731</v>
      </c>
      <c r="K83" s="11">
        <f>(VLOOKUP($H83,'Standard Estimate Uncertainty '!$B$10:$D$18,3)*$I83)+$I83</f>
        <v>152.528</v>
      </c>
      <c r="L83" s="168">
        <f t="shared" si="22"/>
        <v>57.19799999999999</v>
      </c>
      <c r="M83" s="168">
        <f t="shared" si="23"/>
        <v>62.828627367155896</v>
      </c>
      <c r="N83" s="207">
        <f t="shared" si="24"/>
        <v>0.659064590025762</v>
      </c>
      <c r="O83" s="42"/>
      <c r="P83" s="42">
        <v>95.33</v>
      </c>
      <c r="Q83" s="42"/>
      <c r="R83" s="42"/>
      <c r="S83" s="42"/>
      <c r="T83" s="48"/>
      <c r="U83" s="9">
        <f t="shared" si="16"/>
        <v>0</v>
      </c>
      <c r="V83" s="9">
        <f t="shared" si="17"/>
        <v>1</v>
      </c>
      <c r="W83" s="9">
        <f t="shared" si="18"/>
        <v>0</v>
      </c>
      <c r="X83" s="9">
        <f t="shared" si="19"/>
        <v>0</v>
      </c>
      <c r="Y83" s="9">
        <f t="shared" si="20"/>
        <v>0</v>
      </c>
    </row>
    <row r="84" spans="2:25" ht="18.75">
      <c r="B84" s="17" t="s">
        <v>344</v>
      </c>
      <c r="C84" s="17" t="s">
        <v>297</v>
      </c>
      <c r="D84" s="7" t="s">
        <v>344</v>
      </c>
      <c r="E84" s="7" t="s">
        <v>297</v>
      </c>
      <c r="F84" s="34" t="s">
        <v>201</v>
      </c>
      <c r="G84" s="34" t="s">
        <v>187</v>
      </c>
      <c r="H84" s="1" t="str">
        <f t="shared" si="15"/>
        <v>LH</v>
      </c>
      <c r="I84" s="176">
        <f t="shared" si="21"/>
        <v>279.78</v>
      </c>
      <c r="J84" s="11">
        <f>(VLOOKUP($H84,'Standard Estimate Uncertainty '!$B$10:$D$18,2)*$I84)+$I84</f>
        <v>195.846</v>
      </c>
      <c r="K84" s="11">
        <f>(VLOOKUP($H84,'Standard Estimate Uncertainty '!$B$10:$D$18,3)*$I84)+$I84</f>
        <v>447.6479999999999</v>
      </c>
      <c r="L84" s="168">
        <f t="shared" si="22"/>
        <v>167.86799999999994</v>
      </c>
      <c r="M84" s="168">
        <f t="shared" si="23"/>
        <v>184.39309099740765</v>
      </c>
      <c r="N84" s="207">
        <f t="shared" si="24"/>
        <v>0.6590645900257619</v>
      </c>
      <c r="O84" s="42"/>
      <c r="P84" s="42">
        <v>190.5</v>
      </c>
      <c r="Q84" s="42">
        <v>89.28</v>
      </c>
      <c r="R84" s="42"/>
      <c r="S84" s="42"/>
      <c r="T84" s="48"/>
      <c r="U84" s="9">
        <f t="shared" si="16"/>
        <v>0</v>
      </c>
      <c r="V84" s="9">
        <f t="shared" si="17"/>
        <v>0.6808921295303454</v>
      </c>
      <c r="W84" s="9">
        <f t="shared" si="18"/>
        <v>0.3191078704696548</v>
      </c>
      <c r="X84" s="9">
        <f t="shared" si="19"/>
        <v>0</v>
      </c>
      <c r="Y84" s="9">
        <f t="shared" si="20"/>
        <v>0</v>
      </c>
    </row>
    <row r="85" spans="2:25" ht="18.75">
      <c r="B85" s="17" t="s">
        <v>344</v>
      </c>
      <c r="C85" s="17" t="s">
        <v>298</v>
      </c>
      <c r="D85" s="7" t="s">
        <v>344</v>
      </c>
      <c r="E85" s="7" t="s">
        <v>298</v>
      </c>
      <c r="F85" s="34" t="s">
        <v>201</v>
      </c>
      <c r="G85" s="34" t="s">
        <v>187</v>
      </c>
      <c r="H85" s="1" t="str">
        <f t="shared" si="15"/>
        <v>LH</v>
      </c>
      <c r="I85" s="176">
        <f t="shared" si="21"/>
        <v>285.31</v>
      </c>
      <c r="J85" s="11">
        <f>(VLOOKUP($H85,'Standard Estimate Uncertainty '!$B$10:$D$18,2)*$I85)+$I85</f>
        <v>199.71699999999998</v>
      </c>
      <c r="K85" s="11">
        <f>(VLOOKUP($H85,'Standard Estimate Uncertainty '!$B$10:$D$18,3)*$I85)+$I85</f>
        <v>456.496</v>
      </c>
      <c r="L85" s="168">
        <f t="shared" si="22"/>
        <v>171.18599999999998</v>
      </c>
      <c r="M85" s="168">
        <f t="shared" si="23"/>
        <v>188.03771818025015</v>
      </c>
      <c r="N85" s="207">
        <f t="shared" si="24"/>
        <v>0.659064590025762</v>
      </c>
      <c r="O85" s="42"/>
      <c r="P85" s="42"/>
      <c r="Q85" s="42">
        <v>285.31</v>
      </c>
      <c r="R85" s="42"/>
      <c r="S85" s="42"/>
      <c r="T85" s="48"/>
      <c r="U85" s="9">
        <f t="shared" si="16"/>
        <v>0</v>
      </c>
      <c r="V85" s="9">
        <f t="shared" si="17"/>
        <v>0</v>
      </c>
      <c r="W85" s="9">
        <f t="shared" si="18"/>
        <v>1</v>
      </c>
      <c r="X85" s="9">
        <f t="shared" si="19"/>
        <v>0</v>
      </c>
      <c r="Y85" s="9">
        <f t="shared" si="20"/>
        <v>0</v>
      </c>
    </row>
    <row r="86" spans="2:25" ht="18.75">
      <c r="B86" s="17" t="s">
        <v>344</v>
      </c>
      <c r="C86" s="17" t="s">
        <v>349</v>
      </c>
      <c r="D86" s="7" t="s">
        <v>344</v>
      </c>
      <c r="E86" s="7" t="s">
        <v>349</v>
      </c>
      <c r="F86" s="34" t="s">
        <v>201</v>
      </c>
      <c r="G86" s="34" t="s">
        <v>187</v>
      </c>
      <c r="H86" s="1" t="str">
        <f t="shared" si="15"/>
        <v>LH</v>
      </c>
      <c r="I86" s="176">
        <f t="shared" si="21"/>
        <v>181.16</v>
      </c>
      <c r="J86" s="11">
        <f>(VLOOKUP($H86,'Standard Estimate Uncertainty '!$B$10:$D$18,2)*$I86)+$I86</f>
        <v>126.812</v>
      </c>
      <c r="K86" s="11">
        <f>(VLOOKUP($H86,'Standard Estimate Uncertainty '!$B$10:$D$18,3)*$I86)+$I86</f>
        <v>289.856</v>
      </c>
      <c r="L86" s="168">
        <f t="shared" si="22"/>
        <v>108.696</v>
      </c>
      <c r="M86" s="168">
        <f t="shared" si="23"/>
        <v>119.39614112906706</v>
      </c>
      <c r="N86" s="207">
        <f t="shared" si="24"/>
        <v>0.6590645900257621</v>
      </c>
      <c r="O86" s="42"/>
      <c r="P86" s="42">
        <v>181.16</v>
      </c>
      <c r="Q86" s="42"/>
      <c r="R86" s="42"/>
      <c r="S86" s="42"/>
      <c r="T86" s="48"/>
      <c r="U86" s="9">
        <f t="shared" si="16"/>
        <v>0</v>
      </c>
      <c r="V86" s="9">
        <f t="shared" si="17"/>
        <v>1</v>
      </c>
      <c r="W86" s="9">
        <f t="shared" si="18"/>
        <v>0</v>
      </c>
      <c r="X86" s="9">
        <f t="shared" si="19"/>
        <v>0</v>
      </c>
      <c r="Y86" s="9">
        <f t="shared" si="20"/>
        <v>0</v>
      </c>
    </row>
    <row r="87" spans="2:25" ht="18.75">
      <c r="B87" s="17" t="s">
        <v>344</v>
      </c>
      <c r="C87" s="17" t="s">
        <v>300</v>
      </c>
      <c r="D87" s="7" t="s">
        <v>344</v>
      </c>
      <c r="E87" s="7" t="s">
        <v>300</v>
      </c>
      <c r="F87" s="34" t="s">
        <v>201</v>
      </c>
      <c r="G87" s="34" t="s">
        <v>187</v>
      </c>
      <c r="H87" s="1" t="str">
        <f t="shared" si="15"/>
        <v>LH</v>
      </c>
      <c r="I87" s="176">
        <f t="shared" si="21"/>
        <v>166.85</v>
      </c>
      <c r="J87" s="11">
        <f>(VLOOKUP($H87,'Standard Estimate Uncertainty '!$B$10:$D$18,2)*$I87)+$I87</f>
        <v>116.79499999999999</v>
      </c>
      <c r="K87" s="11">
        <f>(VLOOKUP($H87,'Standard Estimate Uncertainty '!$B$10:$D$18,3)*$I87)+$I87</f>
        <v>266.96</v>
      </c>
      <c r="L87" s="168">
        <f t="shared" si="22"/>
        <v>100.10999999999999</v>
      </c>
      <c r="M87" s="168">
        <f t="shared" si="23"/>
        <v>109.9649268457984</v>
      </c>
      <c r="N87" s="207">
        <f t="shared" si="24"/>
        <v>0.6590645900257621</v>
      </c>
      <c r="O87" s="42"/>
      <c r="P87" s="42">
        <v>135.63</v>
      </c>
      <c r="Q87" s="42">
        <v>31.22</v>
      </c>
      <c r="R87" s="42"/>
      <c r="S87" s="42"/>
      <c r="T87" s="48"/>
      <c r="U87" s="9">
        <f t="shared" si="16"/>
        <v>0</v>
      </c>
      <c r="V87" s="9">
        <f t="shared" si="17"/>
        <v>0.812885825591849</v>
      </c>
      <c r="W87" s="9">
        <f t="shared" si="18"/>
        <v>0.18711417440815103</v>
      </c>
      <c r="X87" s="9">
        <f t="shared" si="19"/>
        <v>0</v>
      </c>
      <c r="Y87" s="9">
        <f t="shared" si="20"/>
        <v>0</v>
      </c>
    </row>
    <row r="88" spans="2:25" ht="18.75">
      <c r="B88" s="17" t="s">
        <v>344</v>
      </c>
      <c r="C88" s="17" t="s">
        <v>301</v>
      </c>
      <c r="D88" s="7" t="s">
        <v>344</v>
      </c>
      <c r="E88" s="7" t="s">
        <v>301</v>
      </c>
      <c r="F88" s="34" t="s">
        <v>201</v>
      </c>
      <c r="G88" s="34" t="s">
        <v>187</v>
      </c>
      <c r="H88" s="1" t="str">
        <f t="shared" si="15"/>
        <v>LH</v>
      </c>
      <c r="I88" s="176">
        <f t="shared" si="21"/>
        <v>171.08</v>
      </c>
      <c r="J88" s="11">
        <f>(VLOOKUP($H88,'Standard Estimate Uncertainty '!$B$10:$D$18,2)*$I88)+$I88</f>
        <v>119.756</v>
      </c>
      <c r="K88" s="11">
        <f>(VLOOKUP($H88,'Standard Estimate Uncertainty '!$B$10:$D$18,3)*$I88)+$I88</f>
        <v>273.728</v>
      </c>
      <c r="L88" s="168">
        <f t="shared" si="22"/>
        <v>102.648</v>
      </c>
      <c r="M88" s="168">
        <f t="shared" si="23"/>
        <v>112.75277006160738</v>
      </c>
      <c r="N88" s="207">
        <f t="shared" si="24"/>
        <v>0.659064590025762</v>
      </c>
      <c r="O88" s="42"/>
      <c r="P88" s="42"/>
      <c r="Q88" s="42">
        <v>171.08</v>
      </c>
      <c r="R88" s="42"/>
      <c r="S88" s="42"/>
      <c r="T88" s="48"/>
      <c r="U88" s="9">
        <f t="shared" si="16"/>
        <v>0</v>
      </c>
      <c r="V88" s="9">
        <f t="shared" si="17"/>
        <v>0</v>
      </c>
      <c r="W88" s="9">
        <f t="shared" si="18"/>
        <v>1</v>
      </c>
      <c r="X88" s="9">
        <f t="shared" si="19"/>
        <v>0</v>
      </c>
      <c r="Y88" s="9">
        <f t="shared" si="20"/>
        <v>0</v>
      </c>
    </row>
    <row r="89" spans="2:25" ht="18.75">
      <c r="B89" s="17" t="s">
        <v>344</v>
      </c>
      <c r="C89" s="17" t="s">
        <v>302</v>
      </c>
      <c r="D89" s="7" t="s">
        <v>344</v>
      </c>
      <c r="E89" s="7" t="s">
        <v>302</v>
      </c>
      <c r="F89" s="34" t="s">
        <v>201</v>
      </c>
      <c r="G89" s="34" t="s">
        <v>187</v>
      </c>
      <c r="H89" s="1" t="str">
        <f t="shared" si="15"/>
        <v>LH</v>
      </c>
      <c r="I89" s="176">
        <f t="shared" si="21"/>
        <v>172.73</v>
      </c>
      <c r="J89" s="11">
        <f>(VLOOKUP($H89,'Standard Estimate Uncertainty '!$B$10:$D$18,2)*$I89)+$I89</f>
        <v>120.911</v>
      </c>
      <c r="K89" s="11">
        <f>(VLOOKUP($H89,'Standard Estimate Uncertainty '!$B$10:$D$18,3)*$I89)+$I89</f>
        <v>276.368</v>
      </c>
      <c r="L89" s="168">
        <f t="shared" si="22"/>
        <v>103.638</v>
      </c>
      <c r="M89" s="168">
        <f t="shared" si="23"/>
        <v>113.84022663514989</v>
      </c>
      <c r="N89" s="207">
        <f t="shared" si="24"/>
        <v>0.6590645900257621</v>
      </c>
      <c r="O89" s="42"/>
      <c r="P89" s="42"/>
      <c r="Q89" s="42">
        <v>172.73</v>
      </c>
      <c r="R89" s="42"/>
      <c r="S89" s="42"/>
      <c r="T89" s="48"/>
      <c r="U89" s="9">
        <f t="shared" si="16"/>
        <v>0</v>
      </c>
      <c r="V89" s="9">
        <f t="shared" si="17"/>
        <v>0</v>
      </c>
      <c r="W89" s="9">
        <f t="shared" si="18"/>
        <v>1</v>
      </c>
      <c r="X89" s="9">
        <f t="shared" si="19"/>
        <v>0</v>
      </c>
      <c r="Y89" s="9">
        <f t="shared" si="20"/>
        <v>0</v>
      </c>
    </row>
    <row r="90" spans="2:25" ht="18.75">
      <c r="B90" s="17" t="s">
        <v>350</v>
      </c>
      <c r="C90" s="17" t="s">
        <v>351</v>
      </c>
      <c r="D90" s="7" t="s">
        <v>350</v>
      </c>
      <c r="E90" s="7" t="s">
        <v>351</v>
      </c>
      <c r="F90" s="34" t="s">
        <v>201</v>
      </c>
      <c r="G90" s="34" t="s">
        <v>188</v>
      </c>
      <c r="H90" s="1" t="str">
        <f t="shared" si="15"/>
        <v>LM</v>
      </c>
      <c r="I90" s="176">
        <f t="shared" si="21"/>
        <v>223.18</v>
      </c>
      <c r="J90" s="11">
        <f>(VLOOKUP($H90,'Standard Estimate Uncertainty '!$B$10:$D$18,2)*$I90)+$I90</f>
        <v>178.544</v>
      </c>
      <c r="K90" s="11">
        <f>(VLOOKUP($H90,'Standard Estimate Uncertainty '!$B$10:$D$18,3)*$I90)+$I90</f>
        <v>312.452</v>
      </c>
      <c r="L90" s="168">
        <f t="shared" si="22"/>
        <v>89.27199999999999</v>
      </c>
      <c r="M90" s="168">
        <f t="shared" si="23"/>
        <v>98.06002346796637</v>
      </c>
      <c r="N90" s="207">
        <f t="shared" si="24"/>
        <v>0.439376393350508</v>
      </c>
      <c r="O90" s="42"/>
      <c r="P90" s="42">
        <v>223.18</v>
      </c>
      <c r="Q90" s="42"/>
      <c r="R90" s="42"/>
      <c r="S90" s="42"/>
      <c r="T90" s="48"/>
      <c r="U90" s="9">
        <f t="shared" si="16"/>
        <v>0</v>
      </c>
      <c r="V90" s="9">
        <f t="shared" si="17"/>
        <v>1</v>
      </c>
      <c r="W90" s="9">
        <f t="shared" si="18"/>
        <v>0</v>
      </c>
      <c r="X90" s="9">
        <f t="shared" si="19"/>
        <v>0</v>
      </c>
      <c r="Y90" s="9">
        <f t="shared" si="20"/>
        <v>0</v>
      </c>
    </row>
    <row r="91" spans="2:25" ht="18.75">
      <c r="B91" s="17" t="s">
        <v>350</v>
      </c>
      <c r="C91" s="17" t="s">
        <v>290</v>
      </c>
      <c r="D91" s="7" t="s">
        <v>350</v>
      </c>
      <c r="E91" s="7" t="s">
        <v>290</v>
      </c>
      <c r="F91" s="34" t="s">
        <v>201</v>
      </c>
      <c r="G91" s="34" t="s">
        <v>188</v>
      </c>
      <c r="H91" s="1" t="str">
        <f t="shared" si="15"/>
        <v>LM</v>
      </c>
      <c r="I91" s="176">
        <f t="shared" si="21"/>
        <v>362.82</v>
      </c>
      <c r="J91" s="11">
        <f>(VLOOKUP($H91,'Standard Estimate Uncertainty '!$B$10:$D$18,2)*$I91)+$I91</f>
        <v>290.256</v>
      </c>
      <c r="K91" s="11">
        <f>(VLOOKUP($H91,'Standard Estimate Uncertainty '!$B$10:$D$18,3)*$I91)+$I91</f>
        <v>507.948</v>
      </c>
      <c r="L91" s="168">
        <f t="shared" si="22"/>
        <v>145.128</v>
      </c>
      <c r="M91" s="168">
        <f t="shared" si="23"/>
        <v>159.41454303543134</v>
      </c>
      <c r="N91" s="207">
        <f t="shared" si="24"/>
        <v>0.4393763933505081</v>
      </c>
      <c r="O91" s="42"/>
      <c r="P91" s="42"/>
      <c r="Q91" s="42">
        <v>362.82</v>
      </c>
      <c r="R91" s="42"/>
      <c r="S91" s="42"/>
      <c r="T91" s="48"/>
      <c r="U91" s="9">
        <f t="shared" si="16"/>
        <v>0</v>
      </c>
      <c r="V91" s="9">
        <f t="shared" si="17"/>
        <v>0</v>
      </c>
      <c r="W91" s="9">
        <f t="shared" si="18"/>
        <v>1</v>
      </c>
      <c r="X91" s="9">
        <f t="shared" si="19"/>
        <v>0</v>
      </c>
      <c r="Y91" s="9">
        <f t="shared" si="20"/>
        <v>0</v>
      </c>
    </row>
    <row r="92" spans="2:25" ht="18.75">
      <c r="B92" s="17" t="s">
        <v>350</v>
      </c>
      <c r="C92" s="17" t="s">
        <v>291</v>
      </c>
      <c r="D92" s="7" t="s">
        <v>350</v>
      </c>
      <c r="E92" s="7" t="s">
        <v>291</v>
      </c>
      <c r="F92" s="34" t="s">
        <v>201</v>
      </c>
      <c r="G92" s="34" t="s">
        <v>188</v>
      </c>
      <c r="H92" s="1" t="str">
        <f t="shared" si="15"/>
        <v>LM</v>
      </c>
      <c r="I92" s="176">
        <f t="shared" si="21"/>
        <v>373</v>
      </c>
      <c r="J92" s="11">
        <f>(VLOOKUP($H92,'Standard Estimate Uncertainty '!$B$10:$D$18,2)*$I92)+$I92</f>
        <v>298.4</v>
      </c>
      <c r="K92" s="11">
        <f>(VLOOKUP($H92,'Standard Estimate Uncertainty '!$B$10:$D$18,3)*$I92)+$I92</f>
        <v>522.2</v>
      </c>
      <c r="L92" s="168">
        <f t="shared" si="22"/>
        <v>149.20000000000005</v>
      </c>
      <c r="M92" s="168">
        <f t="shared" si="23"/>
        <v>163.88739471973955</v>
      </c>
      <c r="N92" s="207">
        <f t="shared" si="24"/>
        <v>0.43937639335050815</v>
      </c>
      <c r="O92" s="42"/>
      <c r="P92" s="42"/>
      <c r="Q92" s="42">
        <v>364.47</v>
      </c>
      <c r="R92" s="42">
        <v>8.53</v>
      </c>
      <c r="S92" s="42"/>
      <c r="T92" s="48"/>
      <c r="U92" s="9">
        <f t="shared" si="16"/>
        <v>0</v>
      </c>
      <c r="V92" s="9">
        <f t="shared" si="17"/>
        <v>0</v>
      </c>
      <c r="W92" s="9">
        <f t="shared" si="18"/>
        <v>0.9771313672922253</v>
      </c>
      <c r="X92" s="9">
        <f t="shared" si="19"/>
        <v>0.022868632707774797</v>
      </c>
      <c r="Y92" s="9">
        <f t="shared" si="20"/>
        <v>0</v>
      </c>
    </row>
    <row r="93" spans="2:25" ht="18.75">
      <c r="B93" s="17" t="s">
        <v>350</v>
      </c>
      <c r="C93" s="17" t="s">
        <v>292</v>
      </c>
      <c r="D93" s="7" t="s">
        <v>350</v>
      </c>
      <c r="E93" s="7" t="s">
        <v>292</v>
      </c>
      <c r="F93" s="34" t="s">
        <v>201</v>
      </c>
      <c r="G93" s="34" t="s">
        <v>188</v>
      </c>
      <c r="H93" s="1" t="str">
        <f t="shared" si="15"/>
        <v>LM</v>
      </c>
      <c r="I93" s="176">
        <f t="shared" si="21"/>
        <v>375.53999999999996</v>
      </c>
      <c r="J93" s="11">
        <f>(VLOOKUP($H93,'Standard Estimate Uncertainty '!$B$10:$D$18,2)*$I93)+$I93</f>
        <v>300.43199999999996</v>
      </c>
      <c r="K93" s="11">
        <f>(VLOOKUP($H93,'Standard Estimate Uncertainty '!$B$10:$D$18,3)*$I93)+$I93</f>
        <v>525.756</v>
      </c>
      <c r="L93" s="168">
        <f t="shared" si="22"/>
        <v>150.216</v>
      </c>
      <c r="M93" s="168">
        <f t="shared" si="23"/>
        <v>165.0034107588498</v>
      </c>
      <c r="N93" s="207">
        <f t="shared" si="24"/>
        <v>0.43937639335050815</v>
      </c>
      <c r="O93" s="42"/>
      <c r="P93" s="42"/>
      <c r="Q93" s="42">
        <v>289.77</v>
      </c>
      <c r="R93" s="42">
        <v>85.77</v>
      </c>
      <c r="S93" s="42"/>
      <c r="T93" s="48"/>
      <c r="U93" s="9">
        <f t="shared" si="16"/>
        <v>0</v>
      </c>
      <c r="V93" s="9">
        <f t="shared" si="17"/>
        <v>0</v>
      </c>
      <c r="W93" s="9">
        <f t="shared" si="18"/>
        <v>0.7716088832081802</v>
      </c>
      <c r="X93" s="9">
        <f t="shared" si="19"/>
        <v>0.22839111679181978</v>
      </c>
      <c r="Y93" s="9">
        <f t="shared" si="20"/>
        <v>0</v>
      </c>
    </row>
    <row r="94" spans="1:25" ht="18.75">
      <c r="A94">
        <v>19</v>
      </c>
      <c r="B94" s="17" t="s">
        <v>352</v>
      </c>
      <c r="C94" s="17" t="s">
        <v>353</v>
      </c>
      <c r="D94" s="7" t="s">
        <v>352</v>
      </c>
      <c r="E94" s="7" t="s">
        <v>353</v>
      </c>
      <c r="F94" s="34" t="s">
        <v>187</v>
      </c>
      <c r="G94" s="34" t="s">
        <v>201</v>
      </c>
      <c r="H94" s="1" t="str">
        <f t="shared" si="15"/>
        <v>HL</v>
      </c>
      <c r="I94" s="176">
        <f t="shared" si="21"/>
        <v>831.3299999999999</v>
      </c>
      <c r="J94" s="11">
        <f>(VLOOKUP($H94,'Standard Estimate Uncertainty '!$B$10:$D$18,2)*$I94)+$I94</f>
        <v>789.7634999999999</v>
      </c>
      <c r="K94" s="11">
        <f>(VLOOKUP($H94,'Standard Estimate Uncertainty '!$B$10:$D$18,3)*$I94)+$I94</f>
        <v>914.463</v>
      </c>
      <c r="L94" s="168">
        <f t="shared" si="22"/>
        <v>83.13300000000004</v>
      </c>
      <c r="M94" s="168">
        <f t="shared" si="23"/>
        <v>91.31669427101951</v>
      </c>
      <c r="N94" s="207">
        <f t="shared" si="24"/>
        <v>0.10984409833762708</v>
      </c>
      <c r="O94" s="42">
        <v>77.38</v>
      </c>
      <c r="P94" s="42">
        <v>208.45</v>
      </c>
      <c r="Q94" s="42">
        <v>221.09</v>
      </c>
      <c r="R94" s="42">
        <v>229.03</v>
      </c>
      <c r="S94" s="42">
        <v>95.38</v>
      </c>
      <c r="T94" s="48"/>
      <c r="U94" s="9">
        <f t="shared" si="16"/>
        <v>0.09307976375205995</v>
      </c>
      <c r="V94" s="9">
        <f t="shared" si="17"/>
        <v>0.25074278565671876</v>
      </c>
      <c r="W94" s="9">
        <f t="shared" si="18"/>
        <v>0.2659473373991075</v>
      </c>
      <c r="X94" s="9">
        <f t="shared" si="19"/>
        <v>0.27549829790817126</v>
      </c>
      <c r="Y94" s="9">
        <f t="shared" si="20"/>
        <v>0.1147318152839426</v>
      </c>
    </row>
    <row r="95" spans="2:25" ht="18.75">
      <c r="B95" s="17" t="s">
        <v>352</v>
      </c>
      <c r="C95" s="17" t="s">
        <v>354</v>
      </c>
      <c r="D95" s="7" t="s">
        <v>352</v>
      </c>
      <c r="E95" s="7" t="s">
        <v>354</v>
      </c>
      <c r="F95" s="34" t="s">
        <v>187</v>
      </c>
      <c r="G95" s="34" t="s">
        <v>201</v>
      </c>
      <c r="H95" s="1" t="str">
        <f t="shared" si="15"/>
        <v>HL</v>
      </c>
      <c r="I95" s="176">
        <f t="shared" si="21"/>
        <v>788.4000000000001</v>
      </c>
      <c r="J95" s="11">
        <f>(VLOOKUP($H95,'Standard Estimate Uncertainty '!$B$10:$D$18,2)*$I95)+$I95</f>
        <v>748.9800000000001</v>
      </c>
      <c r="K95" s="11">
        <f>(VLOOKUP($H95,'Standard Estimate Uncertainty '!$B$10:$D$18,3)*$I95)+$I95</f>
        <v>867.2400000000001</v>
      </c>
      <c r="L95" s="168">
        <f t="shared" si="22"/>
        <v>78.84000000000003</v>
      </c>
      <c r="M95" s="168">
        <f t="shared" si="23"/>
        <v>86.60108712938518</v>
      </c>
      <c r="N95" s="207">
        <f t="shared" si="24"/>
        <v>0.10984409833762705</v>
      </c>
      <c r="O95" s="42">
        <v>84.18</v>
      </c>
      <c r="P95" s="42">
        <v>199.92</v>
      </c>
      <c r="Q95" s="42">
        <v>210.95</v>
      </c>
      <c r="R95" s="42">
        <v>219.02</v>
      </c>
      <c r="S95" s="42">
        <v>74.33</v>
      </c>
      <c r="T95" s="48"/>
      <c r="U95" s="9">
        <f t="shared" si="16"/>
        <v>0.10677321156773212</v>
      </c>
      <c r="V95" s="9">
        <f t="shared" si="17"/>
        <v>0.2535768645357686</v>
      </c>
      <c r="W95" s="9">
        <f t="shared" si="18"/>
        <v>0.2675672247590055</v>
      </c>
      <c r="X95" s="9">
        <f t="shared" si="19"/>
        <v>0.27780314561136477</v>
      </c>
      <c r="Y95" s="9">
        <f t="shared" si="20"/>
        <v>0.09427955352612885</v>
      </c>
    </row>
    <row r="96" spans="1:25" ht="18.75">
      <c r="A96">
        <v>21</v>
      </c>
      <c r="B96" s="17" t="s">
        <v>355</v>
      </c>
      <c r="C96" s="17" t="s">
        <v>232</v>
      </c>
      <c r="D96" s="7" t="s">
        <v>355</v>
      </c>
      <c r="E96" s="7" t="s">
        <v>232</v>
      </c>
      <c r="F96" s="34" t="s">
        <v>201</v>
      </c>
      <c r="G96" s="34" t="s">
        <v>201</v>
      </c>
      <c r="H96" s="1" t="str">
        <f t="shared" si="15"/>
        <v>LL</v>
      </c>
      <c r="I96" s="176">
        <f t="shared" si="21"/>
        <v>68.48</v>
      </c>
      <c r="J96" s="11">
        <f>(VLOOKUP($H96,'Standard Estimate Uncertainty '!$B$10:$D$18,2)*$I96)+$I96</f>
        <v>58.208000000000006</v>
      </c>
      <c r="K96" s="11">
        <f>(VLOOKUP($H96,'Standard Estimate Uncertainty '!$B$10:$D$18,3)*$I96)+$I96</f>
        <v>85.60000000000001</v>
      </c>
      <c r="L96" s="168">
        <f t="shared" si="22"/>
        <v>17.120000000000005</v>
      </c>
      <c r="M96" s="168">
        <f t="shared" si="23"/>
        <v>18.805309635401752</v>
      </c>
      <c r="N96" s="207">
        <f t="shared" si="24"/>
        <v>0.2746102458440676</v>
      </c>
      <c r="O96" s="42"/>
      <c r="P96" s="42"/>
      <c r="Q96" s="42">
        <v>12.55</v>
      </c>
      <c r="R96" s="42">
        <v>55.93</v>
      </c>
      <c r="S96" s="42"/>
      <c r="T96" s="48"/>
      <c r="U96" s="9">
        <f t="shared" si="16"/>
        <v>0</v>
      </c>
      <c r="V96" s="9">
        <f t="shared" si="17"/>
        <v>0</v>
      </c>
      <c r="W96" s="9">
        <f t="shared" si="18"/>
        <v>0.18326518691588786</v>
      </c>
      <c r="X96" s="9">
        <f t="shared" si="19"/>
        <v>0.8167348130841121</v>
      </c>
      <c r="Y96" s="9">
        <f t="shared" si="20"/>
        <v>0</v>
      </c>
    </row>
    <row r="97" spans="1:25" ht="18.75">
      <c r="A97">
        <v>22</v>
      </c>
      <c r="B97" s="17" t="s">
        <v>356</v>
      </c>
      <c r="C97" s="17" t="s">
        <v>232</v>
      </c>
      <c r="D97" s="7" t="s">
        <v>356</v>
      </c>
      <c r="E97" s="7" t="s">
        <v>232</v>
      </c>
      <c r="F97" s="34" t="s">
        <v>188</v>
      </c>
      <c r="G97" s="34" t="s">
        <v>201</v>
      </c>
      <c r="H97" s="1" t="str">
        <f t="shared" si="15"/>
        <v>ML</v>
      </c>
      <c r="I97" s="176">
        <f t="shared" si="21"/>
        <v>172</v>
      </c>
      <c r="J97" s="11">
        <f>(VLOOKUP($H97,'Standard Estimate Uncertainty '!$B$10:$D$18,2)*$I97)+$I97</f>
        <v>154.8</v>
      </c>
      <c r="K97" s="11">
        <f>(VLOOKUP($H97,'Standard Estimate Uncertainty '!$B$10:$D$18,3)*$I97)+$I97</f>
        <v>197.8</v>
      </c>
      <c r="L97" s="168">
        <f t="shared" si="22"/>
        <v>25.80000000000001</v>
      </c>
      <c r="M97" s="168">
        <f t="shared" si="23"/>
        <v>28.339777371107786</v>
      </c>
      <c r="N97" s="207">
        <f t="shared" si="24"/>
        <v>0.1647661475064406</v>
      </c>
      <c r="O97" s="42"/>
      <c r="P97" s="42"/>
      <c r="Q97" s="42">
        <v>70</v>
      </c>
      <c r="R97" s="42">
        <v>102</v>
      </c>
      <c r="S97" s="42"/>
      <c r="T97" s="48"/>
      <c r="U97" s="9">
        <f t="shared" si="16"/>
        <v>0</v>
      </c>
      <c r="V97" s="9">
        <f t="shared" si="17"/>
        <v>0</v>
      </c>
      <c r="W97" s="9">
        <f t="shared" si="18"/>
        <v>0.4069767441860465</v>
      </c>
      <c r="X97" s="9">
        <f t="shared" si="19"/>
        <v>0.5930232558139535</v>
      </c>
      <c r="Y97" s="9">
        <f t="shared" si="20"/>
        <v>0</v>
      </c>
    </row>
    <row r="98" spans="1:25" ht="18.75">
      <c r="A98">
        <v>31</v>
      </c>
      <c r="B98" s="17" t="s">
        <v>357</v>
      </c>
      <c r="C98" s="17" t="s">
        <v>235</v>
      </c>
      <c r="D98" s="7" t="s">
        <v>357</v>
      </c>
      <c r="E98" s="7" t="s">
        <v>235</v>
      </c>
      <c r="F98" s="34" t="s">
        <v>187</v>
      </c>
      <c r="G98" s="34" t="s">
        <v>201</v>
      </c>
      <c r="H98" s="1" t="str">
        <f t="shared" si="15"/>
        <v>HL</v>
      </c>
      <c r="I98" s="176">
        <f t="shared" si="21"/>
        <v>97.61000000000001</v>
      </c>
      <c r="J98" s="11">
        <f>(VLOOKUP($H98,'Standard Estimate Uncertainty '!$B$10:$D$18,2)*$I98)+$I98</f>
        <v>92.72950000000002</v>
      </c>
      <c r="K98" s="11">
        <f>(VLOOKUP($H98,'Standard Estimate Uncertainty '!$B$10:$D$18,3)*$I98)+$I98</f>
        <v>107.37100000000001</v>
      </c>
      <c r="L98" s="168">
        <f t="shared" si="22"/>
        <v>9.760999999999996</v>
      </c>
      <c r="M98" s="168">
        <f t="shared" si="23"/>
        <v>10.721882438735769</v>
      </c>
      <c r="N98" s="207">
        <f t="shared" si="24"/>
        <v>0.10984409833762696</v>
      </c>
      <c r="O98" s="42">
        <v>77.43</v>
      </c>
      <c r="P98" s="42">
        <v>20.18</v>
      </c>
      <c r="Q98" s="42"/>
      <c r="R98" s="42"/>
      <c r="S98" s="40"/>
      <c r="T98" s="48"/>
      <c r="U98" s="9">
        <f t="shared" si="16"/>
        <v>0.7932588874090769</v>
      </c>
      <c r="V98" s="9">
        <f t="shared" si="17"/>
        <v>0.20674111259092304</v>
      </c>
      <c r="W98" s="9">
        <f t="shared" si="18"/>
        <v>0</v>
      </c>
      <c r="X98" s="9">
        <f t="shared" si="19"/>
        <v>0</v>
      </c>
      <c r="Y98" s="9">
        <f t="shared" si="20"/>
        <v>0</v>
      </c>
    </row>
    <row r="99" spans="2:25" ht="18.75">
      <c r="B99" s="17" t="s">
        <v>357</v>
      </c>
      <c r="C99" s="17" t="s">
        <v>236</v>
      </c>
      <c r="D99" s="7" t="s">
        <v>357</v>
      </c>
      <c r="E99" s="7" t="s">
        <v>236</v>
      </c>
      <c r="F99" s="34" t="s">
        <v>187</v>
      </c>
      <c r="G99" s="34" t="s">
        <v>201</v>
      </c>
      <c r="H99" s="1" t="str">
        <f t="shared" si="15"/>
        <v>HL</v>
      </c>
      <c r="I99" s="176">
        <f t="shared" si="21"/>
        <v>74.54</v>
      </c>
      <c r="J99" s="11">
        <f>(VLOOKUP($H99,'Standard Estimate Uncertainty '!$B$10:$D$18,2)*$I99)+$I99</f>
        <v>70.813</v>
      </c>
      <c r="K99" s="11">
        <f>(VLOOKUP($H99,'Standard Estimate Uncertainty '!$B$10:$D$18,3)*$I99)+$I99</f>
        <v>81.994</v>
      </c>
      <c r="L99" s="168">
        <f t="shared" si="22"/>
        <v>7.4539999999999935</v>
      </c>
      <c r="M99" s="168">
        <f t="shared" si="23"/>
        <v>8.187779090086712</v>
      </c>
      <c r="N99" s="207">
        <f t="shared" si="24"/>
        <v>0.10984409833762693</v>
      </c>
      <c r="O99" s="42">
        <v>5.84</v>
      </c>
      <c r="P99" s="42">
        <v>68.7</v>
      </c>
      <c r="Q99" s="42"/>
      <c r="R99" s="42"/>
      <c r="S99" s="40"/>
      <c r="T99" s="48"/>
      <c r="U99" s="9">
        <f t="shared" si="16"/>
        <v>0.07834719613630264</v>
      </c>
      <c r="V99" s="9">
        <f t="shared" si="17"/>
        <v>0.9216528038636973</v>
      </c>
      <c r="W99" s="9">
        <f t="shared" si="18"/>
        <v>0</v>
      </c>
      <c r="X99" s="9">
        <f t="shared" si="19"/>
        <v>0</v>
      </c>
      <c r="Y99" s="9">
        <f t="shared" si="20"/>
        <v>0</v>
      </c>
    </row>
    <row r="100" spans="2:25" ht="18.75">
      <c r="B100" s="17" t="s">
        <v>357</v>
      </c>
      <c r="C100" s="17" t="s">
        <v>233</v>
      </c>
      <c r="D100" s="7" t="s">
        <v>357</v>
      </c>
      <c r="E100" s="7" t="s">
        <v>233</v>
      </c>
      <c r="F100" s="34" t="s">
        <v>187</v>
      </c>
      <c r="G100" s="34" t="s">
        <v>201</v>
      </c>
      <c r="H100" s="1" t="str">
        <f t="shared" si="15"/>
        <v>HL</v>
      </c>
      <c r="I100" s="176">
        <f t="shared" si="21"/>
        <v>47.38</v>
      </c>
      <c r="J100" s="11">
        <f>(VLOOKUP($H100,'Standard Estimate Uncertainty '!$B$10:$D$18,2)*$I100)+$I100</f>
        <v>45.011</v>
      </c>
      <c r="K100" s="11">
        <f>(VLOOKUP($H100,'Standard Estimate Uncertainty '!$B$10:$D$18,3)*$I100)+$I100</f>
        <v>52.118</v>
      </c>
      <c r="L100" s="168">
        <f t="shared" si="22"/>
        <v>4.7379999999999995</v>
      </c>
      <c r="M100" s="168">
        <f t="shared" si="23"/>
        <v>5.204413379236767</v>
      </c>
      <c r="N100" s="207">
        <f t="shared" si="24"/>
        <v>0.10984409833762698</v>
      </c>
      <c r="O100" s="42">
        <v>43.49</v>
      </c>
      <c r="P100" s="42">
        <v>3.89</v>
      </c>
      <c r="Q100" s="42"/>
      <c r="R100" s="42"/>
      <c r="S100" s="40"/>
      <c r="T100" s="48"/>
      <c r="U100" s="9">
        <f t="shared" si="16"/>
        <v>0.9178978471929083</v>
      </c>
      <c r="V100" s="9">
        <f t="shared" si="17"/>
        <v>0.0821021528070916</v>
      </c>
      <c r="W100" s="9">
        <f t="shared" si="18"/>
        <v>0</v>
      </c>
      <c r="X100" s="9">
        <f t="shared" si="19"/>
        <v>0</v>
      </c>
      <c r="Y100" s="9">
        <f t="shared" si="20"/>
        <v>0</v>
      </c>
    </row>
    <row r="101" spans="2:25" ht="18.75">
      <c r="B101" s="17" t="s">
        <v>357</v>
      </c>
      <c r="C101" s="17" t="s">
        <v>234</v>
      </c>
      <c r="D101" s="7" t="s">
        <v>357</v>
      </c>
      <c r="E101" s="7" t="s">
        <v>234</v>
      </c>
      <c r="F101" s="34" t="s">
        <v>187</v>
      </c>
      <c r="G101" s="34" t="s">
        <v>201</v>
      </c>
      <c r="H101" s="1" t="str">
        <f t="shared" si="15"/>
        <v>HL</v>
      </c>
      <c r="I101" s="176">
        <f t="shared" si="21"/>
        <v>56.79</v>
      </c>
      <c r="J101" s="11">
        <f>(VLOOKUP($H101,'Standard Estimate Uncertainty '!$B$10:$D$18,2)*$I101)+$I101</f>
        <v>53.9505</v>
      </c>
      <c r="K101" s="11">
        <f>(VLOOKUP($H101,'Standard Estimate Uncertainty '!$B$10:$D$18,3)*$I101)+$I101</f>
        <v>62.469</v>
      </c>
      <c r="L101" s="168">
        <f t="shared" si="22"/>
        <v>5.679000000000002</v>
      </c>
      <c r="M101" s="168">
        <f t="shared" si="23"/>
        <v>6.23804634459384</v>
      </c>
      <c r="N101" s="207">
        <f t="shared" si="24"/>
        <v>0.10984409833762705</v>
      </c>
      <c r="O101" s="42">
        <v>56.79</v>
      </c>
      <c r="P101" s="42"/>
      <c r="Q101" s="42"/>
      <c r="R101" s="42"/>
      <c r="S101" s="40"/>
      <c r="T101" s="48"/>
      <c r="U101" s="9">
        <f t="shared" si="16"/>
        <v>1</v>
      </c>
      <c r="V101" s="9">
        <f t="shared" si="17"/>
        <v>0</v>
      </c>
      <c r="W101" s="9">
        <f t="shared" si="18"/>
        <v>0</v>
      </c>
      <c r="X101" s="9">
        <f t="shared" si="19"/>
        <v>0</v>
      </c>
      <c r="Y101" s="9">
        <f t="shared" si="20"/>
        <v>0</v>
      </c>
    </row>
    <row r="102" spans="2:25" ht="18.75">
      <c r="B102" s="17" t="s">
        <v>357</v>
      </c>
      <c r="C102" s="17" t="s">
        <v>358</v>
      </c>
      <c r="D102" s="7" t="s">
        <v>357</v>
      </c>
      <c r="E102" s="7" t="s">
        <v>358</v>
      </c>
      <c r="F102" s="34" t="s">
        <v>187</v>
      </c>
      <c r="G102" s="34" t="s">
        <v>201</v>
      </c>
      <c r="H102" s="1" t="str">
        <f t="shared" si="15"/>
        <v>HL</v>
      </c>
      <c r="I102" s="176">
        <f t="shared" si="21"/>
        <v>14.29</v>
      </c>
      <c r="J102" s="11">
        <f>(VLOOKUP($H102,'Standard Estimate Uncertainty '!$B$10:$D$18,2)*$I102)+$I102</f>
        <v>13.5755</v>
      </c>
      <c r="K102" s="11">
        <f>(VLOOKUP($H102,'Standard Estimate Uncertainty '!$B$10:$D$18,3)*$I102)+$I102</f>
        <v>15.719</v>
      </c>
      <c r="L102" s="168">
        <f t="shared" si="22"/>
        <v>1.4290000000000003</v>
      </c>
      <c r="M102" s="168">
        <f t="shared" si="23"/>
        <v>1.5696721652446903</v>
      </c>
      <c r="N102" s="207">
        <f t="shared" si="24"/>
        <v>0.10984409833762704</v>
      </c>
      <c r="O102" s="42"/>
      <c r="P102" s="42">
        <v>14.29</v>
      </c>
      <c r="Q102" s="42"/>
      <c r="R102" s="42"/>
      <c r="S102" s="40"/>
      <c r="T102" s="48"/>
      <c r="U102" s="9">
        <f t="shared" si="16"/>
        <v>0</v>
      </c>
      <c r="V102" s="9">
        <f t="shared" si="17"/>
        <v>1</v>
      </c>
      <c r="W102" s="9">
        <f t="shared" si="18"/>
        <v>0</v>
      </c>
      <c r="X102" s="9">
        <f t="shared" si="19"/>
        <v>0</v>
      </c>
      <c r="Y102" s="9">
        <f t="shared" si="20"/>
        <v>0</v>
      </c>
    </row>
    <row r="103" spans="1:25" ht="18.75">
      <c r="A103">
        <v>36</v>
      </c>
      <c r="B103" s="17" t="s">
        <v>359</v>
      </c>
      <c r="C103" s="17" t="s">
        <v>232</v>
      </c>
      <c r="D103" s="7" t="s">
        <v>359</v>
      </c>
      <c r="E103" s="7" t="s">
        <v>232</v>
      </c>
      <c r="F103" s="34" t="s">
        <v>187</v>
      </c>
      <c r="G103" s="34" t="s">
        <v>201</v>
      </c>
      <c r="H103" s="1" t="str">
        <f t="shared" si="15"/>
        <v>HL</v>
      </c>
      <c r="I103" s="176">
        <f t="shared" si="21"/>
        <v>30.9</v>
      </c>
      <c r="J103" s="11">
        <f>(VLOOKUP($H103,'Standard Estimate Uncertainty '!$B$10:$D$18,2)*$I103)+$I103</f>
        <v>29.354999999999997</v>
      </c>
      <c r="K103" s="11">
        <f>(VLOOKUP($H103,'Standard Estimate Uncertainty '!$B$10:$D$18,3)*$I103)+$I103</f>
        <v>33.989999999999995</v>
      </c>
      <c r="L103" s="168">
        <f t="shared" si="22"/>
        <v>3.0899999999999963</v>
      </c>
      <c r="M103" s="168">
        <f t="shared" si="23"/>
        <v>3.394182638632671</v>
      </c>
      <c r="N103" s="207">
        <f t="shared" si="24"/>
        <v>0.1098440983376269</v>
      </c>
      <c r="O103" s="42"/>
      <c r="P103" s="42"/>
      <c r="Q103" s="42"/>
      <c r="R103" s="42">
        <v>30.9</v>
      </c>
      <c r="S103" s="40"/>
      <c r="T103" s="48"/>
      <c r="U103" s="9">
        <f t="shared" si="16"/>
        <v>0</v>
      </c>
      <c r="V103" s="9">
        <f t="shared" si="17"/>
        <v>0</v>
      </c>
      <c r="W103" s="9">
        <f t="shared" si="18"/>
        <v>0</v>
      </c>
      <c r="X103" s="9">
        <f t="shared" si="19"/>
        <v>1</v>
      </c>
      <c r="Y103" s="9">
        <f t="shared" si="20"/>
        <v>0</v>
      </c>
    </row>
    <row r="104" spans="1:25" ht="18.75">
      <c r="A104">
        <v>38</v>
      </c>
      <c r="B104" s="17" t="s">
        <v>360</v>
      </c>
      <c r="C104" s="17" t="s">
        <v>232</v>
      </c>
      <c r="D104" s="7" t="s">
        <v>360</v>
      </c>
      <c r="E104" s="7" t="s">
        <v>232</v>
      </c>
      <c r="F104" s="34" t="s">
        <v>188</v>
      </c>
      <c r="G104" s="34" t="s">
        <v>188</v>
      </c>
      <c r="H104" s="1" t="str">
        <f t="shared" si="15"/>
        <v>MM</v>
      </c>
      <c r="I104" s="176">
        <f t="shared" si="21"/>
        <v>262.97</v>
      </c>
      <c r="J104" s="11">
        <f>(VLOOKUP($H104,'Standard Estimate Uncertainty '!$B$10:$D$18,2)*$I104)+$I104</f>
        <v>223.52450000000002</v>
      </c>
      <c r="K104" s="11">
        <f>(VLOOKUP($H104,'Standard Estimate Uncertainty '!$B$10:$D$18,3)*$I104)+$I104</f>
        <v>328.71250000000003</v>
      </c>
      <c r="L104" s="168">
        <f t="shared" si="22"/>
        <v>65.7425</v>
      </c>
      <c r="M104" s="168">
        <f t="shared" si="23"/>
        <v>72.21425634961446</v>
      </c>
      <c r="N104" s="207">
        <f t="shared" si="24"/>
        <v>0.27461024584406757</v>
      </c>
      <c r="O104" s="42"/>
      <c r="P104" s="42"/>
      <c r="Q104" s="42">
        <v>101.31</v>
      </c>
      <c r="R104" s="42">
        <v>161.66</v>
      </c>
      <c r="S104" s="40"/>
      <c r="T104" s="48"/>
      <c r="U104" s="9">
        <f t="shared" si="16"/>
        <v>0</v>
      </c>
      <c r="V104" s="9">
        <f t="shared" si="17"/>
        <v>0</v>
      </c>
      <c r="W104" s="9">
        <f t="shared" si="18"/>
        <v>0.3852530706924744</v>
      </c>
      <c r="X104" s="9">
        <f t="shared" si="19"/>
        <v>0.6147469293075255</v>
      </c>
      <c r="Y104" s="9">
        <f t="shared" si="20"/>
        <v>0</v>
      </c>
    </row>
    <row r="105" spans="1:25" ht="18.75">
      <c r="A105">
        <v>39</v>
      </c>
      <c r="B105" s="17" t="s">
        <v>361</v>
      </c>
      <c r="C105" s="17" t="s">
        <v>232</v>
      </c>
      <c r="D105" s="7" t="s">
        <v>361</v>
      </c>
      <c r="E105" s="7" t="s">
        <v>232</v>
      </c>
      <c r="F105" s="34" t="s">
        <v>187</v>
      </c>
      <c r="G105" s="34" t="s">
        <v>201</v>
      </c>
      <c r="H105" s="1" t="str">
        <f t="shared" si="15"/>
        <v>HL</v>
      </c>
      <c r="I105" s="176">
        <f t="shared" si="21"/>
        <v>132.71</v>
      </c>
      <c r="J105" s="11">
        <f>(VLOOKUP($H105,'Standard Estimate Uncertainty '!$B$10:$D$18,2)*$I105)+$I105</f>
        <v>126.0745</v>
      </c>
      <c r="K105" s="11">
        <f>(VLOOKUP($H105,'Standard Estimate Uncertainty '!$B$10:$D$18,3)*$I105)+$I105</f>
        <v>145.981</v>
      </c>
      <c r="L105" s="168">
        <f t="shared" si="22"/>
        <v>13.270999999999987</v>
      </c>
      <c r="M105" s="168">
        <f t="shared" si="23"/>
        <v>14.577410290386467</v>
      </c>
      <c r="N105" s="207">
        <f t="shared" si="24"/>
        <v>0.1098440983376269</v>
      </c>
      <c r="O105" s="42">
        <v>11.36</v>
      </c>
      <c r="P105" s="42">
        <v>29.23</v>
      </c>
      <c r="Q105" s="42">
        <v>30.08</v>
      </c>
      <c r="R105" s="42">
        <v>62.04</v>
      </c>
      <c r="S105" s="40"/>
      <c r="T105" s="48"/>
      <c r="U105" s="9">
        <f t="shared" si="16"/>
        <v>0.08560018084545248</v>
      </c>
      <c r="V105" s="9">
        <f t="shared" si="17"/>
        <v>0.22025469067892395</v>
      </c>
      <c r="W105" s="9">
        <f t="shared" si="18"/>
        <v>0.22665963378795867</v>
      </c>
      <c r="X105" s="9">
        <f t="shared" si="19"/>
        <v>0.4674854946876648</v>
      </c>
      <c r="Y105" s="9">
        <f t="shared" si="20"/>
        <v>0</v>
      </c>
    </row>
    <row r="106" spans="1:25" ht="18.75">
      <c r="A106">
        <v>41</v>
      </c>
      <c r="B106" s="17" t="s">
        <v>362</v>
      </c>
      <c r="C106" s="17" t="s">
        <v>232</v>
      </c>
      <c r="D106" s="7" t="s">
        <v>362</v>
      </c>
      <c r="E106" s="7" t="s">
        <v>232</v>
      </c>
      <c r="F106" s="184" t="s">
        <v>392</v>
      </c>
      <c r="G106" s="185"/>
      <c r="H106" s="1" t="str">
        <f t="shared" si="15"/>
        <v>FROZEN</v>
      </c>
      <c r="I106" s="176">
        <f t="shared" si="21"/>
        <v>-104.1</v>
      </c>
      <c r="J106" s="11">
        <f>I106</f>
        <v>-104.1</v>
      </c>
      <c r="K106" s="11">
        <f>I106</f>
        <v>-104.1</v>
      </c>
      <c r="L106" s="168">
        <f t="shared" si="22"/>
        <v>0</v>
      </c>
      <c r="M106" s="168">
        <f t="shared" si="23"/>
        <v>0</v>
      </c>
      <c r="N106" s="207">
        <f t="shared" si="24"/>
        <v>0</v>
      </c>
      <c r="O106" s="42">
        <v>-104.1</v>
      </c>
      <c r="P106" s="42"/>
      <c r="Q106" s="42"/>
      <c r="R106" s="42"/>
      <c r="S106" s="40"/>
      <c r="T106" s="48"/>
      <c r="U106" s="9">
        <f t="shared" si="16"/>
        <v>1</v>
      </c>
      <c r="V106" s="9">
        <f t="shared" si="17"/>
        <v>0</v>
      </c>
      <c r="W106" s="9">
        <f t="shared" si="18"/>
        <v>0</v>
      </c>
      <c r="X106" s="9">
        <f t="shared" si="19"/>
        <v>0</v>
      </c>
      <c r="Y106" s="9">
        <f t="shared" si="20"/>
        <v>0</v>
      </c>
    </row>
    <row r="107" spans="2:25" ht="18.75">
      <c r="B107" s="17" t="s">
        <v>362</v>
      </c>
      <c r="C107" s="17" t="s">
        <v>237</v>
      </c>
      <c r="D107" s="7" t="s">
        <v>362</v>
      </c>
      <c r="E107" s="7" t="s">
        <v>237</v>
      </c>
      <c r="F107" s="34" t="s">
        <v>187</v>
      </c>
      <c r="G107" s="34" t="s">
        <v>201</v>
      </c>
      <c r="H107" s="1" t="str">
        <f t="shared" si="15"/>
        <v>HL</v>
      </c>
      <c r="I107" s="176">
        <f t="shared" si="21"/>
        <v>123.69</v>
      </c>
      <c r="J107" s="11">
        <f>(VLOOKUP($H107,'Standard Estimate Uncertainty '!$B$10:$D$18,2)*$I107)+$I107</f>
        <v>117.5055</v>
      </c>
      <c r="K107" s="11">
        <f>(VLOOKUP($H107,'Standard Estimate Uncertainty '!$B$10:$D$18,3)*$I107)+$I107</f>
        <v>136.059</v>
      </c>
      <c r="L107" s="168">
        <f t="shared" si="22"/>
        <v>12.369</v>
      </c>
      <c r="M107" s="168">
        <f t="shared" si="23"/>
        <v>13.586616523381085</v>
      </c>
      <c r="N107" s="207">
        <f t="shared" si="24"/>
        <v>0.10984409833762701</v>
      </c>
      <c r="O107" s="42"/>
      <c r="P107" s="42"/>
      <c r="Q107" s="42">
        <v>49.62</v>
      </c>
      <c r="R107" s="42">
        <v>74.07</v>
      </c>
      <c r="S107" s="40"/>
      <c r="T107" s="48"/>
      <c r="U107" s="9">
        <f t="shared" si="16"/>
        <v>0</v>
      </c>
      <c r="V107" s="9">
        <f t="shared" si="17"/>
        <v>0</v>
      </c>
      <c r="W107" s="9">
        <f t="shared" si="18"/>
        <v>0.4011642008246422</v>
      </c>
      <c r="X107" s="9">
        <f t="shared" si="19"/>
        <v>0.5988357991753577</v>
      </c>
      <c r="Y107" s="9">
        <f t="shared" si="20"/>
        <v>0</v>
      </c>
    </row>
    <row r="108" spans="2:25" ht="18.75">
      <c r="B108" s="17" t="s">
        <v>362</v>
      </c>
      <c r="C108" s="17" t="s">
        <v>238</v>
      </c>
      <c r="D108" s="7" t="s">
        <v>362</v>
      </c>
      <c r="E108" s="7" t="s">
        <v>238</v>
      </c>
      <c r="F108" s="34" t="s">
        <v>187</v>
      </c>
      <c r="G108" s="34" t="s">
        <v>201</v>
      </c>
      <c r="H108" s="1" t="str">
        <f t="shared" si="15"/>
        <v>HL</v>
      </c>
      <c r="I108" s="176">
        <f t="shared" si="21"/>
        <v>34.87</v>
      </c>
      <c r="J108" s="11">
        <f>(VLOOKUP($H108,'Standard Estimate Uncertainty '!$B$10:$D$18,2)*$I108)+$I108</f>
        <v>33.1265</v>
      </c>
      <c r="K108" s="11">
        <f>(VLOOKUP($H108,'Standard Estimate Uncertainty '!$B$10:$D$18,3)*$I108)+$I108</f>
        <v>38.357</v>
      </c>
      <c r="L108" s="168">
        <f t="shared" si="22"/>
        <v>3.487000000000002</v>
      </c>
      <c r="M108" s="168">
        <f t="shared" si="23"/>
        <v>3.8302637090330562</v>
      </c>
      <c r="N108" s="207">
        <f t="shared" si="24"/>
        <v>0.10984409833762708</v>
      </c>
      <c r="O108" s="42"/>
      <c r="P108" s="42"/>
      <c r="Q108" s="42">
        <v>7.17</v>
      </c>
      <c r="R108" s="42">
        <v>27.7</v>
      </c>
      <c r="S108" s="40"/>
      <c r="T108" s="48"/>
      <c r="U108" s="9">
        <f t="shared" si="16"/>
        <v>0</v>
      </c>
      <c r="V108" s="9">
        <f t="shared" si="17"/>
        <v>0</v>
      </c>
      <c r="W108" s="9">
        <f t="shared" si="18"/>
        <v>0.20562087754516778</v>
      </c>
      <c r="X108" s="9">
        <f t="shared" si="19"/>
        <v>0.7943791224548322</v>
      </c>
      <c r="Y108" s="9">
        <f t="shared" si="20"/>
        <v>0</v>
      </c>
    </row>
    <row r="109" spans="2:25" ht="18.75">
      <c r="B109" s="17" t="s">
        <v>363</v>
      </c>
      <c r="C109" s="17" t="s">
        <v>239</v>
      </c>
      <c r="D109" s="7" t="s">
        <v>363</v>
      </c>
      <c r="E109" s="7" t="s">
        <v>239</v>
      </c>
      <c r="F109" s="34" t="s">
        <v>187</v>
      </c>
      <c r="G109" s="34" t="s">
        <v>201</v>
      </c>
      <c r="H109" s="1" t="str">
        <f t="shared" si="15"/>
        <v>HL</v>
      </c>
      <c r="I109" s="176">
        <f t="shared" si="21"/>
        <v>602.83</v>
      </c>
      <c r="J109" s="11">
        <f>(VLOOKUP($H109,'Standard Estimate Uncertainty '!$B$10:$D$18,2)*$I109)+$I109</f>
        <v>572.6885000000001</v>
      </c>
      <c r="K109" s="11">
        <f>(VLOOKUP($H109,'Standard Estimate Uncertainty '!$B$10:$D$18,3)*$I109)+$I109</f>
        <v>663.113</v>
      </c>
      <c r="L109" s="168">
        <f t="shared" si="22"/>
        <v>60.283000000000015</v>
      </c>
      <c r="M109" s="168">
        <f t="shared" si="23"/>
        <v>66.21731780087171</v>
      </c>
      <c r="N109" s="207">
        <f t="shared" si="24"/>
        <v>0.10984409833762704</v>
      </c>
      <c r="O109" s="42"/>
      <c r="P109" s="42">
        <v>10.99</v>
      </c>
      <c r="Q109" s="42">
        <v>273.79</v>
      </c>
      <c r="R109" s="42">
        <v>318.05</v>
      </c>
      <c r="S109" s="40"/>
      <c r="T109" s="48"/>
      <c r="U109" s="9">
        <f t="shared" si="16"/>
        <v>0</v>
      </c>
      <c r="V109" s="9">
        <f t="shared" si="17"/>
        <v>0.018230678632450276</v>
      </c>
      <c r="W109" s="9">
        <f t="shared" si="18"/>
        <v>0.4541744770499146</v>
      </c>
      <c r="X109" s="9">
        <f t="shared" si="19"/>
        <v>0.5275948443176351</v>
      </c>
      <c r="Y109" s="9">
        <f t="shared" si="20"/>
        <v>0</v>
      </c>
    </row>
    <row r="110" spans="1:25" ht="18.75">
      <c r="A110">
        <v>44</v>
      </c>
      <c r="B110" s="17" t="s">
        <v>364</v>
      </c>
      <c r="C110" s="17" t="s">
        <v>240</v>
      </c>
      <c r="D110" s="7" t="s">
        <v>364</v>
      </c>
      <c r="E110" s="7" t="s">
        <v>240</v>
      </c>
      <c r="F110" s="34" t="s">
        <v>188</v>
      </c>
      <c r="G110" s="34" t="s">
        <v>201</v>
      </c>
      <c r="H110" s="1" t="str">
        <f t="shared" si="15"/>
        <v>ML</v>
      </c>
      <c r="I110" s="176">
        <f t="shared" si="21"/>
        <v>481.68000000000006</v>
      </c>
      <c r="J110" s="11">
        <f>(VLOOKUP($H110,'Standard Estimate Uncertainty '!$B$10:$D$18,2)*$I110)+$I110</f>
        <v>433.51200000000006</v>
      </c>
      <c r="K110" s="11">
        <f>(VLOOKUP($H110,'Standard Estimate Uncertainty '!$B$10:$D$18,3)*$I110)+$I110</f>
        <v>553.932</v>
      </c>
      <c r="L110" s="168">
        <f t="shared" si="22"/>
        <v>72.25199999999995</v>
      </c>
      <c r="M110" s="168">
        <f t="shared" si="23"/>
        <v>79.36455793090222</v>
      </c>
      <c r="N110" s="207">
        <f t="shared" si="24"/>
        <v>0.1647661475064404</v>
      </c>
      <c r="O110" s="42"/>
      <c r="P110" s="42"/>
      <c r="Q110" s="42">
        <v>190.27</v>
      </c>
      <c r="R110" s="42">
        <v>291.41</v>
      </c>
      <c r="S110" s="40"/>
      <c r="T110" s="48"/>
      <c r="U110" s="9">
        <f t="shared" si="16"/>
        <v>0</v>
      </c>
      <c r="V110" s="9">
        <f t="shared" si="17"/>
        <v>0</v>
      </c>
      <c r="W110" s="9">
        <f t="shared" si="18"/>
        <v>0.3950132868294303</v>
      </c>
      <c r="X110" s="9">
        <f t="shared" si="19"/>
        <v>0.6049867131705696</v>
      </c>
      <c r="Y110" s="9">
        <f t="shared" si="20"/>
        <v>0</v>
      </c>
    </row>
    <row r="111" spans="2:25" ht="18.75">
      <c r="B111" s="17" t="s">
        <v>364</v>
      </c>
      <c r="C111" s="17" t="s">
        <v>241</v>
      </c>
      <c r="D111" s="7" t="s">
        <v>364</v>
      </c>
      <c r="E111" s="7" t="s">
        <v>241</v>
      </c>
      <c r="F111" s="34" t="s">
        <v>188</v>
      </c>
      <c r="G111" s="34" t="s">
        <v>201</v>
      </c>
      <c r="H111" s="1" t="str">
        <f t="shared" si="15"/>
        <v>ML</v>
      </c>
      <c r="I111" s="176">
        <f t="shared" si="21"/>
        <v>85.44</v>
      </c>
      <c r="J111" s="11">
        <f>(VLOOKUP($H111,'Standard Estimate Uncertainty '!$B$10:$D$18,2)*$I111)+$I111</f>
        <v>76.896</v>
      </c>
      <c r="K111" s="11">
        <f>(VLOOKUP($H111,'Standard Estimate Uncertainty '!$B$10:$D$18,3)*$I111)+$I111</f>
        <v>98.256</v>
      </c>
      <c r="L111" s="168">
        <f t="shared" si="22"/>
        <v>12.816000000000003</v>
      </c>
      <c r="M111" s="168">
        <f t="shared" si="23"/>
        <v>14.07761964295028</v>
      </c>
      <c r="N111" s="207">
        <f t="shared" si="24"/>
        <v>0.16476614750644056</v>
      </c>
      <c r="O111" s="42"/>
      <c r="P111" s="42"/>
      <c r="Q111" s="42"/>
      <c r="R111" s="42">
        <v>85.44</v>
      </c>
      <c r="S111" s="40"/>
      <c r="T111" s="48"/>
      <c r="U111" s="9">
        <f t="shared" si="16"/>
        <v>0</v>
      </c>
      <c r="V111" s="9">
        <f t="shared" si="17"/>
        <v>0</v>
      </c>
      <c r="W111" s="9">
        <f t="shared" si="18"/>
        <v>0</v>
      </c>
      <c r="X111" s="9">
        <f t="shared" si="19"/>
        <v>1</v>
      </c>
      <c r="Y111" s="9">
        <f t="shared" si="20"/>
        <v>0</v>
      </c>
    </row>
    <row r="112" spans="2:25" ht="18.75">
      <c r="B112" s="17" t="s">
        <v>364</v>
      </c>
      <c r="C112" s="17" t="s">
        <v>242</v>
      </c>
      <c r="D112" s="7" t="s">
        <v>364</v>
      </c>
      <c r="E112" s="7" t="s">
        <v>242</v>
      </c>
      <c r="F112" s="34" t="s">
        <v>188</v>
      </c>
      <c r="G112" s="34" t="s">
        <v>201</v>
      </c>
      <c r="H112" s="1" t="str">
        <f t="shared" si="15"/>
        <v>ML</v>
      </c>
      <c r="I112" s="176">
        <f t="shared" si="21"/>
        <v>14.77</v>
      </c>
      <c r="J112" s="11">
        <f>(VLOOKUP($H112,'Standard Estimate Uncertainty '!$B$10:$D$18,2)*$I112)+$I112</f>
        <v>13.293</v>
      </c>
      <c r="K112" s="11">
        <f>(VLOOKUP($H112,'Standard Estimate Uncertainty '!$B$10:$D$18,3)*$I112)+$I112</f>
        <v>16.9855</v>
      </c>
      <c r="L112" s="168">
        <f t="shared" si="22"/>
        <v>2.2154999999999987</v>
      </c>
      <c r="M112" s="168">
        <f t="shared" si="23"/>
        <v>2.433595998670125</v>
      </c>
      <c r="N112" s="207">
        <f t="shared" si="24"/>
        <v>0.16476614750644045</v>
      </c>
      <c r="O112" s="42"/>
      <c r="P112" s="42"/>
      <c r="Q112" s="42"/>
      <c r="R112" s="42">
        <v>14.77</v>
      </c>
      <c r="S112" s="40"/>
      <c r="T112" s="48"/>
      <c r="U112" s="9">
        <f t="shared" si="16"/>
        <v>0</v>
      </c>
      <c r="V112" s="9">
        <f t="shared" si="17"/>
        <v>0</v>
      </c>
      <c r="W112" s="9">
        <f t="shared" si="18"/>
        <v>0</v>
      </c>
      <c r="X112" s="9">
        <f t="shared" si="19"/>
        <v>1</v>
      </c>
      <c r="Y112" s="9">
        <f t="shared" si="20"/>
        <v>0</v>
      </c>
    </row>
    <row r="113" spans="2:25" ht="18.75">
      <c r="B113" s="17" t="s">
        <v>364</v>
      </c>
      <c r="C113" s="17" t="s">
        <v>243</v>
      </c>
      <c r="D113" s="7" t="s">
        <v>364</v>
      </c>
      <c r="E113" s="7" t="s">
        <v>243</v>
      </c>
      <c r="F113" s="34" t="s">
        <v>188</v>
      </c>
      <c r="G113" s="34" t="s">
        <v>201</v>
      </c>
      <c r="H113" s="1" t="str">
        <f t="shared" si="15"/>
        <v>ML</v>
      </c>
      <c r="I113" s="176">
        <f t="shared" si="21"/>
        <v>219.85</v>
      </c>
      <c r="J113" s="11">
        <f>(VLOOKUP($H113,'Standard Estimate Uncertainty '!$B$10:$D$18,2)*$I113)+$I113</f>
        <v>197.865</v>
      </c>
      <c r="K113" s="11">
        <f>(VLOOKUP($H113,'Standard Estimate Uncertainty '!$B$10:$D$18,3)*$I113)+$I113</f>
        <v>252.8275</v>
      </c>
      <c r="L113" s="168">
        <f t="shared" si="22"/>
        <v>32.97749999999999</v>
      </c>
      <c r="M113" s="168">
        <f t="shared" si="23"/>
        <v>36.22383752929094</v>
      </c>
      <c r="N113" s="207">
        <f t="shared" si="24"/>
        <v>0.16476614750644047</v>
      </c>
      <c r="O113" s="42"/>
      <c r="P113" s="42"/>
      <c r="Q113" s="42">
        <v>44.41</v>
      </c>
      <c r="R113" s="42">
        <v>175.44</v>
      </c>
      <c r="S113" s="40"/>
      <c r="T113" s="48"/>
      <c r="U113" s="9">
        <f t="shared" si="16"/>
        <v>0</v>
      </c>
      <c r="V113" s="9">
        <f t="shared" si="17"/>
        <v>0</v>
      </c>
      <c r="W113" s="9">
        <f t="shared" si="18"/>
        <v>0.20200136456675005</v>
      </c>
      <c r="X113" s="9">
        <f t="shared" si="19"/>
        <v>0.79799863543325</v>
      </c>
      <c r="Y113" s="9">
        <f t="shared" si="20"/>
        <v>0</v>
      </c>
    </row>
    <row r="114" spans="2:25" ht="18.75">
      <c r="B114" s="17" t="s">
        <v>364</v>
      </c>
      <c r="C114" s="17" t="s">
        <v>244</v>
      </c>
      <c r="D114" s="7" t="s">
        <v>364</v>
      </c>
      <c r="E114" s="7" t="s">
        <v>244</v>
      </c>
      <c r="F114" s="34" t="s">
        <v>188</v>
      </c>
      <c r="G114" s="34" t="s">
        <v>201</v>
      </c>
      <c r="H114" s="1" t="str">
        <f t="shared" si="15"/>
        <v>ML</v>
      </c>
      <c r="I114" s="176">
        <f t="shared" si="21"/>
        <v>282.55</v>
      </c>
      <c r="J114" s="11">
        <f>(VLOOKUP($H114,'Standard Estimate Uncertainty '!$B$10:$D$18,2)*$I114)+$I114</f>
        <v>254.29500000000002</v>
      </c>
      <c r="K114" s="11">
        <f>(VLOOKUP($H114,'Standard Estimate Uncertainty '!$B$10:$D$18,3)*$I114)+$I114</f>
        <v>324.9325</v>
      </c>
      <c r="L114" s="168">
        <f t="shared" si="22"/>
        <v>42.38249999999999</v>
      </c>
      <c r="M114" s="168">
        <f t="shared" si="23"/>
        <v>46.554674977944764</v>
      </c>
      <c r="N114" s="207">
        <f t="shared" si="24"/>
        <v>0.1647661475064405</v>
      </c>
      <c r="O114" s="42"/>
      <c r="P114" s="42"/>
      <c r="Q114" s="42">
        <v>79.43</v>
      </c>
      <c r="R114" s="42">
        <v>203.12</v>
      </c>
      <c r="S114" s="42"/>
      <c r="T114" s="48"/>
      <c r="U114" s="9">
        <f t="shared" si="16"/>
        <v>0</v>
      </c>
      <c r="V114" s="9">
        <f t="shared" si="17"/>
        <v>0</v>
      </c>
      <c r="W114" s="9">
        <f t="shared" si="18"/>
        <v>0.2811183861263493</v>
      </c>
      <c r="X114" s="9">
        <f t="shared" si="19"/>
        <v>0.7188816138736507</v>
      </c>
      <c r="Y114" s="9">
        <f t="shared" si="20"/>
        <v>0</v>
      </c>
    </row>
    <row r="115" spans="1:25" ht="18.75">
      <c r="A115">
        <v>45</v>
      </c>
      <c r="B115" s="17" t="s">
        <v>365</v>
      </c>
      <c r="C115" s="17" t="s">
        <v>245</v>
      </c>
      <c r="D115" s="7" t="s">
        <v>365</v>
      </c>
      <c r="E115" s="7" t="s">
        <v>245</v>
      </c>
      <c r="F115" s="34" t="s">
        <v>187</v>
      </c>
      <c r="G115" s="34" t="s">
        <v>201</v>
      </c>
      <c r="H115" s="1" t="str">
        <f t="shared" si="15"/>
        <v>HL</v>
      </c>
      <c r="I115" s="176">
        <f t="shared" si="21"/>
        <v>215.14</v>
      </c>
      <c r="J115" s="11">
        <f>(VLOOKUP($H115,'Standard Estimate Uncertainty '!$B$10:$D$18,2)*$I115)+$I115</f>
        <v>204.38299999999998</v>
      </c>
      <c r="K115" s="11">
        <f>(VLOOKUP($H115,'Standard Estimate Uncertainty '!$B$10:$D$18,3)*$I115)+$I115</f>
        <v>236.654</v>
      </c>
      <c r="L115" s="168">
        <f t="shared" si="22"/>
        <v>21.51400000000001</v>
      </c>
      <c r="M115" s="168">
        <f t="shared" si="23"/>
        <v>23.631859316357087</v>
      </c>
      <c r="N115" s="207">
        <f t="shared" si="24"/>
        <v>0.10984409833762707</v>
      </c>
      <c r="O115" s="42"/>
      <c r="P115" s="42"/>
      <c r="Q115" s="42">
        <v>214.75</v>
      </c>
      <c r="R115" s="42">
        <v>0.39</v>
      </c>
      <c r="S115" s="42"/>
      <c r="T115" s="48"/>
      <c r="U115" s="9">
        <f t="shared" si="16"/>
        <v>0</v>
      </c>
      <c r="V115" s="9">
        <f t="shared" si="17"/>
        <v>0</v>
      </c>
      <c r="W115" s="9">
        <f t="shared" si="18"/>
        <v>0.9981872269220043</v>
      </c>
      <c r="X115" s="9">
        <f t="shared" si="19"/>
        <v>0.001812773077995724</v>
      </c>
      <c r="Y115" s="9">
        <f t="shared" si="20"/>
        <v>0</v>
      </c>
    </row>
    <row r="116" spans="2:25" ht="18.75">
      <c r="B116" s="17" t="s">
        <v>365</v>
      </c>
      <c r="C116" s="17" t="s">
        <v>246</v>
      </c>
      <c r="D116" s="7" t="s">
        <v>365</v>
      </c>
      <c r="E116" s="7" t="s">
        <v>246</v>
      </c>
      <c r="F116" s="34" t="s">
        <v>187</v>
      </c>
      <c r="G116" s="34" t="s">
        <v>201</v>
      </c>
      <c r="H116" s="1" t="str">
        <f t="shared" si="15"/>
        <v>HL</v>
      </c>
      <c r="I116" s="176">
        <f t="shared" si="21"/>
        <v>199.07</v>
      </c>
      <c r="J116" s="11">
        <f>(VLOOKUP($H116,'Standard Estimate Uncertainty '!$B$10:$D$18,2)*$I116)+$I116</f>
        <v>189.1165</v>
      </c>
      <c r="K116" s="11">
        <f>(VLOOKUP($H116,'Standard Estimate Uncertainty '!$B$10:$D$18,3)*$I116)+$I116</f>
        <v>218.977</v>
      </c>
      <c r="L116" s="168">
        <f t="shared" si="22"/>
        <v>19.90700000000001</v>
      </c>
      <c r="M116" s="168">
        <f t="shared" si="23"/>
        <v>21.86666465607142</v>
      </c>
      <c r="N116" s="207">
        <f t="shared" si="24"/>
        <v>0.10984409833762708</v>
      </c>
      <c r="O116" s="42"/>
      <c r="P116" s="42"/>
      <c r="Q116" s="42">
        <v>105.37</v>
      </c>
      <c r="R116" s="42">
        <v>93.7</v>
      </c>
      <c r="S116" s="42"/>
      <c r="T116" s="48"/>
      <c r="U116" s="9">
        <f t="shared" si="16"/>
        <v>0</v>
      </c>
      <c r="V116" s="9">
        <f t="shared" si="17"/>
        <v>0</v>
      </c>
      <c r="W116" s="9">
        <f t="shared" si="18"/>
        <v>0.529311297533531</v>
      </c>
      <c r="X116" s="9">
        <f t="shared" si="19"/>
        <v>0.4706887024664691</v>
      </c>
      <c r="Y116" s="9">
        <f t="shared" si="20"/>
        <v>0</v>
      </c>
    </row>
    <row r="117" spans="2:25" ht="18.75">
      <c r="B117" s="17" t="s">
        <v>365</v>
      </c>
      <c r="C117" s="17" t="s">
        <v>247</v>
      </c>
      <c r="D117" s="7" t="s">
        <v>365</v>
      </c>
      <c r="E117" s="7" t="s">
        <v>247</v>
      </c>
      <c r="F117" s="34" t="s">
        <v>187</v>
      </c>
      <c r="G117" s="34" t="s">
        <v>201</v>
      </c>
      <c r="H117" s="1" t="str">
        <f t="shared" si="15"/>
        <v>HL</v>
      </c>
      <c r="I117" s="176">
        <f t="shared" si="21"/>
        <v>268.90000000000003</v>
      </c>
      <c r="J117" s="11">
        <f>(VLOOKUP($H117,'Standard Estimate Uncertainty '!$B$10:$D$18,2)*$I117)+$I117</f>
        <v>255.45500000000004</v>
      </c>
      <c r="K117" s="11">
        <f>(VLOOKUP($H117,'Standard Estimate Uncertainty '!$B$10:$D$18,3)*$I117)+$I117</f>
        <v>295.79</v>
      </c>
      <c r="L117" s="168">
        <f t="shared" si="22"/>
        <v>26.889999999999986</v>
      </c>
      <c r="M117" s="168">
        <f t="shared" si="23"/>
        <v>29.53707804298789</v>
      </c>
      <c r="N117" s="207">
        <f t="shared" si="24"/>
        <v>0.10984409833762694</v>
      </c>
      <c r="O117" s="42"/>
      <c r="P117" s="42"/>
      <c r="Q117" s="42">
        <v>35.47</v>
      </c>
      <c r="R117" s="42">
        <v>180.05</v>
      </c>
      <c r="S117" s="42">
        <v>53.38</v>
      </c>
      <c r="T117" s="48"/>
      <c r="U117" s="9">
        <f t="shared" si="16"/>
        <v>0</v>
      </c>
      <c r="V117" s="9">
        <f t="shared" si="17"/>
        <v>0</v>
      </c>
      <c r="W117" s="9">
        <f t="shared" si="18"/>
        <v>0.1319077724060989</v>
      </c>
      <c r="X117" s="9">
        <f t="shared" si="19"/>
        <v>0.6695797694310152</v>
      </c>
      <c r="Y117" s="9">
        <f t="shared" si="20"/>
        <v>0.19851245816288582</v>
      </c>
    </row>
    <row r="118" spans="1:25" ht="18.75">
      <c r="A118">
        <v>51</v>
      </c>
      <c r="B118" s="17" t="s">
        <v>366</v>
      </c>
      <c r="C118" s="17" t="s">
        <v>232</v>
      </c>
      <c r="D118" s="7" t="s">
        <v>366</v>
      </c>
      <c r="E118" s="7" t="s">
        <v>232</v>
      </c>
      <c r="F118" s="34" t="s">
        <v>188</v>
      </c>
      <c r="G118" s="34" t="s">
        <v>201</v>
      </c>
      <c r="H118" s="1" t="str">
        <f t="shared" si="15"/>
        <v>ML</v>
      </c>
      <c r="I118" s="176">
        <f t="shared" si="21"/>
        <v>150.61</v>
      </c>
      <c r="J118" s="11">
        <f>(VLOOKUP($H118,'Standard Estimate Uncertainty '!$B$10:$D$18,2)*$I118)+$I118</f>
        <v>135.549</v>
      </c>
      <c r="K118" s="11">
        <f>(VLOOKUP($H118,'Standard Estimate Uncertainty '!$B$10:$D$18,3)*$I118)+$I118</f>
        <v>173.2015</v>
      </c>
      <c r="L118" s="168">
        <f t="shared" si="22"/>
        <v>22.591499999999996</v>
      </c>
      <c r="M118" s="168">
        <f t="shared" si="23"/>
        <v>24.815429475945006</v>
      </c>
      <c r="N118" s="207">
        <f t="shared" si="24"/>
        <v>0.1647661475064405</v>
      </c>
      <c r="O118" s="42"/>
      <c r="P118" s="42"/>
      <c r="Q118" s="42">
        <v>7.33</v>
      </c>
      <c r="R118" s="42">
        <v>143.28</v>
      </c>
      <c r="S118" s="42"/>
      <c r="T118" s="48"/>
      <c r="U118" s="9">
        <f t="shared" si="16"/>
        <v>0</v>
      </c>
      <c r="V118" s="9">
        <f t="shared" si="17"/>
        <v>0</v>
      </c>
      <c r="W118" s="9">
        <f t="shared" si="18"/>
        <v>0.0486687470951464</v>
      </c>
      <c r="X118" s="9">
        <f t="shared" si="19"/>
        <v>0.9513312529048535</v>
      </c>
      <c r="Y118" s="9">
        <f t="shared" si="20"/>
        <v>0</v>
      </c>
    </row>
    <row r="119" spans="1:25" ht="18.75">
      <c r="A119">
        <v>52</v>
      </c>
      <c r="B119" s="17" t="s">
        <v>367</v>
      </c>
      <c r="C119" s="17" t="s">
        <v>232</v>
      </c>
      <c r="D119" s="7" t="s">
        <v>367</v>
      </c>
      <c r="E119" s="7" t="s">
        <v>232</v>
      </c>
      <c r="F119" s="34" t="s">
        <v>188</v>
      </c>
      <c r="G119" s="34" t="s">
        <v>201</v>
      </c>
      <c r="H119" s="1" t="str">
        <f t="shared" si="15"/>
        <v>ML</v>
      </c>
      <c r="I119" s="176">
        <f t="shared" si="21"/>
        <v>196.68</v>
      </c>
      <c r="J119" s="11">
        <f>(VLOOKUP($H119,'Standard Estimate Uncertainty '!$B$10:$D$18,2)*$I119)+$I119</f>
        <v>177.012</v>
      </c>
      <c r="K119" s="11">
        <f>(VLOOKUP($H119,'Standard Estimate Uncertainty '!$B$10:$D$18,3)*$I119)+$I119</f>
        <v>226.18200000000002</v>
      </c>
      <c r="L119" s="168">
        <f t="shared" si="22"/>
        <v>29.50200000000001</v>
      </c>
      <c r="M119" s="168">
        <f t="shared" si="23"/>
        <v>32.406205891566735</v>
      </c>
      <c r="N119" s="207">
        <f t="shared" si="24"/>
        <v>0.16476614750644059</v>
      </c>
      <c r="O119" s="42"/>
      <c r="P119" s="42"/>
      <c r="Q119" s="42">
        <v>81.27</v>
      </c>
      <c r="R119" s="42">
        <v>115.41</v>
      </c>
      <c r="S119" s="42"/>
      <c r="T119" s="48"/>
      <c r="U119" s="9">
        <f t="shared" si="16"/>
        <v>0</v>
      </c>
      <c r="V119" s="9">
        <f t="shared" si="17"/>
        <v>0</v>
      </c>
      <c r="W119" s="9">
        <f t="shared" si="18"/>
        <v>0.41320927394752893</v>
      </c>
      <c r="X119" s="9">
        <f t="shared" si="19"/>
        <v>0.586790726052471</v>
      </c>
      <c r="Y119" s="9">
        <f t="shared" si="20"/>
        <v>0</v>
      </c>
    </row>
    <row r="120" spans="1:25" ht="18.75">
      <c r="A120">
        <v>53</v>
      </c>
      <c r="B120" s="17" t="s">
        <v>368</v>
      </c>
      <c r="C120" s="17" t="s">
        <v>232</v>
      </c>
      <c r="D120" s="7" t="s">
        <v>368</v>
      </c>
      <c r="E120" s="7" t="s">
        <v>232</v>
      </c>
      <c r="F120" s="34" t="s">
        <v>188</v>
      </c>
      <c r="G120" s="34" t="s">
        <v>201</v>
      </c>
      <c r="H120" s="1" t="str">
        <f t="shared" si="15"/>
        <v>ML</v>
      </c>
      <c r="I120" s="176">
        <f t="shared" si="21"/>
        <v>164.19</v>
      </c>
      <c r="J120" s="11">
        <f>(VLOOKUP($H120,'Standard Estimate Uncertainty '!$B$10:$D$18,2)*$I120)+$I120</f>
        <v>147.771</v>
      </c>
      <c r="K120" s="11">
        <f>(VLOOKUP($H120,'Standard Estimate Uncertainty '!$B$10:$D$18,3)*$I120)+$I120</f>
        <v>188.8185</v>
      </c>
      <c r="L120" s="168">
        <f t="shared" si="22"/>
        <v>24.628500000000003</v>
      </c>
      <c r="M120" s="168">
        <f t="shared" si="23"/>
        <v>27.05295375908247</v>
      </c>
      <c r="N120" s="207">
        <f t="shared" si="24"/>
        <v>0.16476614750644053</v>
      </c>
      <c r="O120" s="42"/>
      <c r="P120" s="42"/>
      <c r="Q120" s="42">
        <v>50.6</v>
      </c>
      <c r="R120" s="42">
        <v>113.59</v>
      </c>
      <c r="S120" s="42"/>
      <c r="T120" s="48"/>
      <c r="U120" s="9">
        <f t="shared" si="16"/>
        <v>0</v>
      </c>
      <c r="V120" s="9">
        <f t="shared" si="17"/>
        <v>0</v>
      </c>
      <c r="W120" s="9">
        <f t="shared" si="18"/>
        <v>0.30817954808453624</v>
      </c>
      <c r="X120" s="9">
        <f t="shared" si="19"/>
        <v>0.6918204519154638</v>
      </c>
      <c r="Y120" s="9">
        <f t="shared" si="20"/>
        <v>0</v>
      </c>
    </row>
    <row r="121" spans="1:25" ht="18.75">
      <c r="A121">
        <v>54</v>
      </c>
      <c r="B121" s="17" t="s">
        <v>369</v>
      </c>
      <c r="C121" s="17" t="s">
        <v>232</v>
      </c>
      <c r="D121" s="7" t="s">
        <v>369</v>
      </c>
      <c r="E121" s="7" t="s">
        <v>232</v>
      </c>
      <c r="F121" s="34" t="s">
        <v>188</v>
      </c>
      <c r="G121" s="34" t="s">
        <v>188</v>
      </c>
      <c r="H121" s="1" t="str">
        <f t="shared" si="15"/>
        <v>MM</v>
      </c>
      <c r="I121" s="176">
        <f t="shared" si="21"/>
        <v>204.82</v>
      </c>
      <c r="J121" s="11">
        <f>(VLOOKUP($H121,'Standard Estimate Uncertainty '!$B$10:$D$18,2)*$I121)+$I121</f>
        <v>174.09699999999998</v>
      </c>
      <c r="K121" s="11">
        <f>(VLOOKUP($H121,'Standard Estimate Uncertainty '!$B$10:$D$18,3)*$I121)+$I121</f>
        <v>256.025</v>
      </c>
      <c r="L121" s="168">
        <f t="shared" si="22"/>
        <v>51.204999999999984</v>
      </c>
      <c r="M121" s="168">
        <f t="shared" si="23"/>
        <v>56.24567055378189</v>
      </c>
      <c r="N121" s="207">
        <f t="shared" si="24"/>
        <v>0.27461024584406746</v>
      </c>
      <c r="O121" s="42"/>
      <c r="P121" s="42"/>
      <c r="Q121" s="42">
        <v>11.5</v>
      </c>
      <c r="R121" s="42">
        <v>193.32</v>
      </c>
      <c r="S121" s="42"/>
      <c r="T121" s="48"/>
      <c r="U121" s="9">
        <f t="shared" si="16"/>
        <v>0</v>
      </c>
      <c r="V121" s="9">
        <f t="shared" si="17"/>
        <v>0</v>
      </c>
      <c r="W121" s="9">
        <f t="shared" si="18"/>
        <v>0.056146860658138856</v>
      </c>
      <c r="X121" s="9">
        <f t="shared" si="19"/>
        <v>0.9438531393418611</v>
      </c>
      <c r="Y121" s="9">
        <f t="shared" si="20"/>
        <v>0</v>
      </c>
    </row>
    <row r="122" spans="1:25" ht="18.75">
      <c r="A122">
        <v>55</v>
      </c>
      <c r="B122" s="17" t="s">
        <v>370</v>
      </c>
      <c r="C122" s="17" t="s">
        <v>232</v>
      </c>
      <c r="D122" s="7" t="s">
        <v>370</v>
      </c>
      <c r="E122" s="7" t="s">
        <v>232</v>
      </c>
      <c r="F122" s="34" t="s">
        <v>188</v>
      </c>
      <c r="G122" s="34" t="s">
        <v>201</v>
      </c>
      <c r="H122" s="1" t="str">
        <f t="shared" si="15"/>
        <v>ML</v>
      </c>
      <c r="I122" s="176">
        <f t="shared" si="21"/>
        <v>128.84</v>
      </c>
      <c r="J122" s="11">
        <f>(VLOOKUP($H122,'Standard Estimate Uncertainty '!$B$10:$D$18,2)*$I122)+$I122</f>
        <v>115.956</v>
      </c>
      <c r="K122" s="11">
        <f>(VLOOKUP($H122,'Standard Estimate Uncertainty '!$B$10:$D$18,3)*$I122)+$I122</f>
        <v>148.166</v>
      </c>
      <c r="L122" s="168">
        <f t="shared" si="22"/>
        <v>19.325999999999993</v>
      </c>
      <c r="M122" s="168">
        <f t="shared" si="23"/>
        <v>21.22847044472979</v>
      </c>
      <c r="N122" s="207">
        <f t="shared" si="24"/>
        <v>0.16476614750644047</v>
      </c>
      <c r="O122" s="42"/>
      <c r="P122" s="42"/>
      <c r="Q122" s="42">
        <v>16.74</v>
      </c>
      <c r="R122" s="42">
        <v>112.1</v>
      </c>
      <c r="S122" s="42"/>
      <c r="T122" s="48"/>
      <c r="U122" s="9">
        <f t="shared" si="16"/>
        <v>0</v>
      </c>
      <c r="V122" s="9">
        <f t="shared" si="17"/>
        <v>0</v>
      </c>
      <c r="W122" s="9">
        <f t="shared" si="18"/>
        <v>0.12992859360447065</v>
      </c>
      <c r="X122" s="9">
        <f t="shared" si="19"/>
        <v>0.8700714063955293</v>
      </c>
      <c r="Y122" s="9">
        <f t="shared" si="20"/>
        <v>0</v>
      </c>
    </row>
    <row r="123" spans="1:25" ht="18.75">
      <c r="A123">
        <v>56</v>
      </c>
      <c r="B123" s="17" t="s">
        <v>371</v>
      </c>
      <c r="C123" s="17" t="s">
        <v>232</v>
      </c>
      <c r="D123" s="7" t="s">
        <v>371</v>
      </c>
      <c r="E123" s="7" t="s">
        <v>232</v>
      </c>
      <c r="F123" s="34" t="s">
        <v>201</v>
      </c>
      <c r="G123" s="34" t="s">
        <v>188</v>
      </c>
      <c r="H123" s="1" t="str">
        <f t="shared" si="15"/>
        <v>LM</v>
      </c>
      <c r="I123" s="176">
        <f t="shared" si="21"/>
        <v>221.92</v>
      </c>
      <c r="J123" s="11">
        <f>(VLOOKUP($H123,'Standard Estimate Uncertainty '!$B$10:$D$18,2)*$I123)+$I123</f>
        <v>177.536</v>
      </c>
      <c r="K123" s="11">
        <f>(VLOOKUP($H123,'Standard Estimate Uncertainty '!$B$10:$D$18,3)*$I123)+$I123</f>
        <v>310.688</v>
      </c>
      <c r="L123" s="168">
        <f t="shared" si="22"/>
        <v>88.768</v>
      </c>
      <c r="M123" s="168">
        <f t="shared" si="23"/>
        <v>97.50640921234475</v>
      </c>
      <c r="N123" s="207">
        <f t="shared" si="24"/>
        <v>0.4393763933505081</v>
      </c>
      <c r="O123" s="42"/>
      <c r="P123" s="42"/>
      <c r="Q123" s="42">
        <v>11.6</v>
      </c>
      <c r="R123" s="42">
        <v>210.32</v>
      </c>
      <c r="S123" s="42"/>
      <c r="T123" s="48"/>
      <c r="U123" s="9">
        <f t="shared" si="16"/>
        <v>0</v>
      </c>
      <c r="V123" s="9">
        <f t="shared" si="17"/>
        <v>0</v>
      </c>
      <c r="W123" s="9">
        <f t="shared" si="18"/>
        <v>0.05227108868060563</v>
      </c>
      <c r="X123" s="9">
        <f t="shared" si="19"/>
        <v>0.9477289113193944</v>
      </c>
      <c r="Y123" s="9">
        <f t="shared" si="20"/>
        <v>0</v>
      </c>
    </row>
    <row r="124" spans="1:25" ht="18.75">
      <c r="A124">
        <v>58</v>
      </c>
      <c r="B124" s="17" t="s">
        <v>372</v>
      </c>
      <c r="C124" s="17" t="s">
        <v>232</v>
      </c>
      <c r="D124" s="7" t="s">
        <v>372</v>
      </c>
      <c r="E124" s="7" t="s">
        <v>232</v>
      </c>
      <c r="F124" s="34" t="s">
        <v>187</v>
      </c>
      <c r="G124" s="34" t="s">
        <v>201</v>
      </c>
      <c r="H124" s="1" t="str">
        <f t="shared" si="15"/>
        <v>HL</v>
      </c>
      <c r="I124" s="176">
        <f t="shared" si="21"/>
        <v>68.99</v>
      </c>
      <c r="J124" s="11">
        <f>(VLOOKUP($H124,'Standard Estimate Uncertainty '!$B$10:$D$18,2)*$I124)+$I124</f>
        <v>65.5405</v>
      </c>
      <c r="K124" s="11">
        <f>(VLOOKUP($H124,'Standard Estimate Uncertainty '!$B$10:$D$18,3)*$I124)+$I124</f>
        <v>75.889</v>
      </c>
      <c r="L124" s="168">
        <f t="shared" si="22"/>
        <v>6.899000000000001</v>
      </c>
      <c r="M124" s="168">
        <f t="shared" si="23"/>
        <v>7.578144344312889</v>
      </c>
      <c r="N124" s="207">
        <f t="shared" si="24"/>
        <v>0.10984409833762704</v>
      </c>
      <c r="O124" s="42">
        <v>6.97</v>
      </c>
      <c r="P124" s="42">
        <v>24.17</v>
      </c>
      <c r="Q124" s="42">
        <v>18.61</v>
      </c>
      <c r="R124" s="42">
        <v>19.24</v>
      </c>
      <c r="S124" s="42"/>
      <c r="T124" s="48"/>
      <c r="U124" s="9">
        <f t="shared" si="16"/>
        <v>0.10102913465719669</v>
      </c>
      <c r="V124" s="9">
        <f t="shared" si="17"/>
        <v>0.35034062907667785</v>
      </c>
      <c r="W124" s="9">
        <f t="shared" si="18"/>
        <v>0.26974923902014786</v>
      </c>
      <c r="X124" s="9">
        <f t="shared" si="19"/>
        <v>0.2788809972459777</v>
      </c>
      <c r="Y124" s="9">
        <f t="shared" si="20"/>
        <v>0</v>
      </c>
    </row>
    <row r="125" spans="1:25" ht="18.75">
      <c r="A125">
        <v>61</v>
      </c>
      <c r="B125" s="17" t="s">
        <v>373</v>
      </c>
      <c r="C125" s="17" t="s">
        <v>248</v>
      </c>
      <c r="D125" s="7" t="s">
        <v>373</v>
      </c>
      <c r="E125" s="7" t="s">
        <v>248</v>
      </c>
      <c r="F125" s="34" t="s">
        <v>201</v>
      </c>
      <c r="G125" s="34" t="s">
        <v>201</v>
      </c>
      <c r="H125" s="1" t="str">
        <f t="shared" si="15"/>
        <v>LL</v>
      </c>
      <c r="I125" s="176">
        <f t="shared" si="21"/>
        <v>46.4</v>
      </c>
      <c r="J125" s="11">
        <f>(VLOOKUP($H125,'Standard Estimate Uncertainty '!$B$10:$D$18,2)*$I125)+$I125</f>
        <v>39.44</v>
      </c>
      <c r="K125" s="11">
        <f>(VLOOKUP($H125,'Standard Estimate Uncertainty '!$B$10:$D$18,3)*$I125)+$I125</f>
        <v>58</v>
      </c>
      <c r="L125" s="168">
        <f t="shared" si="22"/>
        <v>11.600000000000001</v>
      </c>
      <c r="M125" s="168">
        <f t="shared" si="23"/>
        <v>12.741915407164736</v>
      </c>
      <c r="N125" s="207">
        <f t="shared" si="24"/>
        <v>0.2746102458440676</v>
      </c>
      <c r="O125" s="42"/>
      <c r="P125" s="42"/>
      <c r="Q125" s="42">
        <v>46.4</v>
      </c>
      <c r="R125" s="42"/>
      <c r="S125" s="42"/>
      <c r="T125" s="48"/>
      <c r="U125" s="9">
        <f t="shared" si="16"/>
        <v>0</v>
      </c>
      <c r="V125" s="9">
        <f t="shared" si="17"/>
        <v>0</v>
      </c>
      <c r="W125" s="9">
        <f t="shared" si="18"/>
        <v>1</v>
      </c>
      <c r="X125" s="9">
        <f t="shared" si="19"/>
        <v>0</v>
      </c>
      <c r="Y125" s="9">
        <f t="shared" si="20"/>
        <v>0</v>
      </c>
    </row>
    <row r="126" spans="1:25" ht="18.75">
      <c r="A126">
        <v>62</v>
      </c>
      <c r="B126" s="40" t="s">
        <v>564</v>
      </c>
      <c r="C126" s="17" t="s">
        <v>249</v>
      </c>
      <c r="D126" s="7" t="s">
        <v>564</v>
      </c>
      <c r="E126" s="7" t="s">
        <v>249</v>
      </c>
      <c r="F126" s="34" t="s">
        <v>201</v>
      </c>
      <c r="G126" s="34" t="s">
        <v>188</v>
      </c>
      <c r="H126" s="1" t="str">
        <f t="shared" si="15"/>
        <v>LM</v>
      </c>
      <c r="I126" s="176">
        <f t="shared" si="21"/>
        <v>87.58</v>
      </c>
      <c r="J126" s="11">
        <f>(VLOOKUP($H126,'Standard Estimate Uncertainty '!$B$10:$D$18,2)*$I126)+$I126</f>
        <v>70.064</v>
      </c>
      <c r="K126" s="11">
        <f>(VLOOKUP($H126,'Standard Estimate Uncertainty '!$B$10:$D$18,3)*$I126)+$I126</f>
        <v>122.612</v>
      </c>
      <c r="L126" s="168">
        <f t="shared" si="22"/>
        <v>35.032</v>
      </c>
      <c r="M126" s="168">
        <f t="shared" si="23"/>
        <v>38.48058452963749</v>
      </c>
      <c r="N126" s="207">
        <f t="shared" si="24"/>
        <v>0.439376393350508</v>
      </c>
      <c r="O126" s="42"/>
      <c r="P126" s="42"/>
      <c r="Q126" s="42">
        <v>19.5</v>
      </c>
      <c r="R126" s="42">
        <v>68.08</v>
      </c>
      <c r="S126" s="42"/>
      <c r="T126" s="48"/>
      <c r="U126" s="9">
        <f t="shared" si="16"/>
        <v>0</v>
      </c>
      <c r="V126" s="9">
        <f t="shared" si="17"/>
        <v>0</v>
      </c>
      <c r="W126" s="9">
        <f t="shared" si="18"/>
        <v>0.222653573875314</v>
      </c>
      <c r="X126" s="9">
        <f t="shared" si="19"/>
        <v>0.777346426124686</v>
      </c>
      <c r="Y126" s="9">
        <f t="shared" si="20"/>
        <v>0</v>
      </c>
    </row>
    <row r="127" spans="2:25" ht="18.75">
      <c r="B127" s="40" t="s">
        <v>564</v>
      </c>
      <c r="C127" s="17" t="s">
        <v>250</v>
      </c>
      <c r="D127" s="7" t="s">
        <v>564</v>
      </c>
      <c r="E127" s="7" t="s">
        <v>250</v>
      </c>
      <c r="F127" s="34" t="s">
        <v>201</v>
      </c>
      <c r="G127" s="34" t="s">
        <v>188</v>
      </c>
      <c r="H127" s="1" t="str">
        <f t="shared" si="15"/>
        <v>LM</v>
      </c>
      <c r="I127" s="176">
        <f t="shared" si="21"/>
        <v>88.14</v>
      </c>
      <c r="J127" s="11">
        <f>(VLOOKUP($H127,'Standard Estimate Uncertainty '!$B$10:$D$18,2)*$I127)+$I127</f>
        <v>70.512</v>
      </c>
      <c r="K127" s="11">
        <f>(VLOOKUP($H127,'Standard Estimate Uncertainty '!$B$10:$D$18,3)*$I127)+$I127</f>
        <v>123.396</v>
      </c>
      <c r="L127" s="168">
        <f t="shared" si="22"/>
        <v>35.256</v>
      </c>
      <c r="M127" s="168">
        <f t="shared" si="23"/>
        <v>38.72663530991378</v>
      </c>
      <c r="N127" s="207">
        <f t="shared" si="24"/>
        <v>0.4393763933505081</v>
      </c>
      <c r="O127" s="42"/>
      <c r="P127" s="42"/>
      <c r="Q127" s="42">
        <v>36.3</v>
      </c>
      <c r="R127" s="42">
        <v>51.84</v>
      </c>
      <c r="S127" s="42"/>
      <c r="T127" s="48"/>
      <c r="U127" s="9">
        <f t="shared" si="16"/>
        <v>0</v>
      </c>
      <c r="V127" s="9">
        <f t="shared" si="17"/>
        <v>0</v>
      </c>
      <c r="W127" s="9">
        <f t="shared" si="18"/>
        <v>0.41184479237576577</v>
      </c>
      <c r="X127" s="9">
        <f t="shared" si="19"/>
        <v>0.5881552076242342</v>
      </c>
      <c r="Y127" s="9">
        <f t="shared" si="20"/>
        <v>0</v>
      </c>
    </row>
    <row r="128" spans="2:25" ht="18.75">
      <c r="B128" s="40" t="s">
        <v>564</v>
      </c>
      <c r="C128" s="17" t="s">
        <v>251</v>
      </c>
      <c r="D128" s="7" t="s">
        <v>564</v>
      </c>
      <c r="E128" s="7" t="s">
        <v>251</v>
      </c>
      <c r="F128" s="34" t="s">
        <v>201</v>
      </c>
      <c r="G128" s="34" t="s">
        <v>188</v>
      </c>
      <c r="H128" s="1" t="str">
        <f t="shared" si="15"/>
        <v>LM</v>
      </c>
      <c r="I128" s="176">
        <f t="shared" si="21"/>
        <v>478.85</v>
      </c>
      <c r="J128" s="11">
        <f>(VLOOKUP($H128,'Standard Estimate Uncertainty '!$B$10:$D$18,2)*$I128)+$I128</f>
        <v>383.08000000000004</v>
      </c>
      <c r="K128" s="11">
        <f>(VLOOKUP($H128,'Standard Estimate Uncertainty '!$B$10:$D$18,3)*$I128)+$I128</f>
        <v>670.3900000000001</v>
      </c>
      <c r="L128" s="168">
        <f t="shared" si="22"/>
        <v>191.54000000000008</v>
      </c>
      <c r="M128" s="168">
        <f t="shared" si="23"/>
        <v>210.3953859558909</v>
      </c>
      <c r="N128" s="207">
        <f t="shared" si="24"/>
        <v>0.43937639335050827</v>
      </c>
      <c r="O128" s="42"/>
      <c r="P128" s="42"/>
      <c r="Q128" s="42">
        <v>214.87</v>
      </c>
      <c r="R128" s="42">
        <v>263.98</v>
      </c>
      <c r="S128" s="42"/>
      <c r="T128" s="48"/>
      <c r="U128" s="9">
        <f t="shared" si="16"/>
        <v>0</v>
      </c>
      <c r="V128" s="9">
        <f t="shared" si="17"/>
        <v>0</v>
      </c>
      <c r="W128" s="9">
        <f t="shared" si="18"/>
        <v>0.44872089380808183</v>
      </c>
      <c r="X128" s="9">
        <f t="shared" si="19"/>
        <v>0.5512791061919181</v>
      </c>
      <c r="Y128" s="9">
        <f t="shared" si="20"/>
        <v>0</v>
      </c>
    </row>
    <row r="129" spans="1:25" ht="18.75">
      <c r="A129">
        <v>63</v>
      </c>
      <c r="B129" s="17" t="s">
        <v>374</v>
      </c>
      <c r="C129" s="17" t="s">
        <v>232</v>
      </c>
      <c r="D129" s="7" t="s">
        <v>374</v>
      </c>
      <c r="E129" s="7" t="s">
        <v>232</v>
      </c>
      <c r="F129" s="34" t="s">
        <v>201</v>
      </c>
      <c r="G129" s="34" t="s">
        <v>201</v>
      </c>
      <c r="H129" s="1" t="str">
        <f t="shared" si="15"/>
        <v>LL</v>
      </c>
      <c r="I129" s="176">
        <f t="shared" si="21"/>
        <v>104.87</v>
      </c>
      <c r="J129" s="11">
        <f>(VLOOKUP($H129,'Standard Estimate Uncertainty '!$B$10:$D$18,2)*$I129)+$I129</f>
        <v>89.1395</v>
      </c>
      <c r="K129" s="11">
        <f>(VLOOKUP($H129,'Standard Estimate Uncertainty '!$B$10:$D$18,3)*$I129)+$I129</f>
        <v>131.0875</v>
      </c>
      <c r="L129" s="168">
        <f t="shared" si="22"/>
        <v>26.2175</v>
      </c>
      <c r="M129" s="168">
        <f t="shared" si="23"/>
        <v>28.79837648166736</v>
      </c>
      <c r="N129" s="207">
        <f t="shared" si="24"/>
        <v>0.2746102458440675</v>
      </c>
      <c r="O129" s="42"/>
      <c r="P129" s="42"/>
      <c r="Q129" s="42">
        <v>104.87</v>
      </c>
      <c r="R129" s="42"/>
      <c r="S129" s="42"/>
      <c r="T129" s="48"/>
      <c r="U129" s="9">
        <f t="shared" si="16"/>
        <v>0</v>
      </c>
      <c r="V129" s="9">
        <f t="shared" si="17"/>
        <v>0</v>
      </c>
      <c r="W129" s="9">
        <f t="shared" si="18"/>
        <v>1</v>
      </c>
      <c r="X129" s="9">
        <f t="shared" si="19"/>
        <v>0</v>
      </c>
      <c r="Y129" s="9">
        <f t="shared" si="20"/>
        <v>0</v>
      </c>
    </row>
    <row r="130" spans="1:25" ht="18.75">
      <c r="A130">
        <v>64</v>
      </c>
      <c r="B130" s="40" t="s">
        <v>565</v>
      </c>
      <c r="C130" s="17" t="s">
        <v>232</v>
      </c>
      <c r="D130" s="7" t="s">
        <v>565</v>
      </c>
      <c r="E130" s="7" t="s">
        <v>232</v>
      </c>
      <c r="F130" s="34" t="s">
        <v>201</v>
      </c>
      <c r="G130" s="34" t="s">
        <v>188</v>
      </c>
      <c r="H130" s="1" t="str">
        <f aca="true" t="shared" si="25" ref="H130:H149">CONCATENATE(F130,G130)</f>
        <v>LM</v>
      </c>
      <c r="I130" s="176">
        <f t="shared" si="21"/>
        <v>573.4</v>
      </c>
      <c r="J130" s="11">
        <f>(VLOOKUP($H130,'Standard Estimate Uncertainty '!$B$10:$D$18,2)*$I130)+$I130</f>
        <v>458.71999999999997</v>
      </c>
      <c r="K130" s="11">
        <f>(VLOOKUP($H130,'Standard Estimate Uncertainty '!$B$10:$D$18,3)*$I130)+$I130</f>
        <v>802.76</v>
      </c>
      <c r="L130" s="168">
        <f t="shared" si="22"/>
        <v>229.36</v>
      </c>
      <c r="M130" s="168">
        <f t="shared" si="23"/>
        <v>251.93842394718135</v>
      </c>
      <c r="N130" s="207">
        <f t="shared" si="24"/>
        <v>0.4393763933505081</v>
      </c>
      <c r="O130" s="42"/>
      <c r="P130" s="42"/>
      <c r="Q130" s="42">
        <v>106.99</v>
      </c>
      <c r="R130" s="42">
        <v>466.41</v>
      </c>
      <c r="S130" s="42"/>
      <c r="T130" s="48"/>
      <c r="U130" s="9">
        <f aca="true" t="shared" si="26" ref="U130:U144">O130/$I130</f>
        <v>0</v>
      </c>
      <c r="V130" s="9">
        <f aca="true" t="shared" si="27" ref="V130:V144">P130/$I130</f>
        <v>0</v>
      </c>
      <c r="W130" s="9">
        <f aca="true" t="shared" si="28" ref="W130:W144">Q130/$I130</f>
        <v>0.18658876874782002</v>
      </c>
      <c r="X130" s="9">
        <f aca="true" t="shared" si="29" ref="X130:X144">R130/$I130</f>
        <v>0.8134112312521801</v>
      </c>
      <c r="Y130" s="9">
        <f aca="true" t="shared" si="30" ref="Y130:Y144">S130/$I130</f>
        <v>0</v>
      </c>
    </row>
    <row r="131" spans="1:25" ht="18.75">
      <c r="A131">
        <v>73</v>
      </c>
      <c r="B131" s="17" t="s">
        <v>375</v>
      </c>
      <c r="C131" s="17" t="s">
        <v>232</v>
      </c>
      <c r="D131" s="7" t="s">
        <v>375</v>
      </c>
      <c r="E131" s="7" t="s">
        <v>232</v>
      </c>
      <c r="F131" s="34" t="s">
        <v>201</v>
      </c>
      <c r="G131" s="34" t="s">
        <v>201</v>
      </c>
      <c r="H131" s="1" t="str">
        <f t="shared" si="25"/>
        <v>LL</v>
      </c>
      <c r="I131" s="176">
        <f t="shared" si="21"/>
        <v>204.12</v>
      </c>
      <c r="J131" s="11">
        <f>(VLOOKUP($H131,'Standard Estimate Uncertainty '!$B$10:$D$18,2)*$I131)+$I131</f>
        <v>173.502</v>
      </c>
      <c r="K131" s="11">
        <f>(VLOOKUP($H131,'Standard Estimate Uncertainty '!$B$10:$D$18,3)*$I131)+$I131</f>
        <v>255.15</v>
      </c>
      <c r="L131" s="168">
        <f t="shared" si="22"/>
        <v>51.03</v>
      </c>
      <c r="M131" s="168">
        <f t="shared" si="23"/>
        <v>56.05344338169107</v>
      </c>
      <c r="N131" s="207">
        <f t="shared" si="24"/>
        <v>0.27461024584406757</v>
      </c>
      <c r="O131" s="42">
        <v>2.43</v>
      </c>
      <c r="P131" s="42">
        <v>4.96</v>
      </c>
      <c r="Q131" s="42">
        <v>196.73</v>
      </c>
      <c r="R131" s="42"/>
      <c r="S131" s="42"/>
      <c r="T131" s="48"/>
      <c r="U131" s="9">
        <f t="shared" si="26"/>
        <v>0.011904761904761906</v>
      </c>
      <c r="V131" s="9">
        <f t="shared" si="27"/>
        <v>0.024299431706839115</v>
      </c>
      <c r="W131" s="9">
        <f t="shared" si="28"/>
        <v>0.9637958063883989</v>
      </c>
      <c r="X131" s="9">
        <f t="shared" si="29"/>
        <v>0</v>
      </c>
      <c r="Y131" s="9">
        <f t="shared" si="30"/>
        <v>0</v>
      </c>
    </row>
    <row r="132" spans="1:25" ht="18.75">
      <c r="A132">
        <v>74</v>
      </c>
      <c r="B132" s="17" t="s">
        <v>376</v>
      </c>
      <c r="C132" s="17" t="s">
        <v>284</v>
      </c>
      <c r="D132" s="7" t="s">
        <v>376</v>
      </c>
      <c r="E132" s="7" t="s">
        <v>284</v>
      </c>
      <c r="F132" s="34" t="s">
        <v>201</v>
      </c>
      <c r="G132" s="34" t="s">
        <v>188</v>
      </c>
      <c r="H132" s="1" t="str">
        <f t="shared" si="25"/>
        <v>LM</v>
      </c>
      <c r="I132" s="176">
        <f aca="true" t="shared" si="31" ref="I132:I149">SUM(O132:S132)</f>
        <v>1665.91</v>
      </c>
      <c r="J132" s="11">
        <f>(VLOOKUP($H132,'Standard Estimate Uncertainty '!$B$10:$D$18,2)*$I132)+$I132</f>
        <v>1332.728</v>
      </c>
      <c r="K132" s="11">
        <f>(VLOOKUP($H132,'Standard Estimate Uncertainty '!$B$10:$D$18,3)*$I132)+$I132</f>
        <v>2332.2740000000003</v>
      </c>
      <c r="L132" s="168">
        <f aca="true" t="shared" si="32" ref="L132:L149">+K132-I132</f>
        <v>666.3640000000003</v>
      </c>
      <c r="M132" s="168">
        <f aca="true" t="shared" si="33" ref="M132:M149">+L132/L$150*M$153</f>
        <v>731.9615274465451</v>
      </c>
      <c r="N132" s="207">
        <f aca="true" t="shared" si="34" ref="N132:N149">+M132/I132</f>
        <v>0.43937639335050815</v>
      </c>
      <c r="O132" s="42"/>
      <c r="P132" s="42"/>
      <c r="Q132" s="42">
        <v>579.05</v>
      </c>
      <c r="R132" s="42">
        <v>856.96</v>
      </c>
      <c r="S132" s="42">
        <v>229.9</v>
      </c>
      <c r="T132" s="48"/>
      <c r="U132" s="9">
        <f t="shared" si="26"/>
        <v>0</v>
      </c>
      <c r="V132" s="9">
        <f t="shared" si="27"/>
        <v>0</v>
      </c>
      <c r="W132" s="9">
        <f t="shared" si="28"/>
        <v>0.34758780486340796</v>
      </c>
      <c r="X132" s="9">
        <f t="shared" si="29"/>
        <v>0.5144095419320371</v>
      </c>
      <c r="Y132" s="9">
        <f t="shared" si="30"/>
        <v>0.13800265320455488</v>
      </c>
    </row>
    <row r="133" spans="2:25" ht="18.75">
      <c r="B133" s="17" t="s">
        <v>376</v>
      </c>
      <c r="C133" s="17" t="s">
        <v>232</v>
      </c>
      <c r="D133" s="7" t="s">
        <v>376</v>
      </c>
      <c r="E133" s="7" t="s">
        <v>232</v>
      </c>
      <c r="F133" s="184" t="s">
        <v>392</v>
      </c>
      <c r="G133" s="185"/>
      <c r="H133" s="1" t="str">
        <f t="shared" si="25"/>
        <v>FROZEN</v>
      </c>
      <c r="I133" s="176">
        <f t="shared" si="31"/>
        <v>-249.43</v>
      </c>
      <c r="J133" s="11">
        <f>I133</f>
        <v>-249.43</v>
      </c>
      <c r="K133" s="11">
        <f>I133</f>
        <v>-249.43</v>
      </c>
      <c r="L133" s="168">
        <f t="shared" si="32"/>
        <v>0</v>
      </c>
      <c r="M133" s="168">
        <f t="shared" si="33"/>
        <v>0</v>
      </c>
      <c r="N133" s="207">
        <f t="shared" si="34"/>
        <v>0</v>
      </c>
      <c r="O133" s="42">
        <v>-308.3</v>
      </c>
      <c r="P133" s="42">
        <v>22.75</v>
      </c>
      <c r="Q133" s="42">
        <v>36.12</v>
      </c>
      <c r="R133" s="42"/>
      <c r="S133" s="42"/>
      <c r="T133" s="48"/>
      <c r="U133" s="9">
        <f t="shared" si="26"/>
        <v>1.236018121316602</v>
      </c>
      <c r="V133" s="9">
        <f t="shared" si="27"/>
        <v>-0.09120795413542877</v>
      </c>
      <c r="W133" s="9">
        <f t="shared" si="28"/>
        <v>-0.14481016718117307</v>
      </c>
      <c r="X133" s="9">
        <f t="shared" si="29"/>
        <v>0</v>
      </c>
      <c r="Y133" s="9">
        <f t="shared" si="30"/>
        <v>0</v>
      </c>
    </row>
    <row r="134" spans="1:25" ht="18.75">
      <c r="A134">
        <v>75</v>
      </c>
      <c r="B134" s="17" t="s">
        <v>377</v>
      </c>
      <c r="C134" s="17" t="s">
        <v>539</v>
      </c>
      <c r="D134" s="7" t="s">
        <v>377</v>
      </c>
      <c r="E134" s="7" t="s">
        <v>539</v>
      </c>
      <c r="F134" s="34" t="s">
        <v>201</v>
      </c>
      <c r="G134" s="34" t="s">
        <v>188</v>
      </c>
      <c r="H134" s="1" t="str">
        <f t="shared" si="25"/>
        <v>LM</v>
      </c>
      <c r="I134" s="176">
        <f t="shared" si="31"/>
        <v>1406.52</v>
      </c>
      <c r="J134" s="11">
        <f>(VLOOKUP($H134,'Standard Estimate Uncertainty '!$B$10:$D$18,2)*$I134)+$I134</f>
        <v>1125.216</v>
      </c>
      <c r="K134" s="11">
        <f>(VLOOKUP($H134,'Standard Estimate Uncertainty '!$B$10:$D$18,3)*$I134)+$I134</f>
        <v>1969.1280000000002</v>
      </c>
      <c r="L134" s="168">
        <f t="shared" si="32"/>
        <v>562.6080000000002</v>
      </c>
      <c r="M134" s="168">
        <f t="shared" si="33"/>
        <v>617.9916847753568</v>
      </c>
      <c r="N134" s="207">
        <f t="shared" si="34"/>
        <v>0.4393763933505082</v>
      </c>
      <c r="O134" s="42"/>
      <c r="P134" s="42"/>
      <c r="Q134" s="42">
        <v>335.57</v>
      </c>
      <c r="R134" s="42">
        <v>805.63</v>
      </c>
      <c r="S134" s="42">
        <v>265.32</v>
      </c>
      <c r="T134" s="48"/>
      <c r="U134" s="9">
        <f t="shared" si="26"/>
        <v>0</v>
      </c>
      <c r="V134" s="9">
        <f t="shared" si="27"/>
        <v>0</v>
      </c>
      <c r="W134" s="9">
        <f t="shared" si="28"/>
        <v>0.23858174785996644</v>
      </c>
      <c r="X134" s="9">
        <f t="shared" si="29"/>
        <v>0.5727824702101642</v>
      </c>
      <c r="Y134" s="9">
        <f t="shared" si="30"/>
        <v>0.18863578192986946</v>
      </c>
    </row>
    <row r="135" spans="2:25" ht="18.75">
      <c r="B135" s="17" t="s">
        <v>378</v>
      </c>
      <c r="C135" s="17" t="s">
        <v>232</v>
      </c>
      <c r="D135" s="7" t="s">
        <v>378</v>
      </c>
      <c r="E135" s="7" t="s">
        <v>232</v>
      </c>
      <c r="F135" s="34" t="s">
        <v>201</v>
      </c>
      <c r="G135" s="34" t="s">
        <v>188</v>
      </c>
      <c r="H135" s="1" t="str">
        <f t="shared" si="25"/>
        <v>LM</v>
      </c>
      <c r="I135" s="176">
        <f t="shared" si="31"/>
        <v>4511.849999999999</v>
      </c>
      <c r="J135" s="11">
        <f>(VLOOKUP($H135,'Standard Estimate Uncertainty '!$B$10:$D$18,2)*$I135)+$I135</f>
        <v>3609.4799999999996</v>
      </c>
      <c r="K135" s="11">
        <f>(VLOOKUP($H135,'Standard Estimate Uncertainty '!$B$10:$D$18,3)*$I135)+$I135</f>
        <v>6316.589999999999</v>
      </c>
      <c r="L135" s="168">
        <f t="shared" si="32"/>
        <v>1804.7399999999998</v>
      </c>
      <c r="M135" s="168">
        <f t="shared" si="33"/>
        <v>1982.4003803384896</v>
      </c>
      <c r="N135" s="207">
        <f t="shared" si="34"/>
        <v>0.4393763933505081</v>
      </c>
      <c r="O135" s="42"/>
      <c r="P135" s="42"/>
      <c r="Q135" s="42">
        <v>1668.05</v>
      </c>
      <c r="R135" s="42">
        <v>2205.4</v>
      </c>
      <c r="S135" s="42">
        <v>638.4</v>
      </c>
      <c r="T135" s="48"/>
      <c r="U135" s="9">
        <f t="shared" si="26"/>
        <v>0</v>
      </c>
      <c r="V135" s="9">
        <f t="shared" si="27"/>
        <v>0</v>
      </c>
      <c r="W135" s="9">
        <f t="shared" si="28"/>
        <v>0.36970422332302716</v>
      </c>
      <c r="X135" s="9">
        <f t="shared" si="29"/>
        <v>0.4888017110497912</v>
      </c>
      <c r="Y135" s="9">
        <f t="shared" si="30"/>
        <v>0.14149406562718175</v>
      </c>
    </row>
    <row r="136" spans="1:25" ht="18.75">
      <c r="A136">
        <v>76</v>
      </c>
      <c r="B136" s="17" t="s">
        <v>379</v>
      </c>
      <c r="C136" s="17" t="s">
        <v>232</v>
      </c>
      <c r="D136" s="7" t="s">
        <v>379</v>
      </c>
      <c r="E136" s="7" t="s">
        <v>232</v>
      </c>
      <c r="F136" s="34" t="s">
        <v>201</v>
      </c>
      <c r="G136" s="34" t="s">
        <v>201</v>
      </c>
      <c r="H136" s="1" t="str">
        <f t="shared" si="25"/>
        <v>LL</v>
      </c>
      <c r="I136" s="176">
        <f t="shared" si="31"/>
        <v>412.55</v>
      </c>
      <c r="J136" s="11">
        <f>(VLOOKUP($H136,'Standard Estimate Uncertainty '!$B$10:$D$18,2)*$I136)+$I136</f>
        <v>350.6675</v>
      </c>
      <c r="K136" s="11">
        <f>(VLOOKUP($H136,'Standard Estimate Uncertainty '!$B$10:$D$18,3)*$I136)+$I136</f>
        <v>515.6875</v>
      </c>
      <c r="L136" s="168">
        <f t="shared" si="32"/>
        <v>103.13749999999999</v>
      </c>
      <c r="M136" s="168">
        <f t="shared" si="33"/>
        <v>113.29045692297005</v>
      </c>
      <c r="N136" s="207">
        <f t="shared" si="34"/>
        <v>0.2746102458440675</v>
      </c>
      <c r="O136" s="42"/>
      <c r="P136" s="42"/>
      <c r="Q136" s="42">
        <v>207.46</v>
      </c>
      <c r="R136" s="42">
        <v>205.09</v>
      </c>
      <c r="S136" s="42"/>
      <c r="T136" s="48"/>
      <c r="U136" s="9">
        <f t="shared" si="26"/>
        <v>0</v>
      </c>
      <c r="V136" s="9">
        <f t="shared" si="27"/>
        <v>0</v>
      </c>
      <c r="W136" s="9">
        <f t="shared" si="28"/>
        <v>0.5028723791055629</v>
      </c>
      <c r="X136" s="9">
        <f t="shared" si="29"/>
        <v>0.497127620894437</v>
      </c>
      <c r="Y136" s="9">
        <f t="shared" si="30"/>
        <v>0</v>
      </c>
    </row>
    <row r="137" spans="1:25" ht="18.75">
      <c r="A137">
        <v>81</v>
      </c>
      <c r="B137" s="17" t="s">
        <v>380</v>
      </c>
      <c r="C137" s="17" t="s">
        <v>252</v>
      </c>
      <c r="D137" s="7" t="s">
        <v>380</v>
      </c>
      <c r="E137" s="7" t="s">
        <v>252</v>
      </c>
      <c r="F137" s="184" t="s">
        <v>392</v>
      </c>
      <c r="G137" s="185"/>
      <c r="H137" s="1" t="str">
        <f t="shared" si="25"/>
        <v>FROZEN</v>
      </c>
      <c r="I137" s="176">
        <f t="shared" si="31"/>
        <v>4.44</v>
      </c>
      <c r="J137" s="11">
        <f>I137</f>
        <v>4.44</v>
      </c>
      <c r="K137" s="11">
        <f>I137</f>
        <v>4.44</v>
      </c>
      <c r="L137" s="168">
        <f t="shared" si="32"/>
        <v>0</v>
      </c>
      <c r="M137" s="168">
        <f t="shared" si="33"/>
        <v>0</v>
      </c>
      <c r="N137" s="207">
        <f t="shared" si="34"/>
        <v>0</v>
      </c>
      <c r="O137" s="42">
        <v>4.44</v>
      </c>
      <c r="P137" s="42"/>
      <c r="Q137" s="42"/>
      <c r="R137" s="42"/>
      <c r="S137" s="42"/>
      <c r="T137" s="48"/>
      <c r="U137" s="9">
        <f t="shared" si="26"/>
        <v>1</v>
      </c>
      <c r="V137" s="9">
        <f t="shared" si="27"/>
        <v>0</v>
      </c>
      <c r="W137" s="9">
        <f t="shared" si="28"/>
        <v>0</v>
      </c>
      <c r="X137" s="9">
        <f t="shared" si="29"/>
        <v>0</v>
      </c>
      <c r="Y137" s="9">
        <f t="shared" si="30"/>
        <v>0</v>
      </c>
    </row>
    <row r="138" spans="2:25" ht="18.75">
      <c r="B138" s="17" t="s">
        <v>380</v>
      </c>
      <c r="C138" s="17" t="s">
        <v>232</v>
      </c>
      <c r="D138" s="7" t="s">
        <v>380</v>
      </c>
      <c r="E138" s="7" t="s">
        <v>232</v>
      </c>
      <c r="F138" s="34" t="s">
        <v>187</v>
      </c>
      <c r="G138" s="34" t="s">
        <v>201</v>
      </c>
      <c r="H138" s="1" t="str">
        <f t="shared" si="25"/>
        <v>HL</v>
      </c>
      <c r="I138" s="176">
        <f t="shared" si="31"/>
        <v>3839.3500000000004</v>
      </c>
      <c r="J138" s="11">
        <f>(VLOOKUP($H138,'Standard Estimate Uncertainty '!$B$10:$D$18,2)*$I138)+$I138</f>
        <v>3647.3825</v>
      </c>
      <c r="K138" s="11">
        <f>(VLOOKUP($H138,'Standard Estimate Uncertainty '!$B$10:$D$18,3)*$I138)+$I138</f>
        <v>4223.285000000001</v>
      </c>
      <c r="L138" s="168">
        <f t="shared" si="32"/>
        <v>383.9350000000004</v>
      </c>
      <c r="M138" s="168">
        <f t="shared" si="33"/>
        <v>421.7299389525688</v>
      </c>
      <c r="N138" s="207">
        <f t="shared" si="34"/>
        <v>0.10984409833762714</v>
      </c>
      <c r="O138" s="42">
        <v>273.67</v>
      </c>
      <c r="P138" s="42">
        <v>1034.17</v>
      </c>
      <c r="Q138" s="42">
        <v>1157.65</v>
      </c>
      <c r="R138" s="42">
        <v>1074.46</v>
      </c>
      <c r="S138" s="42">
        <v>299.4</v>
      </c>
      <c r="T138" s="48"/>
      <c r="U138" s="9">
        <f t="shared" si="26"/>
        <v>0.07128029484157475</v>
      </c>
      <c r="V138" s="9">
        <f t="shared" si="27"/>
        <v>0.2693606990766666</v>
      </c>
      <c r="W138" s="9">
        <f t="shared" si="28"/>
        <v>0.3015223931134176</v>
      </c>
      <c r="X138" s="9">
        <f t="shared" si="29"/>
        <v>0.2798546628986677</v>
      </c>
      <c r="Y138" s="9">
        <f t="shared" si="30"/>
        <v>0.07798195006967323</v>
      </c>
    </row>
    <row r="139" spans="2:25" ht="18.75">
      <c r="B139" s="17" t="s">
        <v>381</v>
      </c>
      <c r="C139" s="17" t="s">
        <v>232</v>
      </c>
      <c r="D139" s="7" t="s">
        <v>381</v>
      </c>
      <c r="E139" s="7" t="s">
        <v>232</v>
      </c>
      <c r="F139" s="34" t="s">
        <v>187</v>
      </c>
      <c r="G139" s="34" t="s">
        <v>201</v>
      </c>
      <c r="H139" s="1" t="str">
        <f t="shared" si="25"/>
        <v>HL</v>
      </c>
      <c r="I139" s="176">
        <f t="shared" si="31"/>
        <v>499.38</v>
      </c>
      <c r="J139" s="11">
        <f>(VLOOKUP($H139,'Standard Estimate Uncertainty '!$B$10:$D$18,2)*$I139)+$I139</f>
        <v>474.411</v>
      </c>
      <c r="K139" s="11">
        <f>(VLOOKUP($H139,'Standard Estimate Uncertainty '!$B$10:$D$18,3)*$I139)+$I139</f>
        <v>549.318</v>
      </c>
      <c r="L139" s="168">
        <f t="shared" si="32"/>
        <v>49.93799999999999</v>
      </c>
      <c r="M139" s="168">
        <f t="shared" si="33"/>
        <v>54.85394582784417</v>
      </c>
      <c r="N139" s="207">
        <f t="shared" si="34"/>
        <v>0.109844098337627</v>
      </c>
      <c r="O139" s="42">
        <v>60.42</v>
      </c>
      <c r="P139" s="42">
        <v>159</v>
      </c>
      <c r="Q139" s="42">
        <v>159.36</v>
      </c>
      <c r="R139" s="42">
        <v>101.64</v>
      </c>
      <c r="S139" s="42">
        <v>18.96</v>
      </c>
      <c r="T139" s="48"/>
      <c r="U139" s="9">
        <f t="shared" si="26"/>
        <v>0.1209900276342665</v>
      </c>
      <c r="V139" s="9">
        <f t="shared" si="27"/>
        <v>0.3183948095638592</v>
      </c>
      <c r="W139" s="9">
        <f t="shared" si="28"/>
        <v>0.31911570347230567</v>
      </c>
      <c r="X139" s="9">
        <f t="shared" si="29"/>
        <v>0.20353238015138772</v>
      </c>
      <c r="Y139" s="9">
        <f t="shared" si="30"/>
        <v>0.03796707917818094</v>
      </c>
    </row>
    <row r="140" spans="1:25" ht="18.75">
      <c r="A140">
        <v>82</v>
      </c>
      <c r="B140" s="17" t="s">
        <v>382</v>
      </c>
      <c r="C140" s="17" t="s">
        <v>252</v>
      </c>
      <c r="D140" s="7" t="s">
        <v>382</v>
      </c>
      <c r="E140" s="7" t="s">
        <v>252</v>
      </c>
      <c r="F140" s="184" t="s">
        <v>392</v>
      </c>
      <c r="G140" s="185"/>
      <c r="H140" s="1" t="str">
        <f t="shared" si="25"/>
        <v>FROZEN</v>
      </c>
      <c r="I140" s="176">
        <f t="shared" si="31"/>
        <v>29.62</v>
      </c>
      <c r="J140" s="11">
        <f>I140</f>
        <v>29.62</v>
      </c>
      <c r="K140" s="11">
        <f>I140</f>
        <v>29.62</v>
      </c>
      <c r="L140" s="168">
        <f t="shared" si="32"/>
        <v>0</v>
      </c>
      <c r="M140" s="168">
        <f t="shared" si="33"/>
        <v>0</v>
      </c>
      <c r="N140" s="207">
        <f t="shared" si="34"/>
        <v>0</v>
      </c>
      <c r="O140" s="42">
        <v>29.62</v>
      </c>
      <c r="P140" s="42"/>
      <c r="Q140" s="42"/>
      <c r="R140" s="42"/>
      <c r="S140" s="42"/>
      <c r="T140" s="48"/>
      <c r="U140" s="9">
        <f t="shared" si="26"/>
        <v>1</v>
      </c>
      <c r="V140" s="9">
        <f t="shared" si="27"/>
        <v>0</v>
      </c>
      <c r="W140" s="9">
        <f t="shared" si="28"/>
        <v>0</v>
      </c>
      <c r="X140" s="9">
        <f t="shared" si="29"/>
        <v>0</v>
      </c>
      <c r="Y140" s="9">
        <f t="shared" si="30"/>
        <v>0</v>
      </c>
    </row>
    <row r="141" spans="2:25" ht="18.75">
      <c r="B141" s="17" t="s">
        <v>382</v>
      </c>
      <c r="C141" s="17" t="s">
        <v>232</v>
      </c>
      <c r="D141" s="7" t="s">
        <v>382</v>
      </c>
      <c r="E141" s="7" t="s">
        <v>232</v>
      </c>
      <c r="F141" s="34" t="s">
        <v>187</v>
      </c>
      <c r="G141" s="34" t="s">
        <v>201</v>
      </c>
      <c r="H141" s="1" t="str">
        <f t="shared" si="25"/>
        <v>HL</v>
      </c>
      <c r="I141" s="176">
        <f t="shared" si="31"/>
        <v>2618.96</v>
      </c>
      <c r="J141" s="11">
        <f>(VLOOKUP($H141,'Standard Estimate Uncertainty '!$B$10:$D$18,2)*$I141)+$I141</f>
        <v>2488.012</v>
      </c>
      <c r="K141" s="11">
        <f>(VLOOKUP($H141,'Standard Estimate Uncertainty '!$B$10:$D$18,3)*$I141)+$I141</f>
        <v>2880.856</v>
      </c>
      <c r="L141" s="168">
        <f t="shared" si="32"/>
        <v>261.8960000000002</v>
      </c>
      <c r="M141" s="168">
        <f t="shared" si="33"/>
        <v>287.6772997823119</v>
      </c>
      <c r="N141" s="207">
        <f t="shared" si="34"/>
        <v>0.10984409833762711</v>
      </c>
      <c r="O141" s="42">
        <v>446.73</v>
      </c>
      <c r="P141" s="42">
        <v>665.03</v>
      </c>
      <c r="Q141" s="42">
        <v>662.58</v>
      </c>
      <c r="R141" s="42">
        <v>659.92</v>
      </c>
      <c r="S141" s="42">
        <v>184.7</v>
      </c>
      <c r="T141" s="48"/>
      <c r="U141" s="9">
        <f t="shared" si="26"/>
        <v>0.17057534288419832</v>
      </c>
      <c r="V141" s="9">
        <f t="shared" si="27"/>
        <v>0.25392904053517423</v>
      </c>
      <c r="W141" s="9">
        <f t="shared" si="28"/>
        <v>0.2529935546934661</v>
      </c>
      <c r="X141" s="9">
        <f t="shared" si="29"/>
        <v>0.25197788435104007</v>
      </c>
      <c r="Y141" s="9">
        <f t="shared" si="30"/>
        <v>0.0705241775361212</v>
      </c>
    </row>
    <row r="142" spans="2:25" ht="18.75">
      <c r="B142" s="17" t="s">
        <v>383</v>
      </c>
      <c r="C142" s="17" t="s">
        <v>232</v>
      </c>
      <c r="D142" s="7" t="s">
        <v>383</v>
      </c>
      <c r="E142" s="7" t="s">
        <v>232</v>
      </c>
      <c r="F142" s="34" t="s">
        <v>188</v>
      </c>
      <c r="G142" s="34" t="s">
        <v>188</v>
      </c>
      <c r="H142" s="1" t="str">
        <f t="shared" si="25"/>
        <v>MM</v>
      </c>
      <c r="I142" s="176">
        <f t="shared" si="31"/>
        <v>1407.63</v>
      </c>
      <c r="J142" s="11">
        <f>(VLOOKUP($H142,'Standard Estimate Uncertainty '!$B$10:$D$18,2)*$I142)+$I142</f>
        <v>1196.4855</v>
      </c>
      <c r="K142" s="11">
        <f>(VLOOKUP($H142,'Standard Estimate Uncertainty '!$B$10:$D$18,3)*$I142)+$I142</f>
        <v>1759.5375000000001</v>
      </c>
      <c r="L142" s="168">
        <f t="shared" si="32"/>
        <v>351.9075</v>
      </c>
      <c r="M142" s="168">
        <f t="shared" si="33"/>
        <v>386.54962035748486</v>
      </c>
      <c r="N142" s="207">
        <f t="shared" si="34"/>
        <v>0.27461024584406757</v>
      </c>
      <c r="O142" s="42">
        <v>159.92</v>
      </c>
      <c r="P142" s="42">
        <v>377.18</v>
      </c>
      <c r="Q142" s="42">
        <v>375.67</v>
      </c>
      <c r="R142" s="42">
        <v>374.16</v>
      </c>
      <c r="S142" s="42">
        <v>120.7</v>
      </c>
      <c r="T142" s="48"/>
      <c r="U142" s="9">
        <f t="shared" si="26"/>
        <v>0.11360940019749506</v>
      </c>
      <c r="V142" s="9">
        <f t="shared" si="27"/>
        <v>0.2679539367589494</v>
      </c>
      <c r="W142" s="9">
        <f t="shared" si="28"/>
        <v>0.2668812116820471</v>
      </c>
      <c r="X142" s="9">
        <f t="shared" si="29"/>
        <v>0.26580848660514483</v>
      </c>
      <c r="Y142" s="9">
        <f t="shared" si="30"/>
        <v>0.08574696475636352</v>
      </c>
    </row>
    <row r="143" spans="2:25" ht="18.75">
      <c r="B143" s="17" t="s">
        <v>384</v>
      </c>
      <c r="C143" s="17" t="s">
        <v>232</v>
      </c>
      <c r="D143" s="7" t="s">
        <v>384</v>
      </c>
      <c r="E143" s="7" t="s">
        <v>232</v>
      </c>
      <c r="F143" s="34" t="s">
        <v>188</v>
      </c>
      <c r="G143" s="34" t="s">
        <v>188</v>
      </c>
      <c r="H143" s="1" t="str">
        <f t="shared" si="25"/>
        <v>MM</v>
      </c>
      <c r="I143" s="176">
        <f t="shared" si="31"/>
        <v>1153.99</v>
      </c>
      <c r="J143" s="11">
        <f>(VLOOKUP($H143,'Standard Estimate Uncertainty '!$B$10:$D$18,2)*$I143)+$I143</f>
        <v>980.8915</v>
      </c>
      <c r="K143" s="11">
        <f>(VLOOKUP($H143,'Standard Estimate Uncertainty '!$B$10:$D$18,3)*$I143)+$I143</f>
        <v>1442.4875</v>
      </c>
      <c r="L143" s="168">
        <f t="shared" si="32"/>
        <v>288.49749999999995</v>
      </c>
      <c r="M143" s="168">
        <f t="shared" si="33"/>
        <v>316.8974776015955</v>
      </c>
      <c r="N143" s="207">
        <f t="shared" si="34"/>
        <v>0.2746102458440675</v>
      </c>
      <c r="O143" s="42">
        <v>180.66</v>
      </c>
      <c r="P143" s="42">
        <v>294.59</v>
      </c>
      <c r="Q143" s="42">
        <v>293.41</v>
      </c>
      <c r="R143" s="42">
        <v>292.24</v>
      </c>
      <c r="S143" s="42">
        <v>93.09</v>
      </c>
      <c r="T143" s="48"/>
      <c r="U143" s="9">
        <f t="shared" si="26"/>
        <v>0.15655248312377057</v>
      </c>
      <c r="V143" s="9">
        <f t="shared" si="27"/>
        <v>0.2552795084879418</v>
      </c>
      <c r="W143" s="9">
        <f t="shared" si="28"/>
        <v>0.25425696929782754</v>
      </c>
      <c r="X143" s="9">
        <f t="shared" si="29"/>
        <v>0.25324309569407016</v>
      </c>
      <c r="Y143" s="9">
        <f t="shared" si="30"/>
        <v>0.08066794339638991</v>
      </c>
    </row>
    <row r="144" spans="2:25" ht="18.75">
      <c r="B144" s="40" t="s">
        <v>566</v>
      </c>
      <c r="C144" s="17" t="s">
        <v>232</v>
      </c>
      <c r="D144" s="7" t="s">
        <v>566</v>
      </c>
      <c r="E144" s="7" t="s">
        <v>232</v>
      </c>
      <c r="F144" s="34" t="s">
        <v>201</v>
      </c>
      <c r="G144" s="34" t="s">
        <v>187</v>
      </c>
      <c r="H144" s="1" t="str">
        <f t="shared" si="25"/>
        <v>LH</v>
      </c>
      <c r="I144" s="176">
        <f t="shared" si="31"/>
        <v>596.8599999999999</v>
      </c>
      <c r="J144" s="11">
        <f>(VLOOKUP($H144,'Standard Estimate Uncertainty '!$B$10:$D$18,2)*$I144)+$I144</f>
        <v>417.8019999999999</v>
      </c>
      <c r="K144" s="11">
        <f>(VLOOKUP($H144,'Standard Estimate Uncertainty '!$B$10:$D$18,3)*$I144)+$I144</f>
        <v>954.9759999999999</v>
      </c>
      <c r="L144" s="168">
        <f t="shared" si="32"/>
        <v>358.116</v>
      </c>
      <c r="M144" s="168">
        <f t="shared" si="33"/>
        <v>393.36929120277637</v>
      </c>
      <c r="N144" s="207">
        <f t="shared" si="34"/>
        <v>0.6590645900257622</v>
      </c>
      <c r="O144" s="42">
        <v>101.71</v>
      </c>
      <c r="P144" s="42">
        <v>265.77</v>
      </c>
      <c r="Q144" s="42">
        <v>161.84</v>
      </c>
      <c r="R144" s="42">
        <v>56.01</v>
      </c>
      <c r="S144" s="42">
        <v>11.53</v>
      </c>
      <c r="T144" s="48"/>
      <c r="U144" s="9">
        <f t="shared" si="26"/>
        <v>0.17040847099822407</v>
      </c>
      <c r="V144" s="9">
        <f t="shared" si="27"/>
        <v>0.44528030023791176</v>
      </c>
      <c r="W144" s="9">
        <f t="shared" si="28"/>
        <v>0.27115236403846804</v>
      </c>
      <c r="X144" s="9">
        <f t="shared" si="29"/>
        <v>0.09384110176590826</v>
      </c>
      <c r="Y144" s="9">
        <f t="shared" si="30"/>
        <v>0.019317762959487988</v>
      </c>
    </row>
    <row r="145" spans="2:26" ht="18.75">
      <c r="B145" s="17" t="s">
        <v>385</v>
      </c>
      <c r="C145" s="17" t="s">
        <v>252</v>
      </c>
      <c r="D145" s="7" t="s">
        <v>385</v>
      </c>
      <c r="E145" s="7" t="s">
        <v>252</v>
      </c>
      <c r="F145" s="184" t="s">
        <v>392</v>
      </c>
      <c r="G145" s="185"/>
      <c r="H145" s="1" t="str">
        <f t="shared" si="25"/>
        <v>FROZEN</v>
      </c>
      <c r="I145" s="176">
        <f t="shared" si="31"/>
        <v>18.81</v>
      </c>
      <c r="J145" s="11">
        <f>I145</f>
        <v>18.81</v>
      </c>
      <c r="K145" s="11">
        <f>I145</f>
        <v>18.81</v>
      </c>
      <c r="L145" s="168">
        <f t="shared" si="32"/>
        <v>0</v>
      </c>
      <c r="M145" s="168">
        <f t="shared" si="33"/>
        <v>0</v>
      </c>
      <c r="N145" s="207">
        <f t="shared" si="34"/>
        <v>0</v>
      </c>
      <c r="O145" s="42">
        <v>18.81</v>
      </c>
      <c r="P145" s="42"/>
      <c r="Q145" s="42"/>
      <c r="R145" s="42"/>
      <c r="S145" s="42"/>
      <c r="T145" s="48"/>
      <c r="U145" s="9">
        <f aca="true" t="shared" si="35" ref="U145:Y150">O145/$I145</f>
        <v>1</v>
      </c>
      <c r="V145" s="9">
        <f t="shared" si="35"/>
        <v>0</v>
      </c>
      <c r="W145" s="9">
        <f t="shared" si="35"/>
        <v>0</v>
      </c>
      <c r="X145" s="9">
        <f t="shared" si="35"/>
        <v>0</v>
      </c>
      <c r="Y145" s="9">
        <f t="shared" si="35"/>
        <v>0</v>
      </c>
      <c r="Z145" s="10"/>
    </row>
    <row r="146" spans="2:25" ht="18.75">
      <c r="B146" s="17" t="s">
        <v>386</v>
      </c>
      <c r="C146" s="17" t="s">
        <v>252</v>
      </c>
      <c r="D146" s="7" t="s">
        <v>386</v>
      </c>
      <c r="E146" s="7" t="s">
        <v>252</v>
      </c>
      <c r="F146" s="184" t="s">
        <v>392</v>
      </c>
      <c r="G146" s="185"/>
      <c r="H146" s="1" t="str">
        <f t="shared" si="25"/>
        <v>FROZEN</v>
      </c>
      <c r="I146" s="176">
        <f t="shared" si="31"/>
        <v>120.75</v>
      </c>
      <c r="J146" s="11">
        <f>I146</f>
        <v>120.75</v>
      </c>
      <c r="K146" s="11">
        <f>I146</f>
        <v>120.75</v>
      </c>
      <c r="L146" s="168">
        <f t="shared" si="32"/>
        <v>0</v>
      </c>
      <c r="M146" s="168">
        <f t="shared" si="33"/>
        <v>0</v>
      </c>
      <c r="N146" s="207">
        <f t="shared" si="34"/>
        <v>0</v>
      </c>
      <c r="O146" s="42">
        <v>15.03</v>
      </c>
      <c r="P146" s="42">
        <v>32</v>
      </c>
      <c r="Q146" s="42">
        <v>31.87</v>
      </c>
      <c r="R146" s="42">
        <v>31.74</v>
      </c>
      <c r="S146" s="42">
        <v>10.11</v>
      </c>
      <c r="T146" s="48"/>
      <c r="U146" s="9">
        <f t="shared" si="35"/>
        <v>0.12447204968944099</v>
      </c>
      <c r="V146" s="9">
        <f t="shared" si="35"/>
        <v>0.2650103519668737</v>
      </c>
      <c r="W146" s="9">
        <f t="shared" si="35"/>
        <v>0.2639337474120083</v>
      </c>
      <c r="X146" s="9">
        <f t="shared" si="35"/>
        <v>0.26285714285714284</v>
      </c>
      <c r="Y146" s="9">
        <f t="shared" si="35"/>
        <v>0.08372670807453415</v>
      </c>
    </row>
    <row r="147" spans="1:25" ht="18.75">
      <c r="A147">
        <v>85</v>
      </c>
      <c r="B147" s="17" t="s">
        <v>387</v>
      </c>
      <c r="C147" s="17" t="s">
        <v>232</v>
      </c>
      <c r="D147" s="7" t="s">
        <v>387</v>
      </c>
      <c r="E147" s="7" t="s">
        <v>232</v>
      </c>
      <c r="F147" s="34" t="s">
        <v>187</v>
      </c>
      <c r="G147" s="34" t="s">
        <v>201</v>
      </c>
      <c r="H147" s="1" t="str">
        <f t="shared" si="25"/>
        <v>HL</v>
      </c>
      <c r="I147" s="176">
        <f t="shared" si="31"/>
        <v>418.83</v>
      </c>
      <c r="J147" s="11">
        <f>(VLOOKUP($H147,'Standard Estimate Uncertainty '!$B$10:$D$18,2)*$I147)+$I147</f>
        <v>397.88849999999996</v>
      </c>
      <c r="K147" s="11">
        <f>(VLOOKUP($H147,'Standard Estimate Uncertainty '!$B$10:$D$18,3)*$I147)+$I147</f>
        <v>460.71299999999997</v>
      </c>
      <c r="L147" s="168">
        <f t="shared" si="32"/>
        <v>41.88299999999998</v>
      </c>
      <c r="M147" s="168">
        <f t="shared" si="33"/>
        <v>46.0060037067483</v>
      </c>
      <c r="N147" s="207">
        <f t="shared" si="34"/>
        <v>0.10984409833762697</v>
      </c>
      <c r="O147" s="42"/>
      <c r="P147" s="42"/>
      <c r="Q147" s="42"/>
      <c r="R147" s="42"/>
      <c r="S147" s="42">
        <v>418.83</v>
      </c>
      <c r="T147" s="48"/>
      <c r="U147" s="9">
        <f t="shared" si="35"/>
        <v>0</v>
      </c>
      <c r="V147" s="9">
        <f t="shared" si="35"/>
        <v>0</v>
      </c>
      <c r="W147" s="9">
        <f t="shared" si="35"/>
        <v>0</v>
      </c>
      <c r="X147" s="9">
        <f t="shared" si="35"/>
        <v>0</v>
      </c>
      <c r="Y147" s="9">
        <f t="shared" si="35"/>
        <v>1</v>
      </c>
    </row>
    <row r="148" spans="2:25" ht="18.75">
      <c r="B148" s="17" t="s">
        <v>387</v>
      </c>
      <c r="C148" s="17" t="s">
        <v>253</v>
      </c>
      <c r="D148" s="7" t="s">
        <v>387</v>
      </c>
      <c r="E148" s="7" t="s">
        <v>253</v>
      </c>
      <c r="F148" s="34" t="s">
        <v>187</v>
      </c>
      <c r="G148" s="34" t="s">
        <v>201</v>
      </c>
      <c r="H148" s="1" t="str">
        <f t="shared" si="25"/>
        <v>HL</v>
      </c>
      <c r="I148" s="176">
        <f t="shared" si="31"/>
        <v>346</v>
      </c>
      <c r="J148" s="11">
        <f>(VLOOKUP($H148,'Standard Estimate Uncertainty '!$B$10:$D$18,2)*$I148)+$I148</f>
        <v>328.7</v>
      </c>
      <c r="K148" s="11">
        <f>(VLOOKUP($H148,'Standard Estimate Uncertainty '!$B$10:$D$18,3)*$I148)+$I148</f>
        <v>380.6</v>
      </c>
      <c r="L148" s="168">
        <f t="shared" si="32"/>
        <v>34.60000000000002</v>
      </c>
      <c r="M148" s="168">
        <f t="shared" si="33"/>
        <v>38.00605802481898</v>
      </c>
      <c r="N148" s="207">
        <f t="shared" si="34"/>
        <v>0.1098440983376271</v>
      </c>
      <c r="O148" s="42"/>
      <c r="P148" s="42"/>
      <c r="Q148" s="42">
        <v>275.78</v>
      </c>
      <c r="R148" s="42">
        <v>70.22</v>
      </c>
      <c r="S148" s="42"/>
      <c r="T148" s="48"/>
      <c r="U148" s="9">
        <f t="shared" si="35"/>
        <v>0</v>
      </c>
      <c r="V148" s="9">
        <f t="shared" si="35"/>
        <v>0</v>
      </c>
      <c r="W148" s="9">
        <f t="shared" si="35"/>
        <v>0.7970520231213872</v>
      </c>
      <c r="X148" s="9">
        <f t="shared" si="35"/>
        <v>0.2029479768786127</v>
      </c>
      <c r="Y148" s="9">
        <f t="shared" si="35"/>
        <v>0</v>
      </c>
    </row>
    <row r="149" spans="1:25" ht="18.75">
      <c r="A149">
        <v>89</v>
      </c>
      <c r="B149" s="17" t="s">
        <v>388</v>
      </c>
      <c r="C149" s="17" t="s">
        <v>232</v>
      </c>
      <c r="D149" s="7" t="s">
        <v>388</v>
      </c>
      <c r="E149" s="7" t="s">
        <v>232</v>
      </c>
      <c r="F149" s="34" t="s">
        <v>187</v>
      </c>
      <c r="G149" s="34" t="s">
        <v>201</v>
      </c>
      <c r="H149" s="1" t="str">
        <f t="shared" si="25"/>
        <v>HL</v>
      </c>
      <c r="I149" s="176">
        <f t="shared" si="31"/>
        <v>1453.77</v>
      </c>
      <c r="J149" s="11">
        <f>(VLOOKUP($H149,'Standard Estimate Uncertainty '!$B$10:$D$18,2)*$I149)+$I149</f>
        <v>1381.0815</v>
      </c>
      <c r="K149" s="11">
        <f>(VLOOKUP($H149,'Standard Estimate Uncertainty '!$B$10:$D$18,3)*$I149)+$I149</f>
        <v>1599.147</v>
      </c>
      <c r="L149" s="169">
        <f t="shared" si="32"/>
        <v>145.37699999999995</v>
      </c>
      <c r="M149" s="169">
        <f t="shared" si="33"/>
        <v>159.68805484029198</v>
      </c>
      <c r="N149" s="207">
        <f t="shared" si="34"/>
        <v>0.10984409833762698</v>
      </c>
      <c r="O149" s="42">
        <v>144.04</v>
      </c>
      <c r="P149" s="42">
        <v>384.38</v>
      </c>
      <c r="Q149" s="42">
        <v>406.23</v>
      </c>
      <c r="R149" s="42">
        <v>430.8</v>
      </c>
      <c r="S149" s="42">
        <v>88.32</v>
      </c>
      <c r="T149" s="48"/>
      <c r="U149" s="9">
        <f t="shared" si="35"/>
        <v>0.09908032219677115</v>
      </c>
      <c r="V149" s="9">
        <f t="shared" si="35"/>
        <v>0.26440220942790127</v>
      </c>
      <c r="W149" s="9">
        <f t="shared" si="35"/>
        <v>0.2794320972368394</v>
      </c>
      <c r="X149" s="9">
        <f t="shared" si="35"/>
        <v>0.2963329825213067</v>
      </c>
      <c r="Y149" s="9">
        <f t="shared" si="35"/>
        <v>0.06075238861718153</v>
      </c>
    </row>
    <row r="150" spans="2:26" ht="18.75">
      <c r="B150" s="35"/>
      <c r="C150" s="35"/>
      <c r="D150" s="163"/>
      <c r="E150" s="163"/>
      <c r="F150" s="35"/>
      <c r="G150" s="34" t="s">
        <v>389</v>
      </c>
      <c r="H150" s="8"/>
      <c r="I150" s="177">
        <f>SUM(I3:I149)</f>
        <v>50848.67999999999</v>
      </c>
      <c r="J150" s="11">
        <f>SUM(J3:J149)</f>
        <v>44071.517</v>
      </c>
      <c r="K150" s="11">
        <f>SUM(K3:K149)</f>
        <v>63349.12400000003</v>
      </c>
      <c r="L150" s="179">
        <f>SUM(L3:L149)</f>
        <v>12500.444000000003</v>
      </c>
      <c r="M150" s="160">
        <f>SUM(M3:M149)</f>
        <v>13731</v>
      </c>
      <c r="N150" s="208"/>
      <c r="O150" s="44">
        <f>SUM(O3:O149)</f>
        <v>6204.6</v>
      </c>
      <c r="P150" s="44">
        <f>SUM(P3:P149)</f>
        <v>14392.4</v>
      </c>
      <c r="Q150" s="44">
        <f>SUM(Q3:Q149)</f>
        <v>15066.300000000001</v>
      </c>
      <c r="R150" s="44">
        <f>SUM(R3:R149)</f>
        <v>12583.029999999997</v>
      </c>
      <c r="S150" s="44">
        <f>SUM(S3:S149)</f>
        <v>2602.350000000001</v>
      </c>
      <c r="T150" s="48"/>
      <c r="U150" s="9">
        <f t="shared" si="35"/>
        <v>0.12202086661836652</v>
      </c>
      <c r="V150" s="9">
        <f t="shared" si="35"/>
        <v>0.2830437289620891</v>
      </c>
      <c r="W150" s="9">
        <f t="shared" si="35"/>
        <v>0.29629677702548035</v>
      </c>
      <c r="X150" s="9">
        <f t="shared" si="35"/>
        <v>0.24746030772086902</v>
      </c>
      <c r="Y150" s="9">
        <f t="shared" si="35"/>
        <v>0.05117831967319508</v>
      </c>
      <c r="Z150" s="10">
        <f>SUM(U150:Y150)</f>
        <v>1</v>
      </c>
    </row>
    <row r="151" spans="4:19" ht="18">
      <c r="D151" s="8"/>
      <c r="E151" s="8"/>
      <c r="F151"/>
      <c r="G151" s="36" t="s">
        <v>390</v>
      </c>
      <c r="I151" s="177">
        <v>67306</v>
      </c>
      <c r="J151" s="37">
        <f>(J150/I150)-1</f>
        <v>-0.13328100159138834</v>
      </c>
      <c r="K151" s="37">
        <f>(K150/I150)-1</f>
        <v>0.24583615543215753</v>
      </c>
      <c r="L151" s="170"/>
      <c r="M151" s="161"/>
      <c r="O151" s="45">
        <f>SUM(O150:S150)</f>
        <v>50848.68</v>
      </c>
      <c r="P151" s="43"/>
      <c r="Q151" s="43"/>
      <c r="R151" s="43"/>
      <c r="S151" s="43"/>
    </row>
    <row r="152" spans="6:14" ht="18">
      <c r="F152"/>
      <c r="G152" s="34" t="s">
        <v>391</v>
      </c>
      <c r="I152" s="177">
        <f>SUM(I150:I151)</f>
        <v>118154.68</v>
      </c>
      <c r="J152" s="4"/>
      <c r="K152" s="159">
        <f>SUM(K3:K149)</f>
        <v>63349.12400000003</v>
      </c>
      <c r="L152" s="172"/>
      <c r="M152" s="162"/>
      <c r="N152" s="180"/>
    </row>
    <row r="153" spans="11:13" ht="20.25">
      <c r="K153" s="178" t="s">
        <v>571</v>
      </c>
      <c r="M153" s="178">
        <v>13731</v>
      </c>
    </row>
    <row r="154" spans="3:14" ht="18">
      <c r="C154" s="3"/>
      <c r="J154" s="5"/>
      <c r="K154" s="5"/>
      <c r="L154" s="173"/>
      <c r="M154" s="173"/>
      <c r="N154" s="181"/>
    </row>
    <row r="155" spans="3:14" ht="18">
      <c r="C155" s="3"/>
      <c r="D155" s="164"/>
      <c r="E155" s="164"/>
      <c r="J155" s="5"/>
      <c r="K155" s="5"/>
      <c r="L155" s="173"/>
      <c r="M155" s="173"/>
      <c r="N155" s="181"/>
    </row>
    <row r="156" spans="3:5" ht="18">
      <c r="C156" s="3"/>
      <c r="D156" s="164"/>
      <c r="E156" s="164"/>
    </row>
    <row r="157" spans="4:5" ht="18">
      <c r="D157" s="164"/>
      <c r="E157" s="164"/>
    </row>
  </sheetData>
  <mergeCells count="13">
    <mergeCell ref="U1:Y1"/>
    <mergeCell ref="J1:K1"/>
    <mergeCell ref="F10:G10"/>
    <mergeCell ref="F9:G9"/>
    <mergeCell ref="F140:G140"/>
    <mergeCell ref="F145:G145"/>
    <mergeCell ref="F146:G146"/>
    <mergeCell ref="F18:G18"/>
    <mergeCell ref="F137:G137"/>
    <mergeCell ref="F133:G133"/>
    <mergeCell ref="F20:G20"/>
    <mergeCell ref="F19:G19"/>
    <mergeCell ref="F106:G106"/>
  </mergeCells>
  <printOptions gridLines="1" headings="1"/>
  <pageMargins left="0.38" right="0.22" top="0.48" bottom="0.43" header="0.17" footer="0.32"/>
  <pageSetup fitToHeight="4" fitToWidth="1" horizontalDpi="600" verticalDpi="600" orientation="landscape" scale="65" r:id="rId4"/>
  <headerFooter alignWithMargins="0">
    <oddFooter>&amp;L&amp;F&amp;Cpage &amp;P of  &amp;N&amp;R&amp;D   &amp;T</oddFooter>
  </headerFooter>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J20"/>
  <sheetViews>
    <sheetView workbookViewId="0" topLeftCell="A1">
      <selection activeCell="A1" sqref="A1:IV16384"/>
    </sheetView>
  </sheetViews>
  <sheetFormatPr defaultColWidth="9.140625" defaultRowHeight="12.75"/>
  <cols>
    <col min="1" max="1" width="4.28125" style="53" customWidth="1"/>
    <col min="2" max="2" width="68.00390625" style="53" customWidth="1"/>
    <col min="3" max="4" width="11.57421875" style="57" customWidth="1"/>
    <col min="5" max="5" width="9.7109375" style="57" customWidth="1"/>
    <col min="6" max="6" width="7.8515625" style="57" customWidth="1"/>
    <col min="7" max="7" width="9.421875" style="53" customWidth="1"/>
    <col min="8" max="8" width="10.7109375" style="53" customWidth="1"/>
    <col min="9" max="9" width="10.57421875" style="53" customWidth="1"/>
    <col min="10" max="10" width="11.140625" style="53" customWidth="1"/>
    <col min="11" max="16384" width="9.140625" style="53" customWidth="1"/>
  </cols>
  <sheetData>
    <row r="1" ht="18">
      <c r="A1" s="70" t="s">
        <v>396</v>
      </c>
    </row>
    <row r="2" spans="1:6" ht="12.75">
      <c r="A2" s="49"/>
      <c r="C2" s="50"/>
      <c r="D2" s="50"/>
      <c r="E2" s="183" t="s">
        <v>397</v>
      </c>
      <c r="F2" s="183"/>
    </row>
    <row r="3" spans="1:10" ht="63.75">
      <c r="A3" s="51" t="s">
        <v>398</v>
      </c>
      <c r="C3" s="71" t="s">
        <v>547</v>
      </c>
      <c r="D3" s="71" t="s">
        <v>404</v>
      </c>
      <c r="E3" s="52" t="s">
        <v>171</v>
      </c>
      <c r="F3" s="52" t="s">
        <v>173</v>
      </c>
      <c r="G3" s="71" t="s">
        <v>405</v>
      </c>
      <c r="H3" s="71" t="s">
        <v>549</v>
      </c>
      <c r="I3" s="71" t="s">
        <v>406</v>
      </c>
      <c r="J3" s="71" t="s">
        <v>548</v>
      </c>
    </row>
    <row r="4" ht="12.75"/>
    <row r="5" ht="12.75">
      <c r="A5" s="72" t="s">
        <v>399</v>
      </c>
    </row>
    <row r="6" spans="1:9" ht="12.75">
      <c r="A6" s="53" t="s">
        <v>400</v>
      </c>
      <c r="C6" s="73">
        <v>4.43</v>
      </c>
      <c r="D6" s="57" t="s">
        <v>180</v>
      </c>
      <c r="E6" s="74">
        <f>(VLOOKUP($D6,'Standard Estimate Uncertainty '!$B$10:$D$18,2)*$C6)+$C6</f>
        <v>3.5439999999999996</v>
      </c>
      <c r="F6" s="74">
        <f>(VLOOKUP($D6,'Standard Estimate Uncertainty '!$B$10:$D$18,3)*$C6)+$C6</f>
        <v>6.202</v>
      </c>
      <c r="G6" s="75">
        <v>6.201999999999999</v>
      </c>
      <c r="H6" s="53">
        <v>0</v>
      </c>
      <c r="I6" s="53">
        <f>H6</f>
        <v>0</v>
      </c>
    </row>
    <row r="7" spans="1:9" ht="12.75">
      <c r="A7" s="53" t="s">
        <v>540</v>
      </c>
      <c r="C7" s="73">
        <v>1.42</v>
      </c>
      <c r="D7" s="57" t="s">
        <v>185</v>
      </c>
      <c r="E7" s="74">
        <f>(VLOOKUP($D7,'Standard Estimate Uncertainty '!$B$10:$D$18,2)*$C7)+$C7</f>
        <v>1.278</v>
      </c>
      <c r="F7" s="74">
        <f>(VLOOKUP($D7,'Standard Estimate Uncertainty '!$B$10:$D$18,3)*$C7)+$C7</f>
        <v>1.633</v>
      </c>
      <c r="G7" s="75">
        <v>1.6329999999999998</v>
      </c>
      <c r="H7" s="53">
        <v>0</v>
      </c>
      <c r="I7" s="53">
        <f>H7</f>
        <v>0</v>
      </c>
    </row>
    <row r="8" spans="1:7" ht="12.75">
      <c r="A8" s="53" t="s">
        <v>541</v>
      </c>
      <c r="C8" s="73"/>
      <c r="E8" s="74"/>
      <c r="F8" s="74"/>
      <c r="G8" s="75"/>
    </row>
    <row r="9" spans="2:10" ht="12.75">
      <c r="B9" s="53" t="s">
        <v>542</v>
      </c>
      <c r="C9" s="73">
        <v>6.76</v>
      </c>
      <c r="D9" s="57" t="s">
        <v>178</v>
      </c>
      <c r="E9" s="74">
        <f>(VLOOKUP($D9,'Standard Estimate Uncertainty '!$B$10:$D$18,2)*$C9)+$C9</f>
        <v>4.731999999999999</v>
      </c>
      <c r="F9" s="74">
        <f>(VLOOKUP($D9,'Standard Estimate Uncertainty '!$B$10:$D$18,3)*$C9)+$C9</f>
        <v>10.815999999999999</v>
      </c>
      <c r="G9" s="75">
        <v>6.8</v>
      </c>
      <c r="H9" s="53">
        <v>0</v>
      </c>
      <c r="I9" s="53">
        <f>IF(H9&gt;G9,G9,H9)</f>
        <v>0</v>
      </c>
      <c r="J9" s="53">
        <f>IF(H9&gt;G9,(H9-G9)*'Misc Inputs'!$F$25,0)</f>
        <v>0</v>
      </c>
    </row>
    <row r="10" spans="2:10" ht="12.75">
      <c r="B10" s="53" t="s">
        <v>543</v>
      </c>
      <c r="C10" s="73">
        <v>4.5</v>
      </c>
      <c r="D10" s="57" t="s">
        <v>178</v>
      </c>
      <c r="E10" s="74">
        <f>(VLOOKUP($D10,'Standard Estimate Uncertainty '!$B$10:$D$18,2)*$C10)+$C10</f>
        <v>3.1500000000000004</v>
      </c>
      <c r="F10" s="74">
        <f>(VLOOKUP($D10,'Standard Estimate Uncertainty '!$B$10:$D$18,3)*$C10)+$C10</f>
        <v>7.199999999999999</v>
      </c>
      <c r="G10" s="75">
        <v>4.5</v>
      </c>
      <c r="H10" s="53">
        <v>0</v>
      </c>
      <c r="I10" s="53">
        <f>IF(H10&gt;G10,G10,H10)</f>
        <v>0</v>
      </c>
      <c r="J10" s="53">
        <f>IF(H10&gt;G10,(H10-G10)*'Misc Inputs'!$F$25,0)</f>
        <v>0</v>
      </c>
    </row>
    <row r="11" spans="1:10" ht="12.75">
      <c r="A11" s="53" t="s">
        <v>544</v>
      </c>
      <c r="C11" s="73"/>
      <c r="G11" s="75"/>
      <c r="J11" s="53">
        <f>IF(H11&gt;G11,(H11-G11)*'Misc Inputs'!$F$25,0)</f>
        <v>0</v>
      </c>
    </row>
    <row r="12" spans="2:10" ht="12.75">
      <c r="B12" s="53" t="s">
        <v>545</v>
      </c>
      <c r="C12" s="73">
        <v>8.66</v>
      </c>
      <c r="D12" s="57" t="s">
        <v>180</v>
      </c>
      <c r="E12" s="74">
        <f>(VLOOKUP($D12,'Standard Estimate Uncertainty '!$B$10:$D$18,2)*$C12)+$C12</f>
        <v>6.928</v>
      </c>
      <c r="F12" s="74">
        <f>(VLOOKUP($D12,'Standard Estimate Uncertainty '!$B$10:$D$18,3)*$C12)+$C12</f>
        <v>12.124</v>
      </c>
      <c r="G12" s="75">
        <v>8.7</v>
      </c>
      <c r="H12" s="53">
        <v>0</v>
      </c>
      <c r="I12" s="53">
        <f>IF(H12&gt;G12,G12,H12)</f>
        <v>0</v>
      </c>
      <c r="J12" s="53">
        <f>IF(I12&gt;H12,H12,I12)</f>
        <v>0</v>
      </c>
    </row>
    <row r="13" spans="1:9" ht="12.75">
      <c r="A13" s="53" t="s">
        <v>546</v>
      </c>
      <c r="C13" s="73">
        <v>18.48</v>
      </c>
      <c r="D13" s="57" t="s">
        <v>180</v>
      </c>
      <c r="E13" s="74">
        <f>(VLOOKUP($D13,'Standard Estimate Uncertainty '!$B$10:$D$18,2)*$C13)+$C13</f>
        <v>14.784</v>
      </c>
      <c r="F13" s="74">
        <f>(VLOOKUP($D13,'Standard Estimate Uncertainty '!$B$10:$D$18,3)*$C13)+$C13</f>
        <v>25.872</v>
      </c>
      <c r="G13" s="75">
        <v>25.872</v>
      </c>
      <c r="H13" s="53">
        <v>0</v>
      </c>
      <c r="I13" s="53">
        <f>H13</f>
        <v>0</v>
      </c>
    </row>
    <row r="14" spans="1:9" ht="12.75">
      <c r="A14" s="53" t="s">
        <v>401</v>
      </c>
      <c r="C14" s="73">
        <v>1</v>
      </c>
      <c r="D14" s="57" t="s">
        <v>184</v>
      </c>
      <c r="E14" s="74">
        <f>(VLOOKUP($D14,'Standard Estimate Uncertainty '!$B$10:$D$18,2)*$C14)+$C14</f>
        <v>0.95</v>
      </c>
      <c r="F14" s="74">
        <f>(VLOOKUP($D14,'Standard Estimate Uncertainty '!$B$10:$D$18,3)*$C14)+$C14</f>
        <v>1.1</v>
      </c>
      <c r="G14" s="75">
        <f>F14</f>
        <v>1.1</v>
      </c>
      <c r="H14" s="53">
        <v>0</v>
      </c>
      <c r="I14" s="53">
        <f>H14</f>
        <v>0</v>
      </c>
    </row>
    <row r="15" spans="3:7" ht="12.75">
      <c r="C15" s="74"/>
      <c r="E15" s="74"/>
      <c r="F15" s="74"/>
      <c r="G15" s="75"/>
    </row>
    <row r="16" spans="3:10" ht="12.75">
      <c r="C16" s="74">
        <f>SUM(C6:C14)</f>
        <v>45.25</v>
      </c>
      <c r="E16" s="74">
        <f>SUM(E6:E14)</f>
        <v>35.366</v>
      </c>
      <c r="F16" s="74">
        <f>SUM(F6:F14)</f>
        <v>64.947</v>
      </c>
      <c r="G16" s="75">
        <f>SUM(G6:G14)</f>
        <v>54.806999999999995</v>
      </c>
      <c r="I16" s="53">
        <f>SUM(I6:I14)</f>
        <v>0</v>
      </c>
      <c r="J16" s="53">
        <f>SUM(J6:J14)</f>
        <v>0</v>
      </c>
    </row>
    <row r="17" spans="3:6" ht="12.75">
      <c r="C17" s="74"/>
      <c r="E17" s="74"/>
      <c r="F17" s="74"/>
    </row>
    <row r="18" spans="2:6" ht="12.75">
      <c r="B18" s="64"/>
      <c r="C18" s="74"/>
      <c r="E18" s="74"/>
      <c r="F18" s="74"/>
    </row>
    <row r="19" spans="2:6" ht="12.75">
      <c r="B19" s="64"/>
      <c r="C19" s="74"/>
      <c r="E19" s="74"/>
      <c r="F19" s="74"/>
    </row>
    <row r="20" spans="2:4" ht="12.75">
      <c r="B20" s="53" t="s">
        <v>402</v>
      </c>
      <c r="C20" s="76">
        <f>'Misc Inputs'!F16</f>
        <v>201.75</v>
      </c>
      <c r="D20" s="57" t="s">
        <v>403</v>
      </c>
    </row>
  </sheetData>
  <mergeCells count="1">
    <mergeCell ref="E2:F2"/>
  </mergeCells>
  <printOptions/>
  <pageMargins left="0.75" right="0.75" top="1" bottom="1" header="0.5" footer="0.5"/>
  <pageSetup fitToHeight="1" fitToWidth="1" horizontalDpi="1200" verticalDpi="1200" orientation="landscape" scale="99" r:id="rId4"/>
  <drawing r:id="rId3"/>
  <legacyDrawing r:id="rId2"/>
</worksheet>
</file>

<file path=xl/worksheets/sheet8.xml><?xml version="1.0" encoding="utf-8"?>
<worksheet xmlns="http://schemas.openxmlformats.org/spreadsheetml/2006/main" xmlns:r="http://schemas.openxmlformats.org/officeDocument/2006/relationships">
  <sheetPr codeName="Sheet2">
    <pageSetUpPr fitToPage="1"/>
  </sheetPr>
  <dimension ref="A1:R58"/>
  <sheetViews>
    <sheetView zoomScale="75" zoomScaleNormal="75" workbookViewId="0" topLeftCell="A1">
      <pane xSplit="3" ySplit="3" topLeftCell="E4" activePane="bottomRight" state="frozen"/>
      <selection pane="topLeft" activeCell="A1" sqref="A1"/>
      <selection pane="topRight" activeCell="C1" sqref="C1"/>
      <selection pane="bottomLeft" activeCell="A4" sqref="A4"/>
      <selection pane="bottomRight" activeCell="A1" sqref="A1:IV16384"/>
    </sheetView>
  </sheetViews>
  <sheetFormatPr defaultColWidth="9.140625" defaultRowHeight="12.75"/>
  <cols>
    <col min="1" max="1" width="8.421875" style="129" customWidth="1"/>
    <col min="2" max="2" width="6.57421875" style="129" customWidth="1"/>
    <col min="3" max="3" width="43.7109375" style="130" customWidth="1"/>
    <col min="4" max="4" width="32.140625" style="130" hidden="1" customWidth="1"/>
    <col min="5" max="5" width="16.28125" style="129" customWidth="1"/>
    <col min="6" max="6" width="18.421875" style="101" hidden="1" customWidth="1"/>
    <col min="7" max="7" width="13.28125" style="101" hidden="1" customWidth="1"/>
    <col min="8" max="8" width="23.140625" style="101" hidden="1" customWidth="1"/>
    <col min="9" max="9" width="9.140625" style="101" bestFit="1" customWidth="1"/>
    <col min="10" max="10" width="11.00390625" style="101" bestFit="1" customWidth="1"/>
    <col min="11" max="11" width="8.8515625" style="101" bestFit="1" customWidth="1"/>
    <col min="12" max="12" width="9.28125" style="101" bestFit="1" customWidth="1"/>
    <col min="13" max="13" width="3.57421875" style="101" customWidth="1"/>
    <col min="14" max="14" width="12.00390625" style="101" customWidth="1"/>
    <col min="15" max="15" width="12.140625" style="101" customWidth="1"/>
    <col min="16" max="16" width="14.421875" style="101" customWidth="1"/>
    <col min="17" max="17" width="12.421875" style="101" customWidth="1"/>
    <col min="18" max="18" width="14.8515625" style="101" customWidth="1"/>
    <col min="19" max="16384" width="9.140625" style="101" customWidth="1"/>
  </cols>
  <sheetData>
    <row r="1" spans="1:14" s="78" customFormat="1" ht="15.75">
      <c r="A1" s="77" t="s">
        <v>475</v>
      </c>
      <c r="B1" s="77"/>
      <c r="C1" s="77"/>
      <c r="D1" s="77"/>
      <c r="E1" s="77"/>
      <c r="F1" s="77"/>
      <c r="G1" s="77"/>
      <c r="H1" s="77"/>
      <c r="I1" s="77"/>
      <c r="J1" s="77"/>
      <c r="K1" s="77"/>
      <c r="L1" s="77"/>
      <c r="M1" s="77"/>
      <c r="N1" s="77"/>
    </row>
    <row r="2" spans="1:14" s="84" customFormat="1" ht="32.25" customHeight="1">
      <c r="A2" s="79"/>
      <c r="B2" s="80"/>
      <c r="C2" s="81"/>
      <c r="D2" s="81"/>
      <c r="E2" s="81"/>
      <c r="F2" s="82"/>
      <c r="G2" s="82"/>
      <c r="H2" s="81"/>
      <c r="I2" s="188" t="s">
        <v>476</v>
      </c>
      <c r="J2" s="189"/>
      <c r="K2" s="188" t="s">
        <v>477</v>
      </c>
      <c r="L2" s="190"/>
      <c r="M2" s="83"/>
      <c r="N2" s="83"/>
    </row>
    <row r="3" spans="1:18" s="91" customFormat="1" ht="34.5">
      <c r="A3" s="85" t="s">
        <v>478</v>
      </c>
      <c r="B3" s="86" t="s">
        <v>175</v>
      </c>
      <c r="C3" s="87" t="s">
        <v>479</v>
      </c>
      <c r="D3" s="87" t="s">
        <v>480</v>
      </c>
      <c r="E3" s="87" t="s">
        <v>75</v>
      </c>
      <c r="F3" s="88" t="s">
        <v>481</v>
      </c>
      <c r="G3" s="88" t="s">
        <v>482</v>
      </c>
      <c r="H3" s="87" t="s">
        <v>483</v>
      </c>
      <c r="I3" s="89" t="s">
        <v>484</v>
      </c>
      <c r="J3" s="88" t="s">
        <v>485</v>
      </c>
      <c r="K3" s="89" t="s">
        <v>486</v>
      </c>
      <c r="L3" s="90" t="s">
        <v>487</v>
      </c>
      <c r="M3" s="88"/>
      <c r="N3" s="88" t="s">
        <v>488</v>
      </c>
      <c r="O3" s="91" t="s">
        <v>489</v>
      </c>
      <c r="P3" s="88" t="s">
        <v>490</v>
      </c>
      <c r="Q3" s="88" t="s">
        <v>491</v>
      </c>
      <c r="R3" s="88" t="s">
        <v>492</v>
      </c>
    </row>
    <row r="4" spans="1:18" ht="45" customHeight="1">
      <c r="A4" s="92">
        <v>1</v>
      </c>
      <c r="B4" s="93" t="s">
        <v>493</v>
      </c>
      <c r="C4" s="94" t="s">
        <v>494</v>
      </c>
      <c r="D4" s="94" t="s">
        <v>495</v>
      </c>
      <c r="E4" s="95" t="s">
        <v>496</v>
      </c>
      <c r="F4" s="95" t="s">
        <v>497</v>
      </c>
      <c r="G4" s="96" t="s">
        <v>171</v>
      </c>
      <c r="H4" s="94" t="s">
        <v>498</v>
      </c>
      <c r="I4" s="97">
        <v>200</v>
      </c>
      <c r="J4" s="98">
        <v>400</v>
      </c>
      <c r="K4" s="99">
        <v>0</v>
      </c>
      <c r="L4" s="99">
        <v>0</v>
      </c>
      <c r="M4" s="100"/>
      <c r="N4" s="100">
        <v>0</v>
      </c>
      <c r="P4" s="101">
        <f>VLOOKUP(E4,Likelihood!$A$24:$C$28,3)</f>
        <v>0</v>
      </c>
      <c r="Q4" s="101">
        <f aca="true" t="shared" si="0" ref="Q4:Q21">N4*P4</f>
        <v>0</v>
      </c>
      <c r="R4" s="101">
        <f aca="true" t="shared" si="1" ref="R4:R21">O4*P4</f>
        <v>0</v>
      </c>
    </row>
    <row r="5" spans="1:18" ht="45" customHeight="1">
      <c r="A5" s="92">
        <v>2</v>
      </c>
      <c r="B5" s="102" t="s">
        <v>499</v>
      </c>
      <c r="C5" s="94" t="s">
        <v>500</v>
      </c>
      <c r="D5" s="94" t="s">
        <v>501</v>
      </c>
      <c r="E5" s="103" t="s">
        <v>502</v>
      </c>
      <c r="F5" s="103" t="s">
        <v>503</v>
      </c>
      <c r="G5" s="96" t="s">
        <v>171</v>
      </c>
      <c r="H5" s="94" t="s">
        <v>504</v>
      </c>
      <c r="I5" s="97">
        <v>15</v>
      </c>
      <c r="J5" s="98">
        <v>35</v>
      </c>
      <c r="K5" s="99">
        <v>0</v>
      </c>
      <c r="L5" s="99">
        <v>0</v>
      </c>
      <c r="M5" s="100"/>
      <c r="N5" s="100">
        <v>0</v>
      </c>
      <c r="P5" s="101">
        <f>VLOOKUP(E5,Likelihood!$A$24:$C$28,3)</f>
        <v>0</v>
      </c>
      <c r="Q5" s="101">
        <f t="shared" si="0"/>
        <v>0</v>
      </c>
      <c r="R5" s="101">
        <f t="shared" si="1"/>
        <v>0</v>
      </c>
    </row>
    <row r="6" spans="1:18" ht="45" customHeight="1">
      <c r="A6" s="92">
        <v>3</v>
      </c>
      <c r="B6" s="102" t="s">
        <v>505</v>
      </c>
      <c r="C6" s="94" t="s">
        <v>506</v>
      </c>
      <c r="D6" s="94" t="s">
        <v>507</v>
      </c>
      <c r="E6" s="103" t="s">
        <v>502</v>
      </c>
      <c r="F6" s="103" t="s">
        <v>503</v>
      </c>
      <c r="G6" s="96" t="s">
        <v>171</v>
      </c>
      <c r="H6" s="94" t="s">
        <v>504</v>
      </c>
      <c r="I6" s="97">
        <v>15</v>
      </c>
      <c r="J6" s="98">
        <v>35</v>
      </c>
      <c r="K6" s="99">
        <v>0</v>
      </c>
      <c r="L6" s="99">
        <v>0</v>
      </c>
      <c r="M6" s="100"/>
      <c r="N6" s="100">
        <v>0</v>
      </c>
      <c r="P6" s="101">
        <f>VLOOKUP(E6,Likelihood!$A$24:$C$28,3)</f>
        <v>0</v>
      </c>
      <c r="Q6" s="101">
        <f t="shared" si="0"/>
        <v>0</v>
      </c>
      <c r="R6" s="101">
        <f t="shared" si="1"/>
        <v>0</v>
      </c>
    </row>
    <row r="7" spans="1:18" ht="45" customHeight="1">
      <c r="A7" s="92">
        <v>4</v>
      </c>
      <c r="B7" s="104" t="s">
        <v>508</v>
      </c>
      <c r="C7" s="105" t="s">
        <v>509</v>
      </c>
      <c r="D7" s="105" t="s">
        <v>510</v>
      </c>
      <c r="E7" s="106" t="s">
        <v>502</v>
      </c>
      <c r="F7" s="106" t="s">
        <v>511</v>
      </c>
      <c r="G7" s="107" t="s">
        <v>512</v>
      </c>
      <c r="H7" s="105" t="s">
        <v>513</v>
      </c>
      <c r="I7" s="108">
        <v>-100</v>
      </c>
      <c r="J7" s="109">
        <v>600</v>
      </c>
      <c r="K7" s="110">
        <v>1</v>
      </c>
      <c r="L7" s="110">
        <v>2</v>
      </c>
      <c r="M7" s="100"/>
      <c r="N7" s="100">
        <v>0</v>
      </c>
      <c r="O7" s="101">
        <v>0</v>
      </c>
      <c r="P7" s="101">
        <f>VLOOKUP(E7,Likelihood!$A$24:$C$28,3)</f>
        <v>0</v>
      </c>
      <c r="Q7" s="101">
        <f t="shared" si="0"/>
        <v>0</v>
      </c>
      <c r="R7" s="101">
        <f t="shared" si="1"/>
        <v>0</v>
      </c>
    </row>
    <row r="8" spans="1:18" ht="45" customHeight="1">
      <c r="A8" s="92">
        <v>5</v>
      </c>
      <c r="B8" s="104">
        <v>1421</v>
      </c>
      <c r="C8" s="105" t="s">
        <v>514</v>
      </c>
      <c r="D8" s="105" t="s">
        <v>515</v>
      </c>
      <c r="E8" s="106" t="s">
        <v>496</v>
      </c>
      <c r="F8" s="106" t="s">
        <v>516</v>
      </c>
      <c r="G8" s="107" t="s">
        <v>512</v>
      </c>
      <c r="H8" s="105" t="s">
        <v>517</v>
      </c>
      <c r="I8" s="108">
        <v>0</v>
      </c>
      <c r="J8" s="109">
        <v>600</v>
      </c>
      <c r="K8" s="110">
        <v>0</v>
      </c>
      <c r="L8" s="110">
        <v>2</v>
      </c>
      <c r="M8" s="100"/>
      <c r="N8" s="100">
        <v>0</v>
      </c>
      <c r="O8" s="101">
        <v>0</v>
      </c>
      <c r="P8" s="101">
        <f>VLOOKUP(E8,Likelihood!$A$24:$C$28,3)</f>
        <v>0</v>
      </c>
      <c r="Q8" s="101">
        <f t="shared" si="0"/>
        <v>0</v>
      </c>
      <c r="R8" s="101">
        <f t="shared" si="1"/>
        <v>0</v>
      </c>
    </row>
    <row r="9" spans="1:18" ht="45" customHeight="1">
      <c r="A9" s="92">
        <v>6</v>
      </c>
      <c r="B9" s="102" t="s">
        <v>518</v>
      </c>
      <c r="C9" s="94" t="s">
        <v>519</v>
      </c>
      <c r="D9" s="94" t="s">
        <v>520</v>
      </c>
      <c r="E9" s="103" t="s">
        <v>496</v>
      </c>
      <c r="F9" s="103" t="s">
        <v>516</v>
      </c>
      <c r="G9" s="96" t="s">
        <v>512</v>
      </c>
      <c r="H9" s="94" t="s">
        <v>521</v>
      </c>
      <c r="I9" s="97">
        <v>400</v>
      </c>
      <c r="J9" s="98">
        <v>450</v>
      </c>
      <c r="K9" s="99">
        <v>0</v>
      </c>
      <c r="L9" s="99">
        <v>2</v>
      </c>
      <c r="M9" s="100"/>
      <c r="N9" s="100">
        <v>0</v>
      </c>
      <c r="O9" s="101">
        <v>0</v>
      </c>
      <c r="P9" s="101">
        <f>VLOOKUP(E9,Likelihood!$A$24:$C$28,3)</f>
        <v>0</v>
      </c>
      <c r="Q9" s="101">
        <f t="shared" si="0"/>
        <v>0</v>
      </c>
      <c r="R9" s="101">
        <f t="shared" si="1"/>
        <v>0</v>
      </c>
    </row>
    <row r="10" spans="1:18" ht="45" customHeight="1">
      <c r="A10" s="92">
        <v>7</v>
      </c>
      <c r="B10" s="102" t="s">
        <v>518</v>
      </c>
      <c r="C10" s="94" t="s">
        <v>522</v>
      </c>
      <c r="D10" s="94" t="s">
        <v>523</v>
      </c>
      <c r="E10" s="103" t="s">
        <v>496</v>
      </c>
      <c r="F10" s="103" t="s">
        <v>503</v>
      </c>
      <c r="G10" s="96" t="s">
        <v>171</v>
      </c>
      <c r="H10" s="94" t="s">
        <v>524</v>
      </c>
      <c r="I10" s="97">
        <v>10</v>
      </c>
      <c r="J10" s="98">
        <v>30</v>
      </c>
      <c r="K10" s="99">
        <v>0</v>
      </c>
      <c r="L10" s="99">
        <v>0</v>
      </c>
      <c r="M10" s="100"/>
      <c r="N10" s="100">
        <v>0</v>
      </c>
      <c r="P10" s="101">
        <f>VLOOKUP(E10,Likelihood!$A$24:$C$28,3)</f>
        <v>0</v>
      </c>
      <c r="Q10" s="101">
        <f t="shared" si="0"/>
        <v>0</v>
      </c>
      <c r="R10" s="101">
        <f t="shared" si="1"/>
        <v>0</v>
      </c>
    </row>
    <row r="11" spans="1:18" ht="45" customHeight="1">
      <c r="A11" s="92">
        <v>8</v>
      </c>
      <c r="B11" s="93" t="s">
        <v>525</v>
      </c>
      <c r="C11" s="94" t="s">
        <v>526</v>
      </c>
      <c r="D11" s="94" t="s">
        <v>527</v>
      </c>
      <c r="E11" s="95" t="s">
        <v>502</v>
      </c>
      <c r="F11" s="95" t="s">
        <v>516</v>
      </c>
      <c r="G11" s="95" t="s">
        <v>171</v>
      </c>
      <c r="H11" s="94" t="s">
        <v>528</v>
      </c>
      <c r="I11" s="97">
        <v>0</v>
      </c>
      <c r="J11" s="98">
        <v>600</v>
      </c>
      <c r="K11" s="99">
        <v>0</v>
      </c>
      <c r="L11" s="99">
        <v>2</v>
      </c>
      <c r="M11" s="100"/>
      <c r="N11" s="100">
        <v>0</v>
      </c>
      <c r="O11" s="101">
        <v>0</v>
      </c>
      <c r="P11" s="101">
        <f>VLOOKUP(E11,Likelihood!$A$24:$C$28,3)</f>
        <v>0</v>
      </c>
      <c r="Q11" s="101">
        <f t="shared" si="0"/>
        <v>0</v>
      </c>
      <c r="R11" s="101">
        <f t="shared" si="1"/>
        <v>0</v>
      </c>
    </row>
    <row r="12" spans="1:18" s="116" customFormat="1" ht="45" customHeight="1">
      <c r="A12" s="92">
        <v>9</v>
      </c>
      <c r="B12" s="111" t="s">
        <v>529</v>
      </c>
      <c r="C12" s="112" t="s">
        <v>530</v>
      </c>
      <c r="D12" s="94" t="s">
        <v>531</v>
      </c>
      <c r="E12" s="95" t="s">
        <v>502</v>
      </c>
      <c r="F12" s="95" t="s">
        <v>503</v>
      </c>
      <c r="G12" s="95" t="s">
        <v>171</v>
      </c>
      <c r="H12" s="94" t="s">
        <v>532</v>
      </c>
      <c r="I12" s="97">
        <v>10</v>
      </c>
      <c r="J12" s="113">
        <v>20</v>
      </c>
      <c r="K12" s="114">
        <v>0</v>
      </c>
      <c r="L12" s="114">
        <v>0.5</v>
      </c>
      <c r="M12" s="115"/>
      <c r="N12" s="115">
        <v>0</v>
      </c>
      <c r="O12" s="116">
        <v>0</v>
      </c>
      <c r="P12" s="101">
        <f>VLOOKUP(E12,Likelihood!$A$24:$C$28,3)</f>
        <v>0</v>
      </c>
      <c r="Q12" s="101">
        <f t="shared" si="0"/>
        <v>0</v>
      </c>
      <c r="R12" s="101">
        <f t="shared" si="1"/>
        <v>0</v>
      </c>
    </row>
    <row r="13" spans="1:18" s="116" customFormat="1" ht="45" customHeight="1">
      <c r="A13" s="92">
        <v>10</v>
      </c>
      <c r="B13" s="102" t="s">
        <v>529</v>
      </c>
      <c r="C13" s="94" t="s">
        <v>533</v>
      </c>
      <c r="D13" s="94" t="s">
        <v>531</v>
      </c>
      <c r="E13" s="95" t="s">
        <v>502</v>
      </c>
      <c r="F13" s="95" t="s">
        <v>503</v>
      </c>
      <c r="G13" s="95" t="s">
        <v>171</v>
      </c>
      <c r="H13" s="94" t="s">
        <v>532</v>
      </c>
      <c r="I13" s="97">
        <v>10</v>
      </c>
      <c r="J13" s="113">
        <v>20</v>
      </c>
      <c r="K13" s="114">
        <v>0</v>
      </c>
      <c r="L13" s="114">
        <v>0.5</v>
      </c>
      <c r="M13" s="115"/>
      <c r="N13" s="115">
        <v>0</v>
      </c>
      <c r="O13" s="116">
        <v>0</v>
      </c>
      <c r="P13" s="101">
        <f>VLOOKUP(E13,Likelihood!$A$24:$C$28,3)</f>
        <v>0</v>
      </c>
      <c r="Q13" s="101">
        <f t="shared" si="0"/>
        <v>0</v>
      </c>
      <c r="R13" s="101">
        <f t="shared" si="1"/>
        <v>0</v>
      </c>
    </row>
    <row r="14" spans="1:18" s="116" customFormat="1" ht="45" customHeight="1">
      <c r="A14" s="92">
        <v>11</v>
      </c>
      <c r="B14" s="102" t="s">
        <v>529</v>
      </c>
      <c r="C14" s="94" t="s">
        <v>534</v>
      </c>
      <c r="D14" s="94" t="s">
        <v>0</v>
      </c>
      <c r="E14" s="95" t="s">
        <v>502</v>
      </c>
      <c r="F14" s="95" t="s">
        <v>1</v>
      </c>
      <c r="G14" s="95" t="s">
        <v>171</v>
      </c>
      <c r="H14" s="94" t="s">
        <v>2</v>
      </c>
      <c r="I14" s="97">
        <v>25</v>
      </c>
      <c r="J14" s="98">
        <v>35</v>
      </c>
      <c r="K14" s="99">
        <v>0.75</v>
      </c>
      <c r="L14" s="99">
        <v>1.25</v>
      </c>
      <c r="M14" s="100"/>
      <c r="N14" s="100">
        <v>0</v>
      </c>
      <c r="O14" s="116">
        <v>0</v>
      </c>
      <c r="P14" s="101">
        <f>VLOOKUP(E14,Likelihood!$A$24:$C$28,3)</f>
        <v>0</v>
      </c>
      <c r="Q14" s="101">
        <f t="shared" si="0"/>
        <v>0</v>
      </c>
      <c r="R14" s="101">
        <f t="shared" si="1"/>
        <v>0</v>
      </c>
    </row>
    <row r="15" spans="1:18" s="116" customFormat="1" ht="45" customHeight="1">
      <c r="A15" s="92">
        <v>12</v>
      </c>
      <c r="B15" s="102" t="s">
        <v>529</v>
      </c>
      <c r="C15" s="94" t="s">
        <v>3</v>
      </c>
      <c r="D15" s="94" t="s">
        <v>4</v>
      </c>
      <c r="E15" s="95" t="s">
        <v>5</v>
      </c>
      <c r="F15" s="95" t="s">
        <v>6</v>
      </c>
      <c r="G15" s="95" t="s">
        <v>171</v>
      </c>
      <c r="H15" s="117" t="s">
        <v>7</v>
      </c>
      <c r="I15" s="97"/>
      <c r="J15" s="98"/>
      <c r="K15" s="99"/>
      <c r="L15" s="99"/>
      <c r="M15" s="100"/>
      <c r="N15" s="100"/>
      <c r="P15" s="101">
        <f>VLOOKUP(E15,Likelihood!$A$24:$C$28,3)</f>
        <v>0</v>
      </c>
      <c r="Q15" s="101">
        <f t="shared" si="0"/>
        <v>0</v>
      </c>
      <c r="R15" s="101">
        <f t="shared" si="1"/>
        <v>0</v>
      </c>
    </row>
    <row r="16" spans="1:18" ht="45" customHeight="1">
      <c r="A16" s="92">
        <v>13</v>
      </c>
      <c r="B16" s="102" t="s">
        <v>8</v>
      </c>
      <c r="C16" s="94" t="s">
        <v>9</v>
      </c>
      <c r="D16" s="94" t="s">
        <v>10</v>
      </c>
      <c r="E16" s="95" t="s">
        <v>5</v>
      </c>
      <c r="F16" s="95" t="s">
        <v>497</v>
      </c>
      <c r="G16" s="95" t="s">
        <v>171</v>
      </c>
      <c r="H16" s="94" t="s">
        <v>11</v>
      </c>
      <c r="I16" s="97"/>
      <c r="J16" s="98"/>
      <c r="K16" s="99"/>
      <c r="L16" s="99"/>
      <c r="M16" s="100"/>
      <c r="N16" s="100"/>
      <c r="P16" s="101">
        <f>VLOOKUP(E16,Likelihood!$A$24:$C$28,3)</f>
        <v>0</v>
      </c>
      <c r="Q16" s="101">
        <f t="shared" si="0"/>
        <v>0</v>
      </c>
      <c r="R16" s="101">
        <f t="shared" si="1"/>
        <v>0</v>
      </c>
    </row>
    <row r="17" spans="1:18" ht="45" customHeight="1">
      <c r="A17" s="92">
        <v>14</v>
      </c>
      <c r="B17" s="118">
        <v>7503</v>
      </c>
      <c r="C17" s="105" t="s">
        <v>12</v>
      </c>
      <c r="D17" s="105" t="s">
        <v>13</v>
      </c>
      <c r="E17" s="118" t="s">
        <v>502</v>
      </c>
      <c r="F17" s="118" t="s">
        <v>497</v>
      </c>
      <c r="G17" s="118" t="s">
        <v>171</v>
      </c>
      <c r="H17" s="94" t="s">
        <v>14</v>
      </c>
      <c r="I17" s="97">
        <v>50</v>
      </c>
      <c r="J17" s="98">
        <v>150</v>
      </c>
      <c r="K17" s="99">
        <v>1</v>
      </c>
      <c r="L17" s="99">
        <v>2</v>
      </c>
      <c r="M17" s="100"/>
      <c r="N17" s="100">
        <v>0</v>
      </c>
      <c r="O17" s="101">
        <v>0</v>
      </c>
      <c r="P17" s="101">
        <f>VLOOKUP(E17,Likelihood!$A$24:$C$28,3)</f>
        <v>0</v>
      </c>
      <c r="Q17" s="101">
        <f t="shared" si="0"/>
        <v>0</v>
      </c>
      <c r="R17" s="101">
        <f t="shared" si="1"/>
        <v>0</v>
      </c>
    </row>
    <row r="18" spans="1:18" ht="45" customHeight="1">
      <c r="A18" s="92">
        <v>15</v>
      </c>
      <c r="B18" s="118">
        <v>7503</v>
      </c>
      <c r="C18" s="105" t="s">
        <v>15</v>
      </c>
      <c r="D18" s="105" t="s">
        <v>13</v>
      </c>
      <c r="E18" s="118" t="s">
        <v>5</v>
      </c>
      <c r="F18" s="118" t="s">
        <v>6</v>
      </c>
      <c r="G18" s="118" t="s">
        <v>171</v>
      </c>
      <c r="H18" s="117" t="s">
        <v>7</v>
      </c>
      <c r="I18" s="97"/>
      <c r="J18" s="98"/>
      <c r="K18" s="99"/>
      <c r="L18" s="99"/>
      <c r="M18" s="100"/>
      <c r="N18" s="100"/>
      <c r="P18" s="101">
        <f>VLOOKUP(E18,Likelihood!$A$24:$C$28,3)</f>
        <v>0</v>
      </c>
      <c r="Q18" s="101">
        <f t="shared" si="0"/>
        <v>0</v>
      </c>
      <c r="R18" s="101">
        <f t="shared" si="1"/>
        <v>0</v>
      </c>
    </row>
    <row r="19" spans="1:18" ht="45" customHeight="1">
      <c r="A19" s="92">
        <v>16</v>
      </c>
      <c r="B19" s="92">
        <v>7503</v>
      </c>
      <c r="C19" s="94" t="s">
        <v>16</v>
      </c>
      <c r="D19" s="94" t="s">
        <v>17</v>
      </c>
      <c r="E19" s="118" t="s">
        <v>502</v>
      </c>
      <c r="F19" s="118" t="s">
        <v>497</v>
      </c>
      <c r="G19" s="118" t="s">
        <v>171</v>
      </c>
      <c r="H19" s="94" t="s">
        <v>14</v>
      </c>
      <c r="I19" s="97">
        <v>50</v>
      </c>
      <c r="J19" s="98">
        <v>150</v>
      </c>
      <c r="K19" s="99">
        <v>1</v>
      </c>
      <c r="L19" s="99">
        <v>2</v>
      </c>
      <c r="M19" s="100"/>
      <c r="N19" s="100">
        <v>0</v>
      </c>
      <c r="O19" s="101">
        <v>0</v>
      </c>
      <c r="P19" s="101">
        <f>VLOOKUP(E19,Likelihood!$A$24:$C$28,3)</f>
        <v>0</v>
      </c>
      <c r="Q19" s="101">
        <f t="shared" si="0"/>
        <v>0</v>
      </c>
      <c r="R19" s="101">
        <f t="shared" si="1"/>
        <v>0</v>
      </c>
    </row>
    <row r="20" spans="1:18" ht="45" customHeight="1">
      <c r="A20" s="92">
        <v>17</v>
      </c>
      <c r="B20" s="92">
        <v>7503</v>
      </c>
      <c r="C20" s="94" t="s">
        <v>18</v>
      </c>
      <c r="D20" s="94" t="s">
        <v>17</v>
      </c>
      <c r="E20" s="118" t="s">
        <v>5</v>
      </c>
      <c r="F20" s="118" t="s">
        <v>6</v>
      </c>
      <c r="G20" s="118" t="s">
        <v>171</v>
      </c>
      <c r="H20" s="117" t="s">
        <v>7</v>
      </c>
      <c r="I20" s="97"/>
      <c r="J20" s="98"/>
      <c r="K20" s="99"/>
      <c r="L20" s="99"/>
      <c r="M20" s="100"/>
      <c r="N20" s="100"/>
      <c r="P20" s="101">
        <f>VLOOKUP(E20,Likelihood!$A$24:$C$28,3)</f>
        <v>0</v>
      </c>
      <c r="Q20" s="101">
        <f t="shared" si="0"/>
        <v>0</v>
      </c>
      <c r="R20" s="101">
        <f t="shared" si="1"/>
        <v>0</v>
      </c>
    </row>
    <row r="21" spans="1:18" ht="45" customHeight="1">
      <c r="A21" s="92">
        <v>18</v>
      </c>
      <c r="B21" s="102">
        <v>7503</v>
      </c>
      <c r="C21" s="94" t="s">
        <v>19</v>
      </c>
      <c r="D21" s="94" t="s">
        <v>20</v>
      </c>
      <c r="E21" s="95" t="s">
        <v>496</v>
      </c>
      <c r="F21" s="95" t="s">
        <v>497</v>
      </c>
      <c r="G21" s="95" t="s">
        <v>171</v>
      </c>
      <c r="H21" s="94" t="s">
        <v>21</v>
      </c>
      <c r="I21" s="97">
        <v>15</v>
      </c>
      <c r="J21" s="98">
        <v>30</v>
      </c>
      <c r="K21" s="99">
        <v>0.25</v>
      </c>
      <c r="L21" s="99">
        <v>1</v>
      </c>
      <c r="M21" s="100"/>
      <c r="N21" s="100">
        <v>0</v>
      </c>
      <c r="O21" s="101">
        <v>0</v>
      </c>
      <c r="P21" s="101">
        <f>VLOOKUP(E21,Likelihood!$A$24:$C$28,3)</f>
        <v>0</v>
      </c>
      <c r="Q21" s="101">
        <f t="shared" si="0"/>
        <v>0</v>
      </c>
      <c r="R21" s="101">
        <f t="shared" si="1"/>
        <v>0</v>
      </c>
    </row>
    <row r="22" spans="1:16" ht="45" customHeight="1">
      <c r="A22" s="92">
        <v>19</v>
      </c>
      <c r="B22" s="102"/>
      <c r="C22" s="94" t="s">
        <v>22</v>
      </c>
      <c r="D22" s="117" t="s">
        <v>23</v>
      </c>
      <c r="E22" s="95"/>
      <c r="F22" s="95"/>
      <c r="G22" s="95"/>
      <c r="H22" s="94"/>
      <c r="I22" s="97"/>
      <c r="J22" s="98"/>
      <c r="K22" s="99"/>
      <c r="L22" s="99"/>
      <c r="M22" s="100"/>
      <c r="N22" s="100"/>
      <c r="P22" s="101" t="e">
        <f>VLOOKUP(E22,Likelihood!$A$24:$C$28,3)</f>
        <v>#N/A</v>
      </c>
    </row>
    <row r="23" spans="1:18" s="116" customFormat="1" ht="45" customHeight="1">
      <c r="A23" s="92"/>
      <c r="B23" s="102" t="s">
        <v>24</v>
      </c>
      <c r="C23" s="119" t="s">
        <v>25</v>
      </c>
      <c r="D23" s="94" t="s">
        <v>26</v>
      </c>
      <c r="E23" s="95" t="s">
        <v>502</v>
      </c>
      <c r="F23" s="95" t="s">
        <v>497</v>
      </c>
      <c r="G23" s="95" t="s">
        <v>171</v>
      </c>
      <c r="H23" s="94" t="s">
        <v>27</v>
      </c>
      <c r="I23" s="97">
        <v>0</v>
      </c>
      <c r="J23" s="98">
        <v>0</v>
      </c>
      <c r="K23" s="99">
        <v>0</v>
      </c>
      <c r="L23" s="99">
        <v>0.5</v>
      </c>
      <c r="M23" s="100"/>
      <c r="N23" s="100"/>
      <c r="O23" s="116">
        <v>0</v>
      </c>
      <c r="P23" s="101">
        <f>VLOOKUP(E23,Likelihood!$A$24:$C$28,3)</f>
        <v>0</v>
      </c>
      <c r="Q23" s="101">
        <f aca="true" t="shared" si="2" ref="Q23:Q39">N23*P23</f>
        <v>0</v>
      </c>
      <c r="R23" s="101">
        <f aca="true" t="shared" si="3" ref="R23:R39">O23*P23</f>
        <v>0</v>
      </c>
    </row>
    <row r="24" spans="1:18" ht="45" customHeight="1">
      <c r="A24" s="92"/>
      <c r="B24" s="102" t="s">
        <v>28</v>
      </c>
      <c r="C24" s="119" t="s">
        <v>29</v>
      </c>
      <c r="D24" s="94" t="s">
        <v>30</v>
      </c>
      <c r="E24" s="95" t="s">
        <v>502</v>
      </c>
      <c r="F24" s="95" t="s">
        <v>497</v>
      </c>
      <c r="G24" s="95" t="s">
        <v>171</v>
      </c>
      <c r="H24" s="94" t="s">
        <v>27</v>
      </c>
      <c r="I24" s="97">
        <v>0</v>
      </c>
      <c r="J24" s="98">
        <v>0</v>
      </c>
      <c r="K24" s="99">
        <v>0</v>
      </c>
      <c r="L24" s="99">
        <v>0.5</v>
      </c>
      <c r="M24" s="100"/>
      <c r="N24" s="100"/>
      <c r="O24" s="101">
        <v>0</v>
      </c>
      <c r="P24" s="101">
        <f>VLOOKUP(E24,Likelihood!$A$24:$C$28,3)</f>
        <v>0</v>
      </c>
      <c r="Q24" s="101">
        <f t="shared" si="2"/>
        <v>0</v>
      </c>
      <c r="R24" s="101">
        <f t="shared" si="3"/>
        <v>0</v>
      </c>
    </row>
    <row r="25" spans="1:18" s="116" customFormat="1" ht="45" customHeight="1">
      <c r="A25" s="92"/>
      <c r="B25" s="102" t="s">
        <v>31</v>
      </c>
      <c r="C25" s="119" t="s">
        <v>32</v>
      </c>
      <c r="D25" s="94" t="s">
        <v>33</v>
      </c>
      <c r="E25" s="95" t="s">
        <v>502</v>
      </c>
      <c r="F25" s="95" t="s">
        <v>497</v>
      </c>
      <c r="G25" s="95" t="s">
        <v>171</v>
      </c>
      <c r="H25" s="94" t="s">
        <v>27</v>
      </c>
      <c r="I25" s="97">
        <v>0</v>
      </c>
      <c r="J25" s="98">
        <v>0</v>
      </c>
      <c r="K25" s="99">
        <v>0</v>
      </c>
      <c r="L25" s="99">
        <v>0.5</v>
      </c>
      <c r="M25" s="100"/>
      <c r="N25" s="100"/>
      <c r="O25" s="116">
        <v>0</v>
      </c>
      <c r="P25" s="101">
        <f>VLOOKUP(E25,Likelihood!$A$24:$C$28,3)</f>
        <v>0</v>
      </c>
      <c r="Q25" s="101">
        <f t="shared" si="2"/>
        <v>0</v>
      </c>
      <c r="R25" s="101">
        <f t="shared" si="3"/>
        <v>0</v>
      </c>
    </row>
    <row r="26" spans="1:18" s="116" customFormat="1" ht="45" customHeight="1">
      <c r="A26" s="92"/>
      <c r="B26" s="102" t="s">
        <v>34</v>
      </c>
      <c r="C26" s="119" t="s">
        <v>35</v>
      </c>
      <c r="D26" s="94" t="s">
        <v>36</v>
      </c>
      <c r="E26" s="95" t="s">
        <v>502</v>
      </c>
      <c r="F26" s="95" t="s">
        <v>497</v>
      </c>
      <c r="G26" s="95" t="s">
        <v>171</v>
      </c>
      <c r="H26" s="94" t="s">
        <v>27</v>
      </c>
      <c r="I26" s="97">
        <v>0</v>
      </c>
      <c r="J26" s="98">
        <v>0</v>
      </c>
      <c r="K26" s="99">
        <v>0</v>
      </c>
      <c r="L26" s="99">
        <v>0.5</v>
      </c>
      <c r="M26" s="100"/>
      <c r="N26" s="100"/>
      <c r="O26" s="116">
        <v>0</v>
      </c>
      <c r="P26" s="101">
        <f>VLOOKUP(E26,Likelihood!$A$24:$C$28,3)</f>
        <v>0</v>
      </c>
      <c r="Q26" s="101">
        <f t="shared" si="2"/>
        <v>0</v>
      </c>
      <c r="R26" s="101">
        <f t="shared" si="3"/>
        <v>0</v>
      </c>
    </row>
    <row r="27" spans="1:18" s="116" customFormat="1" ht="45" customHeight="1">
      <c r="A27" s="92"/>
      <c r="B27" s="95" t="s">
        <v>37</v>
      </c>
      <c r="C27" s="119" t="s">
        <v>38</v>
      </c>
      <c r="D27" s="94" t="s">
        <v>39</v>
      </c>
      <c r="E27" s="95" t="s">
        <v>502</v>
      </c>
      <c r="F27" s="95" t="s">
        <v>497</v>
      </c>
      <c r="G27" s="95" t="s">
        <v>171</v>
      </c>
      <c r="H27" s="94" t="s">
        <v>27</v>
      </c>
      <c r="I27" s="97">
        <v>0</v>
      </c>
      <c r="J27" s="98">
        <v>0</v>
      </c>
      <c r="K27" s="99">
        <v>0</v>
      </c>
      <c r="L27" s="99">
        <v>0.5</v>
      </c>
      <c r="M27" s="100"/>
      <c r="N27" s="100"/>
      <c r="O27" s="116">
        <v>0</v>
      </c>
      <c r="P27" s="101">
        <f>VLOOKUP(E27,Likelihood!$A$24:$C$28,3)</f>
        <v>0</v>
      </c>
      <c r="Q27" s="101">
        <f t="shared" si="2"/>
        <v>0</v>
      </c>
      <c r="R27" s="101">
        <f t="shared" si="3"/>
        <v>0</v>
      </c>
    </row>
    <row r="28" spans="1:18" s="116" customFormat="1" ht="45" customHeight="1">
      <c r="A28" s="92">
        <v>20</v>
      </c>
      <c r="B28" s="95" t="s">
        <v>40</v>
      </c>
      <c r="C28" s="94" t="s">
        <v>41</v>
      </c>
      <c r="D28" s="94" t="s">
        <v>42</v>
      </c>
      <c r="E28" s="95" t="s">
        <v>496</v>
      </c>
      <c r="F28" s="95" t="s">
        <v>503</v>
      </c>
      <c r="G28" s="95" t="s">
        <v>171</v>
      </c>
      <c r="H28" s="94" t="s">
        <v>43</v>
      </c>
      <c r="I28" s="97">
        <v>25</v>
      </c>
      <c r="J28" s="98">
        <v>75</v>
      </c>
      <c r="K28" s="99">
        <v>0</v>
      </c>
      <c r="L28" s="99">
        <v>0</v>
      </c>
      <c r="M28" s="100"/>
      <c r="N28" s="100">
        <v>0</v>
      </c>
      <c r="P28" s="101">
        <f>VLOOKUP(E28,Likelihood!$A$24:$C$28,3)</f>
        <v>0</v>
      </c>
      <c r="Q28" s="101">
        <f t="shared" si="2"/>
        <v>0</v>
      </c>
      <c r="R28" s="101">
        <f t="shared" si="3"/>
        <v>0</v>
      </c>
    </row>
    <row r="29" spans="1:18" s="116" customFormat="1" ht="45" customHeight="1">
      <c r="A29" s="92">
        <v>21</v>
      </c>
      <c r="B29" s="111">
        <v>7503</v>
      </c>
      <c r="C29" s="112" t="s">
        <v>44</v>
      </c>
      <c r="D29" s="94" t="s">
        <v>45</v>
      </c>
      <c r="E29" s="95" t="s">
        <v>502</v>
      </c>
      <c r="F29" s="95" t="s">
        <v>497</v>
      </c>
      <c r="G29" s="95" t="s">
        <v>171</v>
      </c>
      <c r="H29" s="94" t="s">
        <v>46</v>
      </c>
      <c r="I29" s="97">
        <v>50</v>
      </c>
      <c r="J29" s="98">
        <v>200</v>
      </c>
      <c r="K29" s="99">
        <v>0</v>
      </c>
      <c r="L29" s="99">
        <v>0</v>
      </c>
      <c r="M29" s="100"/>
      <c r="N29" s="100">
        <v>0</v>
      </c>
      <c r="P29" s="101">
        <f>VLOOKUP(E29,Likelihood!$A$24:$C$28,3)</f>
        <v>0</v>
      </c>
      <c r="Q29" s="101">
        <f t="shared" si="2"/>
        <v>0</v>
      </c>
      <c r="R29" s="101">
        <f t="shared" si="3"/>
        <v>0</v>
      </c>
    </row>
    <row r="30" spans="1:18" ht="45" customHeight="1">
      <c r="A30" s="92">
        <v>22</v>
      </c>
      <c r="B30" s="120" t="s">
        <v>47</v>
      </c>
      <c r="C30" s="112" t="s">
        <v>48</v>
      </c>
      <c r="D30" s="94" t="s">
        <v>49</v>
      </c>
      <c r="E30" s="95" t="s">
        <v>5</v>
      </c>
      <c r="F30" s="95"/>
      <c r="G30" s="95"/>
      <c r="H30" s="94"/>
      <c r="I30" s="97"/>
      <c r="J30" s="98"/>
      <c r="K30" s="99"/>
      <c r="L30" s="99"/>
      <c r="M30" s="100"/>
      <c r="N30" s="100"/>
      <c r="P30" s="101">
        <f>VLOOKUP(E30,Likelihood!$A$24:$C$28,3)</f>
        <v>0</v>
      </c>
      <c r="Q30" s="101">
        <f t="shared" si="2"/>
        <v>0</v>
      </c>
      <c r="R30" s="101">
        <f t="shared" si="3"/>
        <v>0</v>
      </c>
    </row>
    <row r="31" spans="1:18" s="116" customFormat="1" ht="45" customHeight="1">
      <c r="A31" s="92">
        <v>23</v>
      </c>
      <c r="B31" s="121">
        <v>8101</v>
      </c>
      <c r="C31" s="112" t="s">
        <v>50</v>
      </c>
      <c r="D31" s="94" t="s">
        <v>51</v>
      </c>
      <c r="E31" s="95" t="s">
        <v>5</v>
      </c>
      <c r="F31" s="95"/>
      <c r="G31" s="95"/>
      <c r="H31" s="94"/>
      <c r="I31" s="97"/>
      <c r="J31" s="98"/>
      <c r="K31" s="99"/>
      <c r="L31" s="99"/>
      <c r="M31" s="100"/>
      <c r="N31" s="100"/>
      <c r="P31" s="101">
        <f>VLOOKUP(E31,Likelihood!$A$24:$C$28,3)</f>
        <v>0</v>
      </c>
      <c r="Q31" s="101">
        <f t="shared" si="2"/>
        <v>0</v>
      </c>
      <c r="R31" s="101">
        <f t="shared" si="3"/>
        <v>0</v>
      </c>
    </row>
    <row r="32" spans="1:18" s="116" customFormat="1" ht="45" customHeight="1">
      <c r="A32" s="92">
        <v>24</v>
      </c>
      <c r="B32" s="111" t="s">
        <v>52</v>
      </c>
      <c r="C32" s="112" t="s">
        <v>53</v>
      </c>
      <c r="D32" s="94" t="s">
        <v>54</v>
      </c>
      <c r="E32" s="95" t="s">
        <v>496</v>
      </c>
      <c r="F32" s="95" t="s">
        <v>503</v>
      </c>
      <c r="G32" s="95" t="s">
        <v>171</v>
      </c>
      <c r="H32" s="117" t="s">
        <v>55</v>
      </c>
      <c r="I32" s="97"/>
      <c r="J32" s="98"/>
      <c r="K32" s="99"/>
      <c r="L32" s="99"/>
      <c r="M32" s="100"/>
      <c r="N32" s="100"/>
      <c r="P32" s="101">
        <f>VLOOKUP(E32,Likelihood!$A$24:$C$28,3)</f>
        <v>0</v>
      </c>
      <c r="Q32" s="101">
        <f t="shared" si="2"/>
        <v>0</v>
      </c>
      <c r="R32" s="101">
        <f t="shared" si="3"/>
        <v>0</v>
      </c>
    </row>
    <row r="33" spans="1:18" ht="45" customHeight="1">
      <c r="A33" s="92">
        <v>25</v>
      </c>
      <c r="B33" s="92">
        <v>8101</v>
      </c>
      <c r="C33" s="94" t="s">
        <v>56</v>
      </c>
      <c r="D33" s="94" t="s">
        <v>57</v>
      </c>
      <c r="E33" s="95" t="s">
        <v>58</v>
      </c>
      <c r="F33" s="95" t="s">
        <v>497</v>
      </c>
      <c r="G33" s="95" t="s">
        <v>512</v>
      </c>
      <c r="H33" s="94" t="s">
        <v>59</v>
      </c>
      <c r="I33" s="97">
        <f>'Escalation Risk'!J37</f>
        <v>37.00114244999999</v>
      </c>
      <c r="J33" s="98">
        <f>'Escalation Risk'!J39</f>
        <v>266.16479999999996</v>
      </c>
      <c r="K33" s="99">
        <v>0</v>
      </c>
      <c r="L33" s="99">
        <v>0</v>
      </c>
      <c r="M33" s="100"/>
      <c r="N33" s="100">
        <v>0</v>
      </c>
      <c r="P33" s="101">
        <f>VLOOKUP(E33,Likelihood!$A$24:$C$28,3)</f>
        <v>0</v>
      </c>
      <c r="Q33" s="101">
        <f t="shared" si="2"/>
        <v>0</v>
      </c>
      <c r="R33" s="101">
        <f t="shared" si="3"/>
        <v>0</v>
      </c>
    </row>
    <row r="34" spans="1:18" ht="45" customHeight="1">
      <c r="A34" s="92">
        <v>26</v>
      </c>
      <c r="B34" s="121">
        <v>8101</v>
      </c>
      <c r="C34" s="112" t="s">
        <v>60</v>
      </c>
      <c r="D34" s="94" t="s">
        <v>57</v>
      </c>
      <c r="E34" s="95" t="s">
        <v>58</v>
      </c>
      <c r="F34" s="95" t="s">
        <v>503</v>
      </c>
      <c r="G34" s="95" t="s">
        <v>171</v>
      </c>
      <c r="H34" s="94" t="s">
        <v>61</v>
      </c>
      <c r="I34" s="122">
        <v>11</v>
      </c>
      <c r="J34" s="123">
        <v>81</v>
      </c>
      <c r="K34" s="99">
        <v>0</v>
      </c>
      <c r="L34" s="99">
        <v>0</v>
      </c>
      <c r="M34" s="100"/>
      <c r="N34" s="100">
        <v>0</v>
      </c>
      <c r="P34" s="101">
        <f>VLOOKUP(E34,Likelihood!$A$24:$C$28,3)</f>
        <v>0</v>
      </c>
      <c r="Q34" s="101">
        <f t="shared" si="2"/>
        <v>0</v>
      </c>
      <c r="R34" s="101">
        <f t="shared" si="3"/>
        <v>0</v>
      </c>
    </row>
    <row r="35" spans="1:18" s="116" customFormat="1" ht="45" customHeight="1">
      <c r="A35" s="92">
        <v>27</v>
      </c>
      <c r="B35" s="92">
        <v>8101</v>
      </c>
      <c r="C35" s="94" t="s">
        <v>62</v>
      </c>
      <c r="D35" s="94"/>
      <c r="E35" s="95" t="s">
        <v>201</v>
      </c>
      <c r="F35" s="95" t="s">
        <v>497</v>
      </c>
      <c r="G35" s="95" t="s">
        <v>512</v>
      </c>
      <c r="H35" s="94" t="s">
        <v>63</v>
      </c>
      <c r="I35" s="97">
        <v>-500</v>
      </c>
      <c r="J35" s="98">
        <v>500</v>
      </c>
      <c r="K35" s="99">
        <v>-0.5</v>
      </c>
      <c r="L35" s="99">
        <v>0.5</v>
      </c>
      <c r="M35" s="100"/>
      <c r="N35" s="100">
        <v>0</v>
      </c>
      <c r="O35" s="116">
        <v>0</v>
      </c>
      <c r="P35" s="101">
        <f>VLOOKUP(E35,Likelihood!$A$24:$C$28,3)</f>
        <v>0</v>
      </c>
      <c r="Q35" s="101">
        <f t="shared" si="2"/>
        <v>0</v>
      </c>
      <c r="R35" s="101">
        <f t="shared" si="3"/>
        <v>0</v>
      </c>
    </row>
    <row r="36" spans="1:18" s="116" customFormat="1" ht="45" customHeight="1">
      <c r="A36" s="92">
        <v>28</v>
      </c>
      <c r="B36" s="95" t="s">
        <v>64</v>
      </c>
      <c r="C36" s="94" t="s">
        <v>65</v>
      </c>
      <c r="D36" s="94" t="s">
        <v>66</v>
      </c>
      <c r="E36" s="95" t="s">
        <v>496</v>
      </c>
      <c r="F36" s="95" t="s">
        <v>497</v>
      </c>
      <c r="G36" s="95" t="s">
        <v>171</v>
      </c>
      <c r="H36" s="94" t="s">
        <v>67</v>
      </c>
      <c r="I36" s="97">
        <v>0</v>
      </c>
      <c r="J36" s="98">
        <v>150</v>
      </c>
      <c r="K36" s="99">
        <v>0</v>
      </c>
      <c r="L36" s="99">
        <v>0.5</v>
      </c>
      <c r="M36" s="100"/>
      <c r="N36" s="100">
        <v>0</v>
      </c>
      <c r="O36" s="116">
        <v>0</v>
      </c>
      <c r="P36" s="101">
        <f>VLOOKUP(E36,Likelihood!$A$24:$C$28,3)</f>
        <v>0</v>
      </c>
      <c r="Q36" s="101">
        <f t="shared" si="2"/>
        <v>0</v>
      </c>
      <c r="R36" s="101">
        <f t="shared" si="3"/>
        <v>0</v>
      </c>
    </row>
    <row r="37" spans="1:18" s="116" customFormat="1" ht="45" customHeight="1">
      <c r="A37" s="92">
        <v>29</v>
      </c>
      <c r="B37" s="92">
        <v>1352</v>
      </c>
      <c r="C37" s="94" t="s">
        <v>68</v>
      </c>
      <c r="D37" s="94" t="s">
        <v>69</v>
      </c>
      <c r="E37" s="95" t="s">
        <v>496</v>
      </c>
      <c r="F37" s="95" t="s">
        <v>497</v>
      </c>
      <c r="G37" s="95" t="s">
        <v>171</v>
      </c>
      <c r="H37" s="94" t="s">
        <v>70</v>
      </c>
      <c r="I37" s="97">
        <v>0</v>
      </c>
      <c r="J37" s="98">
        <v>300</v>
      </c>
      <c r="K37" s="99">
        <v>0</v>
      </c>
      <c r="L37" s="99">
        <v>0</v>
      </c>
      <c r="M37" s="100"/>
      <c r="N37" s="100">
        <v>0</v>
      </c>
      <c r="P37" s="101">
        <f>VLOOKUP(E37,Likelihood!$A$24:$C$28,3)</f>
        <v>0</v>
      </c>
      <c r="Q37" s="101">
        <f t="shared" si="2"/>
        <v>0</v>
      </c>
      <c r="R37" s="101">
        <f t="shared" si="3"/>
        <v>0</v>
      </c>
    </row>
    <row r="38" spans="1:18" ht="45" customHeight="1">
      <c r="A38" s="92">
        <v>30</v>
      </c>
      <c r="B38" s="92">
        <v>8101</v>
      </c>
      <c r="C38" s="94" t="s">
        <v>71</v>
      </c>
      <c r="D38" s="94"/>
      <c r="E38" s="95" t="s">
        <v>496</v>
      </c>
      <c r="F38" s="95" t="s">
        <v>516</v>
      </c>
      <c r="G38" s="95" t="s">
        <v>512</v>
      </c>
      <c r="H38" s="94" t="s">
        <v>72</v>
      </c>
      <c r="I38" s="97">
        <v>0</v>
      </c>
      <c r="J38" s="98">
        <v>0</v>
      </c>
      <c r="K38" s="99">
        <v>-2</v>
      </c>
      <c r="L38" s="99">
        <v>2</v>
      </c>
      <c r="M38" s="100"/>
      <c r="N38" s="100"/>
      <c r="O38" s="101">
        <v>0</v>
      </c>
      <c r="P38" s="101">
        <f>VLOOKUP(E38,Likelihood!$A$24:$C$28,3)</f>
        <v>0</v>
      </c>
      <c r="Q38" s="101">
        <f t="shared" si="2"/>
        <v>0</v>
      </c>
      <c r="R38" s="101">
        <f t="shared" si="3"/>
        <v>0</v>
      </c>
    </row>
    <row r="39" spans="1:18" ht="45" customHeight="1">
      <c r="A39" s="92">
        <v>31</v>
      </c>
      <c r="B39" s="121">
        <v>8101</v>
      </c>
      <c r="C39" s="112" t="s">
        <v>73</v>
      </c>
      <c r="D39" s="94"/>
      <c r="E39" s="95" t="s">
        <v>496</v>
      </c>
      <c r="F39" s="95" t="s">
        <v>516</v>
      </c>
      <c r="G39" s="95" t="s">
        <v>512</v>
      </c>
      <c r="H39" s="94" t="s">
        <v>74</v>
      </c>
      <c r="I39" s="97">
        <f>-45000*0.02</f>
        <v>-900</v>
      </c>
      <c r="J39" s="98">
        <v>0</v>
      </c>
      <c r="K39" s="99">
        <v>-1</v>
      </c>
      <c r="L39" s="99">
        <v>0</v>
      </c>
      <c r="M39" s="100"/>
      <c r="N39" s="100">
        <v>0</v>
      </c>
      <c r="O39" s="101">
        <v>0</v>
      </c>
      <c r="P39" s="101">
        <f>VLOOKUP(E39,Likelihood!$A$24:$C$28,3)</f>
        <v>0</v>
      </c>
      <c r="Q39" s="101">
        <f t="shared" si="2"/>
        <v>0</v>
      </c>
      <c r="R39" s="101">
        <f t="shared" si="3"/>
        <v>0</v>
      </c>
    </row>
    <row r="40" spans="1:14" s="125" customFormat="1" ht="29.25" customHeight="1">
      <c r="A40" s="191" t="s">
        <v>76</v>
      </c>
      <c r="B40" s="192"/>
      <c r="C40" s="192"/>
      <c r="D40" s="192"/>
      <c r="E40" s="192"/>
      <c r="F40" s="192"/>
      <c r="G40" s="192"/>
      <c r="H40" s="192"/>
      <c r="I40" s="192"/>
      <c r="J40" s="192"/>
      <c r="K40" s="192"/>
      <c r="L40" s="192"/>
      <c r="M40" s="124"/>
      <c r="N40" s="124"/>
    </row>
    <row r="41" spans="1:18" s="125" customFormat="1" ht="15">
      <c r="A41" s="124"/>
      <c r="B41" s="124"/>
      <c r="C41" s="126"/>
      <c r="D41" s="126"/>
      <c r="E41" s="124"/>
      <c r="F41" s="124"/>
      <c r="G41" s="124"/>
      <c r="H41" s="124"/>
      <c r="I41" s="124"/>
      <c r="J41" s="124"/>
      <c r="K41" s="124"/>
      <c r="L41" s="124"/>
      <c r="M41" s="124"/>
      <c r="N41" s="124"/>
      <c r="Q41" s="125">
        <f>SUM(Q4:Q39)</f>
        <v>0</v>
      </c>
      <c r="R41" s="125">
        <f>SUM(R4:R39)</f>
        <v>0</v>
      </c>
    </row>
    <row r="42" spans="1:14" s="125" customFormat="1" ht="15">
      <c r="A42" s="124"/>
      <c r="B42" s="124"/>
      <c r="C42" s="126"/>
      <c r="D42" s="126"/>
      <c r="E42" s="124"/>
      <c r="F42" s="124"/>
      <c r="G42" s="127"/>
      <c r="H42" s="124"/>
      <c r="I42" s="124"/>
      <c r="J42" s="124"/>
      <c r="K42" s="124"/>
      <c r="L42" s="124"/>
      <c r="M42" s="124"/>
      <c r="N42" s="124"/>
    </row>
    <row r="43" spans="1:14" s="125" customFormat="1" ht="15">
      <c r="A43" s="124"/>
      <c r="B43" s="124"/>
      <c r="C43" s="126"/>
      <c r="D43" s="126"/>
      <c r="E43" s="128"/>
      <c r="F43" s="124"/>
      <c r="G43" s="127"/>
      <c r="H43" s="124"/>
      <c r="I43" s="124"/>
      <c r="J43" s="124"/>
      <c r="K43" s="124"/>
      <c r="L43" s="124"/>
      <c r="M43" s="124"/>
      <c r="N43" s="124"/>
    </row>
    <row r="44" spans="1:14" s="125" customFormat="1" ht="15">
      <c r="A44" s="124"/>
      <c r="B44" s="124"/>
      <c r="C44" s="126"/>
      <c r="D44" s="126"/>
      <c r="E44" s="124"/>
      <c r="F44" s="124"/>
      <c r="G44" s="127"/>
      <c r="H44" s="124"/>
      <c r="I44" s="124"/>
      <c r="J44" s="124"/>
      <c r="K44" s="124"/>
      <c r="L44" s="124"/>
      <c r="M44" s="124"/>
      <c r="N44" s="124"/>
    </row>
    <row r="45" spans="1:14" s="125" customFormat="1" ht="15">
      <c r="A45" s="124"/>
      <c r="B45" s="124"/>
      <c r="C45" s="126"/>
      <c r="D45" s="126"/>
      <c r="E45" s="124"/>
      <c r="F45" s="124"/>
      <c r="G45" s="124"/>
      <c r="H45" s="124"/>
      <c r="I45" s="124"/>
      <c r="J45" s="124"/>
      <c r="K45" s="124"/>
      <c r="L45" s="124"/>
      <c r="M45" s="124"/>
      <c r="N45" s="124"/>
    </row>
    <row r="46" spans="1:14" s="125" customFormat="1" ht="15">
      <c r="A46" s="124"/>
      <c r="B46" s="124"/>
      <c r="C46" s="126"/>
      <c r="D46" s="126"/>
      <c r="E46" s="124"/>
      <c r="F46" s="124"/>
      <c r="G46" s="124"/>
      <c r="H46" s="124"/>
      <c r="I46" s="124"/>
      <c r="J46" s="124"/>
      <c r="K46" s="124"/>
      <c r="L46" s="124"/>
      <c r="M46" s="124"/>
      <c r="N46" s="124"/>
    </row>
    <row r="47" spans="1:14" s="125" customFormat="1" ht="15">
      <c r="A47" s="124"/>
      <c r="B47" s="124"/>
      <c r="C47" s="126"/>
      <c r="D47" s="126"/>
      <c r="E47" s="124"/>
      <c r="F47" s="124"/>
      <c r="G47" s="124"/>
      <c r="H47" s="124"/>
      <c r="I47" s="124"/>
      <c r="J47" s="124"/>
      <c r="K47" s="124"/>
      <c r="L47" s="124"/>
      <c r="M47" s="124"/>
      <c r="N47" s="124"/>
    </row>
    <row r="48" spans="1:14" s="125" customFormat="1" ht="15">
      <c r="A48" s="124"/>
      <c r="B48" s="124"/>
      <c r="C48" s="126"/>
      <c r="D48" s="126"/>
      <c r="E48" s="124"/>
      <c r="F48" s="124"/>
      <c r="G48" s="124"/>
      <c r="H48" s="124"/>
      <c r="I48" s="124"/>
      <c r="J48" s="124"/>
      <c r="K48" s="124"/>
      <c r="L48" s="124"/>
      <c r="M48" s="124"/>
      <c r="N48" s="124"/>
    </row>
    <row r="49" spans="1:14" s="125" customFormat="1" ht="15">
      <c r="A49" s="124"/>
      <c r="B49" s="124"/>
      <c r="C49" s="126"/>
      <c r="D49" s="126"/>
      <c r="E49" s="124"/>
      <c r="F49" s="124"/>
      <c r="G49" s="124"/>
      <c r="H49" s="124"/>
      <c r="I49" s="124"/>
      <c r="J49" s="124"/>
      <c r="K49" s="124"/>
      <c r="L49" s="124"/>
      <c r="M49" s="124"/>
      <c r="N49" s="124"/>
    </row>
    <row r="50" spans="1:14" s="125" customFormat="1" ht="15">
      <c r="A50" s="124"/>
      <c r="B50" s="124"/>
      <c r="C50" s="126"/>
      <c r="D50" s="126"/>
      <c r="E50" s="124"/>
      <c r="F50" s="124"/>
      <c r="G50" s="124"/>
      <c r="H50" s="124"/>
      <c r="I50" s="124"/>
      <c r="J50" s="124"/>
      <c r="K50" s="124"/>
      <c r="L50" s="124"/>
      <c r="M50" s="124"/>
      <c r="N50" s="124"/>
    </row>
    <row r="51" spans="1:14" s="125" customFormat="1" ht="15">
      <c r="A51" s="124"/>
      <c r="B51" s="124"/>
      <c r="C51" s="126"/>
      <c r="D51" s="126"/>
      <c r="E51" s="124"/>
      <c r="F51" s="124"/>
      <c r="G51" s="124"/>
      <c r="H51" s="124"/>
      <c r="I51" s="124"/>
      <c r="J51" s="124"/>
      <c r="K51" s="124"/>
      <c r="L51" s="124"/>
      <c r="M51" s="124"/>
      <c r="N51" s="124"/>
    </row>
    <row r="52" spans="1:14" s="125" customFormat="1" ht="15">
      <c r="A52" s="124"/>
      <c r="B52" s="124"/>
      <c r="C52" s="126"/>
      <c r="D52" s="126"/>
      <c r="E52" s="124"/>
      <c r="F52" s="124"/>
      <c r="G52" s="124"/>
      <c r="H52" s="124"/>
      <c r="I52" s="124"/>
      <c r="J52" s="124"/>
      <c r="K52" s="124"/>
      <c r="L52" s="124"/>
      <c r="M52" s="124"/>
      <c r="N52" s="124"/>
    </row>
    <row r="53" spans="1:14" s="125" customFormat="1" ht="15">
      <c r="A53" s="124"/>
      <c r="B53" s="124"/>
      <c r="C53" s="126"/>
      <c r="D53" s="126"/>
      <c r="E53" s="124"/>
      <c r="F53" s="124"/>
      <c r="G53" s="124"/>
      <c r="H53" s="124"/>
      <c r="I53" s="124"/>
      <c r="J53" s="124"/>
      <c r="K53" s="124"/>
      <c r="L53" s="124"/>
      <c r="M53" s="124"/>
      <c r="N53" s="124"/>
    </row>
    <row r="54" spans="1:14" s="125" customFormat="1" ht="15">
      <c r="A54" s="124"/>
      <c r="B54" s="124"/>
      <c r="C54" s="126"/>
      <c r="D54" s="126"/>
      <c r="E54" s="124"/>
      <c r="F54" s="124"/>
      <c r="G54" s="124"/>
      <c r="H54" s="124"/>
      <c r="I54" s="124"/>
      <c r="J54" s="124"/>
      <c r="K54" s="124"/>
      <c r="L54" s="124"/>
      <c r="M54" s="124"/>
      <c r="N54" s="124"/>
    </row>
    <row r="55" spans="1:14" s="125" customFormat="1" ht="15">
      <c r="A55" s="124"/>
      <c r="B55" s="124"/>
      <c r="C55" s="126"/>
      <c r="D55" s="126"/>
      <c r="E55" s="124"/>
      <c r="F55" s="124"/>
      <c r="G55" s="124"/>
      <c r="H55" s="124"/>
      <c r="I55" s="124"/>
      <c r="J55" s="124"/>
      <c r="K55" s="124"/>
      <c r="L55" s="124"/>
      <c r="M55" s="124"/>
      <c r="N55" s="124"/>
    </row>
    <row r="56" spans="1:14" s="125" customFormat="1" ht="15">
      <c r="A56" s="124"/>
      <c r="B56" s="124"/>
      <c r="C56" s="126"/>
      <c r="D56" s="126"/>
      <c r="E56" s="124"/>
      <c r="F56" s="124"/>
      <c r="G56" s="124"/>
      <c r="H56" s="124"/>
      <c r="I56" s="124"/>
      <c r="J56" s="124"/>
      <c r="K56" s="124"/>
      <c r="L56" s="124"/>
      <c r="M56" s="124"/>
      <c r="N56" s="124"/>
    </row>
    <row r="57" spans="1:14" s="125" customFormat="1" ht="15">
      <c r="A57" s="124"/>
      <c r="B57" s="124"/>
      <c r="C57" s="126"/>
      <c r="D57" s="126"/>
      <c r="E57" s="124"/>
      <c r="F57" s="124"/>
      <c r="G57" s="124"/>
      <c r="H57" s="124"/>
      <c r="I57" s="124"/>
      <c r="J57" s="124"/>
      <c r="K57" s="124"/>
      <c r="L57" s="124"/>
      <c r="M57" s="124"/>
      <c r="N57" s="124"/>
    </row>
    <row r="58" spans="1:5" s="125" customFormat="1" ht="15">
      <c r="A58" s="124"/>
      <c r="B58" s="124"/>
      <c r="C58" s="126"/>
      <c r="D58" s="126"/>
      <c r="E58" s="124"/>
    </row>
  </sheetData>
  <mergeCells count="3">
    <mergeCell ref="I2:J2"/>
    <mergeCell ref="K2:L2"/>
    <mergeCell ref="A40:L40"/>
  </mergeCells>
  <printOptions/>
  <pageMargins left="0.18" right="0.14" top="0.56" bottom="0.42" header="0.5" footer="0.16"/>
  <pageSetup fitToHeight="0" fitToWidth="1" horizontalDpi="600" verticalDpi="600" orientation="landscape" r:id="rId2"/>
  <headerFooter alignWithMargins="0">
    <oddFooter>&amp;L&amp;F&amp;R&amp;P  of    &amp;N</oddFooter>
  </headerFooter>
  <colBreaks count="1" manualBreakCount="1">
    <brk id="7" max="39" man="1"/>
  </colBreaks>
  <drawing r:id="rId1"/>
</worksheet>
</file>

<file path=xl/worksheets/sheet9.xml><?xml version="1.0" encoding="utf-8"?>
<worksheet xmlns="http://schemas.openxmlformats.org/spreadsheetml/2006/main" xmlns:r="http://schemas.openxmlformats.org/officeDocument/2006/relationships">
  <sheetPr codeName="Sheet3"/>
  <dimension ref="A3:F28"/>
  <sheetViews>
    <sheetView workbookViewId="0" topLeftCell="A13">
      <selection activeCell="A13" sqref="A1:IV16384"/>
    </sheetView>
  </sheetViews>
  <sheetFormatPr defaultColWidth="9.140625" defaultRowHeight="12.75"/>
  <cols>
    <col min="1" max="1" width="9.140625" style="53" customWidth="1"/>
    <col min="2" max="2" width="17.28125" style="53" customWidth="1"/>
    <col min="3" max="3" width="14.421875" style="53" customWidth="1"/>
    <col min="4" max="4" width="45.7109375" style="53" customWidth="1"/>
    <col min="5" max="5" width="25.8515625" style="53" customWidth="1"/>
    <col min="6" max="16384" width="9.140625" style="53" customWidth="1"/>
  </cols>
  <sheetData>
    <row r="1" ht="12.75"/>
    <row r="2" ht="13.5" thickBot="1"/>
    <row r="3" spans="2:4" ht="13.5" thickBot="1">
      <c r="B3" s="193" t="s">
        <v>77</v>
      </c>
      <c r="C3" s="194"/>
      <c r="D3" s="195" t="s">
        <v>78</v>
      </c>
    </row>
    <row r="4" spans="2:6" ht="13.5" thickBot="1">
      <c r="B4" s="61" t="s">
        <v>79</v>
      </c>
      <c r="C4" s="131" t="s">
        <v>80</v>
      </c>
      <c r="D4" s="196"/>
      <c r="F4" s="52"/>
    </row>
    <row r="5" spans="2:6" ht="39" thickBot="1">
      <c r="B5" s="132" t="s">
        <v>81</v>
      </c>
      <c r="C5" s="133" t="s">
        <v>82</v>
      </c>
      <c r="D5" s="134" t="s">
        <v>83</v>
      </c>
      <c r="F5" s="135"/>
    </row>
    <row r="6" spans="1:6" ht="39" thickBot="1">
      <c r="A6" s="53" t="s">
        <v>502</v>
      </c>
      <c r="B6" s="136" t="s">
        <v>84</v>
      </c>
      <c r="C6" s="134" t="s">
        <v>85</v>
      </c>
      <c r="D6" s="134" t="s">
        <v>86</v>
      </c>
      <c r="F6" s="57"/>
    </row>
    <row r="7" spans="1:6" ht="39" thickBot="1">
      <c r="A7" s="53" t="s">
        <v>496</v>
      </c>
      <c r="B7" s="136" t="s">
        <v>87</v>
      </c>
      <c r="C7" s="134" t="s">
        <v>88</v>
      </c>
      <c r="D7" s="134" t="s">
        <v>89</v>
      </c>
      <c r="F7" s="57"/>
    </row>
    <row r="8" spans="1:6" ht="51.75" thickBot="1">
      <c r="A8" s="53" t="s">
        <v>201</v>
      </c>
      <c r="B8" s="136" t="s">
        <v>90</v>
      </c>
      <c r="C8" s="134" t="s">
        <v>91</v>
      </c>
      <c r="D8" s="134" t="s">
        <v>92</v>
      </c>
      <c r="F8" s="57"/>
    </row>
    <row r="9" spans="1:6" ht="39" thickBot="1">
      <c r="A9" s="53" t="s">
        <v>58</v>
      </c>
      <c r="B9" s="136" t="s">
        <v>93</v>
      </c>
      <c r="C9" s="134" t="s">
        <v>94</v>
      </c>
      <c r="D9" s="134" t="s">
        <v>95</v>
      </c>
      <c r="F9" s="57"/>
    </row>
    <row r="10" ht="12.75">
      <c r="B10" s="137" t="s">
        <v>96</v>
      </c>
    </row>
    <row r="14" ht="12.75">
      <c r="A14" s="51" t="s">
        <v>97</v>
      </c>
    </row>
    <row r="15" ht="12.75">
      <c r="A15" s="53" t="s">
        <v>98</v>
      </c>
    </row>
    <row r="16" ht="12.75">
      <c r="A16" s="53" t="s">
        <v>99</v>
      </c>
    </row>
    <row r="17" ht="12.75">
      <c r="A17" s="53" t="s">
        <v>100</v>
      </c>
    </row>
    <row r="18" ht="12.75">
      <c r="A18" s="53" t="s">
        <v>101</v>
      </c>
    </row>
    <row r="20" ht="12.75">
      <c r="A20" s="53" t="s">
        <v>102</v>
      </c>
    </row>
    <row r="21" ht="12.75">
      <c r="A21" s="53" t="s">
        <v>103</v>
      </c>
    </row>
    <row r="22" ht="12.75">
      <c r="A22" s="53" t="s">
        <v>104</v>
      </c>
    </row>
    <row r="24" spans="1:3" ht="12.75">
      <c r="A24" s="53" t="s">
        <v>201</v>
      </c>
      <c r="B24" s="53">
        <v>0</v>
      </c>
      <c r="C24" s="53">
        <v>0</v>
      </c>
    </row>
    <row r="25" spans="1:3" ht="12.75">
      <c r="A25" s="53" t="s">
        <v>5</v>
      </c>
      <c r="B25" s="53">
        <v>0</v>
      </c>
      <c r="C25" s="53">
        <v>0</v>
      </c>
    </row>
    <row r="26" spans="1:3" ht="12.75">
      <c r="A26" s="53" t="s">
        <v>496</v>
      </c>
      <c r="B26" s="53">
        <v>0</v>
      </c>
      <c r="C26" s="53">
        <v>0</v>
      </c>
    </row>
    <row r="27" spans="1:3" ht="12.75">
      <c r="A27" s="53" t="s">
        <v>58</v>
      </c>
      <c r="B27" s="53">
        <v>0</v>
      </c>
      <c r="C27" s="53">
        <v>0</v>
      </c>
    </row>
    <row r="28" spans="1:3" ht="12.75">
      <c r="A28" s="53" t="s">
        <v>502</v>
      </c>
      <c r="B28" s="53">
        <v>0</v>
      </c>
      <c r="C28" s="53">
        <v>0</v>
      </c>
    </row>
  </sheetData>
  <mergeCells count="2">
    <mergeCell ref="B3:C3"/>
    <mergeCell ref="D3:D4"/>
  </mergeCells>
  <printOptions/>
  <pageMargins left="0.75" right="0.75"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O. Gruber</dc:creator>
  <cp:keywords/>
  <dc:description/>
  <cp:lastModifiedBy>rstrykowsky</cp:lastModifiedBy>
  <cp:lastPrinted>2007-07-27T15:41:22Z</cp:lastPrinted>
  <dcterms:created xsi:type="dcterms:W3CDTF">2007-05-16T14:21:14Z</dcterms:created>
  <dcterms:modified xsi:type="dcterms:W3CDTF">2007-07-27T17:25:27Z</dcterms:modified>
  <cp:category/>
  <cp:version/>
  <cp:contentType/>
  <cp:contentStatus/>
</cp:coreProperties>
</file>