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4890" windowWidth="15225" windowHeight="8895" tabRatio="901" firstSheet="1" activeTab="5"/>
  </bookViews>
  <sheets>
    <sheet name="CB_DATA_" sheetId="1" state="veryHidden" r:id="rId1"/>
    <sheet name="Summary" sheetId="2" r:id="rId2"/>
    <sheet name="Uncertainty Results" sheetId="3" r:id="rId3"/>
    <sheet name="Risk Results" sheetId="4" r:id="rId4"/>
    <sheet name="Contingency by Year" sheetId="5" r:id="rId5"/>
    <sheet name="WBS Summary" sheetId="6" r:id="rId6"/>
    <sheet name="ALLOCATED BY WBS rls" sheetId="7" r:id="rId7"/>
    <sheet name="Estimate Uncertainty Range" sheetId="8" r:id="rId8"/>
    <sheet name="Schedule Ranges" sheetId="9" r:id="rId9"/>
    <sheet name="Risk Model" sheetId="10" r:id="rId10"/>
    <sheet name="Likelihood" sheetId="11" r:id="rId11"/>
    <sheet name="Standard Estimate Uncertainty " sheetId="12" r:id="rId12"/>
    <sheet name="Misc Inputs" sheetId="13" r:id="rId13"/>
    <sheet name="Escalation Risk" sheetId="14" r:id="rId14"/>
    <sheet name="Prob Profile" sheetId="15" r:id="rId15"/>
  </sheets>
  <definedNames>
    <definedName name="CB_07cda2840f864a24a87cc990f084f660" localSheetId="7" hidden="1">'Estimate Uncertainty Range'!$T$147</definedName>
    <definedName name="CB_07cf28cfbf1d4ea199456e5fa6c10cfd" localSheetId="7" hidden="1">'Estimate Uncertainty Range'!$T$33</definedName>
    <definedName name="CB_07e014a125db4c0cbed8b0eb2d376752" localSheetId="5" hidden="1">'WBS Summary'!$R$5</definedName>
    <definedName name="CB_09a0316e88cb4c46bc362887a179c8d3" localSheetId="7" hidden="1">'Estimate Uncertainty Range'!$T$114</definedName>
    <definedName name="CB_0acf7f12df1745bea405735bac408cc1" localSheetId="7" hidden="1">'Estimate Uncertainty Range'!$T$44</definedName>
    <definedName name="CB_0b17461af79847ceb964e9a37cfd0005" localSheetId="9" hidden="1">'Risk Model'!$N$13</definedName>
    <definedName name="CB_0b83d2c209d2495eb4cc6012b2d57d16" localSheetId="9" hidden="1">'Risk Model'!$N$37</definedName>
    <definedName name="CB_0be535f3454347c4b9ebb2d20d53f9eb" localSheetId="7" hidden="1">'Estimate Uncertainty Range'!$T$144</definedName>
    <definedName name="CB_0c3ee594254c468794834128f643d44a" localSheetId="7" hidden="1">'Estimate Uncertainty Range'!$T$56</definedName>
    <definedName name="CB_0ccf10d92ab44941877c04123fc6d2ed" localSheetId="7" hidden="1">'Estimate Uncertainty Range'!$T$31</definedName>
    <definedName name="CB_0df68979e25f4be8a0efc38ed3bc6eb3" localSheetId="5" hidden="1">'WBS Summary'!$R$12</definedName>
    <definedName name="CB_0e1d233d51c54c66b03185c51ef3bc94" localSheetId="7" hidden="1">'Estimate Uncertainty Range'!$T$32</definedName>
    <definedName name="CB_0eadd1dde2a54e0fb87f5c4de20b05cf" localSheetId="7" hidden="1">'Estimate Uncertainty Range'!$T$13</definedName>
    <definedName name="CB_0eef8c8a158740ed80c99f96c73d9a23" localSheetId="7" hidden="1">'Estimate Uncertainty Range'!$T$115</definedName>
    <definedName name="CB_0fd874aa37ff45a391bbebbc96f4d1a1" localSheetId="7" hidden="1">'Estimate Uncertainty Range'!$T$60</definedName>
    <definedName name="CB_10e62e324a6e48aeb3d2babbc563c3ab" localSheetId="7" hidden="1">'Estimate Uncertainty Range'!$T$85</definedName>
    <definedName name="CB_115b03611bf94a0c92d6e7c4979a7c2f" localSheetId="7" hidden="1">'Estimate Uncertainty Range'!$T$104</definedName>
    <definedName name="CB_1281b2bbd5554645bc1c467fb8cbf4b2" localSheetId="7" hidden="1">'Estimate Uncertainty Range'!$T$78</definedName>
    <definedName name="CB_16f6fe6a5517472e9ac0babbd8ff50f6" localSheetId="7" hidden="1">'Estimate Uncertainty Range'!$T$96</definedName>
    <definedName name="CB_1717ddc4254e47589cf18a2b4cabfe85" localSheetId="7" hidden="1">'Estimate Uncertainty Range'!$T$134</definedName>
    <definedName name="CB_17d5c38d3271466cb42a3a1a5cfe25e7" localSheetId="7" hidden="1">'Estimate Uncertainty Range'!$T$90</definedName>
    <definedName name="CB_184ae54338c24433850174ba5826fb30" localSheetId="9" hidden="1">'Risk Model'!$O$25</definedName>
    <definedName name="CB_19f25097dbbc4783828bef6cd814a73b" localSheetId="5" hidden="1">'WBS Summary'!$R$17</definedName>
    <definedName name="CB_1b03e76d89ce4b0e99b41c8765360208" localSheetId="7" hidden="1">'Estimate Uncertainty Range'!$T$57</definedName>
    <definedName name="CB_1bd59076cf364d94bca0eaf6c553563d" localSheetId="9" hidden="1">'Risk Model'!$N$28</definedName>
    <definedName name="CB_1d112c9974a04793b0af4f1ca0fa8e56" localSheetId="7" hidden="1">'Estimate Uncertainty Range'!$T$23</definedName>
    <definedName name="CB_1d9c2613b0c949f487f99d8ad36616ad" localSheetId="7" hidden="1">'Estimate Uncertainty Range'!$T$80</definedName>
    <definedName name="CB_1f37524a15a1402f8912e29c75f8c1b2" localSheetId="7" hidden="1">'Estimate Uncertainty Range'!$T$87</definedName>
    <definedName name="CB_216cbc2631f94c2f9f93cb2f885fbba4" localSheetId="10" hidden="1">'Likelihood'!$C$27</definedName>
    <definedName name="CB_2173a7e47f3642d0a483d75f5384024a" localSheetId="7" hidden="1">'Estimate Uncertainty Range'!$T$16</definedName>
    <definedName name="CB_23265371d01f4adc948ce02701f2b169" localSheetId="7" hidden="1">'Estimate Uncertainty Range'!$T$94</definedName>
    <definedName name="CB_24454b9522154a2491072c040aaf363f" localSheetId="9" hidden="1">'Risk Model'!$N$5</definedName>
    <definedName name="CB_26315dda00ac4dd1940132d4abae1489" localSheetId="7" hidden="1">'Estimate Uncertainty Range'!$T$27</definedName>
    <definedName name="CB_26cd515e1bcd48a69aceba95f05eb640" localSheetId="7" hidden="1">'Estimate Uncertainty Range'!$T$143</definedName>
    <definedName name="CB_27a2f07306c040a3840de93895999af9" localSheetId="7" hidden="1">'Estimate Uncertainty Range'!$T$35</definedName>
    <definedName name="CB_28a0d783eec24d0f9164961812b515d9" localSheetId="7" hidden="1">'Estimate Uncertainty Range'!$T$132</definedName>
    <definedName name="CB_28d90e83ce384099a5d3340e61b3267d" localSheetId="7" hidden="1">'Estimate Uncertainty Range'!$T$150</definedName>
    <definedName name="CB_2a36683343e54a9cae4484b7a022b05d" localSheetId="7" hidden="1">'Estimate Uncertainty Range'!$T$128</definedName>
    <definedName name="CB_2a572fb482c342f7a8304317d06ec9b9" localSheetId="9" hidden="1">'Risk Model'!$N$14</definedName>
    <definedName name="CB_2aec728d1e3f41d58aff73aab684f2d7" localSheetId="7" hidden="1">'Estimate Uncertainty Range'!$T$92</definedName>
    <definedName name="CB_2b051497e28149adadb2556925a86ccc" localSheetId="9" hidden="1">'Risk Model'!$O$7</definedName>
    <definedName name="CB_2bbf9d44ad444a099d2164ae11ab1163" localSheetId="10" hidden="1">'Likelihood'!$B$26</definedName>
    <definedName name="CB_2ce4841f9e20467da962b6609aefa528" localSheetId="9" hidden="1">'Risk Model'!$O$17</definedName>
    <definedName name="CB_2e384a9ed3c44f86b61f2d16e87af85e" localSheetId="9" hidden="1">'Risk Model'!$O$11</definedName>
    <definedName name="CB_2e520a18e0aa4e4fb3830641c229e803" localSheetId="7" hidden="1">'Estimate Uncertainty Range'!$T$125</definedName>
    <definedName name="CB_305e9674104e4049a2a5b9bbdddcfe4c" localSheetId="7" hidden="1">'Estimate Uncertainty Range'!$T$142</definedName>
    <definedName name="CB_312f1c31b276493abd5fc60ee18b1e9f" localSheetId="7" hidden="1">'Estimate Uncertainty Range'!$T$48</definedName>
    <definedName name="CB_317e11932a0f4e158f16ac728cc2e666" localSheetId="5" hidden="1">'WBS Summary'!$R$9</definedName>
    <definedName name="CB_31d866920d044bf9a6068ba79677139b" localSheetId="7" hidden="1">'Estimate Uncertainty Range'!$T$6</definedName>
    <definedName name="CB_343e6e4dbc554d189763796f291f9596" localSheetId="7" hidden="1">'Estimate Uncertainty Range'!$T$63</definedName>
    <definedName name="CB_35761591da7043d5bbced047c205edf4" localSheetId="7" hidden="1">'Estimate Uncertainty Range'!$T$84</definedName>
    <definedName name="CB_35c2821eabb747dba51e18c794cd3930" localSheetId="7" hidden="1">'Estimate Uncertainty Range'!$T$93</definedName>
    <definedName name="CB_36fc531956074f65a79c35e976ed8dba" localSheetId="7" hidden="1">'Estimate Uncertainty Range'!$T$4</definedName>
    <definedName name="CB_37028361ba1540478095ab2b5657a8f4" localSheetId="7" hidden="1">'Estimate Uncertainty Range'!$T$138</definedName>
    <definedName name="CB_3748824de20f4966b34bb342c799ac04" localSheetId="9" hidden="1">'Risk Model'!$O$23</definedName>
    <definedName name="CB_3766a50f18d442519c0b2641ba79e53a" localSheetId="7" hidden="1">'Estimate Uncertainty Range'!$T$24</definedName>
    <definedName name="CB_3824f29471b64294818a49604e6f5873" localSheetId="10" hidden="1">'Likelihood'!$B$24</definedName>
    <definedName name="CB_3839325091a142a5b4e573ded6baed23" localSheetId="0" hidden="1">#N/A</definedName>
    <definedName name="CB_3857291569dc4b32b856c54c1c3983ca" localSheetId="7" hidden="1">'Estimate Uncertainty Range'!$T$81</definedName>
    <definedName name="CB_398ea930a5ea4b4695768e9ef183b08b" localSheetId="7" hidden="1">'Estimate Uncertainty Range'!$T$42</definedName>
    <definedName name="CB_3b16ec6449014cbeab5da3fa30c6484d" localSheetId="7" hidden="1">'Estimate Uncertainty Range'!$T$69</definedName>
    <definedName name="CB_3c9ee08b8558485285a1d82e079e28ff" localSheetId="7" hidden="1">'Estimate Uncertainty Range'!$T$75</definedName>
    <definedName name="CB_40aa9fab3537417a80cf2b00c9d39f0d" localSheetId="7" hidden="1">'Estimate Uncertainty Range'!$T$89</definedName>
    <definedName name="CB_40beeeb272ae4816aaeb869dc2231b9a" localSheetId="7" hidden="1">'Estimate Uncertainty Range'!$T$120</definedName>
    <definedName name="CB_42a5e849704f462b9752b28001925613" localSheetId="8" hidden="1">'Schedule Ranges'!$H$9</definedName>
    <definedName name="CB_4356ada922dd40e7925743dbc3825e20" localSheetId="7" hidden="1">'Estimate Uncertainty Range'!$T$107</definedName>
    <definedName name="CB_437bf8c4cdff427f946c2cd7c0e30ae9" localSheetId="7" hidden="1">'Estimate Uncertainty Range'!$T$70</definedName>
    <definedName name="CB_43ab7484e987423aa9c72ccfaca8a805" localSheetId="7" hidden="1">'Estimate Uncertainty Range'!$T$68</definedName>
    <definedName name="CB_45ce14117c2344ca8b4a9a2dc46173dc" localSheetId="10" hidden="1">'Likelihood'!$C$26</definedName>
    <definedName name="CB_46cbd058ecb84dc186f834b2d5722ec4" localSheetId="7" hidden="1">'Estimate Uncertainty Range'!$T$86</definedName>
    <definedName name="CB_492853d6eb9a48c68761958866ec8d85" localSheetId="8" hidden="1">'Schedule Ranges'!#REF!</definedName>
    <definedName name="CB_49a1194cce914b438233cbdc7394b20c" localSheetId="9" hidden="1">'Risk Model'!$N$21</definedName>
    <definedName name="CB_4ab9ec933e474518a3f569715a133520" localSheetId="7" hidden="1">'Estimate Uncertainty Range'!$T$39</definedName>
    <definedName name="CB_4ba3e9938c4047cdb3210c9c65129cca" localSheetId="7" hidden="1">'Estimate Uncertainty Range'!$T$37</definedName>
    <definedName name="CB_4bfd0f972dd848b79367dc84930fdda0" localSheetId="10" hidden="1">'Likelihood'!$C$28</definedName>
    <definedName name="CB_4e090812ff244da8a3c3668b1d0b5dff" localSheetId="8" hidden="1">'Schedule Ranges'!$H$7</definedName>
    <definedName name="CB_4e2b4db4184f4ccbb10f321b5ba57a92" localSheetId="7" hidden="1">'Estimate Uncertainty Range'!$T$21</definedName>
    <definedName name="CB_5025aaad82eb4953a57462a4ad195d36" localSheetId="7" hidden="1">'Estimate Uncertainty Range'!$T$135</definedName>
    <definedName name="CB_52cdab316dcd4bb68ee940d02ffd0f98" localSheetId="9" hidden="1">'Risk Model'!$N$36</definedName>
    <definedName name="CB_53a1af0ee5594f09bd1f07802614042a" localSheetId="5" hidden="1">'WBS Summary'!$R$6</definedName>
    <definedName name="CB_53c19aebe0fb473fa263f0ccaaaa6031" localSheetId="9" hidden="1">'Risk Model'!$O$19</definedName>
    <definedName name="CB_5400221c4d23415fb534c7f5f89f44d3" localSheetId="8" hidden="1">'Schedule Ranges'!$H$14</definedName>
    <definedName name="CB_55262e6e879c4b0d96d81c66c40f7e0b" localSheetId="7" hidden="1">'Estimate Uncertainty Range'!$T$117</definedName>
    <definedName name="CB_56e78696e99f4227b34e10f881becadb" localSheetId="7" hidden="1">'Estimate Uncertainty Range'!$T$55</definedName>
    <definedName name="CB_576060a8987d446bab378d1f5438a231" localSheetId="9" hidden="1">'Risk Model'!$O$21</definedName>
    <definedName name="CB_58653e5d9ad546b0a90229968a877742" localSheetId="7" hidden="1">'Estimate Uncertainty Range'!$T$61</definedName>
    <definedName name="CB_59658650a9ec4b5eb4271839cf9eba37" localSheetId="7" hidden="1">'Estimate Uncertainty Range'!$T$109</definedName>
    <definedName name="CB_59def55b0866497bbba10d347b9984ee" localSheetId="9" hidden="1">'Risk Model'!$O$12</definedName>
    <definedName name="CB_5a3bf9122b4e488dbf4331f2e8c09183" localSheetId="0" hidden="1">#N/A</definedName>
    <definedName name="CB_5ad40600dca14c348a0be6608c5b13c6" localSheetId="7" hidden="1">'Estimate Uncertainty Range'!$T$30</definedName>
    <definedName name="CB_5bb6fbf0c4d042098087127624dee76b" localSheetId="7" hidden="1">'Estimate Uncertainty Range'!$T$121</definedName>
    <definedName name="CB_5e681571db904bd785af800ce8c0ca31" localSheetId="7" hidden="1">'Estimate Uncertainty Range'!$T$97</definedName>
    <definedName name="CB_5f47beed776e4e9ba94f72a2c267f1f5" localSheetId="9" hidden="1">'Risk Model'!$N$34</definedName>
    <definedName name="CB_6091712c5fea4fdaaa3dacf6458cc5f9" localSheetId="7" hidden="1">'Estimate Uncertainty Range'!$T$122</definedName>
    <definedName name="CB_619a05f228ab4dd9875f13c4f48e78e9" localSheetId="7" hidden="1">'Estimate Uncertainty Range'!$T$129</definedName>
    <definedName name="CB_61beee4ad4d54d45b2b0b5062e4e7863" localSheetId="7" hidden="1">'Estimate Uncertainty Range'!$T$98</definedName>
    <definedName name="CB_622745c7c2f941138493b74ddc365e5f" localSheetId="7" hidden="1">'Estimate Uncertainty Range'!$T$53</definedName>
    <definedName name="CB_6403d2ad463c4ab482736117240eba26" localSheetId="9" hidden="1">'Risk Model'!$N$39</definedName>
    <definedName name="CB_64e33d66802749b1930b14c762febf78" localSheetId="8" hidden="1">'Schedule Ranges'!$H$10</definedName>
    <definedName name="CB_64e5b7c531aa4cb9bcb5b732c317027e" localSheetId="7" hidden="1">'Estimate Uncertainty Range'!$T$65</definedName>
    <definedName name="CB_67013e188f9e41318d9bf9865d46289f" localSheetId="7" hidden="1">'Estimate Uncertainty Range'!$T$67</definedName>
    <definedName name="CB_684d123a8d154ac4950de61079b39f9e" localSheetId="7" hidden="1">'Estimate Uncertainty Range'!$T$54</definedName>
    <definedName name="CB_6875ccbfa4ec44d294653501d7a604f0" localSheetId="7" hidden="1">'Estimate Uncertainty Range'!$T$71</definedName>
    <definedName name="CB_68c49e65120243f099da369ed02a2dc4" localSheetId="7" hidden="1">'Estimate Uncertainty Range'!$T$11</definedName>
    <definedName name="CB_6b4c118f12084f3fb33ee60455660807" localSheetId="7" hidden="1">'Estimate Uncertainty Range'!$T$77</definedName>
    <definedName name="CB_6c1f2bd80d484a39a5bba28c46071cdc" localSheetId="7" hidden="1">'Estimate Uncertainty Range'!$T$26</definedName>
    <definedName name="CB_6d074b4367be4009b47e76cda41ef789" localSheetId="7" hidden="1">'Estimate Uncertainty Range'!$T$149</definedName>
    <definedName name="CB_6d9f541e8dee4f8fae7cdc4c8c6ff67e" localSheetId="9" hidden="1">'Risk Model'!$N$11</definedName>
    <definedName name="CB_6de2e40d11304f2e8ef3cd78fe04c6ae" localSheetId="9" hidden="1">'Risk Model'!$O$13</definedName>
    <definedName name="CB_6f2d2afbebe14328aaf3ad596ce9e3d1" localSheetId="9" hidden="1">'Risk Model'!$O$36</definedName>
    <definedName name="CB_6f33721a4c8247b382e2ec95d2996d32" localSheetId="7" hidden="1">'Estimate Uncertainty Range'!$T$102</definedName>
    <definedName name="CB_703570a246ee4945812b1b8bd1750fb3" localSheetId="9" hidden="1">'Risk Model'!$O$27</definedName>
    <definedName name="CB_7051ff4dbffe4a2d9d4687e6222e6224" localSheetId="7" hidden="1">'Estimate Uncertainty Range'!$T$73</definedName>
    <definedName name="CB_70e66f3265c14ebf859af472f68c9c54" localSheetId="9" hidden="1">'Risk Model'!$O$39</definedName>
    <definedName name="CB_7176057f61e14a3eb0321f7e9ea7f23e" localSheetId="9" hidden="1">'Risk Model'!$O$14</definedName>
    <definedName name="CB_731e364bc6434e90b7408c5692ab90ba" localSheetId="8" hidden="1">'Schedule Ranges'!$H$6</definedName>
    <definedName name="CB_743dd119605444debfe92c8873f7f72f" localSheetId="7" hidden="1">'Estimate Uncertainty Range'!$T$110</definedName>
    <definedName name="CB_74c43a2f5c004d8c8c6f5e05148a9766" localSheetId="5" hidden="1">'WBS Summary'!$R$8</definedName>
    <definedName name="CB_764336b86dc04c20ab92557fe6ca9eae" localSheetId="10" hidden="1">'Likelihood'!$B$27</definedName>
    <definedName name="CB_76bd7d9e9e1a477e90119700e038ac5f" localSheetId="7" hidden="1">'Estimate Uncertainty Range'!$T$95</definedName>
    <definedName name="CB_76db5cd75fb84278ae7071fb3ebbfcae" localSheetId="7" hidden="1">'Estimate Uncertainty Range'!$T$17</definedName>
    <definedName name="CB_78bca0a75fbb4a03bcee23f8a0d3ef8e" localSheetId="7" hidden="1">'Estimate Uncertainty Range'!$T$62</definedName>
    <definedName name="CB_7951d495ec26425bb285c47ce16d6ffb" localSheetId="7" hidden="1">'Estimate Uncertainty Range'!$T$127</definedName>
    <definedName name="CB_798bde2c61994eafb584f14b866b1b0f" localSheetId="7" hidden="1">'Estimate Uncertainty Range'!$T$47</definedName>
    <definedName name="CB_7a3e15916e454ede8a9e011698c8da3d" localSheetId="7" hidden="1">'Estimate Uncertainty Range'!$T$58</definedName>
    <definedName name="CB_7dcca85bc782461a9a273ab4c1cda26a" localSheetId="7" hidden="1">'Estimate Uncertainty Range'!$T$59</definedName>
    <definedName name="CB_7ee059d29e0f45a4b191e1a0acf69b55" localSheetId="7" hidden="1">'Estimate Uncertainty Range'!$T$116</definedName>
    <definedName name="CB_7f1078ef490c4cc5b11ea4a5841304f9" localSheetId="7" hidden="1">'Estimate Uncertainty Range'!$T$50</definedName>
    <definedName name="CB_803ab9432acc494daf1d72c1243de223" localSheetId="9" hidden="1">'Risk Model'!$N$17</definedName>
    <definedName name="CB_816d12d08ccb4351af9bb850f4b66f83" localSheetId="7" hidden="1">'Estimate Uncertainty Range'!$T$46</definedName>
    <definedName name="CB_82f7931e6e254c19b2d46417eed76d4e" localSheetId="7" hidden="1">'Estimate Uncertainty Range'!$T$139</definedName>
    <definedName name="CB_846115fc4c0944488625875a6b02eeed" localSheetId="0" hidden="1">#N/A</definedName>
    <definedName name="CB_85f360b5001e47bf9d37dd308187d991" localSheetId="7" hidden="1">'Estimate Uncertainty Range'!$T$100</definedName>
    <definedName name="CB_872623d51fbe461da091a49a49548e30" localSheetId="9" hidden="1">'Risk Model'!$N$8</definedName>
    <definedName name="CB_876faf4df3b7442c8d51791fae6ab967" localSheetId="7" hidden="1">'Estimate Uncertainty Range'!$T$131</definedName>
    <definedName name="CB_898dc386e04143f1a10fb4828c3d757c" localSheetId="10" hidden="1">'Likelihood'!$B$25</definedName>
    <definedName name="CB_89aaba6b0a004b568589e03cda907bb6" localSheetId="7" hidden="1">'Estimate Uncertainty Range'!$T$14</definedName>
    <definedName name="CB_89aac007d6894b5d861be40c955404d7" localSheetId="9" hidden="1">'Risk Model'!$N$7</definedName>
    <definedName name="CB_8b9658041e1f4d86b86d164ab027f790" localSheetId="9" hidden="1">'Risk Model'!$N$35</definedName>
    <definedName name="CB_8d082597390f4fdf8b9bbc9de7396cd0" localSheetId="0" hidden="1">#N/A</definedName>
    <definedName name="CB_8d22051960934254ba93b85288a83991" localSheetId="7" hidden="1">'Estimate Uncertainty Range'!$T$118</definedName>
    <definedName name="CB_8eea63f77d104c6ebf42acd23ec874de" localSheetId="7" hidden="1">'Estimate Uncertainty Range'!$T$3</definedName>
    <definedName name="CB_91fa973987814fa0b55def24defeed3f" localSheetId="7" hidden="1">'Estimate Uncertainty Range'!$T$130</definedName>
    <definedName name="CB_9292e0fecb6c489a8785596059965319" localSheetId="7" hidden="1">'Estimate Uncertainty Range'!$T$136</definedName>
    <definedName name="CB_93ab3ad0082a4df9a390e592bd5b621c" localSheetId="0" hidden="1">#N/A</definedName>
    <definedName name="CB_93f994ecac0c4994b50186b273756665" localSheetId="9" hidden="1">'Risk Model'!$N$4</definedName>
    <definedName name="CB_93fa9319bf544398ae22674af55ecad3" localSheetId="9" hidden="1">'Risk Model'!$N$6</definedName>
    <definedName name="CB_95c39863990148629ca3dba63603f214" localSheetId="10" hidden="1">'Likelihood'!$C$25</definedName>
    <definedName name="CB_962faa095f904d959ed3a674891d9275" localSheetId="7" hidden="1">'Estimate Uncertainty Range'!$T$66</definedName>
    <definedName name="CB_9739c25a331e4b6da16ccdb947ffb103" localSheetId="7" hidden="1">'Estimate Uncertainty Range'!$T$83</definedName>
    <definedName name="CB_98a6eef8f2944344baecd61b5b7ea241" localSheetId="7" hidden="1">'Estimate Uncertainty Range'!$T$91</definedName>
    <definedName name="CB_98bb6fc7bfdb47bb9ba23504cab11ca8" localSheetId="7" hidden="1">'Estimate Uncertainty Range'!$T$38</definedName>
    <definedName name="CB_9bb66f9cf42442cabf5ecacb6de7bbe4" localSheetId="7" hidden="1">'Estimate Uncertainty Range'!$T$76</definedName>
    <definedName name="CB_9bc9b596309b49ed9a12dc7f8c010ab4" localSheetId="7" hidden="1">'Estimate Uncertainty Range'!$T$119</definedName>
    <definedName name="CB_9e6a178b3b344b1387ef17af1266f73a" localSheetId="7" hidden="1">'Estimate Uncertainty Range'!$T$5</definedName>
    <definedName name="CB_9edee82152bb4c9a9dbca9ea067a96b9" localSheetId="7" hidden="1">'Estimate Uncertainty Range'!$T$12</definedName>
    <definedName name="CB_9f9b19c733b047f18010e0b00b61ffff" localSheetId="8" hidden="1">'Schedule Ranges'!$H$13</definedName>
    <definedName name="CB_a3b65079923348618fe0c7650b6be931" localSheetId="7" hidden="1">'Estimate Uncertainty Range'!$T$82</definedName>
    <definedName name="CB_a48284d1ec9643e7967fa4109b8b455c" localSheetId="9" hidden="1">'Risk Model'!$Q$41</definedName>
    <definedName name="CB_a7dba0aa3fc44516a824351436f6e9fb" localSheetId="9" hidden="1">'Risk Model'!$O$8</definedName>
    <definedName name="CB_a8516b555d064f5383c2b8203829d769" localSheetId="7" hidden="1">'Estimate Uncertainty Range'!$T$28</definedName>
    <definedName name="CB_a9869a022606453ea1c34837c541b6fe" localSheetId="7" hidden="1">'Estimate Uncertainty Range'!$T$25</definedName>
    <definedName name="CB_aa981683a5fa4d41a3c5a9fbe5292e60" localSheetId="9" hidden="1">'Risk Model'!$O$9</definedName>
    <definedName name="CB_ac9557cdc83349b8b237d6f9e11cd9d5" localSheetId="7" hidden="1">'Estimate Uncertainty Range'!$T$99</definedName>
    <definedName name="CB_ace19d117924476f95689416057fb5ba" localSheetId="7" hidden="1">'Estimate Uncertainty Range'!$T$141</definedName>
    <definedName name="CB_ad102f451a2a4f43b3030d0c841ab647" localSheetId="7" hidden="1">'Estimate Uncertainty Range'!$T$15</definedName>
    <definedName name="CB_ad45564d031d40f1a48c693bad2257a0" localSheetId="7" hidden="1">'Estimate Uncertainty Range'!$T$108</definedName>
    <definedName name="CB_ad78a802e435420ea25d0584bb98f1d5" localSheetId="8" hidden="1">'Schedule Ranges'!$H$12</definedName>
    <definedName name="CB_ad92c480b06442129ed7578e6691d304" localSheetId="7" hidden="1">'Estimate Uncertainty Range'!$T$126</definedName>
    <definedName name="CB_b1ab92d1965149c2b95e0821bb071630" localSheetId="7" hidden="1">'Estimate Uncertainty Range'!$T$36</definedName>
    <definedName name="CB_b246825b8666443580f6421baea1967f" localSheetId="9" hidden="1">'Risk Model'!$N$10</definedName>
    <definedName name="CB_b408ec4e76cd4806b958eb28f720d53d" localSheetId="5" hidden="1">'WBS Summary'!$R$10</definedName>
    <definedName name="CB_b8231fab35d94d10a347590e518b6d0e" localSheetId="7" hidden="1">'Estimate Uncertainty Range'!$T$43</definedName>
    <definedName name="CB_bb97c4ca16144cea9d139dfa564edca6" localSheetId="7" hidden="1">'Estimate Uncertainty Range'!$T$52</definedName>
    <definedName name="CB_bc89f950eed8403db50b59a7761ffbc5" localSheetId="7" hidden="1">'Estimate Uncertainty Range'!$T$123</definedName>
    <definedName name="CB_c09178092e4642f5b367a0f8d373f7ef" localSheetId="5" hidden="1">'WBS Summary'!$R$13</definedName>
    <definedName name="CB_c1001d999a95409083ad0fe0e976ed43" localSheetId="7" hidden="1">'Estimate Uncertainty Range'!$T$124</definedName>
    <definedName name="CB_c2a22081183d40638c8bc5e691e8b1cd" localSheetId="7" hidden="1">'Estimate Uncertainty Range'!$T$113</definedName>
    <definedName name="CB_c42a38a16edf49789fd896313bd31b0b" localSheetId="5" hidden="1">'WBS Summary'!$R$7</definedName>
    <definedName name="CB_c480b6f1cfe148c187cfc8659b8ad92a" localSheetId="5" hidden="1">'WBS Summary'!$R$14</definedName>
    <definedName name="CB_c6f19b62c7c3463f93d8a6fa870e253f" localSheetId="7" hidden="1">'Estimate Uncertainty Range'!$T$103</definedName>
    <definedName name="CB_c83dad754953417785ff515d17d7cd4b" localSheetId="7" hidden="1">'Estimate Uncertainty Range'!$T$45</definedName>
    <definedName name="CB_c8bd8cf22aae42a98393dfee38263328" localSheetId="9" hidden="1">'Risk Model'!$R$41</definedName>
    <definedName name="CB_c96d8d42643445e7ab481852c5be2e60" localSheetId="5" hidden="1">'WBS Summary'!$R$18</definedName>
    <definedName name="CB_ca7f29ff272d4a50914d3ab15e4b567d" localSheetId="10" hidden="1">'Likelihood'!$B$28</definedName>
    <definedName name="CB_ce970c112d64420ba805168248467e36" localSheetId="7" hidden="1">'Estimate Uncertainty Range'!$T$101</definedName>
    <definedName name="CB_cf0f98194998454d80d26464f75b1a3b" localSheetId="0" hidden="1">#N/A</definedName>
    <definedName name="CB_cfa354547c16446ba841a78a88a669e0" localSheetId="7" hidden="1">'Estimate Uncertainty Range'!$T$41</definedName>
    <definedName name="CB_d0dbf9cc48064fbab05ab30b0a4cc8ca" localSheetId="8" hidden="1">'Schedule Ranges'!$I$16</definedName>
    <definedName name="CB_d168a69e74b7434caa071f69b6a8dcb1" localSheetId="7" hidden="1">'Estimate Uncertainty Range'!$T$72</definedName>
    <definedName name="CB_d35fbef3a73e48abb157f0fcbc3585ac" localSheetId="7" hidden="1">'Estimate Uncertainty Range'!$T$40</definedName>
    <definedName name="CB_d7658f2fc3e64fcab01b3226702965ba" localSheetId="9" hidden="1">'Risk Model'!$N$12</definedName>
    <definedName name="CB_d78a43222df8464988e7f99bbf038540" localSheetId="9" hidden="1">'Risk Model'!$O$35</definedName>
    <definedName name="CB_db1255b039d04726bf3887b0c50ce851" localSheetId="7" hidden="1">'Estimate Uncertainty Range'!$T$111</definedName>
    <definedName name="CB_dcb7884d58904da1a53376c2432f1dbf" localSheetId="9" hidden="1">'Risk Model'!$O$24</definedName>
    <definedName name="CB_dec0f8f937574a469e06e40793cc8128" localSheetId="7" hidden="1">'Estimate Uncertainty Range'!$T$8</definedName>
    <definedName name="CB_e054651d4e564c5ba4b89b0ac80301f1" localSheetId="7" hidden="1">'Estimate Uncertainty Range'!$T$74</definedName>
    <definedName name="CB_e17475a4b4874644a28e125dcc044d3d" localSheetId="5" hidden="1">'WBS Summary'!$R$16</definedName>
    <definedName name="CB_e1bf428bb68c4ed5bbc1ed6607587670" localSheetId="7" hidden="1">'Estimate Uncertainty Range'!$T$79</definedName>
    <definedName name="CB_e2d6af0d024f462691c1bae5245b49aa" localSheetId="9" hidden="1">'Risk Model'!$N$19</definedName>
    <definedName name="CB_e3f126b397a84c21b81888080cf38fba" localSheetId="9" hidden="1">'Risk Model'!$O$26</definedName>
    <definedName name="CB_e907529d51284ab1aad5d96d4daaa8a0" localSheetId="9" hidden="1">'Risk Model'!$N$33</definedName>
    <definedName name="CB_e9ad15a449274162957b8bfdb3a09c4c" localSheetId="5" hidden="1">'WBS Summary'!$R$15</definedName>
    <definedName name="CB_ea93563a574d44f0aafffc81713d56ff" localSheetId="9" hidden="1">'Risk Model'!$N$29</definedName>
    <definedName name="CB_efffb74998a147a29a70875b14ac0cc8" localSheetId="7" hidden="1">'Estimate Uncertainty Range'!$T$148</definedName>
    <definedName name="CB_f392d7f20c314159b11da3f53218dc84" localSheetId="7" hidden="1">'Estimate Uncertainty Range'!$T$105</definedName>
    <definedName name="CB_f43c80f042724dd4ae1fd75021af124d" localSheetId="7" hidden="1">'Estimate Uncertainty Range'!$T$29</definedName>
    <definedName name="CB_f4bea8f68192432e837165d581c50c47" localSheetId="5" hidden="1">'WBS Summary'!$R$11</definedName>
    <definedName name="CB_f52d17cfb81246a58e4af2674d12b128" localSheetId="7" hidden="1">'Estimate Uncertainty Range'!$T$51</definedName>
    <definedName name="CB_f59ff9253b7046b3a9ab87c2341a6c71" localSheetId="9" hidden="1">'Risk Model'!$O$38</definedName>
    <definedName name="CB_f5a9a3cdfdd1406db33171afa3489d4e" localSheetId="7" hidden="1">'Estimate Uncertainty Range'!$T$49</definedName>
    <definedName name="CB_f65e7ab12f754239bcf74ca3f2823eb0" localSheetId="9" hidden="1">'Risk Model'!$N$9</definedName>
    <definedName name="CB_f7148be2d66744ec826ca4b74a187e37" localSheetId="7" hidden="1">'Estimate Uncertainty Range'!$T$34</definedName>
    <definedName name="CB_f7a65689606e4b57b779575f7e406f40" localSheetId="7" hidden="1">'Estimate Uncertainty Range'!$T$7</definedName>
    <definedName name="CB_f8d89fcf036048299d09e98a80cfb395" localSheetId="5" hidden="1">'WBS Summary'!$R$19</definedName>
    <definedName name="CB_f960cd110cbe4c8d9d312582524031dd" localSheetId="8" hidden="1">'Schedule Ranges'!$J$16</definedName>
    <definedName name="CB_f9d455fabe8d4097959101d01eab1b5d" localSheetId="7" hidden="1">'Estimate Uncertainty Range'!$T$112</definedName>
    <definedName name="CB_fae6ea2b41bf43428eeedda2466dac38" localSheetId="7" hidden="1">'Estimate Uncertainty Range'!$T$88</definedName>
    <definedName name="CB_ff87b0c4cad64946a1b0e595654f6e84" localSheetId="10" hidden="1">'Likelihood'!$C$24</definedName>
    <definedName name="CBCR_006a276178cb499fab38c5255396c97d" localSheetId="9" hidden="1">'Risk Model'!$J$8</definedName>
    <definedName name="CBCR_00f7266643f74cf4939599cd46d81d01" localSheetId="7" hidden="1">'Estimate Uncertainty Range'!$C$95</definedName>
    <definedName name="CBCR_01544fc79adb4ecdb924de52f2f6fb35" localSheetId="7" hidden="1">'Estimate Uncertainty Range'!$J$17</definedName>
    <definedName name="CBCR_01a699f093804520b9d9227563abf13a" localSheetId="7" hidden="1">'Estimate Uncertainty Range'!$J$114</definedName>
    <definedName name="CBCR_023253691d9b444b88fea702eb22edd2" localSheetId="7" hidden="1">'Estimate Uncertainty Range'!$J$144</definedName>
    <definedName name="CBCR_025e446d9baa40069fd73619109a3ea1" localSheetId="7" hidden="1">'Estimate Uncertainty Range'!$J$121</definedName>
    <definedName name="CBCR_02d4cf438eaa4d2a9f9af9c0c65c12c0" localSheetId="7" hidden="1">'Estimate Uncertainty Range'!$K$52</definedName>
    <definedName name="CBCR_032b1df4e6024f14ac396b29efc27af0" localSheetId="7" hidden="1">'Estimate Uncertainty Range'!$J$87</definedName>
    <definedName name="CBCR_03b9943f587d495c9b6e75170db31344" localSheetId="7" hidden="1">'Estimate Uncertainty Range'!$I$125</definedName>
    <definedName name="CBCR_04077c03bab64b4396b4b89423c0d8be" localSheetId="7" hidden="1">'Estimate Uncertainty Range'!$C$90</definedName>
    <definedName name="CBCR_044f79ff46d24ab6b1ca19f6a25f70a2" localSheetId="9" hidden="1">'Risk Model'!$K$12</definedName>
    <definedName name="CBCR_04a796c9a3cb4e66af434ae81d6e7b47" localSheetId="7" hidden="1">'Estimate Uncertainty Range'!$J$81</definedName>
    <definedName name="CBCR_05070c9d616b4522a38c44493152cdb4" localSheetId="7" hidden="1">'Estimate Uncertainty Range'!$B$54</definedName>
    <definedName name="CBCR_0511b18821784733bf0790676a4027f1" localSheetId="8" hidden="1">'Schedule Ranges'!$E$14</definedName>
    <definedName name="CBCR_0520155ed871476abf56124401c3df30" localSheetId="7" hidden="1">'Estimate Uncertainty Range'!$J$40</definedName>
    <definedName name="CBCR_056e4818ff3844f194cb9a29e70f701c" localSheetId="9" hidden="1">'Risk Model'!$J$19</definedName>
    <definedName name="CBCR_057e28c277ea49eaa6ddac318bd5bfa4" localSheetId="7" hidden="1">'Estimate Uncertainty Range'!$I$83</definedName>
    <definedName name="CBCR_060cd2020ff54fef9988a401b4d8a82a" localSheetId="7" hidden="1">'Estimate Uncertainty Range'!$C$66</definedName>
    <definedName name="CBCR_0616d7eb371a4d44a9dcb42d956465fd" localSheetId="7" hidden="1">'Estimate Uncertainty Range'!$B$142</definedName>
    <definedName name="CBCR_06203ad57c3542f0b40ca87512ab781c" localSheetId="7" hidden="1">'Estimate Uncertainty Range'!$C$48</definedName>
    <definedName name="CBCR_06eab22f59cd4a8eb5cdbe0f837b496f" localSheetId="7" hidden="1">'Estimate Uncertainty Range'!$I$51</definedName>
    <definedName name="CBCR_06ec60f97d0a43e79c2d21ae67111e91" localSheetId="7" hidden="1">'Estimate Uncertainty Range'!$C$80</definedName>
    <definedName name="CBCR_0742f573c24f4bbaad79d60e7098b117" localSheetId="7" hidden="1">'Estimate Uncertainty Range'!$C$71</definedName>
    <definedName name="CBCR_07f1c68919ee4f3dbdd9ae2458717003" localSheetId="7" hidden="1">'Estimate Uncertainty Range'!$J$39</definedName>
    <definedName name="CBCR_083a5a7d265f4985a15911c66533d461" localSheetId="7" hidden="1">'Estimate Uncertainty Range'!$J$27</definedName>
    <definedName name="CBCR_08f461fc4a534233842b5c9d18723185" localSheetId="9" hidden="1">'Risk Model'!$I$37</definedName>
    <definedName name="CBCR_09267d1345724495b67278f08caa5e62" localSheetId="7" hidden="1">'Estimate Uncertainty Range'!$C$7</definedName>
    <definedName name="CBCR_0938af1e9bfb4038b5e668c66aef1d80" localSheetId="7" hidden="1">'Estimate Uncertainty Range'!$J$62</definedName>
    <definedName name="CBCR_0a1ab1e755aa4d8abc693338de520ca7" localSheetId="7" hidden="1">'Estimate Uncertainty Range'!$I$15</definedName>
    <definedName name="CBCR_0a8c9944474a44828ba017e41073fc32" localSheetId="7" hidden="1">'Estimate Uncertainty Range'!$C$49</definedName>
    <definedName name="CBCR_0ad75f2727584f6fb8bc2f251ab11864" localSheetId="7" hidden="1">'Estimate Uncertainty Range'!$C$3</definedName>
    <definedName name="CBCR_0af145d32b2249388fecc66418b41345" localSheetId="7" hidden="1">'Estimate Uncertainty Range'!$J$80</definedName>
    <definedName name="CBCR_0b58c727ae2247999b04188ef5f1d4c2" localSheetId="7" hidden="1">'Estimate Uncertainty Range'!$I$76</definedName>
    <definedName name="CBCR_0b6b0cecb22d413b9c7e70e2268f4cd1" localSheetId="7" hidden="1">'Estimate Uncertainty Range'!$C$68</definedName>
    <definedName name="CBCR_0ba6dd7562e14d98bfea9dbb3d7ffd5b" localSheetId="7" hidden="1">'Estimate Uncertainty Range'!$K$38</definedName>
    <definedName name="CBCR_0bb553058a2748ad84848f5b9213e360" localSheetId="7" hidden="1">'Estimate Uncertainty Range'!$B$96</definedName>
    <definedName name="CBCR_0bec11cde997496593fe8f16be84564f" localSheetId="7" hidden="1">'Estimate Uncertainty Range'!$J$83</definedName>
    <definedName name="CBCR_0bf1efb0e71a444ab339a1a135312864" localSheetId="8" hidden="1">'Schedule Ranges'!$A$7</definedName>
    <definedName name="CBCR_0c200a48ed154f329b5db4923b3dfbc2" localSheetId="7" hidden="1">'Estimate Uncertainty Range'!$C$108</definedName>
    <definedName name="CBCR_0c4a2d31c56f4253a4d196c6d8ac5337" localSheetId="7" hidden="1">'Estimate Uncertainty Range'!$I$92</definedName>
    <definedName name="CBCR_0c4ef7f31311432c853cf9085da50df4" localSheetId="7" hidden="1">'Estimate Uncertainty Range'!$I$42</definedName>
    <definedName name="CBCR_0c623d35eb774ff39e5ae2e41b3cac52" localSheetId="7" hidden="1">'Estimate Uncertainty Range'!$I$53</definedName>
    <definedName name="CBCR_0caa62f0382c44c88032b836f6f213d2" localSheetId="7" hidden="1">'Estimate Uncertainty Range'!$K$128</definedName>
    <definedName name="CBCR_0d0a171d431a4ca0a1ee99c439439423" localSheetId="7" hidden="1">'Estimate Uncertainty Range'!$C$85</definedName>
    <definedName name="CBCR_0d6dd5b2711843699e2a1426e033e127" localSheetId="9" hidden="1">'Risk Model'!$K$25</definedName>
    <definedName name="CBCR_0d75bc4f21af4885b5a0fdaa78c3101e" localSheetId="7" hidden="1">'Estimate Uncertainty Range'!$I$75</definedName>
    <definedName name="CBCR_0dc95a917c054260bbcd06a98e3060cf" localSheetId="7" hidden="1">'Estimate Uncertainty Range'!$B$105</definedName>
    <definedName name="CBCR_0dec99e07f1f4c6f90eea3c1e5e239a3" localSheetId="9" hidden="1">'Risk Model'!$J$37</definedName>
    <definedName name="CBCR_0df36f03dea24d08b94bbb5208ba8b0c" localSheetId="7" hidden="1">'Estimate Uncertainty Range'!$B$138</definedName>
    <definedName name="CBCR_0df8ac7ac4cc47f592eeef6ee8a1fdac" localSheetId="7" hidden="1">'Estimate Uncertainty Range'!$C$87</definedName>
    <definedName name="CBCR_0e3fdccc92d14e15b73de094d58255c3" localSheetId="7" hidden="1">'Estimate Uncertainty Range'!$J$119</definedName>
    <definedName name="CBCR_0f571f1e9f3a458fb8127d1d411b0734" localSheetId="7" hidden="1">'Estimate Uncertainty Range'!$I$86</definedName>
    <definedName name="CBCR_0f58dc52bb794c25890fe526efdc37bb" localSheetId="9" hidden="1">'Risk Model'!$K$7</definedName>
    <definedName name="CBCR_0f6dd96a959941b78b07cf5d173a9976" localSheetId="8" hidden="1">'Schedule Ranges'!$C$13</definedName>
    <definedName name="CBCR_104109d6033a45e188e02e7055f41449" localSheetId="7" hidden="1">'Estimate Uncertainty Range'!$J$58</definedName>
    <definedName name="CBCR_1089ac59146544e4b64b8b25b6249597" localSheetId="8" hidden="1">'Schedule Ranges'!$F$13</definedName>
    <definedName name="CBCR_117fa3d33b974afd8ec7eadd16c935ab" localSheetId="8" hidden="1">'Schedule Ranges'!$A$13</definedName>
    <definedName name="CBCR_11a348a5663b4e279810bac00e624806" localSheetId="7" hidden="1">'Estimate Uncertainty Range'!$C$8</definedName>
    <definedName name="CBCR_11ef7caf81ff48ed8b6f71b2a7c88cc8" localSheetId="7" hidden="1">'Estimate Uncertainty Range'!$I$52</definedName>
    <definedName name="CBCR_120edd6b460b4345aa7f9cca5d30dda7" localSheetId="7" hidden="1">'Estimate Uncertainty Range'!$I$58</definedName>
    <definedName name="CBCR_12498447149b405a8cab6916eef5a064" localSheetId="8" hidden="1">'Schedule Ranges'!$E$12</definedName>
    <definedName name="CBCR_127d6061d8ca40bfa93947902e20932f" localSheetId="7" hidden="1">'Estimate Uncertainty Range'!$K$112</definedName>
    <definedName name="CBCR_12bb8d0700344d00a525b657539e993a" localSheetId="7" hidden="1">'Estimate Uncertainty Range'!$C$34</definedName>
    <definedName name="CBCR_12e13a4657ff4f6caf37cb66f9258757" localSheetId="7" hidden="1">'Estimate Uncertainty Range'!$K$74</definedName>
    <definedName name="CBCR_1335c071bdb740c2b65ef048717bcbf3" localSheetId="7" hidden="1">'Estimate Uncertainty Range'!$I$104</definedName>
    <definedName name="CBCR_13429b23d217427f83147af5739fec3d" localSheetId="7" hidden="1">'Estimate Uncertainty Range'!$I$27</definedName>
    <definedName name="CBCR_1394f09eb14749f694c646361695c2f6" localSheetId="7" hidden="1">'Estimate Uncertainty Range'!$I$30</definedName>
    <definedName name="CBCR_13d24b7ea5934650b819e8c55bc239a1" localSheetId="7" hidden="1">'Estimate Uncertainty Range'!$C$46</definedName>
    <definedName name="CBCR_14641ab47d1445e09b3f76859510c098" localSheetId="7" hidden="1">'Estimate Uncertainty Range'!$I$116</definedName>
    <definedName name="CBCR_148592fba7e04080ba4cd591aedff83f" localSheetId="7" hidden="1">'Estimate Uncertainty Range'!$C$14</definedName>
    <definedName name="CBCR_149c5a1778014e7aac638df859cb0c8d" localSheetId="9" hidden="1">'Risk Model'!$K$39</definedName>
    <definedName name="CBCR_14e4bb49b6214d40a82af6019cc24210" localSheetId="7" hidden="1">'Estimate Uncertainty Range'!$C$77</definedName>
    <definedName name="CBCR_153be382219448348ccd290794130382" localSheetId="7" hidden="1">'Estimate Uncertainty Range'!$J$59</definedName>
    <definedName name="CBCR_156ff5c8a57f47979690bbb39e6e8dd1" localSheetId="7" hidden="1">'Estimate Uncertainty Range'!$C$81</definedName>
    <definedName name="CBCR_15b54c7567c94094a16c28c6c2111f69" localSheetId="7" hidden="1">'Estimate Uncertainty Range'!$C$26</definedName>
    <definedName name="CBCR_15f99637a10a4a4e87a3e3ec55c0040e" localSheetId="7" hidden="1">'Estimate Uncertainty Range'!$I$108</definedName>
    <definedName name="CBCR_1634df4f9d0b4e419b3040ead6548aba" localSheetId="7" hidden="1">'Estimate Uncertainty Range'!$K$76</definedName>
    <definedName name="CBCR_168524487b584c13b8cb43f711ac876e" localSheetId="9" hidden="1">'Risk Model'!$L$21</definedName>
    <definedName name="CBCR_173410e1c50f42dd8b2744620467647d" localSheetId="7" hidden="1">'Estimate Uncertainty Range'!$J$141</definedName>
    <definedName name="CBCR_176c5dcae15a44558f0b844830537598" localSheetId="7" hidden="1">'Estimate Uncertainty Range'!$C$100</definedName>
    <definedName name="CBCR_1786f6c37ddc493dbc087c8b9a9ebc06" localSheetId="8" hidden="1">'Schedule Ranges'!$E$6</definedName>
    <definedName name="CBCR_187adf4cd04b4a779794695cb627403f" localSheetId="7" hidden="1">'Estimate Uncertainty Range'!$C$111</definedName>
    <definedName name="CBCR_18ab98362c2543fd96cb0d0591ac0bd9" localSheetId="7" hidden="1">'Estimate Uncertainty Range'!$I$28</definedName>
    <definedName name="CBCR_190f624323ef4582bde3386a19146a96" localSheetId="7" hidden="1">'Estimate Uncertainty Range'!$J$125</definedName>
    <definedName name="CBCR_192b67d4fdcf4051b9e1ac27a112a7b9" localSheetId="7" hidden="1">'Estimate Uncertainty Range'!$J$98</definedName>
    <definedName name="CBCR_19ca168243034fa09b394f7c5e48448d" localSheetId="10" hidden="1">'Likelihood'!$B$27</definedName>
    <definedName name="CBCR_1a20a9499805448bbadd33adf5cb879c" localSheetId="7" hidden="1">'Estimate Uncertainty Range'!$B$38</definedName>
    <definedName name="CBCR_1b3473bfc74f48639212d7885fa4d6c7" localSheetId="7" hidden="1">'Estimate Uncertainty Range'!$K$139</definedName>
    <definedName name="CBCR_1c86a4b17f8c4b2bb5903c5e7fb45a58" localSheetId="7" hidden="1">'Estimate Uncertainty Range'!$K$5</definedName>
    <definedName name="CBCR_1c8c96d4b03349c0a026cafd629e2e20" localSheetId="5" hidden="1">'WBS Summary'!$A$9</definedName>
    <definedName name="CBCR_1d0603d2c3544ee58ba714105c5fd507" localSheetId="7" hidden="1">'Estimate Uncertainty Range'!$J$128</definedName>
    <definedName name="CBCR_1e0e96f991574a2384a5037b0bb03325" localSheetId="7" hidden="1">'Estimate Uncertainty Range'!$C$86</definedName>
    <definedName name="CBCR_1e325e7d44e946abbecaeb113190cd25" localSheetId="7" hidden="1">'Estimate Uncertainty Range'!$C$94</definedName>
    <definedName name="CBCR_1f940d7dcb3f4affab3e905eec7c907d" localSheetId="7" hidden="1">'Estimate Uncertainty Range'!$I$24</definedName>
    <definedName name="CBCR_20cd68af8d3a46b9bca136543797ac5e" localSheetId="7" hidden="1">'Estimate Uncertainty Range'!$K$41</definedName>
    <definedName name="CBCR_214a0a09966c40318a91c533c6f8b2fb" localSheetId="7" hidden="1">'Estimate Uncertainty Range'!$C$69</definedName>
    <definedName name="CBCR_21aacd27794846ed9b6c601aed61a41a" localSheetId="7" hidden="1">'Estimate Uncertainty Range'!$I$123</definedName>
    <definedName name="CBCR_21b4431d3e5e46309b08d5bde134ded5" localSheetId="7" hidden="1">'Estimate Uncertainty Range'!$K$141</definedName>
    <definedName name="CBCR_21b4f8bb4d3845d6beee8f3c4f6543bc" localSheetId="7" hidden="1">'Estimate Uncertainty Range'!$C$51</definedName>
    <definedName name="CBCR_21c8f55889d74e888d5d9395a0cbe37a" localSheetId="9" hidden="1">'Risk Model'!$J$6</definedName>
    <definedName name="CBCR_21fc5bc3aacd43a58bf9d36bc053c1bd" localSheetId="7" hidden="1">'Estimate Uncertainty Range'!$K$118</definedName>
    <definedName name="CBCR_2281082df1ae49d2ad7724fb6380518b" localSheetId="7" hidden="1">'Estimate Uncertainty Range'!$C$79</definedName>
    <definedName name="CBCR_228196f300664184b0fa6a52dce4cccb" localSheetId="7" hidden="1">'Estimate Uncertainty Range'!$B$141</definedName>
    <definedName name="CBCR_2295944909a04f6384a09475495136ff" localSheetId="8" hidden="1">'Schedule Ranges'!$E$10</definedName>
    <definedName name="CBCR_22eb693cdb0840a1948248a726dfd3ff" localSheetId="7" hidden="1">'Estimate Uncertainty Range'!$C$52</definedName>
    <definedName name="CBCR_2301cdcda6994b24957a25ba40f55e52" localSheetId="7" hidden="1">'Estimate Uncertainty Range'!$C$27</definedName>
    <definedName name="CBCR_23adcb987b254d17be3c48691559d5c3" localSheetId="9" hidden="1">'Risk Model'!$L$19</definedName>
    <definedName name="CBCR_23d58047a3804cc698e0f69108042069" localSheetId="7" hidden="1">'Estimate Uncertainty Range'!$K$60</definedName>
    <definedName name="CBCR_240a6edbc75240c38485c5948b9fee10" localSheetId="5" hidden="1">'WBS Summary'!$A$19</definedName>
    <definedName name="CBCR_2472a69963914139b015b4d744d84229" localSheetId="7" hidden="1">'Estimate Uncertainty Range'!$J$85</definedName>
    <definedName name="CBCR_24a9e8606a894aabb06c5543d05e05ba" localSheetId="7" hidden="1">'Estimate Uncertainty Range'!$K$101</definedName>
    <definedName name="CBCR_24aad6422bd14fdf8bdfb4a0a961e751" localSheetId="7" hidden="1">'Estimate Uncertainty Range'!$K$71</definedName>
    <definedName name="CBCR_24cad0e9b77742ad96362ba14be7aa98" localSheetId="7" hidden="1">'Estimate Uncertainty Range'!$J$50</definedName>
    <definedName name="CBCR_24f76b340ceb4282a821eb3ecad687e5" localSheetId="7" hidden="1">'Estimate Uncertainty Range'!$I$129</definedName>
    <definedName name="CBCR_250b3550e24c4bcbaa0f725089dd3018" localSheetId="9" hidden="1">'Risk Model'!$L$25</definedName>
    <definedName name="CBCR_250c7d89154a437a84af9813467bd557" localSheetId="7" hidden="1">'Estimate Uncertainty Range'!$J$29</definedName>
    <definedName name="CBCR_261b42f089854edfbe6049c6be599b3a" localSheetId="7" hidden="1">'Estimate Uncertainty Range'!$B$118</definedName>
    <definedName name="CBCR_267fec5e2afe4f0c9da6b964d622b933" localSheetId="7" hidden="1">'Estimate Uncertainty Range'!$I$82</definedName>
    <definedName name="CBCR_26d4acd7f331408c8a8af0636db72e17" localSheetId="7" hidden="1">'Estimate Uncertainty Range'!$K$121</definedName>
    <definedName name="CBCR_26fcf43594a94076b61c517fedddaa19" localSheetId="7" hidden="1">'Estimate Uncertainty Range'!$I$73</definedName>
    <definedName name="CBCR_27526e59d6d14dfe935f290a973a69cd" localSheetId="7" hidden="1">'Estimate Uncertainty Range'!$J$109</definedName>
    <definedName name="CBCR_27eb590d30d44ca787b917ab92b57945" localSheetId="7" hidden="1">'Estimate Uncertainty Range'!$I$81</definedName>
    <definedName name="CBCR_28d730d714034b9cb9d72196163234c9" localSheetId="7" hidden="1">'Estimate Uncertainty Range'!$C$4</definedName>
    <definedName name="CBCR_2901720d691f47eba910300e3b404cdd" localSheetId="7" hidden="1">'Estimate Uncertainty Range'!$K$55</definedName>
    <definedName name="CBCR_295d2c009d87421cb09650e315076be9" localSheetId="8" hidden="1">'Schedule Ranges'!$A$6</definedName>
    <definedName name="CBCR_29a2956b81a341cfa8f965169634aa18" localSheetId="9" hidden="1">'Risk Model'!$I$14</definedName>
    <definedName name="CBCR_2a6d060da0cd48298c13848ea84311d8" localSheetId="7" hidden="1">'Estimate Uncertainty Range'!$J$37</definedName>
    <definedName name="CBCR_2b723ad10dba4f9a962128e504b0ab56" localSheetId="7" hidden="1">'Estimate Uncertainty Range'!$J$102</definedName>
    <definedName name="CBCR_2bdcea8d4b0d4226a364ce6ab6f7d903" localSheetId="7" hidden="1">'Estimate Uncertainty Range'!$J$21</definedName>
    <definedName name="CBCR_2be9cfd26a9b490b87ce0da907f08e9c" localSheetId="7" hidden="1">'Estimate Uncertainty Range'!$J$7</definedName>
    <definedName name="CBCR_2c17d2ea3b1941e49814b511c70049b1" localSheetId="7" hidden="1">'Estimate Uncertainty Range'!$J$56</definedName>
    <definedName name="CBCR_2e032acc396542eea3f94022e50b5503" localSheetId="7" hidden="1">'Estimate Uncertainty Range'!$J$51</definedName>
    <definedName name="CBCR_2e8e4cffb9514b91aa4747d31fe666b9" localSheetId="7" hidden="1">'Estimate Uncertainty Range'!$K$62</definedName>
    <definedName name="CBCR_2e94256ca5084bf5af78fbabde4a44f8" localSheetId="7" hidden="1">'Estimate Uncertainty Range'!$B$123</definedName>
    <definedName name="CBCR_2e9c64ebb7144206a13db33d2c5477dc" localSheetId="7" hidden="1">'Estimate Uncertainty Range'!$K$94</definedName>
    <definedName name="CBCR_2ea28a101cfb44ae889118379b6389af" localSheetId="7" hidden="1">'Estimate Uncertainty Range'!$I$50</definedName>
    <definedName name="CBCR_2ed79633b7484653803ab18797b0b5e0" localSheetId="8" hidden="1">'Schedule Ranges'!$B$9</definedName>
    <definedName name="CBCR_2f0d27fd38cb47a583a17afe576318f4" localSheetId="7" hidden="1">'Estimate Uncertainty Range'!$K$49</definedName>
    <definedName name="CBCR_2f4b5757a62c400e9b2b6d2851927d41" localSheetId="7" hidden="1">'Estimate Uncertainty Range'!$K$58</definedName>
    <definedName name="CBCR_2f68bb2b3d3049748677944eb939f283" localSheetId="7" hidden="1">'Estimate Uncertainty Range'!$J$45</definedName>
    <definedName name="CBCR_2fdfb7d8704245f1b55b8bd7868570e4" localSheetId="7" hidden="1">'Estimate Uncertainty Range'!$J$127</definedName>
    <definedName name="CBCR_30359352da2a4559b2b516171afe1c7f" localSheetId="7" hidden="1">'Estimate Uncertainty Range'!$K$117</definedName>
    <definedName name="CBCR_30a82de873b84d3f922e8bb6560918e1" localSheetId="7" hidden="1">'Estimate Uncertainty Range'!$C$6</definedName>
    <definedName name="CBCR_314283d2fb7f4a3d802fe97846f307bb" localSheetId="8" hidden="1">'Schedule Ranges'!$E$7</definedName>
    <definedName name="CBCR_320f792175c6408c8654267c58bd37bf" localSheetId="7" hidden="1">'Estimate Uncertainty Range'!$I$124</definedName>
    <definedName name="CBCR_326683b3285d4e15ac91058e3c4f828e" localSheetId="9" hidden="1">'Risk Model'!$I$19</definedName>
    <definedName name="CBCR_327d5589738f4956bf4fe4326cefb8b1" localSheetId="7" hidden="1">'Estimate Uncertainty Range'!$K$126</definedName>
    <definedName name="CBCR_33385a171d1e48a892de56ae7b6bfb84" localSheetId="7" hidden="1">'Estimate Uncertainty Range'!$C$126</definedName>
    <definedName name="CBCR_345a15f2488148cf8d1327ce33d71ed0" localSheetId="7" hidden="1">'Estimate Uncertainty Range'!$I$113</definedName>
    <definedName name="CBCR_34c014cdc2704efa95f7b118586ae4d5" localSheetId="7" hidden="1">'Estimate Uncertainty Range'!$C$63</definedName>
    <definedName name="CBCR_350840b049b14635b0ed51a2210ffb90" localSheetId="7" hidden="1">'Estimate Uncertainty Range'!$J$108</definedName>
    <definedName name="CBCR_352196aee2dc47d1837c36328e6caad1" localSheetId="7" hidden="1">'Estimate Uncertainty Range'!$J$90</definedName>
    <definedName name="CBCR_3535366aed07488282aa2fa70b834d28" localSheetId="7" hidden="1">'Estimate Uncertainty Range'!$I$121</definedName>
    <definedName name="CBCR_354ad3ae3e9a428c8d58a628f735f499" localSheetId="7" hidden="1">'Estimate Uncertainty Range'!$K$100</definedName>
    <definedName name="CBCR_36997cf4f1454b8cbfe78ab2eaf515bc" localSheetId="7" hidden="1">'Estimate Uncertainty Range'!$C$35</definedName>
    <definedName name="CBCR_3908cf39df3849989d2069aae2643f96" localSheetId="7" hidden="1">'Estimate Uncertainty Range'!$I$128</definedName>
    <definedName name="CBCR_397bd786c7ae4d5f88210464f29597f4" localSheetId="9" hidden="1">'Risk Model'!$K$35</definedName>
    <definedName name="CBCR_39988941df8a4728ad50add36ba0dd93" localSheetId="10" hidden="1">'Likelihood'!$B$26</definedName>
    <definedName name="CBCR_39a47d66f3014d52a8d8940d9562cada" localSheetId="7" hidden="1">'Estimate Uncertainty Range'!$I$66</definedName>
    <definedName name="CBCR_3ab26a8e128348dd937a73293d7dcf34" localSheetId="7" hidden="1">'Estimate Uncertainty Range'!$B$97</definedName>
    <definedName name="CBCR_3ae16d54043a46d7a6263e843665a5c5" localSheetId="7" hidden="1">'Estimate Uncertainty Range'!$J$33</definedName>
    <definedName name="CBCR_3ae5127edf9842f7ae5c0cb4b1e69c99" localSheetId="7" hidden="1">'Estimate Uncertainty Range'!$C$65</definedName>
    <definedName name="CBCR_3b8d2d68fd7347c9b8c978d017167db8" localSheetId="7" hidden="1">'Estimate Uncertainty Range'!$K$44</definedName>
    <definedName name="CBCR_3c3be6b7032c484cad7dbdb7f6c414fa" localSheetId="7" hidden="1">'Estimate Uncertainty Range'!$I$46</definedName>
    <definedName name="CBCR_3c76711921e74a8ab673e7840ea32e24" localSheetId="5" hidden="1">'WBS Summary'!$A$7</definedName>
    <definedName name="CBCR_3cae98ce8aed4f04bb98e0e12acdeb5a" localSheetId="5" hidden="1">'WBS Summary'!$A$17</definedName>
    <definedName name="CBCR_3d512b42b6ce47e3a4535cbba1cd7cfd" localSheetId="9" hidden="1">'Risk Model'!$K$19</definedName>
    <definedName name="CBCR_3d90fada7f6843f8b0dc0844539e302f" localSheetId="7" hidden="1">'Estimate Uncertainty Range'!$K$108</definedName>
    <definedName name="CBCR_3dc69f6370d948fdb2f05361d32ace3c" localSheetId="7" hidden="1">'Estimate Uncertainty Range'!$K$65</definedName>
    <definedName name="CBCR_3e528c45c63c4b638def7dddcf331277" localSheetId="8" hidden="1">'Schedule Ranges'!$C$10</definedName>
    <definedName name="CBCR_3ee445d5584245d0a41fec02293e6c6d" localSheetId="7" hidden="1">'Estimate Uncertainty Range'!$K$47</definedName>
    <definedName name="CBCR_3ef5f365f16142a7b5ffdd110097149c" localSheetId="7" hidden="1">'Estimate Uncertainty Range'!$J$111</definedName>
    <definedName name="CBCR_3f815a1090714ddf9af70d87207486b5" localSheetId="7" hidden="1">'Estimate Uncertainty Range'!$J$44</definedName>
    <definedName name="CBCR_3fd90df1dcbf4458928fd1a1f36e41b9" localSheetId="8" hidden="1">'Schedule Ranges'!$F$6</definedName>
    <definedName name="CBCR_401d992785d348da969a092f1dae5209" localSheetId="7" hidden="1">'Estimate Uncertainty Range'!$J$49</definedName>
    <definedName name="CBCR_4061713d3e024a62b91b5e6d6898e47b" localSheetId="7" hidden="1">'Estimate Uncertainty Range'!$K$56</definedName>
    <definedName name="CBCR_406fb830584c4eec8d41dc2726a2d193" localSheetId="7" hidden="1">'Estimate Uncertainty Range'!$K$12</definedName>
    <definedName name="CBCR_4073c50839f34148a90dbdae1a8fe370" localSheetId="7" hidden="1">'Estimate Uncertainty Range'!$K$57</definedName>
    <definedName name="CBCR_4073d0eed4324c6bb16abc1df35c589a" localSheetId="7" hidden="1">'Estimate Uncertainty Range'!$I$103</definedName>
    <definedName name="CBCR_4164788c1dd641f39e958249f129160e" localSheetId="7" hidden="1">'Estimate Uncertainty Range'!$C$62</definedName>
    <definedName name="CBCR_41dd2f1eb7ee47188c1ff0682bd6288c" localSheetId="5" hidden="1">'WBS Summary'!$A$15</definedName>
    <definedName name="CBCR_42544f6d1f384a96ae7933bb4618012c" localSheetId="7" hidden="1">'Estimate Uncertainty Range'!$K$132</definedName>
    <definedName name="CBCR_428493f43c864140b7922823a5cc3fcb" localSheetId="7" hidden="1">'Estimate Uncertainty Range'!$J$110</definedName>
    <definedName name="CBCR_428b09d57e8c4dfe9b138f887582a401" localSheetId="7" hidden="1">'Estimate Uncertainty Range'!$I$12</definedName>
    <definedName name="CBCR_4292cfb9f1f04e3b81ae1819dec99f9d" localSheetId="7" hidden="1">'Estimate Uncertainty Range'!$J$95</definedName>
    <definedName name="CBCR_42f41c50a0bc474a98183942126149e6" localSheetId="5" hidden="1">'WBS Summary'!$A$14</definedName>
    <definedName name="CBCR_45343427aab34c46beb3d06a33cd2322" localSheetId="7" hidden="1">'Estimate Uncertainty Range'!$K$87</definedName>
    <definedName name="CBCR_456c10d3ed144c99b63fb2e26e586958" localSheetId="8" hidden="1">'Schedule Ranges'!#REF!</definedName>
    <definedName name="CBCR_45c5f81865b14fe6883770cfcb2a206f" localSheetId="7" hidden="1">'Estimate Uncertainty Range'!$K$17</definedName>
    <definedName name="CBCR_45cf1abce3ea416491622bd8b5d51c2b" localSheetId="7" hidden="1">'Estimate Uncertainty Range'!$J$131</definedName>
    <definedName name="CBCR_4887270ef2da435da3d1a21d862a838b" localSheetId="7" hidden="1">'Estimate Uncertainty Range'!$I$111</definedName>
    <definedName name="CBCR_48b9ce705e14427997a1550dd2231fc0" localSheetId="7" hidden="1">'Estimate Uncertainty Range'!$C$5</definedName>
    <definedName name="CBCR_4902b5d1c51949c2992cde9fa63f4ff6" localSheetId="9" hidden="1">'Risk Model'!$J$36</definedName>
    <definedName name="CBCR_4903ac4844d74e6fa2d053a6926b5be3" localSheetId="7" hidden="1">'Estimate Uncertainty Range'!$K$88</definedName>
    <definedName name="CBCR_49ab8c3b273b4261af9b54f96cc47c62" localSheetId="7" hidden="1">'Estimate Uncertainty Range'!$I$69</definedName>
    <definedName name="CBCR_49be9c34f2ce43929e03b37a7ac6a664" localSheetId="9" hidden="1">'Risk Model'!$J$14</definedName>
    <definedName name="CBCR_4af10eb8c28f4e63b3f49c1016b64234" localSheetId="7" hidden="1">'Estimate Uncertainty Range'!$C$102</definedName>
    <definedName name="CBCR_4be70ed395644965b4567c26dc461195" localSheetId="8" hidden="1">'Schedule Ranges'!$F$14</definedName>
    <definedName name="CBCR_4ca84c731d11410186f24324e1b15077" localSheetId="9" hidden="1">'Risk Model'!$L$39</definedName>
    <definedName name="CBCR_4d6d114df6df4a9facad4abdf1584ec2" localSheetId="7" hidden="1">'Estimate Uncertainty Range'!$I$57</definedName>
    <definedName name="CBCR_4e804590d3b143a09d2db97097802519" localSheetId="7" hidden="1">'Estimate Uncertainty Range'!$C$148</definedName>
    <definedName name="CBCR_4f3e179cb3a04b41899f2a725565d41a" localSheetId="7" hidden="1">'Estimate Uncertainty Range'!$J$104</definedName>
    <definedName name="CBCR_4f9030577662471c9aea227e0f4b0655" localSheetId="7" hidden="1">'Estimate Uncertainty Range'!$B$59</definedName>
    <definedName name="CBCR_504786ca0a1c48b8bcf7e0c36e18831f" localSheetId="9" hidden="1">'Risk Model'!$I$33</definedName>
    <definedName name="CBCR_505f5d7a3ab746ceb79809a523f2252b" localSheetId="7" hidden="1">'Estimate Uncertainty Range'!$B$143</definedName>
    <definedName name="CBCR_514945ab57114e868b322b985de0c396" localSheetId="7" hidden="1">'Estimate Uncertainty Range'!$I$54</definedName>
    <definedName name="CBCR_51a7affdc2b84b97a1e048d151f151f5" localSheetId="7" hidden="1">'Estimate Uncertainty Range'!$I$115</definedName>
    <definedName name="CBCR_51c777b541f64c2ea719071cceacabc1" localSheetId="7" hidden="1">'Estimate Uncertainty Range'!$C$72</definedName>
    <definedName name="CBCR_51f0671bb1d148c2b17a2ef6ba7b509a" localSheetId="7" hidden="1">'Estimate Uncertainty Range'!$K$8</definedName>
    <definedName name="CBCR_520aa35eadfb4e77b7bf1536ba130307" localSheetId="8" hidden="1">'Schedule Ranges'!$C$6</definedName>
    <definedName name="CBCR_5293583c13374931a1af86f539461edc" localSheetId="7" hidden="1">'Estimate Uncertainty Range'!$K$29</definedName>
    <definedName name="CBCR_5331a20b925f49eaa690b48ccd10ad45" localSheetId="5" hidden="1">'WBS Summary'!$A$13</definedName>
    <definedName name="CBCR_53483c0cb0d14ba89102bda21faf0c00" localSheetId="7" hidden="1">'Estimate Uncertainty Range'!$C$42</definedName>
    <definedName name="CBCR_53d8236af5de48549f9002d828d2e793" localSheetId="9" hidden="1">'Risk Model'!$I$9</definedName>
    <definedName name="CBCR_55857c26284e462c8654ab1b7200410b" localSheetId="7" hidden="1">'Estimate Uncertainty Range'!$C$116</definedName>
    <definedName name="CBCR_55fc6d8d6d984bc4a792f8e70711bfb8" localSheetId="7" hidden="1">'Estimate Uncertainty Range'!$I$95</definedName>
    <definedName name="CBCR_560fc5f6b1494c448455a4230952fe20" localSheetId="7" hidden="1">'Estimate Uncertainty Range'!$I$61</definedName>
    <definedName name="CBCR_561d79d3d1af4b2a97297688342f4d76" localSheetId="7" hidden="1">'Estimate Uncertainty Range'!$C$36</definedName>
    <definedName name="CBCR_56446813d09145ee980fb13e4414f170" localSheetId="7" hidden="1">'Estimate Uncertainty Range'!$J$82</definedName>
    <definedName name="CBCR_5655961591c045a3891a0052c0cad82c" localSheetId="7" hidden="1">'Estimate Uncertainty Range'!$J$112</definedName>
    <definedName name="CBCR_5781652b3d6a40f0a4c9115c4e6ace9d" localSheetId="7" hidden="1">'Estimate Uncertainty Range'!$J$54</definedName>
    <definedName name="CBCR_57e58304bb0d4ce49e1ecfcc6f976419" localSheetId="7" hidden="1">'Estimate Uncertainty Range'!$J$42</definedName>
    <definedName name="CBCR_580cf3d3f21b44f793dd7ab476142af7" localSheetId="7" hidden="1">'Estimate Uncertainty Range'!$I$62</definedName>
    <definedName name="CBCR_582d6506f18e4502962e884c6dc2d275" localSheetId="7" hidden="1">'Estimate Uncertainty Range'!$J$24</definedName>
    <definedName name="CBCR_58b05d7199014810a818ba8d8f49b120" localSheetId="7" hidden="1">'Estimate Uncertainty Range'!$K$70</definedName>
    <definedName name="CBCR_58bfc81c89da497b8eb485a2789d3563" localSheetId="7" hidden="1">'Estimate Uncertainty Range'!$C$70</definedName>
    <definedName name="CBCR_593850255e95412ca8e6dca3a737255d" localSheetId="7" hidden="1">'Estimate Uncertainty Range'!$I$49</definedName>
    <definedName name="CBCR_59bd64d2ff804f0b99306ac52376122c" localSheetId="7" hidden="1">'Estimate Uncertainty Range'!$I$79</definedName>
    <definedName name="CBCR_59c00a2edc8046b1814f5bb82f049bfa" localSheetId="7" hidden="1">'Estimate Uncertainty Range'!$C$16</definedName>
    <definedName name="CBCR_59c6a199f4474a4da971153daf405571" localSheetId="7" hidden="1">'Estimate Uncertainty Range'!$J$91</definedName>
    <definedName name="CBCR_59ce4c4ef4674f9b9d5267a988b23717" localSheetId="7" hidden="1">'Estimate Uncertainty Range'!$J$123</definedName>
    <definedName name="CBCR_59e2daee6a9c49c58327a43a2e508b8e" localSheetId="7" hidden="1">'Estimate Uncertainty Range'!$I$114</definedName>
    <definedName name="CBCR_5a668bb634a64d8aa6268253425c5567" localSheetId="7" hidden="1">'Estimate Uncertainty Range'!$J$103</definedName>
    <definedName name="CBCR_5a89b73b60fa4009b670fef880f4a463" localSheetId="7" hidden="1">'Estimate Uncertainty Range'!$J$116</definedName>
    <definedName name="CBCR_5acdccf1321849ca95f3ee252ba9ae31" localSheetId="7" hidden="1">'Estimate Uncertainty Range'!$I$117</definedName>
    <definedName name="CBCR_5ada7e5d71e847bcb65f4baf5b40fa41" localSheetId="7" hidden="1">'Estimate Uncertainty Range'!$C$13</definedName>
    <definedName name="CBCR_5adf395dc5024dceb0e61d4c315ac100" localSheetId="8" hidden="1">'Schedule Ranges'!$C$9</definedName>
    <definedName name="CBCR_5b25d68166f1425c8e3db44658c6db08" localSheetId="7" hidden="1">'Estimate Uncertainty Range'!$J$126</definedName>
    <definedName name="CBCR_5b3046903fa049abab421e11a4e63e41" localSheetId="7" hidden="1">'Estimate Uncertainty Range'!$J$69</definedName>
    <definedName name="CBCR_5bec58b8c67948ae9647d89b52f147fb" localSheetId="9" hidden="1">'Risk Model'!$J$13</definedName>
    <definedName name="CBCR_5bf643c9834842fbb32fe9eeebd0cd5a" localSheetId="7" hidden="1">'Estimate Uncertainty Range'!$J$16</definedName>
    <definedName name="CBCR_5bf7801b4ae444d083a342968bbad631" localSheetId="7" hidden="1">'Estimate Uncertainty Range'!$C$92</definedName>
    <definedName name="CBCR_5c29f8848c2649da8ce71f45f8d82fd8" localSheetId="7" hidden="1">'Estimate Uncertainty Range'!$K$102</definedName>
    <definedName name="CBCR_5c4338ea02f2487e9de24cd1ae5b8da6" localSheetId="7" hidden="1">'Estimate Uncertainty Range'!$I$135</definedName>
    <definedName name="CBCR_5cb1645fe9d846df855a2e7040684242" localSheetId="9" hidden="1">'Risk Model'!$J$12</definedName>
    <definedName name="CBCR_5ce9acd6faa1401fa7181c92430e42c8" localSheetId="7" hidden="1">'Estimate Uncertainty Range'!$J$57</definedName>
    <definedName name="CBCR_5cee9500277640f9a7db3c2dc6c6aa64" localSheetId="7" hidden="1">'Estimate Uncertainty Range'!$I$78</definedName>
    <definedName name="CBCR_5d227916399444feb43551adc5e48ebb" localSheetId="7" hidden="1">'Estimate Uncertainty Range'!$J$86</definedName>
    <definedName name="CBCR_5d53585c0fa24da5bc938f68eda72bfd" localSheetId="7" hidden="1">'Estimate Uncertainty Range'!$J$46</definedName>
    <definedName name="CBCR_5de15b686e8b4596b3539385a7a14f8a" localSheetId="7" hidden="1">'Estimate Uncertainty Range'!$I$32</definedName>
    <definedName name="CBCR_5df11aa2eb2547f2b6d705a4bd757c20" localSheetId="7" hidden="1">'Estimate Uncertainty Range'!$K$36</definedName>
    <definedName name="CBCR_5e760771e0f24213a867862c8da567f9" localSheetId="7" hidden="1">'Estimate Uncertainty Range'!$K$43</definedName>
    <definedName name="CBCR_5eab90c895ab482cb0c8f566f8fa7814" localSheetId="7" hidden="1">'Estimate Uncertainty Range'!$J$14</definedName>
    <definedName name="CBCR_5ec2b77060434d988924363a9421c439" localSheetId="7" hidden="1">'Estimate Uncertainty Range'!$K$91</definedName>
    <definedName name="CBCR_5eea2eb4056447afb6a27d1621267ae1" localSheetId="7" hidden="1">'Estimate Uncertainty Range'!$K$67</definedName>
    <definedName name="CBCR_5f58243e0b224ce89038270863024460" localSheetId="7" hidden="1">'Estimate Uncertainty Range'!$J$120</definedName>
    <definedName name="CBCR_5f6c6fc459364cfdb06f25f8f5b63598" localSheetId="7" hidden="1">'Estimate Uncertainty Range'!$I$88</definedName>
    <definedName name="CBCR_5fbd1040a5794698af0bee78824a3278" localSheetId="7" hidden="1">'Estimate Uncertainty Range'!$I$84</definedName>
    <definedName name="CBCR_5fea4228d4fa46c082101f0da87ffde5" localSheetId="7" hidden="1">'Estimate Uncertainty Range'!$B$120</definedName>
    <definedName name="CBCR_602d0cb044694d79a1ddda5340423270" localSheetId="9" hidden="1">'Risk Model'!$I$17</definedName>
    <definedName name="CBCR_6043781c546c412a917c6b05ef86dae0" localSheetId="7" hidden="1">'Estimate Uncertainty Range'!$K$72</definedName>
    <definedName name="CBCR_60b25a9c897943adbeec7ef712c8b345" localSheetId="7" hidden="1">'Estimate Uncertainty Range'!$I$132</definedName>
    <definedName name="CBCR_60d56b5c87ab486f8e1f8d87732058f3" localSheetId="7" hidden="1">'Estimate Uncertainty Range'!$C$74</definedName>
    <definedName name="CBCR_613eb5496d7648358bb75c993203cf31" localSheetId="9" hidden="1">'Risk Model'!$L$11</definedName>
    <definedName name="CBCR_621ade408efe464e832b468c1e293d5d" localSheetId="7" hidden="1">'Estimate Uncertainty Range'!$J$3</definedName>
    <definedName name="CBCR_625ee0df893c40d9b66f4df53061c09e" localSheetId="5" hidden="1">'WBS Summary'!$A$5</definedName>
    <definedName name="CBCR_62aee4d899c943a8bd41ef4c913ce7aa" localSheetId="7" hidden="1">'Estimate Uncertainty Range'!$J$134</definedName>
    <definedName name="CBCR_62e8e4dc3d444223aecaeade380a043a" localSheetId="9" hidden="1">'Risk Model'!$I$8</definedName>
    <definedName name="CBCR_6365cfa3aedc4676b833a217f9a3a178" localSheetId="7" hidden="1">'Estimate Uncertainty Range'!$I$91</definedName>
    <definedName name="CBCR_645d4aeb6a8b4c90840bb96d221cb77e" localSheetId="7" hidden="1">'Estimate Uncertainty Range'!$K$109</definedName>
    <definedName name="CBCR_64a7b988cbb044d6bf35087c76856491" localSheetId="5" hidden="1">'WBS Summary'!$A$12</definedName>
    <definedName name="CBCR_64be7d7be99744ee87fb0959ac967137" localSheetId="7" hidden="1">'Estimate Uncertainty Range'!$K$50</definedName>
    <definedName name="CBCR_65537d124f9a4591a43dfdad18863c83" localSheetId="7" hidden="1">'Estimate Uncertainty Range'!$K$79</definedName>
    <definedName name="CBCR_658b123b76184d7a8c2d4475046cc049" localSheetId="7" hidden="1">'Estimate Uncertainty Range'!$I$16</definedName>
    <definedName name="CBCR_661b3d0f762f484a912544d201c865e6" localSheetId="7" hidden="1">'Estimate Uncertainty Range'!$I$47</definedName>
    <definedName name="CBCR_666a4a1161e14bb881f59217ef9a71b9" localSheetId="7" hidden="1">'Estimate Uncertainty Range'!$J$124</definedName>
    <definedName name="CBCR_669041bff250460682050608303dd729" localSheetId="7" hidden="1">'Estimate Uncertainty Range'!$I$35</definedName>
    <definedName name="CBCR_66f8173f48f249ce9ad9033d4bc03846" localSheetId="7" hidden="1">'Estimate Uncertainty Range'!$I$119</definedName>
    <definedName name="CBCR_67120d1524aa4496add8b7d0f4daacd8" localSheetId="8" hidden="1">'Schedule Ranges'!$B$12</definedName>
    <definedName name="CBCR_6726673ed8cf41c7bce002e753adf2aa" localSheetId="9" hidden="1">'Risk Model'!$K$21</definedName>
    <definedName name="CBCR_6797859e196243218e9497eda1f2063b" localSheetId="7" hidden="1">'Estimate Uncertainty Range'!$J$88</definedName>
    <definedName name="CBCR_67ae0f7855184f1aa4a5f5c9907d8de1" localSheetId="7" hidden="1">'Estimate Uncertainty Range'!$I$134</definedName>
    <definedName name="CBCR_67beb9c3a45e4cf1b95566bef56757c4" localSheetId="7" hidden="1">'Estimate Uncertainty Range'!$I$96</definedName>
    <definedName name="CBCR_681a5522726b4db496eaf2c5f30b9c1d" localSheetId="7" hidden="1">'Estimate Uncertainty Range'!$I$63</definedName>
    <definedName name="CBCR_6963617f23a94e509a836a1ab9e56da7" localSheetId="8" hidden="1">'Schedule Ranges'!$C$14</definedName>
    <definedName name="CBCR_69a6e2f6ae3442789697aaa47c1b349f" localSheetId="7" hidden="1">'Estimate Uncertainty Range'!$J$60</definedName>
    <definedName name="CBCR_6a091f06f4f2480d93ed6cf15013b34f" localSheetId="7" hidden="1">'Estimate Uncertainty Range'!$I$102</definedName>
    <definedName name="CBCR_6a503ecb4b8e4ccdb3f32daec0ff395c" localSheetId="7" hidden="1">'Estimate Uncertainty Range'!$K$135</definedName>
    <definedName name="CBCR_6afd7f6dca2c4e3595e433e39eb60573" localSheetId="7" hidden="1">'Estimate Uncertainty Range'!$I$43</definedName>
    <definedName name="CBCR_6b8144d460254dbeac4129412a24c628" localSheetId="7" hidden="1">'Estimate Uncertainty Range'!$I$26</definedName>
    <definedName name="CBCR_6b9ba1f0e79f4c84a988a51c28ea1f86" localSheetId="9" hidden="1">'Risk Model'!$L$17</definedName>
    <definedName name="CBCR_6c1f06f977624fbda10e43ade7aae01a" localSheetId="7" hidden="1">'Estimate Uncertainty Range'!$K$81</definedName>
    <definedName name="CBCR_6d4888facece42b1aa92d5794c91109c" localSheetId="7" hidden="1">'Estimate Uncertainty Range'!$J$65</definedName>
    <definedName name="CBCR_6d67a526f04b463ab83bc90ff0f084c6" localSheetId="7" hidden="1">'Estimate Uncertainty Range'!$K$48</definedName>
    <definedName name="CBCR_6d7dfab175a44c9c80fd24c162787de5" localSheetId="7" hidden="1">'Estimate Uncertainty Range'!$C$93</definedName>
    <definedName name="CBCR_6dda4357f7714d738284f9a8ddb9345e" localSheetId="7" hidden="1">'Estimate Uncertainty Range'!$I$126</definedName>
    <definedName name="CBCR_6e929af9e54847a2ae94400dcbf2a10d" localSheetId="7" hidden="1">'Estimate Uncertainty Range'!$C$76</definedName>
    <definedName name="CBCR_6ea18be9fdc648128eb5f01dc83ebd22" localSheetId="7" hidden="1">'Estimate Uncertainty Range'!$K$53</definedName>
    <definedName name="CBCR_6f165283bd6c458ca9bafbbab2e6df41" localSheetId="7" hidden="1">'Estimate Uncertainty Range'!$J$101</definedName>
    <definedName name="CBCR_6fad593622cd4485bc11eef8113ec89f" localSheetId="7" hidden="1">'Estimate Uncertainty Range'!$C$43</definedName>
    <definedName name="CBCR_6fc09a88d3b04a559bbfa8eb6c696461" localSheetId="7" hidden="1">'Estimate Uncertainty Range'!$C$115</definedName>
    <definedName name="CBCR_6fc650764a3d481db3adf0d096b5b170" localSheetId="7" hidden="1">'Estimate Uncertainty Range'!$I$118</definedName>
    <definedName name="CBCR_70b1779652f74f4d8914e43db374a1c5" localSheetId="7" hidden="1">'Estimate Uncertainty Range'!$J$132</definedName>
    <definedName name="CBCR_712b75620adb4424a3c3ac952d99cd18" localSheetId="7" hidden="1">'Estimate Uncertainty Range'!$K$143</definedName>
    <definedName name="CBCR_71c22757ba82425bb68ac5827375d60e" localSheetId="9" hidden="1">'Risk Model'!$L$7</definedName>
    <definedName name="CBCR_71c3eaa64cc24ed0a42c0c67e03ac1ea" localSheetId="9" hidden="1">'Risk Model'!$I$21</definedName>
    <definedName name="CBCR_725677192ef1474aad87d6c759c19e20" localSheetId="7" hidden="1">'Estimate Uncertainty Range'!$I$38</definedName>
    <definedName name="CBCR_72c578946c0c44c3abf448a368bf9a67" localSheetId="7" hidden="1">'Estimate Uncertainty Range'!$J$96</definedName>
    <definedName name="CBCR_740cc04609774176ba4034b6245e3a23" localSheetId="5" hidden="1">'WBS Summary'!$A$11</definedName>
    <definedName name="CBCR_746c2c1785fa4ef4a55776ec025b5b9a" localSheetId="7" hidden="1">'Estimate Uncertainty Range'!$K$28</definedName>
    <definedName name="CBCR_749b82dd7b5a46b09d6b052fb4666594" localSheetId="7" hidden="1">'Estimate Uncertainty Range'!$I$142</definedName>
    <definedName name="CBCR_74a0ceb9e10e4dcca043c469c91322df" localSheetId="7" hidden="1">'Estimate Uncertainty Range'!$K$78</definedName>
    <definedName name="CBCR_74ec175782354c2597c39704406538ee" localSheetId="7" hidden="1">'Estimate Uncertainty Range'!$K$116</definedName>
    <definedName name="CBCR_756b37dd7e474028bd1b30a6ffd50e38" localSheetId="7" hidden="1">'Estimate Uncertainty Range'!$I$136</definedName>
    <definedName name="CBCR_757c93d84668499b8e8173219512c716" localSheetId="7" hidden="1">'Estimate Uncertainty Range'!$I$14</definedName>
    <definedName name="CBCR_75aa07b11d954dafb825752ce8fb844e" localSheetId="7" hidden="1">'Estimate Uncertainty Range'!$K$69</definedName>
    <definedName name="CBCR_75f74be09630464bad5cbde1d5306456" localSheetId="7" hidden="1">'Estimate Uncertainty Range'!$K$6</definedName>
    <definedName name="CBCR_7623cd67944b4c2f93a77e24ab5a7216" localSheetId="7" hidden="1">'Estimate Uncertainty Range'!$J$84</definedName>
    <definedName name="CBCR_763f960def524be69cd5f6b4244c3e21" localSheetId="7" hidden="1">'Estimate Uncertainty Range'!$B$135</definedName>
    <definedName name="CBCR_768a2511d09a42e69bea52b9231756e7" localSheetId="7" hidden="1">'Estimate Uncertainty Range'!$I$55</definedName>
    <definedName name="CBCR_76fc3a2f16e641a68da57e6d46f311fc" localSheetId="7" hidden="1">'Estimate Uncertainty Range'!$K$11</definedName>
    <definedName name="CBCR_77f251e6055f4ca69ee5c1c66234e5d6" localSheetId="7" hidden="1">'Estimate Uncertainty Range'!$I$7</definedName>
    <definedName name="CBCR_784b41ba116743038bd55b046d630e4d" localSheetId="8" hidden="1">'Schedule Ranges'!#REF!</definedName>
    <definedName name="CBCR_78bb40f169fe4dd09fe095b6b07c47b4" localSheetId="7" hidden="1">'Estimate Uncertainty Range'!$C$114</definedName>
    <definedName name="CBCR_78c86be6b634427a822eecfb88a2b98e" localSheetId="7" hidden="1">'Estimate Uncertainty Range'!$J$122</definedName>
    <definedName name="CBCR_78dacfba601c497f84299464806517d9" localSheetId="7" hidden="1">'Estimate Uncertainty Range'!$C$84</definedName>
    <definedName name="CBCR_79fe3f385b5949eeb09d683464ca55a5" localSheetId="9" hidden="1">'Risk Model'!$J$35</definedName>
    <definedName name="CBCR_7b18781129c24b7da02e49138dcd2aa0" localSheetId="9" hidden="1">'Risk Model'!$K$26</definedName>
    <definedName name="CBCR_7bb18fb31837467eb920d194b24aa6d8" localSheetId="7" hidden="1">'Estimate Uncertainty Range'!$C$89</definedName>
    <definedName name="CBCR_7c3478085bed4c888559b7cca523ff7f" localSheetId="7" hidden="1">'Estimate Uncertainty Range'!$I$40</definedName>
    <definedName name="CBCR_7c701a8ba20d4f05a0b303e65716c97a" localSheetId="7" hidden="1">'Estimate Uncertainty Range'!$I$149</definedName>
    <definedName name="CBCR_7c7bdc52e4b94d119fa299bb7b8e6048" localSheetId="7" hidden="1">'Estimate Uncertainty Range'!$K$51</definedName>
    <definedName name="CBCR_7ca18f4779904f4f9096703810b704a9" localSheetId="7" hidden="1">'Estimate Uncertainty Range'!$J$107</definedName>
    <definedName name="CBCR_7d63554e13bc4cc09e6de8eaf421b63d" localSheetId="7" hidden="1">'Estimate Uncertainty Range'!$J$136</definedName>
    <definedName name="CBCR_7e519206bf6b47c79ba02e7f07cfe8fd" localSheetId="7" hidden="1">'Estimate Uncertainty Range'!$I$105</definedName>
    <definedName name="CBCR_7e5b42fea9884ff68f61769ef8e4df48" localSheetId="7" hidden="1">'Estimate Uncertainty Range'!$J$11</definedName>
    <definedName name="CBCR_7f0dc22ff2a946aa9dbb8dcd3fd4f734" localSheetId="7" hidden="1">'Estimate Uncertainty Range'!$J$5</definedName>
    <definedName name="CBCR_802cd90510254a62ba32510c67c18ed1" localSheetId="7" hidden="1">'Estimate Uncertainty Range'!$C$50</definedName>
    <definedName name="CBCR_8077102687b747269d525c155504287f" localSheetId="7" hidden="1">'Estimate Uncertainty Range'!$C$82</definedName>
    <definedName name="CBCR_8121043d651f4f61ac6c39ef2cb5cfa5" localSheetId="9" hidden="1">'Risk Model'!$J$17</definedName>
    <definedName name="CBCR_8157643a842a4770afb601f1f7eed2ea" localSheetId="9" hidden="1">'Risk Model'!$I$29</definedName>
    <definedName name="CBCR_818f01c3dbc64f17b8b61298f200ce5d" localSheetId="7" hidden="1">'Estimate Uncertainty Range'!$J$76</definedName>
    <definedName name="CBCR_823852d55b014206b1821768cf6526e9" localSheetId="7" hidden="1">'Estimate Uncertainty Range'!$K$30</definedName>
    <definedName name="CBCR_82469272025e4365b1e8efcfe29692fc" localSheetId="7" hidden="1">'Estimate Uncertainty Range'!$K$37</definedName>
    <definedName name="CBCR_826f56102639403382f2ffe8846a8a11" localSheetId="7" hidden="1">'Estimate Uncertainty Range'!$K$120</definedName>
    <definedName name="CBCR_83944ad942484c019ddceb4b6d8d3866" localSheetId="7" hidden="1">'Estimate Uncertainty Range'!$K$136</definedName>
    <definedName name="CBCR_844ee310d398420398e8feaab7330552" localSheetId="7" hidden="1">'Estimate Uncertainty Range'!$I$31</definedName>
    <definedName name="CBCR_8586d93f838a4bab8b91c8b179be9470" localSheetId="7" hidden="1">'Estimate Uncertainty Range'!$I$33</definedName>
    <definedName name="CBCR_858e9255b57f44329017e33a77ed0b07" localSheetId="7" hidden="1">'Estimate Uncertainty Range'!$K$4</definedName>
    <definedName name="CBCR_85d9142742b74308a7c014417836b85a" localSheetId="7" hidden="1">'Estimate Uncertainty Range'!$J$70</definedName>
    <definedName name="CBCR_864de9638e6e4be290b105219803fb49" localSheetId="7" hidden="1">'Estimate Uncertainty Range'!$C$17</definedName>
    <definedName name="CBCR_866253812d5b4a66838c3305627d43e6" localSheetId="7" hidden="1">'Estimate Uncertainty Range'!$C$30</definedName>
    <definedName name="CBCR_8696e8205d5d4486b6aa56a9a417c215" localSheetId="7" hidden="1">'Estimate Uncertainty Range'!$B$11</definedName>
    <definedName name="CBCR_86e3578f795543789d5f36d4ffc80fa2" localSheetId="7" hidden="1">'Estimate Uncertainty Range'!$K$147</definedName>
    <definedName name="CBCR_870ea25cf7294998a8083945934eccb8" localSheetId="7" hidden="1">'Estimate Uncertainty Range'!$I$120</definedName>
    <definedName name="CBCR_87fb9cb40e61459ea50ffa2b751515fd" localSheetId="7" hidden="1">'Estimate Uncertainty Range'!$J$105</definedName>
    <definedName name="CBCR_88099eb6c8b34080a9fce8597f404f30" localSheetId="7" hidden="1">'Estimate Uncertainty Range'!$K$127</definedName>
    <definedName name="CBCR_8815f31062604b6c9aa0bb15b9c36abc" localSheetId="9" hidden="1">'Risk Model'!$J$33</definedName>
    <definedName name="CBCR_88a9079d6175408ca6de1e4774fd52c3" localSheetId="9" hidden="1">'Risk Model'!$I$36</definedName>
    <definedName name="CBCR_88b075ed55ba44bfb4e82e6def639936" localSheetId="7" hidden="1">'Estimate Uncertainty Range'!$K$134</definedName>
    <definedName name="CBCR_896b62ef21ac4a9aa61d237906becd9b" localSheetId="8" hidden="1">'Schedule Ranges'!$C$7</definedName>
    <definedName name="CBCR_898697af0a0a4a229d4210006b85c462" localSheetId="9" hidden="1">'Risk Model'!$K$11</definedName>
    <definedName name="CBCR_898af7de45b342fa90c83b0a613d6fb8" localSheetId="7" hidden="1">'Estimate Uncertainty Range'!$K$142</definedName>
    <definedName name="CBCR_8a03dac8b6f040f98b509aba158723e8" localSheetId="7" hidden="1">'Estimate Uncertainty Range'!$C$28</definedName>
    <definedName name="CBCR_8a437c0d5fbd41eb9863b40465655a8e" localSheetId="8" hidden="1">'Schedule Ranges'!$F$10</definedName>
    <definedName name="CBCR_8b0c8fe3bbb54777969e25da69da99da" localSheetId="7" hidden="1">'Estimate Uncertainty Range'!$C$125</definedName>
    <definedName name="CBCR_8d836745fd564d838707fa7cfc8abe58" localSheetId="8" hidden="1">'Schedule Ranges'!$F$9</definedName>
    <definedName name="CBCR_8d8c04ca562b4541823c3f8b5bc5548d" localSheetId="9" hidden="1">'Risk Model'!$L$9</definedName>
    <definedName name="CBCR_8da0a424dd0946cc899413704b23c8d8" localSheetId="7" hidden="1">'Estimate Uncertainty Range'!$I$21</definedName>
    <definedName name="CBCR_8ea7b5d0a4e041ffa10e8f22ac0b9e45" localSheetId="7" hidden="1">'Estimate Uncertainty Range'!$B$147</definedName>
    <definedName name="CBCR_8f4454afe1eb4f669bc1a72c83ec2c8e" localSheetId="9" hidden="1">'Risk Model'!$L$35</definedName>
    <definedName name="CBCR_8f48a1cc6e754791a3b0b4730b4257f5" localSheetId="9" hidden="1">'Risk Model'!$K$17</definedName>
    <definedName name="CBCR_8f840b43113b4d358a8aa0f54dc605e9" localSheetId="7" hidden="1">'Estimate Uncertainty Range'!$I$72</definedName>
    <definedName name="CBCR_90735bec7913479cad77dc72e1ff502a" localSheetId="10" hidden="1">'Likelihood'!$B$24</definedName>
    <definedName name="CBCR_910ccfcc37484ea198992294e0b2ee27" localSheetId="7" hidden="1">'Estimate Uncertainty Range'!$I$56</definedName>
    <definedName name="CBCR_922b15ac9f7e418a857f6f4cbe719fbd" localSheetId="7" hidden="1">'Estimate Uncertainty Range'!$J$25</definedName>
    <definedName name="CBCR_9244fd3f25ea45208d3d4d451f679612" localSheetId="7" hidden="1">'Estimate Uncertainty Range'!$K$144</definedName>
    <definedName name="CBCR_92b9a8e3e26e4c9b8f19d0ab5da4052e" localSheetId="7" hidden="1">'Estimate Uncertainty Range'!$K$125</definedName>
    <definedName name="CBCR_934e2c6dbde54e23b0669f0546c7bf8e" localSheetId="9" hidden="1">'Risk Model'!$L$24</definedName>
    <definedName name="CBCR_93a952bd45b14015a9ff5555c524c2ae" localSheetId="7" hidden="1">'Estimate Uncertainty Range'!$B$53</definedName>
    <definedName name="CBCR_93b46263b3cc4b619cae884a33e6c2d1" localSheetId="7" hidden="1">'Estimate Uncertainty Range'!$J$66</definedName>
    <definedName name="CBCR_93ff146852a342dfa501e46b211d437b" localSheetId="7" hidden="1">'Estimate Uncertainty Range'!$K$46</definedName>
    <definedName name="CBCR_953db68894554f57bd2a8d9b7c3becb9" localSheetId="7" hidden="1">'Estimate Uncertainty Range'!$C$88</definedName>
    <definedName name="CBCR_953e557a96444d1dbdb2184cff5afbe7" localSheetId="7" hidden="1">'Estimate Uncertainty Range'!$I$39</definedName>
    <definedName name="CBCR_960680b68f2f48b38ab5b3a71b263904" localSheetId="7" hidden="1">'Estimate Uncertainty Range'!$I$89</definedName>
    <definedName name="CBCR_96be5a5802414154b2316975a4e10530" localSheetId="7" hidden="1">'Estimate Uncertainty Range'!$K$96</definedName>
    <definedName name="CBCR_979f3e63c5dd45d6890f9d18b1451354" localSheetId="7" hidden="1">'Estimate Uncertainty Range'!$K$90</definedName>
    <definedName name="CBCR_97f04e22c82a4b5cab37e9f02277c303" localSheetId="7" hidden="1">'Estimate Uncertainty Range'!$J$74</definedName>
    <definedName name="CBCR_9980545a02504583b579a29273e2e3ca" localSheetId="7" hidden="1">'Estimate Uncertainty Range'!$I$23</definedName>
    <definedName name="CBCR_9986c104c7f244dfab41f96c38346e0c" localSheetId="7" hidden="1">'Estimate Uncertainty Range'!$K$45</definedName>
    <definedName name="CBCR_99f33dc93920433594029263ebd82787" localSheetId="7" hidden="1">'Estimate Uncertainty Range'!$I$37</definedName>
    <definedName name="CBCR_99f61f6dfd0a424b978a3f2e03971d89" localSheetId="9" hidden="1">'Risk Model'!$J$11</definedName>
    <definedName name="CBCR_9a045ec26cf943469db61ee22a9b4c0f" localSheetId="7" hidden="1">'Estimate Uncertainty Range'!$K$3</definedName>
    <definedName name="CBCR_9ba3f161774f4ff89868fd5a9858dc11" localSheetId="7" hidden="1">'Estimate Uncertainty Range'!$K$73</definedName>
    <definedName name="CBCR_9c186397bb824c48b94cafcd95675855" localSheetId="9" hidden="1">'Risk Model'!$I$39</definedName>
    <definedName name="CBCR_9c1cbd405cfd41589f2d2b5e6fdc7ce5" localSheetId="7" hidden="1">'Estimate Uncertainty Range'!$K$15</definedName>
    <definedName name="CBCR_9c8ce5eda86f4fd3a60d0495f75e5874" localSheetId="9" hidden="1">'Risk Model'!$I$10</definedName>
    <definedName name="CBCR_9cb39f9cc7f04a999dc31dd43c9cae55" localSheetId="9" hidden="1">'Risk Model'!$K$13</definedName>
    <definedName name="CBCR_9e1dee7c36b040f7903169930f317e03" localSheetId="8" hidden="1">'Schedule Ranges'!#REF!</definedName>
    <definedName name="CBCR_9e3384cefe5c4282834183541e19897e" localSheetId="7" hidden="1">'Estimate Uncertainty Range'!$K$107</definedName>
    <definedName name="CBCR_9f18b28a4e6b4a36904f92f86e065431" localSheetId="9" hidden="1">'Risk Model'!$K$23</definedName>
    <definedName name="CBCR_9f7af5fbdc494b95af82d717b5cbc090" localSheetId="7" hidden="1">'Estimate Uncertainty Range'!$B$21</definedName>
    <definedName name="CBCR_a0a57dcd8dc6492295da158ba3f94f7a" localSheetId="9" hidden="1">'Risk Model'!$L$27</definedName>
    <definedName name="CBCR_a10cba77a7b141548c0833e7ceb0d4fa" localSheetId="7" hidden="1">'Estimate Uncertainty Range'!$I$148</definedName>
    <definedName name="CBCR_a10d760193ee46a28608e7f5dae12f5f" localSheetId="9" hidden="1">'Risk Model'!$L$36</definedName>
    <definedName name="CBCR_a113a0d567e54ab49b8ab1b118bfca83" localSheetId="7" hidden="1">'Estimate Uncertainty Range'!$J$23</definedName>
    <definedName name="CBCR_a1145a060f864de0bac52dd510089d3b" localSheetId="7" hidden="1">'Estimate Uncertainty Range'!$C$110</definedName>
    <definedName name="CBCR_a118c54ab3a14dce82895db3c8012eea" localSheetId="7" hidden="1">'Estimate Uncertainty Range'!$C$37</definedName>
    <definedName name="CBCR_a13886bc6f674e979fb341cb1f8e9b4d" localSheetId="7" hidden="1">'Estimate Uncertainty Range'!$B$121</definedName>
    <definedName name="CBCR_a15c46349a0d418095e046927ee1a49f" localSheetId="7" hidden="1">'Estimate Uncertainty Range'!$C$15</definedName>
    <definedName name="CBCR_a15c92b389ca407c8344e0e373889ced" localSheetId="7" hidden="1">'Estimate Uncertainty Range'!$C$78</definedName>
    <definedName name="CBCR_a21ba4d8e7cc4f3ebdfba0e6ccda2ee1" localSheetId="7" hidden="1">'Estimate Uncertainty Range'!$C$25</definedName>
    <definedName name="CBCR_a2966a19008141d48cc74469316d5026" localSheetId="7" hidden="1">'Estimate Uncertainty Range'!$J$148</definedName>
    <definedName name="CBCR_a299b59942034a3c93ad22b8da9fcef0" localSheetId="7" hidden="1">'Estimate Uncertainty Range'!$J$89</definedName>
    <definedName name="CBCR_a2be092e75ba4a8688abf3063738d802" localSheetId="7" hidden="1">'Estimate Uncertainty Range'!$J$28</definedName>
    <definedName name="CBCR_a2f35712cc834972ac6c39882d03ee89" localSheetId="7" hidden="1">'Estimate Uncertainty Range'!$C$83</definedName>
    <definedName name="CBCR_a32ba47751ae4c75a2cdeecb2b256a33" localSheetId="7" hidden="1">'Estimate Uncertainty Range'!$K$80</definedName>
    <definedName name="CBCR_a331aaf300f74248b61aa419076d1ccd" localSheetId="9" hidden="1">'Risk Model'!$J$34</definedName>
    <definedName name="CBCR_a3ca245aef584c90aaefaa0cb078f9bc" localSheetId="7" hidden="1">'Estimate Uncertainty Range'!$I$100</definedName>
    <definedName name="CBCR_a3d124556f8e44e3aa45e5319a6d35c5" localSheetId="7" hidden="1">'Estimate Uncertainty Range'!$J$115</definedName>
    <definedName name="CBCR_a58e3e874d5a44d09ccf4b0b34db2a41" localSheetId="9" hidden="1">'Risk Model'!$I$34</definedName>
    <definedName name="CBCR_a5c23d20e89247e6a4f722b1de0d0162" localSheetId="7" hidden="1">'Estimate Uncertainty Range'!$K$97</definedName>
    <definedName name="CBCR_a5df888d0b3d425d877877cb6f29d058" localSheetId="7" hidden="1">'Estimate Uncertainty Range'!$I$101</definedName>
    <definedName name="CBCR_a6790d2247384762994fd63b058302b4" localSheetId="7" hidden="1">'Estimate Uncertainty Range'!$C$40</definedName>
    <definedName name="CBCR_a6c191f61f4b442daed1fb162503857f" localSheetId="5" hidden="1">'WBS Summary'!$A$18</definedName>
    <definedName name="CBCR_a6f49401988d43a890676e1960e5de32" localSheetId="7" hidden="1">'Estimate Uncertainty Range'!$I$6</definedName>
    <definedName name="CBCR_a741797478ba43db97a69a889f011d55" localSheetId="7" hidden="1">'Estimate Uncertainty Range'!$J$92</definedName>
    <definedName name="CBCR_a772bac441ba4423997de6995410f4bf" localSheetId="7" hidden="1">'Estimate Uncertainty Range'!$K$63</definedName>
    <definedName name="CBCR_a7fe5a6b72cc4b68abf395d8663f4a38" localSheetId="7" hidden="1">'Estimate Uncertainty Range'!$K$110</definedName>
    <definedName name="CBCR_a83f5e959f1544e0892a6f95f12db81e" localSheetId="5" hidden="1">'WBS Summary'!$A$6</definedName>
    <definedName name="CBCR_a8517ba4faad43d4b1146fe72aa26431" localSheetId="7" hidden="1">'Estimate Uncertainty Range'!$J$55</definedName>
    <definedName name="CBCR_a8717db3c93749078663ad07eff2246c" localSheetId="10" hidden="1">'Likelihood'!$B$28</definedName>
    <definedName name="CBCR_a885e22f12924d38927444045e3ffef3" localSheetId="7" hidden="1">'Estimate Uncertainty Range'!$C$75</definedName>
    <definedName name="CBCR_a8f9c852f9314433a82325c39b4c2165" localSheetId="9" hidden="1">'Risk Model'!$J$5</definedName>
    <definedName name="CBCR_a97b28249d3a400a88bbc13fb0863c8b" localSheetId="7" hidden="1">'Estimate Uncertainty Range'!$J$48</definedName>
    <definedName name="CBCR_a9ec9f7972b34775ac22e3fd317ee5b6" localSheetId="9" hidden="1">'Risk Model'!$J$4</definedName>
    <definedName name="CBCR_a9f828d73c63408d907e9da5d5893a9e" localSheetId="7" hidden="1">'Estimate Uncertainty Range'!$C$57</definedName>
    <definedName name="CBCR_ab3638aa2e054ca38aa3679032d96898" localSheetId="8" hidden="1">'Schedule Ranges'!$F$12</definedName>
    <definedName name="CBCR_abd8b05d1eb240fc8744363dd02a509f" localSheetId="8" hidden="1">'Schedule Ranges'!$E$13</definedName>
    <definedName name="CBCR_ac1bac86d0884076afb2f7a826982d13" localSheetId="7" hidden="1">'Estimate Uncertainty Range'!$I$34</definedName>
    <definedName name="CBCR_acb3f9ffd24b45ad835988539d906147" localSheetId="7" hidden="1">'Estimate Uncertainty Range'!$I$70</definedName>
    <definedName name="CBCR_acb63866d72f4bfc9144dc44bf16424f" localSheetId="7" hidden="1">'Estimate Uncertainty Range'!$I$11</definedName>
    <definedName name="CBCR_ade6c0b9838845389125471c6f483328" localSheetId="7" hidden="1">'Estimate Uncertainty Range'!$I$109</definedName>
    <definedName name="CBCR_ae1d1584eb45458f9f5d0a3d0f19c4e2" localSheetId="7" hidden="1">'Estimate Uncertainty Range'!$J$78</definedName>
    <definedName name="CBCR_aeb66749415b4ea9ac8791f287e7b13b" localSheetId="7" hidden="1">'Estimate Uncertainty Range'!$J$8</definedName>
    <definedName name="CBCR_aec6f51ae9a648ce92be12ab399bbf7f" localSheetId="9" hidden="1">'Risk Model'!$I$13</definedName>
    <definedName name="CBCR_aeeae015e6ca4f81a4ed9c7f655d10e7" localSheetId="7" hidden="1">'Estimate Uncertainty Range'!$B$130</definedName>
    <definedName name="CBCR_afe443c6cae64beba8c0ff4e21b8f177" localSheetId="7" hidden="1">'Estimate Uncertainty Range'!$C$127</definedName>
    <definedName name="CBCR_b038f1467afd474c9a187bbe76f70848" localSheetId="7" hidden="1">'Estimate Uncertainty Range'!$K$77</definedName>
    <definedName name="CBCR_b0db7c7d06eb40f5a7a509afd5dc3827" localSheetId="7" hidden="1">'Estimate Uncertainty Range'!$C$24</definedName>
    <definedName name="CBCR_b172df32ebb54f3aac6c56a6e6e1361d" localSheetId="7" hidden="1">'Estimate Uncertainty Range'!$C$44</definedName>
    <definedName name="CBCR_b239ea21422f437e8980762c9a661a4c" localSheetId="7" hidden="1">'Estimate Uncertainty Range'!$K$61</definedName>
    <definedName name="CBCR_b281f636f5914b8cb535d78c071f16f3" localSheetId="7" hidden="1">'Estimate Uncertainty Range'!$K$42</definedName>
    <definedName name="CBCR_b31e31be15af495ab966f8558931042c" localSheetId="7" hidden="1">'Estimate Uncertainty Range'!$J$97</definedName>
    <definedName name="CBCR_b33b9783574b4ccf9070db5cd3f8ae41" localSheetId="9" hidden="1">'Risk Model'!$J$21</definedName>
    <definedName name="CBCR_b36e3f1fd0d14e6a93f2a3fb309d7afb" localSheetId="7" hidden="1">'Estimate Uncertainty Range'!$K$31</definedName>
    <definedName name="CBCR_b37be82e3ffa4a6198f3cbee5fbdff10" localSheetId="7" hidden="1">'Estimate Uncertainty Range'!$K$111</definedName>
    <definedName name="CBCR_b3c1beecbeed4240a575fbf728752991" localSheetId="7" hidden="1">'Estimate Uncertainty Range'!$K$113</definedName>
    <definedName name="CBCR_b3ffcbd87af449fda85b12e11fb4c629" localSheetId="7" hidden="1">'Estimate Uncertainty Range'!$K$26</definedName>
    <definedName name="CBCR_b4ae88f9f2f543aa9009303031a4deba" localSheetId="7" hidden="1">'Estimate Uncertainty Range'!$K$23</definedName>
    <definedName name="CBCR_b56a0f26ea45462ab9a3740fe54d2aae" localSheetId="8" hidden="1">'Schedule Ranges'!$E$9</definedName>
    <definedName name="CBCR_b5b1165d015e456f8751901af692f454" localSheetId="7" hidden="1">'Estimate Uncertainty Range'!$I$8</definedName>
    <definedName name="CBCR_b62f767b75784e95a8430b75dfe23485" localSheetId="9" hidden="1">'Risk Model'!$I$35</definedName>
    <definedName name="CBCR_b6704aaae0d54a27a6efa213e8c843d2" localSheetId="7" hidden="1">'Estimate Uncertainty Range'!$K$123</definedName>
    <definedName name="CBCR_b6c711c157a249d0a8bd22e62306b4ce" localSheetId="7" hidden="1">'Estimate Uncertainty Range'!$C$91</definedName>
    <definedName name="CBCR_b6ccb1d858ce4a4581717252263f4c5e" localSheetId="9" hidden="1">'Risk Model'!$I$5</definedName>
    <definedName name="CBCR_b70118114ac442eb80971711ba098475" localSheetId="7" hidden="1">'Estimate Uncertainty Range'!$C$45</definedName>
    <definedName name="CBCR_b70d4babc8374945a3bf328633765409" localSheetId="7" hidden="1">'Estimate Uncertainty Range'!$K$86</definedName>
    <definedName name="CBCR_b7772284dccf451ab9300d5a5f6ba55e" localSheetId="7" hidden="1">'Estimate Uncertainty Range'!$I$74</definedName>
    <definedName name="CBCR_b7ade5a7419f439db490b13972d07944" localSheetId="7" hidden="1">'Estimate Uncertainty Range'!$J$149</definedName>
    <definedName name="CBCR_b80d15e041db448d961b8422e4c19ef1" localSheetId="9" hidden="1">'Risk Model'!$I$4</definedName>
    <definedName name="CBCR_b93a391b6a9849f59faf396609ab898d" localSheetId="7" hidden="1">'Estimate Uncertainty Range'!$I$60</definedName>
    <definedName name="CBCR_b9635d8c284c44b09992d7eb5c0ae604" localSheetId="7" hidden="1">'Estimate Uncertainty Range'!$I$65</definedName>
    <definedName name="CBCR_b987254308ec422ab37c12296d6b8e08" localSheetId="7" hidden="1">'Estimate Uncertainty Range'!$B$29</definedName>
    <definedName name="CBCR_ba1151ba3f334cfcb9a4f7ce269ddd30" localSheetId="7" hidden="1">'Estimate Uncertainty Range'!$J$72</definedName>
    <definedName name="CBCR_ba2ea3ec8abc43bd876c73488abf42c1" localSheetId="7" hidden="1">'Estimate Uncertainty Range'!$I$93</definedName>
    <definedName name="CBCR_ba40e5125c8f484dbfe878b9ef31f9e5" localSheetId="7" hidden="1">'Estimate Uncertainty Range'!$J$38</definedName>
    <definedName name="CBCR_babdfafa09d04f79a7585093adf0052d" localSheetId="9" hidden="1">'Risk Model'!$L$14</definedName>
    <definedName name="CBCR_bac5520e7ff5407b81df95399e1cfda6" localSheetId="5" hidden="1">'WBS Summary'!$A$8</definedName>
    <definedName name="CBCR_bb2723bb882c40e1a059a28a9b62c077" localSheetId="7" hidden="1">'Estimate Uncertainty Range'!$K$98</definedName>
    <definedName name="CBCR_bb2982a3533747b1a9862761ee7ea236" localSheetId="7" hidden="1">'Estimate Uncertainty Range'!$J$138</definedName>
    <definedName name="CBCR_bb4e1d64404b46279fbf76f3a5436c96" localSheetId="7" hidden="1">'Estimate Uncertainty Range'!$K$14</definedName>
    <definedName name="CBCR_bb721796b16d4cc7bbaf762505576b51" localSheetId="7" hidden="1">'Estimate Uncertainty Range'!$K$85</definedName>
    <definedName name="CBCR_bb775d18f1be4cabb11268ac6de0a2c7" localSheetId="7" hidden="1">'Estimate Uncertainty Range'!$C$33</definedName>
    <definedName name="CBCR_bba11f74872d48dc8fc8f49f14dbc75b" localSheetId="7" hidden="1">'Estimate Uncertainty Range'!$K$25</definedName>
    <definedName name="CBCR_bc2b8a7d7b62467a98141280dff97058" localSheetId="9" hidden="1">'Risk Model'!$J$29</definedName>
    <definedName name="CBCR_bc6634d2db4b4703b69b2eb865a4e5a5" localSheetId="7" hidden="1">'Estimate Uncertainty Range'!$I$44</definedName>
    <definedName name="CBCR_bc87b280e78d4560a62bbb5869c553fe" localSheetId="7" hidden="1">'Estimate Uncertainty Range'!$I$17</definedName>
    <definedName name="CBCR_bd54cc2998b943d08a0ba29d370e50a7" localSheetId="7" hidden="1">'Estimate Uncertainty Range'!$J$4</definedName>
    <definedName name="CBCR_bd76322776c44a04bf461594493e7583" localSheetId="7" hidden="1">'Estimate Uncertainty Range'!$C$41</definedName>
    <definedName name="CBCR_bd95b174baa74abeacb3a40de7160fa1" localSheetId="7" hidden="1">'Estimate Uncertainty Range'!$J$26</definedName>
    <definedName name="CBCR_bdc6dd5f0b2b4d58b263eea23613f4c7" localSheetId="7" hidden="1">'Estimate Uncertainty Range'!$B$149</definedName>
    <definedName name="CBCR_bdfde9fe0dcb47b4b6b08389a5bbbdc5" localSheetId="7" hidden="1">'Estimate Uncertainty Range'!$J$135</definedName>
    <definedName name="CBCR_be152d98e7734922ae5d44291c4e4a78" localSheetId="7" hidden="1">'Estimate Uncertainty Range'!$C$23</definedName>
    <definedName name="CBCR_be51635acd9749d08e69b0eefc52dc5b" localSheetId="7" hidden="1">'Estimate Uncertainty Range'!$J$75</definedName>
    <definedName name="CBCR_be6c6fed8f49404bb0cb08e1a5f9d02e" localSheetId="9" hidden="1">'Risk Model'!$K$9</definedName>
    <definedName name="CBCR_be92b0b0582c46979e96265088bb6057" localSheetId="5" hidden="1">'WBS Summary'!$A$10</definedName>
    <definedName name="CBCR_bf56b226d83b43c68a4d97c70747cdd1" localSheetId="7" hidden="1">'Estimate Uncertainty Range'!$C$55</definedName>
    <definedName name="CBCR_bfcf9e56844b4ede95137bc72254fbc5" localSheetId="7" hidden="1">'Estimate Uncertainty Range'!$K$32</definedName>
    <definedName name="CBCR_bfd866fc2cce4f4eb507661eb82f9362" localSheetId="7" hidden="1">'Estimate Uncertainty Range'!$B$122</definedName>
    <definedName name="CBCR_c046a7f363d54f6881192ad30346d82c" localSheetId="7" hidden="1">'Estimate Uncertainty Range'!$I$13</definedName>
    <definedName name="CBCR_c1392f912eb84590a44e4933927a4150" localSheetId="7" hidden="1">'Estimate Uncertainty Range'!$K$16</definedName>
    <definedName name="CBCR_c1a8321edb154e07885394206fd4a301" localSheetId="7" hidden="1">'Estimate Uncertainty Range'!$I$110</definedName>
    <definedName name="CBCR_c251011a325144f8ad5e3315b5bc6a91" localSheetId="7" hidden="1">'Estimate Uncertainty Range'!$J$15</definedName>
    <definedName name="CBCR_c29a9db27aa84f53b31a0703e768661b" localSheetId="7" hidden="1">'Estimate Uncertainty Range'!$K$131</definedName>
    <definedName name="CBCR_c2c4073a4d2e4bcba40b3f290b12f6e5" localSheetId="7" hidden="1">'Estimate Uncertainty Range'!$I$68</definedName>
    <definedName name="CBCR_c3106ba3416343fe8bc683111383347d" localSheetId="7" hidden="1">'Estimate Uncertainty Range'!$K$148</definedName>
    <definedName name="CBCR_c37830a6cc8c42e1a39336bd6a158b60" localSheetId="7" hidden="1">'Estimate Uncertainty Range'!$I$4</definedName>
    <definedName name="CBCR_c39ee3bcc47643d79451562c7400b572" localSheetId="9" hidden="1">'Risk Model'!$L$26</definedName>
    <definedName name="CBCR_c3edd21c5ae842309eb72af7b7734088" localSheetId="7" hidden="1">'Estimate Uncertainty Range'!$C$112</definedName>
    <definedName name="CBCR_c4112145e62b464eb913e8aadae87251" localSheetId="7" hidden="1">'Estimate Uncertainty Range'!$K$39</definedName>
    <definedName name="CBCR_c455895a0d1c4b87a2cd7e8fbd2205f2" localSheetId="9" hidden="1">'Risk Model'!$K$27</definedName>
    <definedName name="CBCR_c467b64a0465415190b1d9643d180288" localSheetId="7" hidden="1">'Estimate Uncertainty Range'!$J$36</definedName>
    <definedName name="CBCR_c4b16763b7904640aaecf1d80be2a578" localSheetId="7" hidden="1">'Estimate Uncertainty Range'!$K$129</definedName>
    <definedName name="CBCR_c4c0cda332a14c8f92dc0d3d3cad93e1" localSheetId="7" hidden="1">'Estimate Uncertainty Range'!$J$30</definedName>
    <definedName name="CBCR_c539e59c0f0445af983adb6c4bd5a91d" localSheetId="7" hidden="1">'Estimate Uncertainty Range'!$K$24</definedName>
    <definedName name="CBCR_c53c990045674232bba7655d68e332b4" localSheetId="7" hidden="1">'Estimate Uncertainty Range'!$J$94</definedName>
    <definedName name="CBCR_c57dd0dfc4744f11ac3513ca794c4130" localSheetId="9" hidden="1">'Risk Model'!$K$24</definedName>
    <definedName name="CBCR_c5c8fcc9a9614effbdf11c0dabe4818b" localSheetId="7" hidden="1">'Estimate Uncertainty Range'!$K$99</definedName>
    <definedName name="CBCR_c6d8fcc2a40c402ab39f1ccc6eb21172" localSheetId="8" hidden="1">'Schedule Ranges'!$F$7</definedName>
    <definedName name="CBCR_c73563f657204753a7a2d00fa9da03b4" localSheetId="7" hidden="1">'Estimate Uncertainty Range'!$I$147</definedName>
    <definedName name="CBCR_c7c7f1212ccc44e9a377524c69c5693b" localSheetId="7" hidden="1">'Estimate Uncertainty Range'!$C$12</definedName>
    <definedName name="CBCR_c8054ff9d44247c28017b778b3c1eff8" localSheetId="9" hidden="1">'Risk Model'!$K$14</definedName>
    <definedName name="CBCR_c82c881c4cf845dbb75b4eb5967517f8" localSheetId="7" hidden="1">'Estimate Uncertainty Range'!$J$142</definedName>
    <definedName name="CBCR_c8b83d39bbb640e5a65b37722c631c2d" localSheetId="7" hidden="1">'Estimate Uncertainty Range'!$I$41</definedName>
    <definedName name="CBCR_c93eb757bc4045db8a4766f2be47089d" localSheetId="9" hidden="1">'Risk Model'!$K$38</definedName>
    <definedName name="CBCR_c953a408d7494d34a51f6df543247130" localSheetId="7" hidden="1">'Estimate Uncertainty Range'!$C$31</definedName>
    <definedName name="CBCR_c97e681223b94ea8aa63ff430f9263e2" localSheetId="7" hidden="1">'Estimate Uncertainty Range'!$J$12</definedName>
    <definedName name="CBCR_c9c04bf70b5741638e1dfaafa9fd5478" localSheetId="7" hidden="1">'Estimate Uncertainty Range'!$K$130</definedName>
    <definedName name="CBCR_c9c4c9e3fdac4ddc86d1b4421d8d8de1" localSheetId="7" hidden="1">'Estimate Uncertainty Range'!$J$143</definedName>
    <definedName name="CBCR_c9d048220ed14241ab2276ffe787cb65" localSheetId="7" hidden="1">'Estimate Uncertainty Range'!$J$68</definedName>
    <definedName name="CBCR_ca5974f09b424c62b836028e832e4425" localSheetId="7" hidden="1">'Estimate Uncertainty Range'!$I$80</definedName>
    <definedName name="CBCR_ca8605a3ccc449e395c22ddf00b94c04" localSheetId="7" hidden="1">'Estimate Uncertainty Range'!$I$87</definedName>
    <definedName name="CBCR_cab3a384a2dd424ab25e52a075407740" localSheetId="7" hidden="1">'Estimate Uncertainty Range'!$J$99</definedName>
    <definedName name="CBCR_cb8b196075d649fe88b0d323b031b4c2" localSheetId="7" hidden="1">'Estimate Uncertainty Range'!$I$45</definedName>
    <definedName name="CBCR_cc6705777b1245ec832bcf1b8f49c9eb" localSheetId="7" hidden="1">'Estimate Uncertainty Range'!$C$113</definedName>
    <definedName name="CBCR_cc867ff927a34b4f811bc62c1f2fd119" localSheetId="7" hidden="1">'Estimate Uncertainty Range'!$I$85</definedName>
    <definedName name="CBCR_ce31cb7aba404daeaf4e322bb19ba497" localSheetId="7" hidden="1">'Estimate Uncertainty Range'!$J$31</definedName>
    <definedName name="CBCR_ce461811983f43998dc9ca8d2311dcb4" localSheetId="7" hidden="1">'Estimate Uncertainty Range'!$C$99</definedName>
    <definedName name="CBCR_cfcca67cc0a047e0ac73fb94b2222d13" localSheetId="7" hidden="1">'Estimate Uncertainty Range'!$J$61</definedName>
    <definedName name="CBCR_cffbdad46dc44fd5b826ecbaff5e66c7" localSheetId="7" hidden="1">'Estimate Uncertainty Range'!$K$122</definedName>
    <definedName name="CBCR_d057e14a91d94f6286f2005a804592ba" localSheetId="8" hidden="1">'Schedule Ranges'!$C$12</definedName>
    <definedName name="CBCR_d136f9f894bd4e57a55f2936bf8550ec" localSheetId="9" hidden="1">'Risk Model'!$J$7</definedName>
    <definedName name="CBCR_d1b19afb7ef046c9a4fbe4cec4d0e9f1" localSheetId="7" hidden="1">'Estimate Uncertainty Range'!$B$131</definedName>
    <definedName name="CBCR_d21443713aba45e9860e5cc914a202b0" localSheetId="7" hidden="1">'Estimate Uncertainty Range'!$B$73</definedName>
    <definedName name="CBCR_d221fc943fdf4e9aa50f8e4fdd941e41" localSheetId="7" hidden="1">'Estimate Uncertainty Range'!$K$83</definedName>
    <definedName name="CBCR_d282331576a143a489fc7afaea97635e" localSheetId="5" hidden="1">'WBS Summary'!$A$16</definedName>
    <definedName name="CBCR_d31fc6f26d1f4002869793493fcefeb1" localSheetId="7" hidden="1">'Estimate Uncertainty Range'!$K$114</definedName>
    <definedName name="CBCR_d3749923b60040c7a7ad01ab3b7676fe" localSheetId="7" hidden="1">'Estimate Uncertainty Range'!$J$129</definedName>
    <definedName name="CBCR_d375e83639b040b6bcafbebd94bc936c" localSheetId="7" hidden="1">'Estimate Uncertainty Range'!$J$63</definedName>
    <definedName name="CBCR_d443e734ea2d4d71ad3c60a7860ef031" localSheetId="7" hidden="1">'Estimate Uncertainty Range'!$K$13</definedName>
    <definedName name="CBCR_d4c3a390de2541be92778463a091faa3" localSheetId="7" hidden="1">'Estimate Uncertainty Range'!$I$77</definedName>
    <definedName name="CBCR_d50ccf30ad4441f1bc1605fd60213bac" localSheetId="9" hidden="1">'Risk Model'!$K$8</definedName>
    <definedName name="CBCR_d5a74ca8f2cf4dd79f03402469576c45" localSheetId="7" hidden="1">'Estimate Uncertainty Range'!$K$34</definedName>
    <definedName name="CBCR_d5e26b7840ac4c6697922dda5a6fa73a" localSheetId="7" hidden="1">'Estimate Uncertainty Range'!$K$68</definedName>
    <definedName name="CBCR_d6133d2cfcae43a889c58004c14f40e1" localSheetId="7" hidden="1">'Estimate Uncertainty Range'!$I$59</definedName>
    <definedName name="CBCR_d628b0a885b14891a14d82745315e696" localSheetId="7" hidden="1">'Estimate Uncertainty Range'!$J$100</definedName>
    <definedName name="CBCR_d6ceb8a79dd2409b9d7c2e02ac011df5" localSheetId="7" hidden="1">'Estimate Uncertainty Range'!$K$75</definedName>
    <definedName name="CBCR_d6fd945c903a4d41b54bb3e362f7b1ca" localSheetId="7" hidden="1">'Estimate Uncertainty Range'!$K$124</definedName>
    <definedName name="CBCR_d70e59ba667a415db8562be9b901d4c7" localSheetId="7" hidden="1">'Estimate Uncertainty Range'!$I$141</definedName>
    <definedName name="CBCR_d72ac74edcd14bed898737d9e7086370" localSheetId="7" hidden="1">'Estimate Uncertainty Range'!$I$131</definedName>
    <definedName name="CBCR_d78185029e2b4fa8953be4a7507ebb5c" localSheetId="7" hidden="1">'Estimate Uncertainty Range'!$I$97</definedName>
    <definedName name="CBCR_d84738d51bf2442dad1354dbc802f46e" localSheetId="7" hidden="1">'Estimate Uncertainty Range'!$B$104</definedName>
    <definedName name="CBCR_d9d1af3205eb402b856388d2af2ec0ff" localSheetId="9" hidden="1">'Risk Model'!$J$9</definedName>
    <definedName name="CBCR_da075ea18e0d48bca030712bc4d4a60c" localSheetId="7" hidden="1">'Estimate Uncertainty Range'!$K$54</definedName>
    <definedName name="CBCR_db108adb91ce4da4840fe99cc197b13c" localSheetId="7" hidden="1">'Estimate Uncertainty Range'!$J$73</definedName>
    <definedName name="CBCR_db7583ebbd0046b8b81e2908665da55a" localSheetId="7" hidden="1">'Estimate Uncertainty Range'!$C$101</definedName>
    <definedName name="CBCR_dbb4929f9a3e41819a118f578ac50793" localSheetId="9" hidden="1">'Risk Model'!$I$6</definedName>
    <definedName name="CBCR_dc0290a9f2c14d15ad77497c646f7695" localSheetId="7" hidden="1">'Estimate Uncertainty Range'!$K$104</definedName>
    <definedName name="CBCR_dc43aa15ff524d1195c04b9261a9599c" localSheetId="7" hidden="1">'Estimate Uncertainty Range'!$J$139</definedName>
    <definedName name="CBCR_dcfa5bdd378c4a2a85b5200c4e3802f7" localSheetId="7" hidden="1">'Estimate Uncertainty Range'!$I$99</definedName>
    <definedName name="CBCR_dcfdb70e9ab34110aa681b2d03b76544" localSheetId="7" hidden="1">'Estimate Uncertainty Range'!$K$103</definedName>
    <definedName name="CBCR_dd0fb4b9949e4023a06524beaf0c01d2" localSheetId="7" hidden="1">'Estimate Uncertainty Range'!$J$53</definedName>
    <definedName name="CBCR_dd3ec3d1b2c84b1b957d744cea2c0677" localSheetId="9" hidden="1">'Risk Model'!$L$8</definedName>
    <definedName name="CBCR_dd5cb88c044840808d9f9c39d919662e" localSheetId="7" hidden="1">'Estimate Uncertainty Range'!$J$47</definedName>
    <definedName name="CBCR_dd9e0e94f5a04d77b85b2c741842873e" localSheetId="7" hidden="1">'Estimate Uncertainty Range'!$K$59</definedName>
    <definedName name="CBCR_de518d626fc14000bb93f8f749adb2eb" localSheetId="7" hidden="1">'Estimate Uncertainty Range'!$I$90</definedName>
    <definedName name="CBCR_de9241521afa4b7ebdd5721bc1a7e6a8" localSheetId="7" hidden="1">'Estimate Uncertainty Range'!$I$94</definedName>
    <definedName name="CBCR_df6b372e0e564d9387d1428a743052de" localSheetId="7" hidden="1">'Estimate Uncertainty Range'!$J$13</definedName>
    <definedName name="CBCR_df7347f77023477b86bdc41b1fe7f274" localSheetId="8" hidden="1">'Schedule Ranges'!$B$10</definedName>
    <definedName name="CBCR_e03dcecb76ac42779367ecdaab99161e" localSheetId="7" hidden="1">'Estimate Uncertainty Range'!$B$129</definedName>
    <definedName name="CBCR_e1a1e0625bf7436fa78effa1bec7ff7d" localSheetId="7" hidden="1">'Estimate Uncertainty Range'!$C$39</definedName>
    <definedName name="CBCR_e1e9293cfbe54934bae5995b1c9bfac9" localSheetId="9" hidden="1">'Risk Model'!$J$39</definedName>
    <definedName name="CBCR_e23e76be36cc49a7acc554da77ef3113" localSheetId="7" hidden="1">'Estimate Uncertainty Range'!$I$138</definedName>
    <definedName name="CBCR_e26048ff366c4ddbb999c1aa254474b1" localSheetId="7" hidden="1">'Estimate Uncertainty Range'!$C$107</definedName>
    <definedName name="CBCR_e30abcacd6b64a25a40924ed4d29c1e7" localSheetId="9" hidden="1">'Risk Model'!$J$10</definedName>
    <definedName name="CBCR_e3260973676d4092bcfcf2cc6af9709c" localSheetId="9" hidden="1">'Risk Model'!$I$11</definedName>
    <definedName name="CBCR_e3a06c011c304bdd9392e68cb09be9d5" localSheetId="7" hidden="1">'Estimate Uncertainty Range'!$I$5</definedName>
    <definedName name="CBCR_e3b5b4cc6cd84bd6a8885f6bc049ca02" localSheetId="9" hidden="1">'Risk Model'!$J$28</definedName>
    <definedName name="CBCR_e4392cc93277417d8e2e81738bbd0ad2" localSheetId="7" hidden="1">'Estimate Uncertainty Range'!$J$32</definedName>
    <definedName name="CBCR_e43ec1f9405044c89a082040f21381f7" localSheetId="7" hidden="1">'Estimate Uncertainty Range'!$J$67</definedName>
    <definedName name="CBCR_e608ac1581ab492391242a2386941859" localSheetId="7" hidden="1">'Estimate Uncertainty Range'!$I$67</definedName>
    <definedName name="CBCR_e609219400cb47e1b8a91c42b2528e9e" localSheetId="7" hidden="1">'Estimate Uncertainty Range'!$C$58</definedName>
    <definedName name="CBCR_e6207c86fee14d55adb94104c955ec32" localSheetId="7" hidden="1">'Estimate Uncertainty Range'!$C$56</definedName>
    <definedName name="CBCR_e742d36f4b51460fab0d23e7535456fd" localSheetId="7" hidden="1">'Estimate Uncertainty Range'!$B$60</definedName>
    <definedName name="CBCR_e74c6f5f35fb49df814bee0630d2354c" localSheetId="7" hidden="1">'Estimate Uncertainty Range'!$I$98</definedName>
    <definedName name="CBCR_e791b893f16c48ebbb26e345b5eae41f" localSheetId="7" hidden="1">'Estimate Uncertainty Range'!$I$139</definedName>
    <definedName name="CBCR_e7fc4fa45b084dfe94add57305e31a2d" localSheetId="7" hidden="1">'Estimate Uncertainty Range'!$K$149</definedName>
    <definedName name="CBCR_e83a4aec0ffa48b3861cabaa2feca078" localSheetId="7" hidden="1">'Estimate Uncertainty Range'!$K$105</definedName>
    <definedName name="CBCR_e86bfc15c27742d0b1e65a35c3089069" localSheetId="7" hidden="1">'Estimate Uncertainty Range'!$J$93</definedName>
    <definedName name="CBCR_e86c19d8897c4098a7eabe1e3a984bc8" localSheetId="7" hidden="1">'Estimate Uncertainty Range'!$K$66</definedName>
    <definedName name="CBCR_e874cd450faf40e0ad73823b56e64312" localSheetId="7" hidden="1">'Estimate Uncertainty Range'!$C$128</definedName>
    <definedName name="CBCR_e88c66aa6978446b944b2560c6349318" localSheetId="9" hidden="1">'Risk Model'!$L$38</definedName>
    <definedName name="CBCR_e9033afe940b41f295897ef1511d9ee1" localSheetId="9" hidden="1">'Risk Model'!$L$23</definedName>
    <definedName name="CBCR_e9abdc36204448debca26d455bda97db" localSheetId="7" hidden="1">'Estimate Uncertainty Range'!$J$147</definedName>
    <definedName name="CBCR_ea0925a934c84a8e8647d5efa5cded72" localSheetId="7" hidden="1">'Estimate Uncertainty Range'!$J$130</definedName>
    <definedName name="CBCR_ea21783a10214d18a2777c5c6bd9a79c" localSheetId="7" hidden="1">'Estimate Uncertainty Range'!$J$6</definedName>
    <definedName name="CBCR_ea39c03c61b24d4b825160f822772dde" localSheetId="9" hidden="1">'Risk Model'!$L$12</definedName>
    <definedName name="CBCR_ea8299804a9d41fba9ec7e118a750eab" localSheetId="8" hidden="1">'Schedule Ranges'!$A$14</definedName>
    <definedName name="CBCR_ea9a5ea361274e1d8ad3cb1727a30270" localSheetId="7" hidden="1">'Estimate Uncertainty Range'!$K$7</definedName>
    <definedName name="CBCR_eab4ca2a2b6940ec8e2bef3d0567bbdc" localSheetId="7" hidden="1">'Estimate Uncertainty Range'!$C$132</definedName>
    <definedName name="CBCR_ecae530c4a7b4634a9630c87d8617f02" localSheetId="7" hidden="1">'Estimate Uncertainty Range'!$I$122</definedName>
    <definedName name="CBCR_eccc37734d934b0a97efb2af5d1e3423" localSheetId="7" hidden="1">'Estimate Uncertainty Range'!$C$117</definedName>
    <definedName name="CBCR_ed21a58e293447f49c10aa9e871b5aab" localSheetId="7" hidden="1">'Estimate Uncertainty Range'!$B$119</definedName>
    <definedName name="CBCR_ed3f4c0edfed4d6bb975954b08170260" localSheetId="7" hidden="1">'Estimate Uncertainty Range'!$J$77</definedName>
    <definedName name="CBCR_ed7250061cec451bb4b0d40b55345e3b" localSheetId="7" hidden="1">'Estimate Uncertainty Range'!$J$118</definedName>
    <definedName name="CBCR_eeb4a95d47e3498b8ca239335468e840" localSheetId="7" hidden="1">'Estimate Uncertainty Range'!$B$136</definedName>
    <definedName name="CBCR_eed9592fc33d40539afc62b1928b1d4c" localSheetId="7" hidden="1">'Estimate Uncertainty Range'!$K$138</definedName>
    <definedName name="CBCR_eee623580d5f4a4f9bec39ca52884ed0" localSheetId="7" hidden="1">'Estimate Uncertainty Range'!$I$36</definedName>
    <definedName name="CBCR_eef91467350a4663ad1f802559da8c70" localSheetId="7" hidden="1">'Estimate Uncertainty Range'!$B$124</definedName>
    <definedName name="CBCR_eefa6e0440524772a96acd3be0c4823b" localSheetId="7" hidden="1">'Estimate Uncertainty Range'!$C$67</definedName>
    <definedName name="CBCR_ef5200f02fad4c03920c8f8d01ba9f22" localSheetId="9" hidden="1">'Risk Model'!$I$28</definedName>
    <definedName name="CBCR_ef563127459d4fb9b183325a7cabead0" localSheetId="7" hidden="1">'Estimate Uncertainty Range'!$J$52</definedName>
    <definedName name="CBCR_ef793d07c19f44bfa57a15e278c48e61" localSheetId="7" hidden="1">'Estimate Uncertainty Range'!$J$34</definedName>
    <definedName name="CBCR_efa68896f1c64e7f9cf7bd9b859e2e20" localSheetId="7" hidden="1">'Estimate Uncertainty Range'!$B$61</definedName>
    <definedName name="CBCR_efaa23a1d4e845cea5541da2c4b02d8a" localSheetId="7" hidden="1">'Estimate Uncertainty Range'!$I$112</definedName>
    <definedName name="CBCR_f0b025cb027e45a18477d43c59c152f8" localSheetId="9" hidden="1">'Risk Model'!$I$12</definedName>
    <definedName name="CBCR_f0f4353f623145479c8ab0da82120c33" localSheetId="7" hidden="1">'Estimate Uncertainty Range'!$K$89</definedName>
    <definedName name="CBCR_f13ea3cbf36d49d793d720d426876569" localSheetId="7" hidden="1">'Estimate Uncertainty Range'!$K$21</definedName>
    <definedName name="CBCR_f1ec390e28d64db79f82b2261267e3df" localSheetId="7" hidden="1">'Estimate Uncertainty Range'!$K$93</definedName>
    <definedName name="CBCR_f1f68d3467624234b41f612adfad9bf5" localSheetId="9" hidden="1">'Risk Model'!$I$7</definedName>
    <definedName name="CBCR_f25afc16e1c54bd38590f27bab3e7bf0" localSheetId="7" hidden="1">'Estimate Uncertainty Range'!$K$40</definedName>
    <definedName name="CBCR_f29731a41411471e91aea0e45292b236" localSheetId="7" hidden="1">'Estimate Uncertainty Range'!$K$33</definedName>
    <definedName name="CBCR_f302c408dc194055b91be96074328fd4" localSheetId="10" hidden="1">'Likelihood'!$B$25</definedName>
    <definedName name="CBCR_f3087ce951da4a39ae4ec3662402adbc" localSheetId="7" hidden="1">'Estimate Uncertainty Range'!$K$115</definedName>
    <definedName name="CBCR_f33757fcbbd64a8e8fa7a65baa7f01e4" localSheetId="7" hidden="1">'Estimate Uncertainty Range'!$J$113</definedName>
    <definedName name="CBCR_f41c521e9c714f2ea9f6583180117346" localSheetId="8" hidden="1">'Schedule Ranges'!#REF!</definedName>
    <definedName name="CBCR_f44432722b854721a82aaeb14e7acc30" localSheetId="7" hidden="1">'Estimate Uncertainty Range'!$K$92</definedName>
    <definedName name="CBCR_f4a51cdf4b7f4d5c9a9398959847bcfc" localSheetId="7" hidden="1">'Estimate Uncertainty Range'!$I$130</definedName>
    <definedName name="CBCR_f4bdfbcdafa4418eab22ff8670982a8b" localSheetId="7" hidden="1">'Estimate Uncertainty Range'!$B$139</definedName>
    <definedName name="CBCR_f5520082e2084ffe906b60ea0234a70c" localSheetId="7" hidden="1">'Estimate Uncertainty Range'!$I$127</definedName>
    <definedName name="CBCR_f592e0da443140fb91b2b380760f2c71" localSheetId="7" hidden="1">'Estimate Uncertainty Range'!$J$71</definedName>
    <definedName name="CBCR_f5ea22d941b6475daf11657e229ce9b4" localSheetId="7" hidden="1">'Estimate Uncertainty Range'!$K$95</definedName>
    <definedName name="CBCR_f5eccbea50814c2f89beb10e3d98f399" localSheetId="7" hidden="1">'Estimate Uncertainty Range'!$I$48</definedName>
    <definedName name="CBCR_f61f5eec72bd4e8b8cc2b4098841ddbe" localSheetId="7" hidden="1">'Estimate Uncertainty Range'!$I$107</definedName>
    <definedName name="CBCR_f636f4027ec046c292a665a91de50a97" localSheetId="7" hidden="1">'Estimate Uncertainty Range'!$K$119</definedName>
    <definedName name="CBCR_f752472b119048a1af656c475afa32d6" localSheetId="7" hidden="1">'Estimate Uncertainty Range'!$C$47</definedName>
    <definedName name="CBCR_f75fcffe563d4e9696875713d1ce343e" localSheetId="7" hidden="1">'Estimate Uncertainty Range'!$J$35</definedName>
    <definedName name="CBCR_f7747d2ab45c42b2887520522d990fde" localSheetId="7" hidden="1">'Estimate Uncertainty Range'!$J$43</definedName>
    <definedName name="CBCR_f791c4d15f7c4add8b6b5cba88acebf9" localSheetId="7" hidden="1">'Estimate Uncertainty Range'!$J$117</definedName>
    <definedName name="CBCR_f82bf626d4984286ab639b403bd7df42" localSheetId="7" hidden="1">'Estimate Uncertainty Range'!$C$98</definedName>
    <definedName name="CBCR_f979680a23a34b7fb9e9493426fe16fd" localSheetId="7" hidden="1">'Estimate Uncertainty Range'!$I$71</definedName>
    <definedName name="CBCR_f99446c977de461cb1ed286ad6f355e6" localSheetId="7" hidden="1">'Estimate Uncertainty Range'!$B$103</definedName>
    <definedName name="CBCR_fa604bb7f8b64234bc6535a5ef7442be" localSheetId="7" hidden="1">'Estimate Uncertainty Range'!$K$35</definedName>
    <definedName name="CBCR_fb3049ce1c234e1ba9c67cae4164bb07" localSheetId="7" hidden="1">'Estimate Uncertainty Range'!$J$79</definedName>
    <definedName name="CBCR_fb3ccb55e0c84bef82ccde367d29713c" localSheetId="9" hidden="1">'Risk Model'!$K$36</definedName>
    <definedName name="CBCR_fb7dc8fbb22f43869d48fe206d520b2f" localSheetId="7" hidden="1">'Estimate Uncertainty Range'!$I$144</definedName>
    <definedName name="CBCR_fc05f25d944b463e95ca205299aff288" localSheetId="7" hidden="1">'Estimate Uncertainty Range'!$C$109</definedName>
    <definedName name="CBCR_fc1d1cf97af24760aaab41f037cae248" localSheetId="7" hidden="1">'Estimate Uncertainty Range'!$K$84</definedName>
    <definedName name="CBCR_fc843d838ab44072bfd472e7b50ca558" localSheetId="7" hidden="1">'Estimate Uncertainty Range'!$C$134</definedName>
    <definedName name="CBCR_fcc60b5debd74240a2329fdc055abd30" localSheetId="9" hidden="1">'Risk Model'!$L$13</definedName>
    <definedName name="CBCR_fceba8033b4a4891992a0dd5a2935fb3" localSheetId="7" hidden="1">'Estimate Uncertainty Range'!$I$3</definedName>
    <definedName name="CBCR_fd593bdd2fad42b3b8a3903128a60b8b" localSheetId="7" hidden="1">'Estimate Uncertainty Range'!$J$41</definedName>
    <definedName name="CBCR_fd7377c3f23e4017bb755e15b0e6a4f5" localSheetId="7" hidden="1">'Estimate Uncertainty Range'!$B$144</definedName>
    <definedName name="CBCR_fdec98dcf8314f2eb16a24d9cf2ecc27" localSheetId="7" hidden="1">'Estimate Uncertainty Range'!$K$27</definedName>
    <definedName name="CBCR_fe2ca7f59c2449fc92e3f4b820e80f1d" localSheetId="7" hidden="1">'Estimate Uncertainty Range'!$K$82</definedName>
    <definedName name="CBCR_fe9e7c617af44dbb8bcb14fb9c2e47e9" localSheetId="7" hidden="1">'Estimate Uncertainty Range'!$I$143</definedName>
    <definedName name="CBCR_fedd0368152748ff961abd6fb4364be8" localSheetId="7" hidden="1">'Estimate Uncertainty Range'!$I$29</definedName>
    <definedName name="CBCR_ff74854dca2f419c8b820cd5dcc49937" localSheetId="7" hidden="1">'Estimate Uncertainty Range'!$C$32</definedName>
    <definedName name="CBCR_ffa94b0b69364aacb6d072fa7e309fe4" localSheetId="7" hidden="1">'Estimate Uncertainty Range'!$I$25</definedName>
    <definedName name="CBWorkbookPriority" localSheetId="13" hidden="1">-53766829</definedName>
    <definedName name="CBWorkbookPriority" localSheetId="10" hidden="1">-53766829</definedName>
    <definedName name="CBWorkbookPriority" localSheetId="9" hidden="1">-53766829</definedName>
    <definedName name="CBWorkbookPriority" localSheetId="3" hidden="1">-53766829</definedName>
    <definedName name="CBWorkbookPriority" localSheetId="8" hidden="1">-1978197476</definedName>
    <definedName name="CBWorkbookPriority" hidden="1">-2048814648</definedName>
    <definedName name="CBx_2f67bddf0410445ba0baa8487bf98b0a" localSheetId="0" hidden="1">"'Estimate Ranges'!$A$1"</definedName>
    <definedName name="CBx_31bcb805e7e84f90bc17e98efe0de2ae" localSheetId="0" hidden="1">"'Risk Model'!$A$1"</definedName>
    <definedName name="CBx_4ed5e0e1854c40d6bed2c26f3aaa9a06" localSheetId="0" hidden="1">"'Likelihood'!$A$1"</definedName>
    <definedName name="CBx_4f18caf5fbd94c43b48b9d7f52023209" localSheetId="0" hidden="1">"'Job Mgr Uncertainty'!$A$1"</definedName>
    <definedName name="CBx_6c908b2fa67148e0b84bd76abec378a5" localSheetId="0" hidden="1">"'Risk Register'!$A$1"</definedName>
    <definedName name="CBx_808e85716981481da2a4f935d89f9fa3" localSheetId="0" hidden="1">"'Estimate Uncertainty Range'!$A$1"</definedName>
    <definedName name="CBx_a4c567bcad5940ada2d309bbe7ba2c2d" localSheetId="0" hidden="1">"'CB_DATA_'!$A$1"</definedName>
    <definedName name="CBx_b8a174c33cf8400b89d1298e64899f83" localSheetId="0" hidden="1">"'Schedule Ranges'!$A$1"</definedName>
    <definedName name="CBx_ff1ded97754b4b69a23889d4d96512f1" localSheetId="0" hidden="1">"'WBS Summary'!$A$1"</definedName>
    <definedName name="CBx_Sheet_Guid" localSheetId="0" hidden="1">"'a4c567bc-ad59-40ad-a2d3-09bbe7ba2c2d"</definedName>
    <definedName name="CBx_Sheet_Guid" localSheetId="7" hidden="1">"'808e8571-6981-481d-a2a4-f935d89f9fa3"</definedName>
    <definedName name="CBx_Sheet_Guid" localSheetId="10" hidden="1">"'4ed5e0e1-854c-40d6-bed2-c26f3aaa9a06"</definedName>
    <definedName name="CBx_Sheet_Guid" localSheetId="9" hidden="1">"'31bcb805-e7e8-4f90-bc17-e98efe0de2ae"</definedName>
    <definedName name="CBx_Sheet_Guid" localSheetId="8" hidden="1">"'b8a174c3-3cf8-400b-89d1-298e64899f83"</definedName>
    <definedName name="CBx_Sheet_Guid" localSheetId="5" hidden="1">"'ff1ded97-754b-4b69-a238-89d4d96512f1"</definedName>
    <definedName name="CBx_StorageType" localSheetId="0" hidden="1">1</definedName>
    <definedName name="CBx_StorageType" localSheetId="7" hidden="1">1</definedName>
    <definedName name="CBx_StorageType" localSheetId="10" hidden="1">1</definedName>
    <definedName name="CBx_StorageType" localSheetId="9" hidden="1">1</definedName>
    <definedName name="CBx_StorageType" localSheetId="8" hidden="1">1</definedName>
    <definedName name="CBx_StorageType" localSheetId="5" hidden="1">1</definedName>
    <definedName name="_xlnm.Print_Area" localSheetId="4">'Contingency by Year'!$A$2:$M$32</definedName>
    <definedName name="_xlnm.Print_Area" localSheetId="13">'Escalation Risk'!$C$1:$J$52</definedName>
    <definedName name="_xlnm.Print_Area" localSheetId="7">'Estimate Uncertainty Range'!$D$1:$K$153</definedName>
    <definedName name="_xlnm.Print_Area" localSheetId="12">'Misc Inputs'!$A$1:$H$28</definedName>
    <definedName name="_xlnm.Print_Area" localSheetId="9">'Risk Model'!$A$1:$L$41</definedName>
    <definedName name="_xlnm.Print_Area" localSheetId="3">'Risk Results'!$A$1:$C$29</definedName>
    <definedName name="_xlnm.Print_Area" localSheetId="8">'Schedule Ranges'!$A$1:$J$20</definedName>
    <definedName name="_xlnm.Print_Area" localSheetId="11">'Standard Estimate Uncertainty '!$A$1:$N$49</definedName>
    <definedName name="_xlnm.Print_Area" localSheetId="2">'Uncertainty Results'!$A$1:$V$32</definedName>
    <definedName name="_xlnm.Print_Area" localSheetId="5">'WBS Summary'!$A$1:$N$45</definedName>
    <definedName name="_xlnm.Print_Titles" localSheetId="7">'Estimate Uncertainty Range'!$2:$2</definedName>
    <definedName name="_xlnm.Print_Titles" localSheetId="9">'Risk Model'!$1:$3</definedName>
  </definedNames>
  <calcPr fullCalcOnLoad="1"/>
</workbook>
</file>

<file path=xl/comments10.xml><?xml version="1.0" encoding="utf-8"?>
<comments xmlns="http://schemas.openxmlformats.org/spreadsheetml/2006/main">
  <authors>
    <author>Chris Gruber</author>
  </authors>
  <commentList>
    <comment ref="S3" authorId="0">
      <text>
        <r>
          <rPr>
            <b/>
            <sz val="10"/>
            <rFont val="Tahoma"/>
            <family val="0"/>
          </rPr>
          <t>Chris Gruber:</t>
        </r>
        <r>
          <rPr>
            <sz val="10"/>
            <rFont val="Tahoma"/>
            <family val="0"/>
          </rPr>
          <t xml:space="preserve">
Point Probability -- used to approximate distribution of risk contingency</t>
        </r>
      </text>
    </comment>
    <comment ref="T3" authorId="0">
      <text>
        <r>
          <rPr>
            <b/>
            <sz val="10"/>
            <rFont val="Tahoma"/>
            <family val="0"/>
          </rPr>
          <t>Chris Gruber:</t>
        </r>
        <r>
          <rPr>
            <sz val="10"/>
            <rFont val="Tahoma"/>
            <family val="0"/>
          </rPr>
          <t xml:space="preserve">
Product of High end of cost impact times Pr value</t>
        </r>
      </text>
    </comment>
    <comment ref="U2" authorId="0">
      <text>
        <r>
          <rPr>
            <b/>
            <sz val="10"/>
            <rFont val="Tahoma"/>
            <family val="0"/>
          </rPr>
          <t>Chris Gruber:</t>
        </r>
        <r>
          <rPr>
            <sz val="10"/>
            <rFont val="Tahoma"/>
            <family val="0"/>
          </rPr>
          <t xml:space="preserve">
Based on Job assignments (column B) -- if more than one, split equally between identifed WBS's - for Escalation risks - see % on  Escalation Risk worksheet; for Labor rates, spread based on % of ETC</t>
        </r>
      </text>
    </comment>
  </commentList>
</comments>
</file>

<file path=xl/comments5.xml><?xml version="1.0" encoding="utf-8"?>
<comments xmlns="http://schemas.openxmlformats.org/spreadsheetml/2006/main">
  <authors>
    <author>Chris Gruber</author>
  </authors>
  <commentList>
    <comment ref="B4" authorId="0">
      <text>
        <r>
          <rPr>
            <b/>
            <sz val="10"/>
            <rFont val="Tahoma"/>
            <family val="0"/>
          </rPr>
          <t>Chris Gruber:</t>
        </r>
        <r>
          <rPr>
            <sz val="10"/>
            <rFont val="Tahoma"/>
            <family val="0"/>
          </rPr>
          <t xml:space="preserve">
Contribution to Variance from Uncertainty Model Sensitivty Analysis</t>
        </r>
      </text>
    </comment>
    <comment ref="I3" authorId="0">
      <text>
        <r>
          <rPr>
            <b/>
            <sz val="10"/>
            <rFont val="Tahoma"/>
            <family val="0"/>
          </rPr>
          <t>Chris Gruber:</t>
        </r>
        <r>
          <rPr>
            <sz val="10"/>
            <rFont val="Tahoma"/>
            <family val="0"/>
          </rPr>
          <t xml:space="preserve">
% times % by year</t>
        </r>
      </text>
    </comment>
  </commentList>
</comments>
</file>

<file path=xl/comments6.xml><?xml version="1.0" encoding="utf-8"?>
<comments xmlns="http://schemas.openxmlformats.org/spreadsheetml/2006/main">
  <authors>
    <author>Chris Gruber</author>
  </authors>
  <commentList>
    <comment ref="E26" authorId="0">
      <text>
        <r>
          <rPr>
            <b/>
            <sz val="10"/>
            <rFont val="Tahoma"/>
            <family val="0"/>
          </rPr>
          <t>Chris Gruber:</t>
        </r>
        <r>
          <rPr>
            <sz val="10"/>
            <rFont val="Tahoma"/>
            <family val="0"/>
          </rPr>
          <t xml:space="preserve">
Based on  % of total Uncertainty Contingency)- see Uncertainty Results worksheets</t>
        </r>
      </text>
    </comment>
    <comment ref="F26" authorId="0">
      <text>
        <r>
          <rPr>
            <b/>
            <sz val="10"/>
            <rFont val="Tahoma"/>
            <family val="0"/>
          </rPr>
          <t>Chris Gruber:</t>
        </r>
        <r>
          <rPr>
            <sz val="10"/>
            <rFont val="Tahoma"/>
            <family val="0"/>
          </rPr>
          <t xml:space="preserve">
Total of both Uncertainty and Risk schedule contingency cost allowance split on basis of contribution to standing army calc - see Mis Inputs sheet</t>
        </r>
      </text>
    </comment>
    <comment ref="H26" authorId="0">
      <text>
        <r>
          <rPr>
            <b/>
            <sz val="10"/>
            <rFont val="Tahoma"/>
            <family val="0"/>
          </rPr>
          <t>Chris Gruber:</t>
        </r>
        <r>
          <rPr>
            <sz val="10"/>
            <rFont val="Tahoma"/>
            <family val="0"/>
          </rPr>
          <t xml:space="preserve">
Based on % of total risk impact by WBS -- see Risk Model worksheet</t>
        </r>
      </text>
    </comment>
  </commentList>
</comments>
</file>

<file path=xl/comments8.xml><?xml version="1.0" encoding="utf-8"?>
<comments xmlns="http://schemas.openxmlformats.org/spreadsheetml/2006/main">
  <authors>
    <author>Christopher O. Gruber</author>
  </authors>
  <commentList>
    <comment ref="F2" authorId="0">
      <text>
        <r>
          <rPr>
            <b/>
            <sz val="10"/>
            <rFont val="Tahoma"/>
            <family val="0"/>
          </rPr>
          <t>Christopher O. Gruber:</t>
        </r>
        <r>
          <rPr>
            <sz val="10"/>
            <rFont val="Tahoma"/>
            <family val="0"/>
          </rPr>
          <t xml:space="preserve">
Enter L, M or H
</t>
        </r>
      </text>
    </comment>
    <comment ref="G2" authorId="0">
      <text>
        <r>
          <rPr>
            <b/>
            <sz val="10"/>
            <rFont val="Tahoma"/>
            <family val="0"/>
          </rPr>
          <t>Christopher O. Gruber:</t>
        </r>
        <r>
          <rPr>
            <sz val="10"/>
            <rFont val="Tahoma"/>
            <family val="0"/>
          </rPr>
          <t xml:space="preserve">
Enter L, M or H</t>
        </r>
      </text>
    </comment>
  </commentList>
</comments>
</file>

<file path=xl/comments9.xml><?xml version="1.0" encoding="utf-8"?>
<comments xmlns="http://schemas.openxmlformats.org/spreadsheetml/2006/main">
  <authors>
    <author>Chris Gruber</author>
  </authors>
  <commentList>
    <comment ref="G9" authorId="0">
      <text>
        <r>
          <rPr>
            <b/>
            <sz val="10"/>
            <rFont val="Tahoma"/>
            <family val="0"/>
          </rPr>
          <t>Chris Gruber:</t>
        </r>
        <r>
          <rPr>
            <sz val="10"/>
            <rFont val="Tahoma"/>
            <family val="0"/>
          </rPr>
          <t xml:space="preserve">
assumes increase accommodated by 2nd shift with added cost</t>
        </r>
      </text>
    </comment>
    <comment ref="G10" authorId="0">
      <text>
        <r>
          <rPr>
            <b/>
            <sz val="10"/>
            <rFont val="Tahoma"/>
            <family val="0"/>
          </rPr>
          <t>Chris Gruber:</t>
        </r>
        <r>
          <rPr>
            <sz val="10"/>
            <rFont val="Tahoma"/>
            <family val="0"/>
          </rPr>
          <t xml:space="preserve">
assumes increase accommodated by 2nd shift with added cost</t>
        </r>
      </text>
    </comment>
    <comment ref="H6" authorId="0">
      <text>
        <r>
          <rPr>
            <b/>
            <sz val="10"/>
            <rFont val="Tahoma"/>
            <family val="0"/>
          </rPr>
          <t>Chris Gruber:</t>
        </r>
        <r>
          <rPr>
            <sz val="10"/>
            <rFont val="Tahoma"/>
            <family val="0"/>
          </rPr>
          <t xml:space="preserve">
90% Correlation with Estimate Probability Profile</t>
        </r>
      </text>
    </comment>
    <comment ref="H7" authorId="0">
      <text>
        <r>
          <rPr>
            <b/>
            <sz val="10"/>
            <rFont val="Tahoma"/>
            <family val="0"/>
          </rPr>
          <t>Chris Gruber:</t>
        </r>
        <r>
          <rPr>
            <sz val="10"/>
            <rFont val="Tahoma"/>
            <family val="0"/>
          </rPr>
          <t xml:space="preserve">
Independent of Estimate Uncertainty</t>
        </r>
      </text>
    </comment>
    <comment ref="H9" authorId="0">
      <text>
        <r>
          <rPr>
            <b/>
            <sz val="10"/>
            <rFont val="Tahoma"/>
            <family val="0"/>
          </rPr>
          <t>Chris Gruber:</t>
        </r>
        <r>
          <rPr>
            <sz val="10"/>
            <rFont val="Tahoma"/>
            <family val="0"/>
          </rPr>
          <t xml:space="preserve">
90% Correlation with Estimate Probability Profile</t>
        </r>
      </text>
    </comment>
    <comment ref="H10" authorId="0">
      <text>
        <r>
          <rPr>
            <b/>
            <sz val="10"/>
            <rFont val="Tahoma"/>
            <family val="0"/>
          </rPr>
          <t>Chris Gruber:</t>
        </r>
        <r>
          <rPr>
            <sz val="10"/>
            <rFont val="Tahoma"/>
            <family val="0"/>
          </rPr>
          <t xml:space="preserve">
90% Correlation with Estimate Probability Profile</t>
        </r>
      </text>
    </comment>
    <comment ref="G13" authorId="0">
      <text>
        <r>
          <rPr>
            <b/>
            <sz val="10"/>
            <rFont val="Tahoma"/>
            <family val="0"/>
          </rPr>
          <t>Chris Gruber:</t>
        </r>
        <r>
          <rPr>
            <sz val="10"/>
            <rFont val="Tahoma"/>
            <family val="0"/>
          </rPr>
          <t xml:space="preserve">
Already worked on 2 shifts so no ability to lessen impact</t>
        </r>
      </text>
    </comment>
    <comment ref="H13" authorId="0">
      <text>
        <r>
          <rPr>
            <b/>
            <sz val="10"/>
            <rFont val="Tahoma"/>
            <family val="0"/>
          </rPr>
          <t>Chris Gruber:</t>
        </r>
        <r>
          <rPr>
            <sz val="10"/>
            <rFont val="Tahoma"/>
            <family val="0"/>
          </rPr>
          <t xml:space="preserve">
90% Correlation with Estimate Probability Profile</t>
        </r>
      </text>
    </comment>
    <comment ref="G12" authorId="0">
      <text>
        <r>
          <rPr>
            <b/>
            <sz val="10"/>
            <rFont val="Tahoma"/>
            <family val="0"/>
          </rPr>
          <t>Chris Gruber:</t>
        </r>
        <r>
          <rPr>
            <sz val="10"/>
            <rFont val="Tahoma"/>
            <family val="0"/>
          </rPr>
          <t xml:space="preserve">
assumes increase accommodated by 2nd shift with added cost</t>
        </r>
      </text>
    </comment>
    <comment ref="H12" authorId="0">
      <text>
        <r>
          <rPr>
            <b/>
            <sz val="10"/>
            <rFont val="Tahoma"/>
            <family val="0"/>
          </rPr>
          <t>Chris Gruber:</t>
        </r>
        <r>
          <rPr>
            <sz val="10"/>
            <rFont val="Tahoma"/>
            <family val="0"/>
          </rPr>
          <t xml:space="preserve">
90% Correlation with Estimate Probability Profile</t>
        </r>
      </text>
    </comment>
  </commentList>
</comments>
</file>

<file path=xl/sharedStrings.xml><?xml version="1.0" encoding="utf-8"?>
<sst xmlns="http://schemas.openxmlformats.org/spreadsheetml/2006/main" count="1678" uniqueCount="656">
  <si>
    <t xml:space="preserve">Likelihood of occurrence is very unlikely as a result of extensive welding R&amp;D and careful monitoring during welding. </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</si>
  <si>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</si>
  <si>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</si>
  <si>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</si>
  <si>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Additonal reviews including external reviewers will be performed.</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</si>
  <si>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</si>
  <si>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</si>
  <si>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</si>
  <si>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</si>
  <si>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</si>
  <si>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</si>
  <si>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</si>
  <si>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Insulation on TF/PF coil fails during initial cooldown and testing requiring in situ repair</t>
  </si>
  <si>
    <t xml:space="preserve">Ist of each kind will be tested at cryogenic temperature at elevated (50% higher than routine field tests) voltage for faults to ground.  All coils will be tested at RT at elevated (50% higher than routine field tests) voltage for faults to ground . Ring </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</si>
  <si>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</si>
  <si>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</si>
  <si>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Insulation on modular coil fails during initial cooldown and testing requiring in situ repair</t>
  </si>
  <si>
    <t xml:space="preserve">C1 tested at full current at cryogenic temeprature.  All modular coils will be tested at RT at elevated (50% higher) voltage for faults to ground. 
In addition, routine field tests will be performed on each assembly station to ensure that the electrical </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</si>
  <si>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</si>
  <si>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</si>
  <si>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Rapid repair materials will be on hand.</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</si>
  <si>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</si>
  <si>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</si>
  <si>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</si>
  <si>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</si>
  <si>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</si>
  <si>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responsibilties until a suitable longer term solution was implemented.</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</si>
  <si>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</si>
  <si>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</si>
  <si>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</si>
  <si>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</si>
  <si>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8204</t>
  </si>
  <si>
    <t>Art Brooks (PPPL)</t>
  </si>
  <si>
    <t xml:space="preserve">An EA/EM engineer has been budgeted to provide support to Brooks in Systems Analysis and Technical Assurance during peak demands and pick up the slack for Brooks should he became unavailable. </t>
  </si>
  <si>
    <t>8205</t>
  </si>
  <si>
    <t>Bob Ellis (PPPL)</t>
  </si>
  <si>
    <t xml:space="preserve">An EA/EM engineer has been budgeted to provide support to Ellis in Dimensional Control Coordination during peak demands and pick up the slack for Ellis should he become unavailable. </t>
  </si>
  <si>
    <t>1802
7401</t>
  </si>
  <si>
    <t>Mike Viola (PPPL)
Erik Perry (PPPL)</t>
  </si>
  <si>
    <t>Viola and Perry will be cross-trained such that each could do the other's job</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</si>
  <si>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</si>
  <si>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</si>
  <si>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</si>
  <si>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Nominal cost impact is 1 man-month of engineering design and up to half the fabrication cost of the sled</t>
  </si>
  <si>
    <t>TC floor is not adequately rigid for present metrology plan</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</si>
  <si>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</si>
  <si>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</si>
  <si>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</si>
  <si>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Modular coils are shorted across toroidal break between field periods causing problematic field errors</t>
  </si>
  <si>
    <t>Need very low impedence, multiple shorts to get into trouble</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</si>
  <si>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</si>
  <si>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</si>
  <si>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8501</t>
  </si>
  <si>
    <t>Coils are hooked up with incorrect polarity</t>
  </si>
  <si>
    <t>Test during ISTP and fix</t>
  </si>
  <si>
    <t>Covered in estimate uncertainty with present mitigation plan</t>
  </si>
  <si>
    <t>Escalation of Stainless Sheet and Inconel higher than base escalation rates</t>
  </si>
  <si>
    <t>Funding limits preclude early procurements to avoid escalation impacts</t>
  </si>
  <si>
    <t>VL</t>
  </si>
  <si>
    <t>See separate sheet - assume 3% to 20% higher per year escalation rate</t>
  </si>
  <si>
    <t>Escalation of Copper higher than base escalation rates</t>
  </si>
  <si>
    <t>See separate sheet - assume 5% to 20% higher per year escalation rate</t>
  </si>
  <si>
    <t>Labor rates may be significantly lower/higher than projected</t>
  </si>
  <si>
    <t>Escalation rate may be anywhere in the range of 2-5% instead of the nominal rate of 3.4% for labor.  Schedule impact is due to annual funding constraints.</t>
  </si>
  <si>
    <t>1810
1815
7503</t>
  </si>
  <si>
    <t>Metrology equipment and general purpose tooling/ lifting equipment (e.g.cranes) not available to support the schedule</t>
  </si>
  <si>
    <t>Maintenance contract mitigates impact of metrology equipment.
Additional $200K budgeted for a 3rd laser tracker and/or spare metrology equipment.  Should result in improved efficiency as well as failure mitigation.</t>
  </si>
  <si>
    <t>Up to 2 week impact on FPA and critical path.  FPA cost impact assumed to be $300k/mo.</t>
  </si>
  <si>
    <t>No suitable PF coil vendor submits bid.  PF coils need to be built in-house.</t>
  </si>
  <si>
    <t>PF is last major, special procurement.  Sources sought received two qualified respondants.  Capability to build at PPPL (and overseas) exists if needed.</t>
  </si>
  <si>
    <t>Cost impact estimated to be up to $300k (1/3 of fabrication costs) for potentially higher labor rates at PPPL.  No impact on critical path expected.</t>
  </si>
  <si>
    <t>Funding profile may not match assumptions which in turn could impact cost and schedule</t>
  </si>
  <si>
    <t>Cost impact derived from stretchout</t>
  </si>
  <si>
    <t>Overhead rates may change signficiantly which in turn could impact cost and schedule</t>
  </si>
  <si>
    <t>Overhead rates are determined by institutional funding and are outside the project's control.
-2%/+0% on the rates are representative of variation in three-year institutional averages over the past 10 years.</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</si>
  <si>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</si>
  <si>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</si>
  <si>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Probability of Occurrence</t>
  </si>
  <si>
    <t>Criteria</t>
  </si>
  <si>
    <t>Qualitative</t>
  </si>
  <si>
    <t>Quantitative</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</si>
  <si>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</si>
  <si>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</si>
  <si>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</si>
  <si>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</si>
  <si>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</si>
  <si>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</si>
  <si>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</si>
  <si>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</si>
  <si>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</si>
  <si>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</si>
  <si>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</si>
  <si>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</si>
  <si>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</si>
  <si>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</si>
  <si>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</si>
  <si>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</si>
  <si>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</si>
  <si>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</si>
  <si>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</si>
  <si>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</si>
  <si>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</si>
  <si>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</si>
  <si>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</si>
  <si>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</si>
  <si>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Cost Contingency</t>
  </si>
  <si>
    <t>Risk Schedule Contingency</t>
  </si>
  <si>
    <t>Risk Contingency Summary</t>
  </si>
  <si>
    <t>Cost Risks</t>
  </si>
  <si>
    <t>Cost Impact of Schedule</t>
  </si>
  <si>
    <t>Total Risk Contingency</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</si>
  <si>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</si>
  <si>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</si>
  <si>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</si>
  <si>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</si>
  <si>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</si>
  <si>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</si>
  <si>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</si>
  <si>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</si>
  <si>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C - copper</t>
  </si>
  <si>
    <t>141-038.1</t>
  </si>
  <si>
    <t>PF Conductor  Delivery</t>
  </si>
  <si>
    <t>184-037</t>
  </si>
  <si>
    <t xml:space="preserve">External Trim Coil  Procurement                 </t>
  </si>
  <si>
    <t>132-038</t>
  </si>
  <si>
    <t xml:space="preserve">Deliver  Lead hardware and cables               </t>
  </si>
  <si>
    <t>411-2-4</t>
  </si>
  <si>
    <t>Grounding-Procure</t>
  </si>
  <si>
    <t>431-265</t>
  </si>
  <si>
    <t>Fabricate bus components</t>
  </si>
  <si>
    <t>431-275</t>
  </si>
  <si>
    <t>Power cabling &amp; Installation</t>
  </si>
  <si>
    <t>S - Stainless Steel/Inconnel</t>
  </si>
  <si>
    <t>124-130</t>
  </si>
  <si>
    <t xml:space="preserve"> VV NB port cover Fabrication</t>
  </si>
  <si>
    <t>INTRF-001</t>
  </si>
  <si>
    <t xml:space="preserve">PPPL buy SS plate for weld trials               </t>
  </si>
  <si>
    <t>1421-3060</t>
  </si>
  <si>
    <t>Deliver Stud Kit (PE007330) (for 1st 3 pack only</t>
  </si>
  <si>
    <t>1429-3060</t>
  </si>
  <si>
    <t>Deliver Shim Stock</t>
  </si>
  <si>
    <t>161-036.9</t>
  </si>
  <si>
    <t xml:space="preserve">Deliver base support materials                  </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</si>
  <si>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</si>
  <si>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</si>
  <si>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</si>
  <si>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</si>
  <si>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</si>
  <si>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</si>
  <si>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</si>
  <si>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</si>
  <si>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</si>
  <si>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</si>
  <si>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</si>
  <si>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</si>
  <si>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</si>
  <si>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</si>
  <si>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</si>
  <si>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</si>
  <si>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</si>
  <si>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</si>
  <si>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</si>
  <si>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</si>
  <si>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$M</t>
  </si>
  <si>
    <t>Schedule Uncertainty Contingency at 90%</t>
  </si>
  <si>
    <t>Risk Schedule Contingency at 90%</t>
  </si>
  <si>
    <t>Contingency at 90% (Std Uncertainty)</t>
  </si>
  <si>
    <t>@90%</t>
  </si>
  <si>
    <t>Design Maturity</t>
  </si>
  <si>
    <t>Design Complexity</t>
  </si>
  <si>
    <t>Low</t>
  </si>
  <si>
    <t>Medium</t>
  </si>
  <si>
    <t>High</t>
  </si>
  <si>
    <t>Estimate Uncertainty Matrix</t>
  </si>
  <si>
    <t>Job</t>
  </si>
  <si>
    <t>Maturity</t>
  </si>
  <si>
    <t>Complexity</t>
  </si>
  <si>
    <t>LH</t>
  </si>
  <si>
    <t>LL</t>
  </si>
  <si>
    <t>LM</t>
  </si>
  <si>
    <t>ML</t>
  </si>
  <si>
    <t>MM</t>
  </si>
  <si>
    <t>MH</t>
  </si>
  <si>
    <t>HL</t>
  </si>
  <si>
    <t>HM</t>
  </si>
  <si>
    <t>HH</t>
  </si>
  <si>
    <t>H</t>
  </si>
  <si>
    <t>M</t>
  </si>
  <si>
    <t>Definitions</t>
  </si>
  <si>
    <t xml:space="preserve">Final design available.  All design features/requirements well known. </t>
  </si>
  <si>
    <t>No further design development or evolution expected that will impact estimate</t>
  </si>
  <si>
    <t xml:space="preserve"> Further developments can be somewhat expected/anticipated and reflected in estimate</t>
  </si>
  <si>
    <t>No better than conceptual design basis currently available.  Design details, procedures,</t>
  </si>
  <si>
    <t xml:space="preserve">  etc. still need much development and evolution of requirements beyond estimate basis is likely and expected</t>
  </si>
  <si>
    <t>Work is fairly well understood -- either standard construction or repetition of activities performed in past</t>
  </si>
  <si>
    <t>More complex work requirements that have potential to impact cost and schedule estimates</t>
  </si>
  <si>
    <t xml:space="preserve">   Limited experience performing similar tasks, so ability to estimate accurately is somewhat suspect</t>
  </si>
  <si>
    <t>Extremely challenging tasks and/or requirements.  Unique or first-of-a-kind assembly or work tasks</t>
  </si>
  <si>
    <t xml:space="preserve">  No good basis for estimating work exists so there is a high degree of estimate uncertainty</t>
  </si>
  <si>
    <t>Preliminary design available.  Some additional design evolution likely</t>
  </si>
  <si>
    <t>L</t>
  </si>
  <si>
    <t xml:space="preserve">  Little likelihood of estimate not being well understood and requirements not being well defined</t>
  </si>
  <si>
    <t>Basis for Estimate Uncertainties</t>
  </si>
  <si>
    <t>Per AACEI Recommended Practice 18R-97, Cost Estimate Classification System</t>
  </si>
  <si>
    <t>As Applied in Engineering, Procurement and Construction for the Process Industry</t>
  </si>
  <si>
    <t>Estimate Class</t>
  </si>
  <si>
    <t>Level of Definition</t>
  </si>
  <si>
    <t>Accuracy Range</t>
  </si>
  <si>
    <t>NCSX Definition</t>
  </si>
  <si>
    <t>Range Used</t>
  </si>
  <si>
    <t>0 - 2%</t>
  </si>
  <si>
    <t>10 - 40%</t>
  </si>
  <si>
    <t>1 - 15%</t>
  </si>
  <si>
    <t>30 - 70%</t>
  </si>
  <si>
    <t>50 - 100%</t>
  </si>
  <si>
    <t>-20 to -50%  -  +30 to +100%</t>
  </si>
  <si>
    <t>-15 to -30%  -  +20 to +50%</t>
  </si>
  <si>
    <t>-10 to -20%  -  +10 to +30%</t>
  </si>
  <si>
    <t>-5 to -15%  -  +5 to +20%</t>
  </si>
  <si>
    <t>-3 to -10%  -  +3 to +15%</t>
  </si>
  <si>
    <t>L maturity; H complexity</t>
  </si>
  <si>
    <t>MH and LM</t>
  </si>
  <si>
    <t>ML and HM</t>
  </si>
  <si>
    <t>H maturity; L complexity</t>
  </si>
  <si>
    <t>-20/+40%</t>
  </si>
  <si>
    <t>-15/+25%</t>
  </si>
  <si>
    <t>-10/+15%</t>
  </si>
  <si>
    <t>-5/+10%</t>
  </si>
  <si>
    <t>-30/+60%</t>
  </si>
  <si>
    <t>WBS4</t>
  </si>
  <si>
    <t xml:space="preserve">     -</t>
  </si>
  <si>
    <t>124U - T/C and Heater Tape Leads</t>
  </si>
  <si>
    <t>124V - Flux loop junction boxes and spacer templates</t>
  </si>
  <si>
    <t>MD3  - Rogowski Coils</t>
  </si>
  <si>
    <t>MD4  - TF and PF Co-wound Loops</t>
  </si>
  <si>
    <t>411  - 411 - Auxiliary AC Power Systems</t>
  </si>
  <si>
    <t>412  - 412 - Experimental AC Power Systems</t>
  </si>
  <si>
    <t>431  - 431 - C-Site DC Systems</t>
  </si>
  <si>
    <t>441  - 441 - Electrical Interlocks</t>
  </si>
  <si>
    <t>442  - 442 - Kirk Key Interlocks</t>
  </si>
  <si>
    <t>443  - 443 - Real Time Control Systems</t>
  </si>
  <si>
    <t>444  - 444 - Instrument Systems</t>
  </si>
  <si>
    <t>445  - 445 - Coil Protection Systems</t>
  </si>
  <si>
    <t>451  - 451 - System Design &amp; Interfaces</t>
  </si>
  <si>
    <t>452  - 452 - Electrical Systems Support</t>
  </si>
  <si>
    <t>453  - 453 - System Testing (PTP's)</t>
  </si>
  <si>
    <t>613  - 613 - Vacuum Pumping System</t>
  </si>
  <si>
    <t>621  - 621 - LN2-LHe Supply System</t>
  </si>
  <si>
    <t>622  - 622 - LN2 Coil Cooling Supply</t>
  </si>
  <si>
    <t>623  - 623 - GN2 Cryostat Cooling System</t>
  </si>
  <si>
    <t>RBLX - FY07 Rebaseline Exercise</t>
  </si>
  <si>
    <t>PROC - Startup Documentation</t>
  </si>
  <si>
    <t>122  - Thermal Insulation</t>
  </si>
  <si>
    <t>124P - VV Personnel Access Port &amp; Lateral sprts</t>
  </si>
  <si>
    <t>124T - Heater Tape for Port Stub</t>
  </si>
  <si>
    <t>125  - VV Local I&amp;C</t>
  </si>
  <si>
    <t>13P  - PF Coil Fabrication</t>
  </si>
  <si>
    <t>132A - CS Support Structure</t>
  </si>
  <si>
    <t>133  - Trim Coils</t>
  </si>
  <si>
    <t>134  - TF/PF Loacl I&amp;C</t>
  </si>
  <si>
    <t>130  - TF Title III and Fabrication Oversight</t>
  </si>
  <si>
    <t>13Y  - TF Fabrication Contract</t>
  </si>
  <si>
    <t>MCDB - Clamp hardware modifications</t>
  </si>
  <si>
    <t>MCDC - Blanket thermal insulation</t>
  </si>
  <si>
    <t>MCDE - Top level assy models/drawings</t>
  </si>
  <si>
    <t>MCDF - Analysis and closeout documentation</t>
  </si>
  <si>
    <t>TCCO - Type C Design Closeout</t>
  </si>
  <si>
    <t>BLAD - Bladders</t>
  </si>
  <si>
    <t>BUSH - Bushings</t>
  </si>
  <si>
    <t>STUD - Studs Washers Nuts</t>
  </si>
  <si>
    <t>1    - Station 1 Post VPI</t>
  </si>
  <si>
    <t>1A   - Station 1a/4 Casting Prep</t>
  </si>
  <si>
    <t>2    - Station 2-Winding  Instl Chill Plates Tubing Bag</t>
  </si>
  <si>
    <t>3    - Station 4-Winding  Instl Chill Plates Tubing Bag</t>
  </si>
  <si>
    <t>5    - Station 5-VPI</t>
  </si>
  <si>
    <t>LABR - LOE Oversight &amp; Supervision</t>
  </si>
  <si>
    <t>PLCT - Punchlist- Coil Technicians</t>
  </si>
  <si>
    <t>PLTS - Punchlist Tech shop/RESA</t>
  </si>
  <si>
    <t>161  - 161 - LN2 Distribution</t>
  </si>
  <si>
    <t>162  - 162 - Electrical Leads</t>
  </si>
  <si>
    <t>163  - 163 - Coil Protection System</t>
  </si>
  <si>
    <t>172  - 172 - Base Support Structure</t>
  </si>
  <si>
    <t>A    - Oversight and Supervision</t>
  </si>
  <si>
    <t>2.00 - Station 2-Modular Coil  Sub- Assembly</t>
  </si>
  <si>
    <t>3.00 - Station 3-Modular Coil to VVSA Assembly</t>
  </si>
  <si>
    <t>5.00 - Station 5-Final Field Period Assembly</t>
  </si>
  <si>
    <t>6.00 - 6.00-Final Machine Assembly</t>
  </si>
  <si>
    <t>1.00 - 1.00-VV Prep Station</t>
  </si>
  <si>
    <t>S4P1 - Station 5- Final FP Assy -FP#1 (in NCSX TC)</t>
  </si>
  <si>
    <t>S4P2 - Station 5- Final FP Assy -FP#2 (in NCSX TC)</t>
  </si>
  <si>
    <t>S4P3 - Station 5- Final FP Assy -FP#3 (in NCSX TC)</t>
  </si>
  <si>
    <t>S1P1 - Station 1-VV Prep (hard surface components) FP#1</t>
  </si>
  <si>
    <t>S1P2 - Station 1- VV Prep (hrd surf cmpntsFP#2</t>
  </si>
  <si>
    <t>S1P3 - Station 1- VV Prep (hrd surf cmpntsFP#3</t>
  </si>
  <si>
    <t>S1SP - Station 1-Spool pieces (3)  (spacers)</t>
  </si>
  <si>
    <t>S2P2 - Station 2-Modular Coil Subassembly-FP#2</t>
  </si>
  <si>
    <t>S2P3 - Station 2-Modular Coil Subassembly-FP#3</t>
  </si>
  <si>
    <t>S2PR - Station 2 Trials &amp; Development</t>
  </si>
  <si>
    <t>S3P1 - Station 3-Assemble Mod Coils and VVSA-FP#1</t>
  </si>
  <si>
    <t>S3P2 - Station 3-Assemble Mod Coils and VVSA-FP#2</t>
  </si>
  <si>
    <t>S3P3 - Station 3-Assemble Mod Coils and VVSA-FP#3</t>
  </si>
  <si>
    <t>WBS2</t>
  </si>
  <si>
    <t>TOTAL</t>
  </si>
  <si>
    <t>FY2007</t>
  </si>
  <si>
    <t>FY2008</t>
  </si>
  <si>
    <t>FY2009</t>
  </si>
  <si>
    <t>FY2010</t>
  </si>
  <si>
    <t>FY2011</t>
  </si>
  <si>
    <t>1204 - Job: 1204 - VV Sys Procurements (nonVVSA)-DUDEK</t>
  </si>
  <si>
    <t>1250 - Job: 1250 - Vacuum Vessel Fabrication**CLOSED**</t>
  </si>
  <si>
    <t>1302 - Job: 1302 - PF  Design -KALISH</t>
  </si>
  <si>
    <t>1352 - Job: 1352 - PF Coil Procurement-KALISH</t>
  </si>
  <si>
    <t>1353 - Job: 1353 - CS Structure Procurement-DAHLGREN</t>
  </si>
  <si>
    <t>1354 - Job: 1354 - Trim Coil Design &amp;Procurement-KALISH</t>
  </si>
  <si>
    <t>1355 - Job: 1355 - WBS 13 I&amp;C Proc and Coil Assy-KALISH</t>
  </si>
  <si>
    <t>1361 - Job: 1361 - TF Fabrication-KALISH</t>
  </si>
  <si>
    <t>1404 - Job: 1404 - MCWF R&amp;D 1st Prod Casting**CLOSED**</t>
  </si>
  <si>
    <t>1408 - Job: 1408 - MC Winding Supplies-CHRZANOWSKI</t>
  </si>
  <si>
    <t>1411 - Job: 1411 - MCWF Fabr. S005242-HEITZENROEDER</t>
  </si>
  <si>
    <t>1416 - Job: 1416 - Mod Coil Type AB Fnl Dsn-WILLIAMSON</t>
  </si>
  <si>
    <t>1421 - Job: 1421 - Mod Coil Interface Design-WILLIAMSON</t>
  </si>
  <si>
    <t>142A - Outboard Interface</t>
  </si>
  <si>
    <t>142B - Outboard Interface-Bolted Joint Tests-Tension</t>
  </si>
  <si>
    <t>142C - Outboard Interface-Bolted Joint Tests-Shear</t>
  </si>
  <si>
    <t>142D - Outboard Interface-Friction</t>
  </si>
  <si>
    <t>142E - Inboard Interface-Design</t>
  </si>
  <si>
    <t>142F - Inboard Interface-AB/BC/AA</t>
  </si>
  <si>
    <t>142G - Inboard Interface-CC</t>
  </si>
  <si>
    <t>142J - Overall MC Interface</t>
  </si>
  <si>
    <t>1431 - Job: 1431 - Mod. Coil Interface Hardware-DUDEK</t>
  </si>
  <si>
    <t>1451 - Job: 1451 - Mod Coil Winding-CHRZANOWSKI</t>
  </si>
  <si>
    <t>1459 - Job: 1459 - Mod Coil Fabr.Punch List-CHRZANOWSKI</t>
  </si>
  <si>
    <t>1501 - Job: 1501 - Coil Structures  Design-DAHLGREN</t>
  </si>
  <si>
    <t>1550 - Job: 1550 - Coil Struct. Procurement -DAHLGREN</t>
  </si>
  <si>
    <t>1601 - Job: 1601 - Coil Services  Design-GORANSON</t>
  </si>
  <si>
    <t>1701 - Job: 1701 - Cryostat Design-GETTLEFINGER</t>
  </si>
  <si>
    <t>1702 - Job: 1702 - Base Support Struct Design-DAHLGREN</t>
  </si>
  <si>
    <t>1751 - Job: 1751 - Cryostat Procurement-GETTLEFINGER</t>
  </si>
  <si>
    <t>1752 - Job: 1752 - Base Support Proc-DAHLGREN</t>
  </si>
  <si>
    <t>1802 - Job: 1802 - FP Assy Oversight&amp;Support-VIOLA</t>
  </si>
  <si>
    <t>1803 - Job: 1803/1805- FPA Tooling/Constr-BROWN/DUDEK</t>
  </si>
  <si>
    <t>1806 - Job: 1806 - FP Assembly specs and drawings-COLE</t>
  </si>
  <si>
    <t>1810 - Job:1810-Field Period Assy -Station 1 2 3  VIOLA</t>
  </si>
  <si>
    <t>S2PX - Setup</t>
  </si>
  <si>
    <t>S2PM - Pre-Measuring and fitup checks</t>
  </si>
  <si>
    <t>S2P1 - Station 2-MC Sub Assy A1-B1-C1</t>
  </si>
  <si>
    <t>S2PZ - Station 2 MC Sub Assy A2-B2-C2</t>
  </si>
  <si>
    <t>S3P0 - Station 3 Setup/Preparations/General</t>
  </si>
  <si>
    <t>1815 - Job: 1815 - Field Period Assy -Station  5-VIOLA</t>
  </si>
  <si>
    <t>S4P0 - Setup/Preparations/General</t>
  </si>
  <si>
    <t>1901 - Job: 1901 - Stellarator Core Mngtt&amp;Integr-COLE</t>
  </si>
  <si>
    <t>191  - 191 - Stellarator Core Management &amp; Oversight</t>
  </si>
  <si>
    <t>192  - 192 - Stellarator Core Integration &amp; Analysis</t>
  </si>
  <si>
    <t>2101 - Job: 2101 - Fueling Systems-BLANCHARD</t>
  </si>
  <si>
    <t>2201 - Job: 2201 - Vacuum Pumping Systems-BLANCHARD</t>
  </si>
  <si>
    <t>3101 - Job: 3101 - Magnetic Diagnostics-STRATTON</t>
  </si>
  <si>
    <t>VLPB - Voltage Loops &amp; Protective Boxes</t>
  </si>
  <si>
    <t>3601 - Job: 3601 - Edge Divertor Diagnostics-STRATTON</t>
  </si>
  <si>
    <t>3801 - Job: 3801 - Electron Beam Mapping-STRATTON</t>
  </si>
  <si>
    <t>3901 - Job: 3901 - Diagnostics sys Integration-STRATTON</t>
  </si>
  <si>
    <t>4101 - Job: 4101 - AC Power-RAMAKRISHNAN</t>
  </si>
  <si>
    <t>4301 - Job: 4301 - DC Systems-RAMAKRISHNAN</t>
  </si>
  <si>
    <t>4401 - Job: 4401 - Control &amp; Protection-RAMAKRISHNAN</t>
  </si>
  <si>
    <t>4501 - Job: 4501 - Power Sys Dsn &amp; Integr-RAMAKRISHNAN</t>
  </si>
  <si>
    <t>5101 - Job: 5101 - Network and Fiber Infrastruct-SICHTA</t>
  </si>
  <si>
    <t>5201 - Job: 5201 - I&amp;C Systems-SICHTA</t>
  </si>
  <si>
    <t>5301 - Job: 5301 - Data Acquisition-SICHTA</t>
  </si>
  <si>
    <t>5401 - Job: 5401 - Facility Timing &amp; Synchron.-SICHTA</t>
  </si>
  <si>
    <t>5501 - Job: 5501 - Real Time Control System-SICHTA</t>
  </si>
  <si>
    <t>5601 - Job: 5601 - Central Safety &amp;Interlock Sys-SICHTA</t>
  </si>
  <si>
    <t>5801 - Job: 5801 - Central I&amp;C Integr&amp; Oversight-SICHTA</t>
  </si>
  <si>
    <t>6101 - Job: 6101 - Water Systems-DUDEK</t>
  </si>
  <si>
    <t>6301 - Job: 6301 - Utility Systems-DUDEK</t>
  </si>
  <si>
    <t>7301 - Job: 7301 - Platform Design &amp; Fab-PERRY</t>
  </si>
  <si>
    <t>7401 - Job: 7401 - TC Prep &amp; Mach Assy Planning-PERRY</t>
  </si>
  <si>
    <t>7501 - Job: 7501 - Construction Support Crew-PERRY</t>
  </si>
  <si>
    <t>7503 - Job: 7503 - Machine Assembly (station 6)-PERRY</t>
  </si>
  <si>
    <t>7601 - Job: 7601 - Tooling Design &amp; Fabrication-PERRY</t>
  </si>
  <si>
    <t>8101 - Job: 8101 - Project Management &amp; Control-NEILSON</t>
  </si>
  <si>
    <t>8102 - Job: 8102 - NCSX MIE Management ORNL-LYON</t>
  </si>
  <si>
    <t>8202 - Job: 8202 - Engr Mgmt &amp; Sys Eng Support-REIERSEN</t>
  </si>
  <si>
    <t>8203 - Job: 8203 - Design Integration-BROWN</t>
  </si>
  <si>
    <t>8204 - Job: 8204 - Systems Analysis-BROOKS</t>
  </si>
  <si>
    <t>8210 - Job: 8210 - FY07 Rebaseling tasks</t>
  </si>
  <si>
    <t>8215 - Job: 8215 Plant Design</t>
  </si>
  <si>
    <t>8501 - Job: 8501 - Integrated Systems Testing-GENTILE</t>
  </si>
  <si>
    <t>8998 - Job: 8998 - Allocations-STRYKOWSKY</t>
  </si>
  <si>
    <t>ETC=</t>
  </si>
  <si>
    <t>Cost thru 4/30/07=</t>
  </si>
  <si>
    <t>EAC=</t>
  </si>
  <si>
    <t>FROZEN</t>
  </si>
  <si>
    <t xml:space="preserve">Lookup </t>
  </si>
  <si>
    <t>Estimate Uncertainty Range</t>
  </si>
  <si>
    <t>Percent ETC by Year</t>
  </si>
  <si>
    <t>Model</t>
  </si>
  <si>
    <t>NCSX Schedule Uncertainty Model</t>
  </si>
  <si>
    <t>Duration Range</t>
  </si>
  <si>
    <t>Schedule Activity</t>
  </si>
  <si>
    <t>CP and Near CP Activities</t>
  </si>
  <si>
    <t>Job 1421 - Modular Coil Interface Design</t>
  </si>
  <si>
    <t>Job 8501 - Integrated System Testing</t>
  </si>
  <si>
    <t>Estimated Cost per month for Schedule Stretch</t>
  </si>
  <si>
    <t>thousand</t>
  </si>
  <si>
    <r>
      <t xml:space="preserve">Estimate </t>
    </r>
    <r>
      <rPr>
        <b/>
        <u val="single"/>
        <sz val="10"/>
        <rFont val="Arial"/>
        <family val="2"/>
      </rPr>
      <t>Uncertainty</t>
    </r>
  </si>
  <si>
    <r>
      <t xml:space="preserve">Adjusted </t>
    </r>
    <r>
      <rPr>
        <b/>
        <u val="single"/>
        <sz val="10"/>
        <rFont val="Arial"/>
        <family val="2"/>
      </rPr>
      <t>High</t>
    </r>
  </si>
  <si>
    <r>
      <t xml:space="preserve">Schedule </t>
    </r>
    <r>
      <rPr>
        <b/>
        <u val="single"/>
        <sz val="10"/>
        <rFont val="Arial"/>
        <family val="2"/>
      </rPr>
      <t>Duration</t>
    </r>
  </si>
  <si>
    <t>Standing army calculation</t>
  </si>
  <si>
    <t>WBS</t>
  </si>
  <si>
    <t>JOB</t>
  </si>
  <si>
    <t>Description</t>
  </si>
  <si>
    <t>Cost/yr</t>
  </si>
  <si>
    <t>Cost/mo.</t>
  </si>
  <si>
    <t>Stellarator core management</t>
  </si>
  <si>
    <t>PPPL Management</t>
  </si>
  <si>
    <t>ORNL Management</t>
  </si>
  <si>
    <t>Engineering mgt</t>
  </si>
  <si>
    <t>Design Integration</t>
  </si>
  <si>
    <t>Systems Analysis</t>
  </si>
  <si>
    <t>Dimensional control</t>
  </si>
  <si>
    <t>Plant Design</t>
  </si>
  <si>
    <t>Allocations</t>
  </si>
  <si>
    <t>Second Shift oversight,support, cost dif</t>
  </si>
  <si>
    <t>Crane support, fixture setup, misc support</t>
  </si>
  <si>
    <t>1.2 fte</t>
  </si>
  <si>
    <t>Field Supervision</t>
  </si>
  <si>
    <t>1.0 fte</t>
  </si>
  <si>
    <t>Metrology crews (task dependent)</t>
  </si>
  <si>
    <t>n/a</t>
  </si>
  <si>
    <t>Metrology engineer</t>
  </si>
  <si>
    <t>.5 fte</t>
  </si>
  <si>
    <t>Shift differntial (@ 5fte crew size)</t>
  </si>
  <si>
    <t>Schedule Mitigation Cost Adder</t>
  </si>
  <si>
    <t>Total Schedule Duration</t>
  </si>
  <si>
    <t>Percentiles</t>
  </si>
  <si>
    <t>0%</t>
  </si>
  <si>
    <t>5%</t>
  </si>
  <si>
    <t>10%</t>
  </si>
  <si>
    <t>15%</t>
  </si>
  <si>
    <t>20%</t>
  </si>
  <si>
    <t>25%</t>
  </si>
  <si>
    <t>30%</t>
  </si>
  <si>
    <t>35%</t>
  </si>
  <si>
    <t>40%</t>
  </si>
  <si>
    <t>45%</t>
  </si>
  <si>
    <t>50%</t>
  </si>
  <si>
    <t>55%</t>
  </si>
  <si>
    <t>60%</t>
  </si>
  <si>
    <t>65%</t>
  </si>
  <si>
    <t>70%</t>
  </si>
  <si>
    <t>75%</t>
  </si>
  <si>
    <t>80%</t>
  </si>
  <si>
    <t>85%</t>
  </si>
  <si>
    <t>90%</t>
  </si>
  <si>
    <t>95%</t>
  </si>
  <si>
    <t>100%</t>
  </si>
  <si>
    <t>Base ETC</t>
  </si>
  <si>
    <t>Base Schedule</t>
  </si>
  <si>
    <t>Cost of Schedule Risk Mitigation</t>
  </si>
  <si>
    <t>months</t>
  </si>
  <si>
    <t>Major Contributors to Uncertainty Contingency</t>
  </si>
  <si>
    <t>%</t>
  </si>
  <si>
    <t>Spread of Dollars by Year</t>
  </si>
  <si>
    <t>Weighted Contingency Spread by Year</t>
  </si>
  <si>
    <t>All Other</t>
  </si>
  <si>
    <t>Assume spread equally with none in 2007 and extra in 2011</t>
  </si>
  <si>
    <t>Total Uncertainty Contingency Spead</t>
  </si>
  <si>
    <t>Risk Contingency Spread</t>
  </si>
  <si>
    <t>Primary contributor is Labor Rate risk, so spread as constant % of base costs</t>
  </si>
  <si>
    <t>Uncertainty Contingency</t>
  </si>
  <si>
    <t>Risk Contingency</t>
  </si>
  <si>
    <t>Schedule Contingency all in 2011</t>
  </si>
  <si>
    <t>Total Contingency by Year</t>
  </si>
  <si>
    <t>Contingency Spread by Year</t>
  </si>
  <si>
    <t>Summary of Risk/Contingency Analysis Results</t>
  </si>
  <si>
    <t>NCSX Risk Register</t>
  </si>
  <si>
    <t>Cost Impact ($k)</t>
  </si>
  <si>
    <t>Schedule Impact (mos)</t>
  </si>
  <si>
    <t>No.</t>
  </si>
  <si>
    <t>Risk Description</t>
  </si>
  <si>
    <t>Mitigation Plan</t>
  </si>
  <si>
    <t>Consequences</t>
  </si>
  <si>
    <t>Risk Class</t>
  </si>
  <si>
    <t>Basis of Estimate</t>
  </si>
  <si>
    <t>Low CI</t>
  </si>
  <si>
    <t>High CI</t>
  </si>
  <si>
    <t>Low SI</t>
  </si>
  <si>
    <t>High SI</t>
  </si>
  <si>
    <t>Cost Pr</t>
  </si>
  <si>
    <t>Sched Pr</t>
  </si>
  <si>
    <t>Pr of Occurrence</t>
  </si>
  <si>
    <t>Cost Impact</t>
  </si>
  <si>
    <t>Schedule Impact</t>
  </si>
  <si>
    <t>1354
7503</t>
  </si>
  <si>
    <t>Additional trim coils may be required to suppress field errors from n&gt;1 modes</t>
  </si>
  <si>
    <t>Analysis being performed to firm up requirements</t>
  </si>
  <si>
    <t>U</t>
  </si>
  <si>
    <t>Marginal</t>
  </si>
  <si>
    <t>Costs could more than double the present estimate</t>
  </si>
  <si>
    <t>1361</t>
  </si>
  <si>
    <t>TF vendor produces a non-compliant coil requiring fabrication of an additional coil</t>
  </si>
  <si>
    <t>Conductor for extra coil already procured.  Ample float in schedule to avoid critical path impact.</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</si>
  <si>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</si>
  <si>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</si>
  <si>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</si>
  <si>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</si>
  <si>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</si>
  <si>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</si>
  <si>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1421</t>
  </si>
  <si>
    <t>Modular coil interface design needs to change significantly from the baseline for unforeseen technical reasons</t>
  </si>
  <si>
    <t>Task forces formed to expedite resolution of feasibility issues.  Development activities are underway.</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</si>
  <si>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</si>
  <si>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</si>
  <si>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</si>
  <si>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</si>
  <si>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Risk goes away at conclusion of ongoing weld R&amp;D.</t>
  </si>
  <si>
    <t>Significant</t>
  </si>
  <si>
    <t>Nominal welding time may double.  Estimate based on $300K/mo for FPA activities.</t>
  </si>
  <si>
    <t>1451</t>
  </si>
  <si>
    <t>Damage or loss of modular coil during VPI or testing requiring the conductor to be stripped off and re-wound</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</si>
  <si>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</si>
  <si>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</si>
  <si>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</si>
  <si>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</si>
  <si>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</si>
  <si>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</si>
  <si>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</si>
  <si>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</si>
  <si>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</si>
  <si>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</si>
  <si>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</si>
  <si>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t>
  </si>
  <si>
    <t>Nominally repaired with a 2-man crew within 2 weeks</t>
  </si>
  <si>
    <t>VV surface component (coolant tube, flux loop, or TC) damaged during FPA requiring significant rework</t>
  </si>
  <si>
    <t>Unacceptable distortion in a field period when welding modular coil shims requiring</t>
  </si>
  <si>
    <t>Total Uncertainty Contingency - 90% Confidence</t>
  </si>
  <si>
    <t>SHMS - Shims-Outboard</t>
  </si>
  <si>
    <t>SHMT - Shims-Inboard</t>
  </si>
  <si>
    <t>SHMU - Shims- C-C Joint</t>
  </si>
  <si>
    <t>S0P0 - General Assy Support</t>
  </si>
  <si>
    <t>Jobs 1806/1802-Field Period Assy station 2 specs, dwgs,procedures,training,prep.</t>
  </si>
  <si>
    <t>Job -1810 Field Period Assembly Stations 1,2,3</t>
  </si>
  <si>
    <t>Station 2 MC Sub-assy A1/B1/C1 and A2/B2/C2 (in parallel)</t>
  </si>
  <si>
    <t>Station 3 Assemble Mod Coils and VVSA FP#1</t>
  </si>
  <si>
    <t>Job - 1815 Field Period Assembly Station 5</t>
  </si>
  <si>
    <t>Station 5 Final Assembly FP#3</t>
  </si>
  <si>
    <t>Job 7503 Final Machine Assembly (Station 6)</t>
  </si>
  <si>
    <r>
      <t>Base Duration (mos) on Critical</t>
    </r>
    <r>
      <rPr>
        <b/>
        <u val="single"/>
        <sz val="10"/>
        <rFont val="Arial"/>
        <family val="2"/>
      </rPr>
      <t xml:space="preserve"> Path</t>
    </r>
  </si>
  <si>
    <r>
      <t xml:space="preserve">Mitigation </t>
    </r>
    <r>
      <rPr>
        <b/>
        <u val="single"/>
        <sz val="10"/>
        <rFont val="Arial"/>
        <family val="2"/>
      </rPr>
      <t>Cost Adder</t>
    </r>
  </si>
  <si>
    <r>
      <t xml:space="preserve">Schedule </t>
    </r>
    <r>
      <rPr>
        <b/>
        <u val="single"/>
        <sz val="10"/>
        <rFont val="Arial"/>
        <family val="2"/>
      </rPr>
      <t>Calc</t>
    </r>
  </si>
  <si>
    <t>Total ETC With Uncertainty Contingency</t>
  </si>
  <si>
    <t>ETC with Contingency (@90%)</t>
  </si>
  <si>
    <t>Total Schedule Contingency (90%)</t>
  </si>
  <si>
    <t>Total Cost Contingency (90%)</t>
  </si>
  <si>
    <t>* 7503 - Job: 7503 - Machine Assembly (station 6)-PERRY</t>
  </si>
  <si>
    <t>* S4P1 - Station 5- Final FP Assy -FP#1 (in NCSX TC)</t>
  </si>
  <si>
    <t>Cost of Schedule Uncertainty Contingency</t>
  </si>
  <si>
    <t>Risk Cost Contingency (from Risk Model) at 90%</t>
  </si>
  <si>
    <t>Risk Schedule Contingency (cost of stretch) - 90%</t>
  </si>
  <si>
    <t>Total Risk Contingency - 90% Confidence</t>
  </si>
  <si>
    <t>updated</t>
  </si>
  <si>
    <t>142H - Weld Access test</t>
  </si>
  <si>
    <t>1429 - Job: 1429 - MC Interface R&amp;D-GETTELFINGER</t>
  </si>
  <si>
    <t>TECH - Misc Tech Shop Support</t>
  </si>
  <si>
    <t>6201 - Job: 6201 - Cryogenic Syst-GETTELFINGER</t>
  </si>
  <si>
    <t>6401 - Job: 6401 - PFC/VV Htng/Cooling(bakeout)- KALISH</t>
  </si>
  <si>
    <t>8205 - Job: 8205 - Dimensional Control Coordin-ELLIS</t>
  </si>
  <si>
    <t>ETC</t>
  </si>
  <si>
    <t>Design Maturity/Complexity</t>
  </si>
  <si>
    <t>ML &amp; HM</t>
  </si>
  <si>
    <t>MH &amp; LM</t>
  </si>
  <si>
    <t>Vacuum Vessel</t>
  </si>
  <si>
    <t>Conventional Coils</t>
  </si>
  <si>
    <t>Modular Coils</t>
  </si>
  <si>
    <t>Structures</t>
  </si>
  <si>
    <t>Coil Services</t>
  </si>
  <si>
    <t>Cryostat &amp; Base Support Structure</t>
  </si>
  <si>
    <t>Field Period Assembly</t>
  </si>
  <si>
    <t>Stellarator Core Mgmt &amp; Integr</t>
  </si>
  <si>
    <t>Auxiliary Systems</t>
  </si>
  <si>
    <t>Diagnostics</t>
  </si>
  <si>
    <t>Electrical Power Systems</t>
  </si>
  <si>
    <t>I&amp;C Systems</t>
  </si>
  <si>
    <t>Facility Systems</t>
  </si>
  <si>
    <t>Test Cell Prep  &amp; Machine Assy</t>
  </si>
  <si>
    <t>Project Oversight &amp; Support</t>
  </si>
  <si>
    <t>Frozen</t>
  </si>
  <si>
    <t>MM, LL and HH</t>
  </si>
  <si>
    <t>MM,LL,HH</t>
  </si>
  <si>
    <t>Assumed Estimate Accuracy Range</t>
  </si>
  <si>
    <t>-5 to +10%</t>
  </si>
  <si>
    <t>-10 to +15%</t>
  </si>
  <si>
    <t>-15 to +25%</t>
  </si>
  <si>
    <t>-20 to +40%</t>
  </si>
  <si>
    <t>-30 to +60%</t>
  </si>
  <si>
    <t>% of ETC</t>
  </si>
  <si>
    <t>Contingency by WBS</t>
  </si>
  <si>
    <t>Uncertainty</t>
  </si>
  <si>
    <t>Schedule</t>
  </si>
  <si>
    <t>Sched Mitig</t>
  </si>
  <si>
    <t>Risk</t>
  </si>
  <si>
    <t>Total</t>
  </si>
  <si>
    <t>Pr</t>
  </si>
  <si>
    <t>Exp High</t>
  </si>
  <si>
    <t>% by WBS - Copper</t>
  </si>
  <si>
    <t>% by WBS - Stainless</t>
  </si>
  <si>
    <t>Allocation of Contingency Allowances</t>
  </si>
  <si>
    <t>Distribution of Cost Imapcts by WBS</t>
  </si>
  <si>
    <t>% of Conting.</t>
  </si>
  <si>
    <t>12</t>
  </si>
  <si>
    <t>13</t>
  </si>
  <si>
    <t>14</t>
  </si>
  <si>
    <t>15</t>
  </si>
  <si>
    <t>16</t>
  </si>
  <si>
    <t>17</t>
  </si>
  <si>
    <t>18</t>
  </si>
  <si>
    <t>19</t>
  </si>
  <si>
    <t>2</t>
  </si>
  <si>
    <t>3</t>
  </si>
  <si>
    <t>4</t>
  </si>
  <si>
    <t>5</t>
  </si>
  <si>
    <t>6</t>
  </si>
  <si>
    <t>7</t>
  </si>
  <si>
    <t>8</t>
  </si>
  <si>
    <t>Cont @90%</t>
  </si>
  <si>
    <t>Cont %</t>
  </si>
  <si>
    <t>% of Cont</t>
  </si>
  <si>
    <t>Uncert Alloc</t>
  </si>
  <si>
    <t>ETC with Uncertainty</t>
  </si>
  <si>
    <t>ETC with Uncertainty and Risk</t>
  </si>
  <si>
    <t>Management Increment ("unknown unknowns")</t>
  </si>
  <si>
    <t>High range delta</t>
  </si>
  <si>
    <t>TOTAL  probabalist cont</t>
  </si>
  <si>
    <t>Allocated contingency</t>
  </si>
  <si>
    <t>% of etc</t>
  </si>
  <si>
    <t>b</t>
  </si>
  <si>
    <t>c</t>
  </si>
  <si>
    <t>m</t>
  </si>
  <si>
    <t>Allocated Contingency (from Monte Carlo Analysis)</t>
  </si>
  <si>
    <t>Project Manager Increment</t>
  </si>
  <si>
    <t>Project Management</t>
  </si>
  <si>
    <t>Project Engineering</t>
  </si>
  <si>
    <t>Start-up</t>
  </si>
  <si>
    <t>WBS 1 subtotal</t>
  </si>
  <si>
    <t>WBS 8 subtotal</t>
  </si>
  <si>
    <t>Total Allocated Contingency ($k)</t>
  </si>
  <si>
    <t>Total Allocated Contingency (%)</t>
  </si>
  <si>
    <t>NCSX Contingency Allocated by WBS</t>
  </si>
  <si>
    <t>calculated (pct of total contingency)</t>
  </si>
  <si>
    <t>Conservative Projection (pct of total contingency)</t>
  </si>
  <si>
    <t>=</t>
  </si>
  <si>
    <t>Strykowsky baseline plan =</t>
  </si>
  <si>
    <t>Chris allocation by year =</t>
  </si>
  <si>
    <t>Our Plan falls between Chris's calculated number and his conservative projection</t>
  </si>
  <si>
    <t>Contingency=</t>
  </si>
  <si>
    <t>Contingency calculated</t>
  </si>
  <si>
    <t>Contingency conservative projection=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</si>
</sst>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409]dddd\,\ mmmm\ dd\,\ yyyy"/>
    <numFmt numFmtId="172" formatCode="mm/dd/yy;@"/>
    <numFmt numFmtId="173" formatCode="0.0000000"/>
    <numFmt numFmtId="174" formatCode="0.000000"/>
    <numFmt numFmtId="175" formatCode="0.00000"/>
    <numFmt numFmtId="176" formatCode="0.0000"/>
    <numFmt numFmtId="177" formatCode="0.000"/>
    <numFmt numFmtId="178" formatCode="0.0"/>
    <numFmt numFmtId="179" formatCode="0.00_);[Red]\(0.00\)"/>
    <numFmt numFmtId="180" formatCode="&quot;$&quot;#,##0.0_);[Red]\(&quot;$&quot;#,##0.0\)"/>
    <numFmt numFmtId="181" formatCode="[Blue]\+\ \$#,##0_);[Red]\(&quot;$&quot;#,##0\)"/>
    <numFmt numFmtId="182" formatCode="[Blue]\+\ 0.00_);[Red]\(0.00\)"/>
    <numFmt numFmtId="183" formatCode="#,##0.000"/>
    <numFmt numFmtId="184" formatCode="&quot;$&quot;#,##0.000"/>
    <numFmt numFmtId="185" formatCode="&quot;$&quot;#,##0\ ;\(&quot;$&quot;#,##0\)"/>
    <numFmt numFmtId="186" formatCode="#,##0.0000"/>
    <numFmt numFmtId="187" formatCode="#,##0.00000"/>
    <numFmt numFmtId="188" formatCode="#,##0.000000"/>
    <numFmt numFmtId="189" formatCode="#,##0.0000000"/>
    <numFmt numFmtId="190" formatCode="m/d/yy\ h:mm"/>
    <numFmt numFmtId="191" formatCode="0.0###############"/>
    <numFmt numFmtId="192" formatCode="\-\+\ 0.00\ ;\(0.00\)"/>
    <numFmt numFmtId="193" formatCode="_(* #,##0_);_(* \(#,##0\);_(* &quot;-&quot;??_);_(@_)"/>
    <numFmt numFmtId="194" formatCode="_(* #,##0.0_);_(* \(#,##0.0\);_(* &quot;-&quot;??_);_(@_)"/>
    <numFmt numFmtId="195" formatCode="0.0%"/>
    <numFmt numFmtId="196" formatCode="#,##0.0"/>
    <numFmt numFmtId="197" formatCode="_(&quot;$&quot;* #,##0.0_);_(&quot;$&quot;* \(#,##0.0\);_(&quot;$&quot;* &quot;-&quot;??_);_(@_)"/>
    <numFmt numFmtId="198" formatCode="_(&quot;$&quot;* #,##0_);_(&quot;$&quot;* \(#,##0\);_(&quot;$&quot;* &quot;-&quot;??_);_(@_)"/>
  </numFmts>
  <fonts count="34">
    <font>
      <sz val="10"/>
      <name val="Arial"/>
      <family val="0"/>
    </font>
    <font>
      <sz val="12"/>
      <name val="Arial"/>
      <family val="0"/>
    </font>
    <font>
      <b/>
      <sz val="12"/>
      <name val="Arial"/>
      <family val="0"/>
    </font>
    <font>
      <sz val="8"/>
      <name val="Arial"/>
      <family val="0"/>
    </font>
    <font>
      <b/>
      <u val="single"/>
      <sz val="12"/>
      <name val="Arial"/>
      <family val="2"/>
    </font>
    <font>
      <sz val="10"/>
      <name val="Tahoma"/>
      <family val="0"/>
    </font>
    <font>
      <b/>
      <sz val="10"/>
      <name val="Tahoma"/>
      <family val="0"/>
    </font>
    <font>
      <u val="single"/>
      <sz val="12"/>
      <name val="Arial"/>
      <family val="0"/>
    </font>
    <font>
      <i/>
      <sz val="12"/>
      <name val="Arial"/>
      <family val="2"/>
    </font>
    <font>
      <i/>
      <sz val="10"/>
      <name val="Arial"/>
      <family val="2"/>
    </font>
    <font>
      <u val="single"/>
      <sz val="10"/>
      <color indexed="36"/>
      <name val="Arial"/>
      <family val="0"/>
    </font>
    <font>
      <u val="single"/>
      <sz val="10"/>
      <color indexed="12"/>
      <name val="Arial"/>
      <family val="0"/>
    </font>
    <font>
      <b/>
      <sz val="14"/>
      <name val="Arial"/>
      <family val="2"/>
    </font>
    <font>
      <b/>
      <sz val="10"/>
      <name val="Arial"/>
      <family val="2"/>
    </font>
    <font>
      <b/>
      <u val="single"/>
      <sz val="10"/>
      <name val="Arial"/>
      <family val="2"/>
    </font>
    <font>
      <u val="single"/>
      <sz val="10"/>
      <name val="Arial"/>
      <family val="0"/>
    </font>
    <font>
      <b/>
      <i/>
      <sz val="10"/>
      <name val="Arial"/>
      <family val="2"/>
    </font>
    <font>
      <b/>
      <vertAlign val="superscript"/>
      <sz val="12"/>
      <name val="Arial"/>
      <family val="2"/>
    </font>
    <font>
      <sz val="12"/>
      <color indexed="10"/>
      <name val="Arial"/>
      <family val="2"/>
    </font>
    <font>
      <vertAlign val="superscript"/>
      <sz val="12"/>
      <name val="Arial"/>
      <family val="2"/>
    </font>
    <font>
      <sz val="12"/>
      <color indexed="8"/>
      <name val="Arial"/>
      <family val="0"/>
    </font>
    <font>
      <sz val="10"/>
      <color indexed="8"/>
      <name val="Arial"/>
      <family val="0"/>
    </font>
    <font>
      <b/>
      <i/>
      <sz val="12"/>
      <name val="Arial"/>
      <family val="2"/>
    </font>
    <font>
      <b/>
      <sz val="18.25"/>
      <name val="Arial"/>
      <family val="0"/>
    </font>
    <font>
      <b/>
      <sz val="15.25"/>
      <name val="Arial"/>
      <family val="0"/>
    </font>
    <font>
      <b/>
      <sz val="15"/>
      <name val="Arial"/>
      <family val="0"/>
    </font>
    <font>
      <sz val="15.25"/>
      <name val="Arial"/>
      <family val="0"/>
    </font>
    <font>
      <sz val="15"/>
      <name val="Arial"/>
      <family val="0"/>
    </font>
    <font>
      <b/>
      <sz val="11"/>
      <name val="Arial"/>
      <family val="2"/>
    </font>
    <font>
      <b/>
      <u val="single"/>
      <sz val="18"/>
      <name val="Arial"/>
      <family val="2"/>
    </font>
    <font>
      <b/>
      <u val="single"/>
      <sz val="16"/>
      <name val="Arial"/>
      <family val="2"/>
    </font>
    <font>
      <b/>
      <u val="single"/>
      <sz val="11"/>
      <name val="Arial"/>
      <family val="2"/>
    </font>
    <font>
      <sz val="11"/>
      <name val="Arial"/>
      <family val="2"/>
    </font>
    <font>
      <b/>
      <sz val="8"/>
      <name val="Arial"/>
      <family val="2"/>
    </font>
  </fonts>
  <fills count="9">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2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22">
    <xf numFmtId="0" fontId="0" fillId="0" borderId="0" xfId="0" applyAlignment="1">
      <alignment/>
    </xf>
    <xf numFmtId="0" fontId="1" fillId="0" borderId="0" xfId="0" applyFont="1" applyFill="1" applyAlignment="1">
      <alignment horizontal="center"/>
    </xf>
    <xf numFmtId="168" fontId="0" fillId="0" borderId="0" xfId="0" applyNumberFormat="1" applyAlignment="1">
      <alignment horizontal="right"/>
    </xf>
    <xf numFmtId="0" fontId="0" fillId="0" borderId="0" xfId="0" applyAlignment="1">
      <alignment horizontal="right"/>
    </xf>
    <xf numFmtId="9" fontId="0" fillId="0" borderId="0" xfId="21" applyAlignment="1">
      <alignment horizontal="right"/>
    </xf>
    <xf numFmtId="172" fontId="0" fillId="0" borderId="0" xfId="0" applyNumberFormat="1" applyAlignment="1">
      <alignment horizontal="right"/>
    </xf>
    <xf numFmtId="0" fontId="0" fillId="0" borderId="0" xfId="0" applyFill="1" applyAlignment="1">
      <alignment/>
    </xf>
    <xf numFmtId="0" fontId="9" fillId="0" borderId="0" xfId="0" applyFont="1" applyFill="1" applyAlignment="1">
      <alignment horizontal="right"/>
    </xf>
    <xf numFmtId="9" fontId="0" fillId="0" borderId="0" xfId="21" applyAlignment="1">
      <alignment/>
    </xf>
    <xf numFmtId="9" fontId="0" fillId="0" borderId="0" xfId="0" applyNumberFormat="1" applyAlignment="1">
      <alignment/>
    </xf>
    <xf numFmtId="3" fontId="1" fillId="0" borderId="0" xfId="0" applyNumberFormat="1" applyFont="1" applyFill="1" applyAlignment="1">
      <alignment horizontal="right"/>
    </xf>
    <xf numFmtId="3" fontId="1" fillId="2" borderId="0" xfId="0" applyNumberFormat="1" applyFont="1" applyFill="1" applyAlignment="1">
      <alignment horizontal="right"/>
    </xf>
    <xf numFmtId="3" fontId="1" fillId="3" borderId="0" xfId="0" applyNumberFormat="1" applyFont="1" applyFill="1" applyAlignment="1">
      <alignment horizontal="righ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2" fontId="0" fillId="0" borderId="0" xfId="0" applyNumberFormat="1" applyAlignment="1">
      <alignment/>
    </xf>
    <xf numFmtId="0" fontId="0" fillId="0" borderId="0" xfId="0"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0" fontId="13" fillId="0" borderId="1" xfId="0" applyFont="1" applyBorder="1" applyAlignment="1">
      <alignment horizontal="center"/>
    </xf>
    <xf numFmtId="0" fontId="0" fillId="4" borderId="0" xfId="0" applyFill="1" applyAlignment="1">
      <alignment horizontal="left"/>
    </xf>
    <xf numFmtId="3" fontId="0" fillId="0" borderId="0" xfId="0" applyNumberFormat="1" applyAlignment="1">
      <alignment/>
    </xf>
    <xf numFmtId="4" fontId="0" fillId="0" borderId="0" xfId="0" applyNumberFormat="1" applyAlignment="1">
      <alignment/>
    </xf>
    <xf numFmtId="0" fontId="13" fillId="0" borderId="0" xfId="0" applyFont="1" applyAlignment="1">
      <alignment horizontal="left"/>
    </xf>
    <xf numFmtId="3" fontId="0" fillId="4" borderId="0" xfId="0" applyNumberFormat="1" applyFill="1" applyAlignment="1">
      <alignment horizontal="right"/>
    </xf>
    <xf numFmtId="4" fontId="0" fillId="4" borderId="0" xfId="0" applyNumberFormat="1" applyFill="1" applyAlignment="1">
      <alignment horizontal="right"/>
    </xf>
    <xf numFmtId="3" fontId="13" fillId="0" borderId="0" xfId="0" applyNumberFormat="1" applyFont="1" applyAlignment="1">
      <alignment/>
    </xf>
    <xf numFmtId="4" fontId="13" fillId="0" borderId="0" xfId="0" applyNumberFormat="1" applyFont="1" applyAlignment="1">
      <alignment/>
    </xf>
    <xf numFmtId="0" fontId="16" fillId="0" borderId="0" xfId="0" applyFont="1" applyAlignment="1">
      <alignment/>
    </xf>
    <xf numFmtId="9" fontId="0" fillId="0" borderId="0" xfId="21" applyAlignment="1">
      <alignment horizontal="center"/>
    </xf>
    <xf numFmtId="9" fontId="13" fillId="0" borderId="0" xfId="21" applyFont="1" applyAlignment="1">
      <alignment horizontal="center"/>
    </xf>
    <xf numFmtId="0" fontId="0" fillId="0" borderId="0" xfId="0" applyFill="1" applyAlignment="1">
      <alignment horizontal="left"/>
    </xf>
    <xf numFmtId="168" fontId="2" fillId="0" borderId="0" xfId="0" applyNumberFormat="1" applyFont="1" applyAlignment="1">
      <alignment horizontal="left"/>
    </xf>
    <xf numFmtId="0" fontId="20" fillId="0" borderId="0" xfId="0" applyFont="1" applyFill="1" applyAlignment="1">
      <alignment horizontal="center"/>
    </xf>
    <xf numFmtId="0" fontId="9" fillId="0" borderId="0" xfId="0" applyFont="1" applyAlignment="1">
      <alignment horizontal="right"/>
    </xf>
    <xf numFmtId="0" fontId="21" fillId="0" borderId="0" xfId="0" applyFont="1" applyFill="1" applyAlignment="1">
      <alignment horizontal="center"/>
    </xf>
    <xf numFmtId="9" fontId="1" fillId="0" borderId="0" xfId="21" applyFont="1" applyAlignment="1">
      <alignment horizontal="right"/>
    </xf>
    <xf numFmtId="3" fontId="16" fillId="0" borderId="0" xfId="0" applyNumberFormat="1" applyFont="1" applyAlignment="1">
      <alignment/>
    </xf>
    <xf numFmtId="2" fontId="13" fillId="0" borderId="0" xfId="0" applyNumberFormat="1" applyFont="1" applyAlignment="1">
      <alignment/>
    </xf>
    <xf numFmtId="0" fontId="0" fillId="5" borderId="0" xfId="0" applyFill="1" applyAlignment="1">
      <alignment/>
    </xf>
    <xf numFmtId="193" fontId="0" fillId="0" borderId="0" xfId="0" applyNumberFormat="1" applyAlignment="1">
      <alignment/>
    </xf>
    <xf numFmtId="0" fontId="13" fillId="0" borderId="1" xfId="0" applyFont="1" applyFill="1" applyBorder="1" applyAlignment="1">
      <alignment horizontal="center"/>
    </xf>
    <xf numFmtId="0" fontId="0" fillId="0" borderId="0" xfId="0" applyFill="1" applyAlignment="1" quotePrefix="1">
      <alignment horizontal="right"/>
    </xf>
    <xf numFmtId="168" fontId="0" fillId="0" borderId="0" xfId="0" applyNumberFormat="1" applyFill="1" applyAlignment="1">
      <alignment/>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center"/>
    </xf>
    <xf numFmtId="9" fontId="0" fillId="0" borderId="0" xfId="21" applyFill="1" applyAlignment="1">
      <alignment/>
    </xf>
    <xf numFmtId="9" fontId="0" fillId="0" borderId="0" xfId="0" applyNumberFormat="1" applyFill="1" applyAlignment="1">
      <alignment horizontal="center"/>
    </xf>
    <xf numFmtId="9"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0" fontId="13" fillId="0" borderId="0" xfId="0" applyFont="1" applyFill="1" applyAlignment="1">
      <alignment horizontal="left"/>
    </xf>
    <xf numFmtId="3" fontId="0" fillId="0" borderId="0" xfId="0" applyNumberFormat="1" applyFill="1" applyAlignment="1">
      <alignment/>
    </xf>
    <xf numFmtId="0" fontId="16" fillId="0" borderId="0" xfId="0" applyFont="1" applyFill="1" applyAlignment="1">
      <alignment/>
    </xf>
    <xf numFmtId="0" fontId="0" fillId="0" borderId="0" xfId="0" applyFill="1" applyAlignment="1">
      <alignment horizontal="right"/>
    </xf>
    <xf numFmtId="3" fontId="22" fillId="0" borderId="0" xfId="0" applyNumberFormat="1" applyFont="1" applyFill="1" applyAlignment="1">
      <alignment horizontal="right"/>
    </xf>
    <xf numFmtId="193" fontId="0" fillId="0" borderId="0" xfId="0" applyNumberFormat="1" applyFill="1" applyAlignment="1">
      <alignment/>
    </xf>
    <xf numFmtId="168" fontId="0" fillId="0" borderId="0" xfId="0" applyNumberFormat="1" applyFill="1" applyAlignment="1">
      <alignment horizontal="right"/>
    </xf>
    <xf numFmtId="193" fontId="0" fillId="0" borderId="0" xfId="15" applyNumberFormat="1" applyFill="1" applyAlignment="1">
      <alignment/>
    </xf>
    <xf numFmtId="193" fontId="9" fillId="0" borderId="0" xfId="0" applyNumberFormat="1" applyFont="1" applyFill="1" applyAlignment="1">
      <alignment horizontal="right"/>
    </xf>
    <xf numFmtId="168" fontId="2" fillId="0" borderId="0" xfId="0" applyNumberFormat="1" applyFont="1" applyFill="1" applyAlignment="1">
      <alignment horizontal="center"/>
    </xf>
    <xf numFmtId="193" fontId="9" fillId="0" borderId="0" xfId="15" applyNumberFormat="1" applyFont="1" applyFill="1" applyAlignment="1">
      <alignment horizontal="right"/>
    </xf>
    <xf numFmtId="9" fontId="0" fillId="0" borderId="0" xfId="21" applyFill="1" applyAlignment="1">
      <alignment horizontal="right"/>
    </xf>
    <xf numFmtId="172" fontId="0" fillId="0" borderId="0" xfId="0" applyNumberFormat="1" applyFill="1" applyAlignment="1">
      <alignment horizontal="right"/>
    </xf>
    <xf numFmtId="0" fontId="12" fillId="0" borderId="0" xfId="0" applyFont="1" applyFill="1" applyAlignment="1">
      <alignment/>
    </xf>
    <xf numFmtId="0" fontId="13" fillId="0" borderId="0" xfId="0" applyFont="1" applyFill="1" applyAlignment="1">
      <alignment horizontal="center" wrapText="1"/>
    </xf>
    <xf numFmtId="0" fontId="15" fillId="0" borderId="0" xfId="0" applyFont="1" applyFill="1" applyAlignment="1">
      <alignment/>
    </xf>
    <xf numFmtId="178" fontId="0" fillId="0" borderId="0" xfId="0" applyNumberFormat="1" applyFill="1" applyAlignment="1">
      <alignment/>
    </xf>
    <xf numFmtId="2" fontId="0" fillId="0" borderId="0" xfId="0" applyNumberFormat="1" applyFill="1" applyAlignment="1">
      <alignment horizontal="center"/>
    </xf>
    <xf numFmtId="2" fontId="0" fillId="0" borderId="0" xfId="0" applyNumberFormat="1" applyFill="1" applyAlignment="1">
      <alignment/>
    </xf>
    <xf numFmtId="6" fontId="0" fillId="0" borderId="0" xfId="0" applyNumberFormat="1" applyFill="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2" xfId="0" applyFont="1" applyFill="1" applyBorder="1" applyAlignment="1">
      <alignment wrapText="1"/>
    </xf>
    <xf numFmtId="0" fontId="2" fillId="0" borderId="3" xfId="0" applyFont="1" applyFill="1" applyBorder="1" applyAlignment="1">
      <alignment horizontal="center"/>
    </xf>
    <xf numFmtId="0" fontId="2" fillId="0" borderId="3" xfId="0" applyFont="1" applyFill="1" applyBorder="1" applyAlignment="1">
      <alignment wrapText="1"/>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4" xfId="0" applyFont="1" applyFill="1" applyBorder="1" applyAlignment="1">
      <alignment/>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 xfId="0" applyFont="1" applyFill="1" applyBorder="1" applyAlignment="1">
      <alignment/>
    </xf>
    <xf numFmtId="0" fontId="1" fillId="0" borderId="6" xfId="0" applyFont="1" applyFill="1" applyBorder="1" applyAlignment="1">
      <alignment horizontal="center"/>
    </xf>
    <xf numFmtId="0" fontId="1" fillId="0" borderId="6" xfId="0" applyFont="1" applyFill="1" applyBorder="1" applyAlignment="1" quotePrefix="1">
      <alignment horizontal="center"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6" xfId="0" applyNumberFormat="1" applyFont="1" applyFill="1" applyBorder="1" applyAlignment="1">
      <alignment horizontal="center" wrapText="1"/>
    </xf>
    <xf numFmtId="181" fontId="1" fillId="0" borderId="6" xfId="0" applyNumberFormat="1"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1" fillId="0" borderId="0" xfId="0" applyFont="1" applyFill="1" applyAlignment="1">
      <alignment/>
    </xf>
    <xf numFmtId="0" fontId="1" fillId="0" borderId="6" xfId="0" applyFont="1" applyFill="1" applyBorder="1" applyAlignment="1" quotePrefix="1">
      <alignment horizontal="center"/>
    </xf>
    <xf numFmtId="49" fontId="1" fillId="0" borderId="6" xfId="0" applyNumberFormat="1" applyFont="1" applyFill="1" applyBorder="1" applyAlignment="1">
      <alignment horizontal="center" wrapText="1"/>
    </xf>
    <xf numFmtId="0" fontId="1" fillId="0" borderId="7" xfId="0" applyFont="1" applyFill="1" applyBorder="1" applyAlignment="1" quotePrefix="1">
      <alignment horizontal="center"/>
    </xf>
    <xf numFmtId="0" fontId="1" fillId="0" borderId="7" xfId="0" applyFont="1" applyFill="1" applyBorder="1" applyAlignment="1">
      <alignment wrapText="1"/>
    </xf>
    <xf numFmtId="49" fontId="1" fillId="0" borderId="7"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181" fontId="1" fillId="0" borderId="7" xfId="0" applyNumberFormat="1" applyFont="1" applyFill="1" applyBorder="1" applyAlignment="1">
      <alignment wrapText="1"/>
    </xf>
    <xf numFmtId="181" fontId="1" fillId="0" borderId="7" xfId="0" applyNumberFormat="1" applyFont="1" applyFill="1" applyBorder="1" applyAlignment="1">
      <alignment/>
    </xf>
    <xf numFmtId="182" fontId="1" fillId="0" borderId="7" xfId="0" applyNumberFormat="1" applyFont="1" applyFill="1" applyBorder="1" applyAlignment="1">
      <alignment/>
    </xf>
    <xf numFmtId="0" fontId="1" fillId="0" borderId="8" xfId="0" applyFont="1" applyFill="1" applyBorder="1" applyAlignment="1" quotePrefix="1">
      <alignment horizontal="center"/>
    </xf>
    <xf numFmtId="0" fontId="1" fillId="0" borderId="8" xfId="0"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8" fillId="0" borderId="0" xfId="0" applyFont="1" applyFill="1" applyAlignment="1">
      <alignment/>
    </xf>
    <xf numFmtId="0" fontId="8" fillId="0" borderId="6" xfId="0" applyFont="1" applyFill="1" applyBorder="1" applyAlignment="1">
      <alignment wrapText="1"/>
    </xf>
    <xf numFmtId="0" fontId="1" fillId="0" borderId="7" xfId="0" applyFont="1" applyFill="1" applyBorder="1" applyAlignment="1">
      <alignment horizontal="center" wrapText="1"/>
    </xf>
    <xf numFmtId="0" fontId="1" fillId="0" borderId="6" xfId="0" applyFont="1" applyFill="1" applyBorder="1" applyAlignment="1">
      <alignment horizontal="right" wrapText="1"/>
    </xf>
    <xf numFmtId="0" fontId="1" fillId="0" borderId="8" xfId="0" applyFont="1" applyFill="1" applyBorder="1" applyAlignment="1">
      <alignment horizontal="center" wrapText="1"/>
    </xf>
    <xf numFmtId="0" fontId="1" fillId="0" borderId="8" xfId="0" applyFont="1" applyFill="1" applyBorder="1" applyAlignment="1">
      <alignment horizontal="center"/>
    </xf>
    <xf numFmtId="181" fontId="18" fillId="0" borderId="6" xfId="0" applyNumberFormat="1" applyFont="1" applyFill="1" applyBorder="1" applyAlignment="1">
      <alignment wrapText="1"/>
    </xf>
    <xf numFmtId="181" fontId="18" fillId="0" borderId="6" xfId="0"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applyAlignment="1" quotePrefix="1">
      <alignment horizontal="center"/>
    </xf>
    <xf numFmtId="0" fontId="1" fillId="0" borderId="0" xfId="0" applyFont="1" applyFill="1" applyAlignment="1">
      <alignment horizontal="center"/>
    </xf>
    <xf numFmtId="0" fontId="1" fillId="0" borderId="0" xfId="0" applyFont="1" applyFill="1" applyAlignment="1">
      <alignment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0" xfId="0" applyFont="1" applyFill="1" applyAlignment="1">
      <alignment horizontal="center"/>
    </xf>
    <xf numFmtId="0" fontId="0" fillId="0" borderId="9" xfId="0" applyFont="1" applyFill="1" applyBorder="1" applyAlignment="1">
      <alignment vertical="top" wrapText="1"/>
    </xf>
    <xf numFmtId="0" fontId="0" fillId="0" borderId="0" xfId="0" applyFont="1" applyFill="1" applyAlignment="1">
      <alignment/>
    </xf>
    <xf numFmtId="0" fontId="1" fillId="0" borderId="0" xfId="0" applyFont="1" applyFill="1" applyAlignment="1">
      <alignment/>
    </xf>
    <xf numFmtId="0" fontId="1" fillId="0" borderId="6" xfId="0" applyFont="1" applyFill="1" applyBorder="1" applyAlignment="1">
      <alignment/>
    </xf>
    <xf numFmtId="0" fontId="2" fillId="0" borderId="4" xfId="0" applyFont="1" applyFill="1" applyBorder="1" applyAlignment="1">
      <alignment/>
    </xf>
    <xf numFmtId="0" fontId="2" fillId="0" borderId="11" xfId="0" applyFont="1" applyFill="1" applyBorder="1" applyAlignment="1">
      <alignment horizontal="right"/>
    </xf>
    <xf numFmtId="9" fontId="1" fillId="0" borderId="11" xfId="0" applyNumberFormat="1" applyFont="1" applyFill="1" applyBorder="1" applyAlignment="1">
      <alignment/>
    </xf>
    <xf numFmtId="9" fontId="1" fillId="0" borderId="12" xfId="0" applyNumberFormat="1" applyFont="1" applyFill="1" applyBorder="1" applyAlignment="1">
      <alignment/>
    </xf>
    <xf numFmtId="0" fontId="2" fillId="0" borderId="4" xfId="0" applyFont="1" applyFill="1" applyBorder="1" applyAlignment="1">
      <alignment horizontal="right"/>
    </xf>
    <xf numFmtId="9" fontId="1" fillId="0" borderId="4" xfId="0" applyNumberFormat="1" applyFont="1" applyFill="1" applyBorder="1" applyAlignment="1">
      <alignment/>
    </xf>
    <xf numFmtId="9" fontId="1" fillId="0" borderId="5" xfId="0" applyNumberFormat="1" applyFont="1" applyFill="1" applyBorder="1" applyAlignment="1">
      <alignment/>
    </xf>
    <xf numFmtId="0" fontId="4" fillId="0" borderId="0" xfId="0" applyFont="1" applyFill="1" applyAlignment="1">
      <alignment horizontal="center"/>
    </xf>
    <xf numFmtId="9" fontId="1" fillId="0" borderId="0" xfId="0" applyNumberFormat="1"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1" fillId="0" borderId="1" xfId="0" applyFont="1" applyFill="1" applyBorder="1" applyAlignment="1">
      <alignment/>
    </xf>
    <xf numFmtId="0" fontId="1" fillId="0" borderId="3" xfId="0" applyFont="1" applyFill="1" applyBorder="1" applyAlignment="1">
      <alignment/>
    </xf>
    <xf numFmtId="0" fontId="8" fillId="0" borderId="0" xfId="0" applyFont="1" applyFill="1" applyAlignment="1">
      <alignment/>
    </xf>
    <xf numFmtId="0" fontId="1" fillId="0" borderId="0" xfId="0" applyFont="1" applyFill="1" applyAlignment="1" quotePrefix="1">
      <alignment/>
    </xf>
    <xf numFmtId="168" fontId="15" fillId="0" borderId="0" xfId="0" applyNumberFormat="1" applyFont="1" applyFill="1" applyAlignment="1">
      <alignment/>
    </xf>
    <xf numFmtId="168" fontId="0" fillId="0" borderId="1" xfId="0" applyNumberFormat="1" applyFill="1" applyBorder="1" applyAlignment="1">
      <alignment/>
    </xf>
    <xf numFmtId="168" fontId="13" fillId="0" borderId="0" xfId="0" applyNumberFormat="1" applyFont="1" applyFill="1" applyAlignment="1">
      <alignment/>
    </xf>
    <xf numFmtId="183" fontId="0" fillId="0" borderId="0" xfId="0" applyNumberFormat="1" applyFont="1" applyFill="1" applyAlignment="1">
      <alignment/>
    </xf>
    <xf numFmtId="3" fontId="14" fillId="0" borderId="0" xfId="0" applyNumberFormat="1" applyFont="1" applyAlignment="1">
      <alignment horizontal="center"/>
    </xf>
    <xf numFmtId="193" fontId="0" fillId="4" borderId="0" xfId="0" applyNumberFormat="1" applyFill="1" applyAlignment="1">
      <alignment/>
    </xf>
    <xf numFmtId="0" fontId="9" fillId="0" borderId="0" xfId="0" applyFont="1" applyAlignment="1">
      <alignment/>
    </xf>
    <xf numFmtId="3" fontId="9" fillId="0" borderId="0" xfId="0" applyNumberFormat="1" applyFont="1" applyAlignment="1">
      <alignment/>
    </xf>
    <xf numFmtId="3" fontId="9" fillId="0" borderId="0" xfId="0" applyNumberFormat="1" applyFont="1" applyAlignment="1" quotePrefix="1">
      <alignment/>
    </xf>
    <xf numFmtId="195" fontId="0" fillId="0" borderId="0" xfId="21" applyNumberFormat="1" applyAlignment="1">
      <alignment/>
    </xf>
    <xf numFmtId="10" fontId="0" fillId="0" borderId="0" xfId="21" applyNumberFormat="1" applyAlignment="1">
      <alignment/>
    </xf>
    <xf numFmtId="10" fontId="0" fillId="0" borderId="0" xfId="0" applyNumberFormat="1" applyAlignment="1">
      <alignment/>
    </xf>
    <xf numFmtId="0" fontId="15" fillId="0" borderId="0" xfId="0" applyFont="1" applyFill="1" applyAlignment="1">
      <alignment horizontal="center"/>
    </xf>
    <xf numFmtId="195" fontId="0" fillId="0" borderId="0" xfId="21" applyNumberFormat="1" applyFill="1" applyAlignment="1">
      <alignment/>
    </xf>
    <xf numFmtId="195" fontId="1" fillId="0" borderId="0" xfId="0" applyNumberFormat="1" applyFont="1" applyFill="1" applyBorder="1" applyAlignment="1">
      <alignment/>
    </xf>
    <xf numFmtId="1" fontId="0" fillId="0" borderId="0" xfId="0" applyNumberFormat="1" applyAlignment="1">
      <alignment/>
    </xf>
    <xf numFmtId="9" fontId="0" fillId="0" borderId="0" xfId="21" applyFont="1" applyAlignment="1">
      <alignment/>
    </xf>
    <xf numFmtId="195" fontId="0" fillId="0" borderId="0" xfId="0" applyNumberFormat="1" applyAlignment="1">
      <alignment/>
    </xf>
    <xf numFmtId="3" fontId="0" fillId="3" borderId="0" xfId="0" applyNumberFormat="1" applyFill="1" applyAlignment="1">
      <alignment/>
    </xf>
    <xf numFmtId="2" fontId="0" fillId="0" borderId="13" xfId="0" applyNumberFormat="1" applyBorder="1" applyAlignment="1">
      <alignment/>
    </xf>
    <xf numFmtId="0" fontId="0" fillId="0" borderId="14" xfId="0" applyBorder="1" applyAlignment="1">
      <alignment/>
    </xf>
    <xf numFmtId="0" fontId="0" fillId="0" borderId="9" xfId="0" applyBorder="1" applyAlignment="1">
      <alignment/>
    </xf>
    <xf numFmtId="0" fontId="14" fillId="0" borderId="0" xfId="0" applyFont="1" applyAlignment="1">
      <alignment horizontal="right"/>
    </xf>
    <xf numFmtId="196" fontId="0" fillId="0" borderId="0" xfId="0" applyNumberFormat="1" applyAlignment="1">
      <alignment/>
    </xf>
    <xf numFmtId="0" fontId="0" fillId="0" borderId="0" xfId="0" applyAlignment="1" quotePrefix="1">
      <alignment/>
    </xf>
    <xf numFmtId="10" fontId="1" fillId="0" borderId="0" xfId="21"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3" fillId="0" borderId="1" xfId="0" applyFont="1" applyBorder="1" applyAlignment="1">
      <alignment horizontal="center" wrapText="1"/>
    </xf>
    <xf numFmtId="0" fontId="0" fillId="0" borderId="0" xfId="0" applyAlignment="1">
      <alignment wrapText="1"/>
    </xf>
    <xf numFmtId="3" fontId="13" fillId="0" borderId="0" xfId="0" applyNumberFormat="1" applyFont="1" applyAlignment="1">
      <alignment horizontal="center"/>
    </xf>
    <xf numFmtId="3" fontId="14" fillId="0" borderId="0" xfId="0" applyNumberFormat="1" applyFont="1" applyAlignment="1">
      <alignment horizontal="center" wrapText="1"/>
    </xf>
    <xf numFmtId="3" fontId="0" fillId="0" borderId="0" xfId="0" applyNumberFormat="1" applyAlignment="1">
      <alignment horizontal="center"/>
    </xf>
    <xf numFmtId="9" fontId="0" fillId="0" borderId="0" xfId="21" applyAlignment="1">
      <alignment/>
    </xf>
    <xf numFmtId="0" fontId="14" fillId="0" borderId="0" xfId="0" applyFont="1" applyAlignment="1">
      <alignment/>
    </xf>
    <xf numFmtId="3" fontId="0" fillId="0" borderId="0" xfId="0" applyNumberFormat="1" applyAlignment="1">
      <alignment/>
    </xf>
    <xf numFmtId="3" fontId="13" fillId="0" borderId="0" xfId="0" applyNumberFormat="1" applyFont="1" applyAlignment="1">
      <alignment/>
    </xf>
    <xf numFmtId="0" fontId="13" fillId="0" borderId="0" xfId="0" applyFont="1" applyAlignment="1">
      <alignment/>
    </xf>
    <xf numFmtId="3" fontId="0" fillId="0" borderId="0" xfId="0" applyNumberFormat="1" applyFill="1" applyAlignment="1">
      <alignment/>
    </xf>
    <xf numFmtId="168" fontId="2" fillId="0" borderId="0" xfId="0" applyNumberFormat="1" applyFont="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right" wrapText="1"/>
    </xf>
    <xf numFmtId="3" fontId="7" fillId="0" borderId="0" xfId="0" applyNumberFormat="1" applyFont="1" applyFill="1" applyAlignment="1">
      <alignment horizontal="right"/>
    </xf>
    <xf numFmtId="9" fontId="1" fillId="0" borderId="0" xfId="21" applyFont="1" applyFill="1" applyAlignment="1">
      <alignment horizontal="right"/>
    </xf>
    <xf numFmtId="195" fontId="1" fillId="0" borderId="0" xfId="21" applyNumberFormat="1" applyFont="1" applyFill="1" applyAlignment="1">
      <alignment horizontal="right"/>
    </xf>
    <xf numFmtId="198" fontId="1" fillId="0" borderId="0" xfId="17" applyNumberFormat="1" applyFont="1" applyAlignment="1">
      <alignment horizontal="right"/>
    </xf>
    <xf numFmtId="9" fontId="0" fillId="0" borderId="0" xfId="21" applyFont="1" applyAlignment="1">
      <alignment horizontal="right"/>
    </xf>
    <xf numFmtId="198" fontId="1" fillId="0" borderId="0" xfId="17" applyNumberFormat="1" applyFont="1" applyFill="1" applyAlignment="1">
      <alignment horizontal="right"/>
    </xf>
    <xf numFmtId="195" fontId="7" fillId="0" borderId="0" xfId="21" applyNumberFormat="1" applyFont="1" applyFill="1" applyAlignment="1">
      <alignment horizontal="right"/>
    </xf>
    <xf numFmtId="0" fontId="0" fillId="0" borderId="0" xfId="0" applyBorder="1" applyAlignment="1">
      <alignment/>
    </xf>
    <xf numFmtId="0" fontId="28" fillId="0" borderId="0" xfId="0" applyFont="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Border="1" applyAlignment="1">
      <alignment/>
    </xf>
    <xf numFmtId="0" fontId="2" fillId="0" borderId="0" xfId="0" applyFont="1" applyAlignment="1">
      <alignment/>
    </xf>
    <xf numFmtId="0" fontId="29" fillId="0" borderId="0" xfId="0" applyFont="1" applyAlignment="1">
      <alignment horizontal="centerContinuous"/>
    </xf>
    <xf numFmtId="0" fontId="29" fillId="0" borderId="0" xfId="0" applyFont="1" applyBorder="1" applyAlignment="1">
      <alignment horizontal="centerContinuous"/>
    </xf>
    <xf numFmtId="0" fontId="0" fillId="0" borderId="0" xfId="0" applyBorder="1" applyAlignment="1">
      <alignment horizontal="center"/>
    </xf>
    <xf numFmtId="168" fontId="0" fillId="0" borderId="0" xfId="0" applyNumberFormat="1" applyBorder="1" applyAlignment="1">
      <alignment horizontal="center"/>
    </xf>
    <xf numFmtId="9" fontId="0" fillId="0" borderId="0" xfId="21" applyBorder="1" applyAlignment="1">
      <alignment horizontal="center"/>
    </xf>
    <xf numFmtId="168" fontId="15" fillId="0" borderId="0" xfId="0" applyNumberFormat="1" applyFont="1" applyBorder="1" applyAlignment="1">
      <alignment horizontal="center"/>
    </xf>
    <xf numFmtId="9" fontId="15" fillId="0" borderId="0" xfId="21" applyFont="1" applyBorder="1" applyAlignment="1">
      <alignment horizontal="center"/>
    </xf>
    <xf numFmtId="168" fontId="28" fillId="0" borderId="0" xfId="0" applyNumberFormat="1" applyFont="1" applyAlignment="1">
      <alignment horizontal="center"/>
    </xf>
    <xf numFmtId="168" fontId="28" fillId="0" borderId="0" xfId="0" applyNumberFormat="1" applyFont="1" applyBorder="1" applyAlignment="1">
      <alignment horizontal="center"/>
    </xf>
    <xf numFmtId="9" fontId="28" fillId="0" borderId="0" xfId="21" applyFont="1" applyBorder="1" applyAlignment="1">
      <alignment horizontal="center"/>
    </xf>
    <xf numFmtId="168" fontId="2" fillId="0" borderId="0" xfId="0" applyNumberFormat="1" applyFont="1" applyAlignment="1">
      <alignment horizontal="center"/>
    </xf>
    <xf numFmtId="168" fontId="2" fillId="0" borderId="0" xfId="0" applyNumberFormat="1" applyFont="1" applyBorder="1" applyAlignment="1">
      <alignment horizontal="center"/>
    </xf>
    <xf numFmtId="195" fontId="2" fillId="0" borderId="0" xfId="21" applyNumberFormat="1" applyFont="1" applyBorder="1" applyAlignment="1">
      <alignment horizontal="center"/>
    </xf>
    <xf numFmtId="0" fontId="0" fillId="4" borderId="0" xfId="0" applyFill="1" applyAlignment="1">
      <alignment/>
    </xf>
    <xf numFmtId="0" fontId="0" fillId="6" borderId="0" xfId="0" applyFill="1" applyBorder="1" applyAlignment="1">
      <alignment horizontal="center"/>
    </xf>
    <xf numFmtId="0" fontId="15" fillId="6" borderId="0" xfId="0" applyFont="1" applyFill="1" applyBorder="1" applyAlignment="1">
      <alignment horizontal="center"/>
    </xf>
    <xf numFmtId="0" fontId="28" fillId="6" borderId="0" xfId="0" applyFont="1" applyFill="1" applyBorder="1" applyAlignment="1">
      <alignment horizontal="center"/>
    </xf>
    <xf numFmtId="0" fontId="13" fillId="0" borderId="0" xfId="0" applyFont="1" applyBorder="1" applyAlignment="1">
      <alignment horizontal="center" wrapText="1"/>
    </xf>
    <xf numFmtId="0" fontId="13" fillId="0" borderId="0" xfId="0" applyFont="1" applyFill="1" applyBorder="1" applyAlignment="1">
      <alignment horizontal="center" wrapText="1"/>
    </xf>
    <xf numFmtId="0" fontId="2" fillId="0" borderId="15" xfId="0" applyFont="1" applyFill="1" applyBorder="1" applyAlignment="1">
      <alignment horizontal="center"/>
    </xf>
    <xf numFmtId="9" fontId="28" fillId="0" borderId="0" xfId="21" applyFont="1" applyAlignment="1">
      <alignment horizontal="center"/>
    </xf>
    <xf numFmtId="195" fontId="2" fillId="0" borderId="0" xfId="21" applyNumberFormat="1" applyFont="1" applyAlignment="1">
      <alignment horizontal="center"/>
    </xf>
    <xf numFmtId="193" fontId="0" fillId="3" borderId="0" xfId="0" applyNumberFormat="1" applyFill="1" applyAlignment="1">
      <alignment/>
    </xf>
    <xf numFmtId="0" fontId="0" fillId="3" borderId="0" xfId="0" applyFill="1" applyAlignment="1">
      <alignment/>
    </xf>
    <xf numFmtId="0" fontId="20" fillId="3" borderId="0" xfId="0" applyFont="1" applyFill="1" applyAlignment="1">
      <alignment horizontal="center"/>
    </xf>
    <xf numFmtId="0" fontId="1" fillId="3" borderId="0" xfId="0" applyFont="1" applyFill="1" applyAlignment="1">
      <alignment horizontal="center"/>
    </xf>
    <xf numFmtId="9" fontId="13" fillId="4" borderId="16" xfId="21" applyFont="1" applyFill="1" applyBorder="1" applyAlignment="1">
      <alignment/>
    </xf>
    <xf numFmtId="9" fontId="13" fillId="4" borderId="17" xfId="21" applyFont="1" applyFill="1" applyBorder="1" applyAlignment="1">
      <alignment/>
    </xf>
    <xf numFmtId="9" fontId="13" fillId="4" borderId="18" xfId="21" applyFont="1" applyFill="1" applyBorder="1" applyAlignment="1">
      <alignment/>
    </xf>
    <xf numFmtId="9" fontId="13" fillId="4" borderId="19" xfId="21" applyFont="1" applyFill="1" applyBorder="1" applyAlignment="1">
      <alignment/>
    </xf>
    <xf numFmtId="9" fontId="13" fillId="4" borderId="20" xfId="21" applyFont="1" applyFill="1" applyBorder="1" applyAlignment="1">
      <alignment/>
    </xf>
    <xf numFmtId="9" fontId="13" fillId="4" borderId="10" xfId="21" applyFont="1" applyFill="1" applyBorder="1" applyAlignment="1">
      <alignment/>
    </xf>
    <xf numFmtId="0" fontId="12" fillId="4" borderId="0" xfId="0" applyFont="1" applyFill="1" applyAlignment="1">
      <alignment horizontal="right"/>
    </xf>
    <xf numFmtId="0" fontId="0" fillId="4" borderId="16" xfId="0" applyFill="1" applyBorder="1" applyAlignment="1">
      <alignment horizontal="right"/>
    </xf>
    <xf numFmtId="0" fontId="0" fillId="4" borderId="17" xfId="0" applyFill="1" applyBorder="1" applyAlignment="1" quotePrefix="1">
      <alignment/>
    </xf>
    <xf numFmtId="9" fontId="0" fillId="4" borderId="17" xfId="21" applyFont="1" applyFill="1" applyBorder="1" applyAlignment="1">
      <alignment/>
    </xf>
    <xf numFmtId="9" fontId="0" fillId="4" borderId="18" xfId="0" applyNumberFormat="1" applyFill="1" applyBorder="1" applyAlignment="1">
      <alignment/>
    </xf>
    <xf numFmtId="0" fontId="16" fillId="4" borderId="21" xfId="0" applyFont="1" applyFill="1" applyBorder="1" applyAlignment="1">
      <alignment horizontal="right"/>
    </xf>
    <xf numFmtId="0" fontId="16" fillId="4" borderId="0" xfId="0" applyFont="1" applyFill="1" applyBorder="1" applyAlignment="1" quotePrefix="1">
      <alignment/>
    </xf>
    <xf numFmtId="9" fontId="16" fillId="4" borderId="0" xfId="0" applyNumberFormat="1" applyFont="1" applyFill="1" applyBorder="1" applyAlignment="1">
      <alignment/>
    </xf>
    <xf numFmtId="9" fontId="0" fillId="4" borderId="22" xfId="0" applyNumberFormat="1" applyFill="1" applyBorder="1" applyAlignment="1">
      <alignment/>
    </xf>
    <xf numFmtId="0" fontId="0" fillId="4" borderId="21" xfId="0" applyFill="1" applyBorder="1" applyAlignment="1">
      <alignment/>
    </xf>
    <xf numFmtId="0" fontId="0" fillId="4" borderId="0" xfId="0" applyFill="1" applyBorder="1" applyAlignment="1">
      <alignment/>
    </xf>
    <xf numFmtId="0" fontId="0" fillId="4" borderId="22" xfId="0" applyFill="1" applyBorder="1" applyAlignment="1">
      <alignment/>
    </xf>
    <xf numFmtId="198" fontId="0" fillId="4" borderId="0" xfId="17" applyNumberFormat="1" applyFill="1" applyBorder="1" applyAlignment="1">
      <alignment/>
    </xf>
    <xf numFmtId="198" fontId="0" fillId="4" borderId="22" xfId="0" applyNumberForma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10" xfId="0" applyFill="1" applyBorder="1" applyAlignment="1">
      <alignment/>
    </xf>
    <xf numFmtId="0" fontId="0" fillId="3" borderId="0" xfId="0" applyFill="1" applyAlignment="1">
      <alignment/>
    </xf>
    <xf numFmtId="0" fontId="12" fillId="3" borderId="0" xfId="0" applyFont="1" applyFill="1" applyAlignment="1">
      <alignment horizontal="right"/>
    </xf>
    <xf numFmtId="168" fontId="0" fillId="3" borderId="0" xfId="0" applyNumberFormat="1" applyFill="1" applyAlignment="1">
      <alignment/>
    </xf>
    <xf numFmtId="9" fontId="13" fillId="3" borderId="23" xfId="21" applyFont="1" applyFill="1" applyBorder="1" applyAlignment="1">
      <alignment/>
    </xf>
    <xf numFmtId="9" fontId="13" fillId="3" borderId="24" xfId="21" applyFont="1" applyFill="1" applyBorder="1" applyAlignment="1">
      <alignment/>
    </xf>
    <xf numFmtId="9" fontId="13" fillId="3" borderId="25" xfId="21" applyFont="1" applyFill="1" applyBorder="1" applyAlignment="1">
      <alignment/>
    </xf>
    <xf numFmtId="0" fontId="30" fillId="0" borderId="0" xfId="0" applyFont="1" applyFill="1" applyAlignment="1">
      <alignment horizontal="center"/>
    </xf>
    <xf numFmtId="0" fontId="9" fillId="4" borderId="21" xfId="0" applyFont="1" applyFill="1" applyBorder="1" applyAlignment="1">
      <alignment/>
    </xf>
    <xf numFmtId="198" fontId="9" fillId="4" borderId="0" xfId="17" applyNumberFormat="1" applyFont="1" applyFill="1" applyBorder="1" applyAlignment="1">
      <alignment/>
    </xf>
    <xf numFmtId="198" fontId="9" fillId="4" borderId="22" xfId="0" applyNumberFormat="1" applyFont="1" applyFill="1" applyBorder="1" applyAlignment="1">
      <alignment/>
    </xf>
    <xf numFmtId="0" fontId="9" fillId="3" borderId="21" xfId="0" applyFont="1" applyFill="1" applyBorder="1" applyAlignment="1">
      <alignment/>
    </xf>
    <xf numFmtId="198" fontId="9" fillId="3" borderId="0" xfId="17" applyNumberFormat="1" applyFont="1" applyFill="1" applyBorder="1" applyAlignment="1">
      <alignment/>
    </xf>
    <xf numFmtId="198" fontId="9" fillId="3" borderId="22" xfId="0" applyNumberFormat="1" applyFont="1" applyFill="1" applyBorder="1" applyAlignment="1">
      <alignment/>
    </xf>
    <xf numFmtId="0" fontId="13" fillId="0" borderId="0" xfId="0" applyFont="1" applyAlignment="1">
      <alignment horizontal="center"/>
    </xf>
    <xf numFmtId="0" fontId="13" fillId="0" borderId="0" xfId="0" applyFont="1" applyFill="1" applyAlignment="1">
      <alignment horizontal="center"/>
    </xf>
    <xf numFmtId="3" fontId="13" fillId="0" borderId="0" xfId="0" applyNumberFormat="1" applyFont="1" applyAlignment="1">
      <alignment horizontal="center"/>
    </xf>
    <xf numFmtId="0" fontId="20" fillId="0" borderId="0" xfId="0" applyFont="1" applyFill="1" applyAlignment="1">
      <alignment horizontal="center"/>
    </xf>
    <xf numFmtId="0" fontId="0" fillId="0" borderId="0" xfId="0" applyAlignment="1">
      <alignment horizontal="center"/>
    </xf>
    <xf numFmtId="0" fontId="2" fillId="0" borderId="0" xfId="0" applyFont="1" applyAlignment="1">
      <alignment horizontal="center"/>
    </xf>
    <xf numFmtId="168" fontId="2" fillId="0" borderId="0" xfId="0" applyNumberFormat="1" applyFont="1" applyAlignment="1">
      <alignment horizontal="center" vertical="center" wrapText="1"/>
    </xf>
    <xf numFmtId="0" fontId="2" fillId="0" borderId="8" xfId="0" applyFont="1" applyFill="1" applyBorder="1" applyAlignment="1">
      <alignment horizontal="center" wrapText="1"/>
    </xf>
    <xf numFmtId="0" fontId="2" fillId="0" borderId="26" xfId="0" applyFont="1" applyFill="1" applyBorder="1" applyAlignment="1">
      <alignment horizontal="center" wrapText="1"/>
    </xf>
    <xf numFmtId="0" fontId="2" fillId="0" borderId="15" xfId="0" applyFont="1" applyFill="1" applyBorder="1" applyAlignment="1">
      <alignment horizontal="center" wrapText="1"/>
    </xf>
    <xf numFmtId="0" fontId="19" fillId="0" borderId="3" xfId="0" applyFont="1" applyFill="1" applyBorder="1" applyAlignment="1">
      <alignment horizontal="center" wrapText="1"/>
    </xf>
    <xf numFmtId="0" fontId="0" fillId="0" borderId="3" xfId="0" applyFill="1" applyBorder="1" applyAlignment="1">
      <alignment horizontal="center" wrapText="1"/>
    </xf>
    <xf numFmtId="0" fontId="2" fillId="0" borderId="0" xfId="0" applyFont="1" applyFill="1" applyBorder="1" applyAlignment="1">
      <alignment horizontal="center" wrapText="1"/>
    </xf>
    <xf numFmtId="0" fontId="13" fillId="0" borderId="23"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9" xfId="0" applyFont="1" applyFill="1" applyBorder="1" applyAlignment="1">
      <alignment horizontal="center" vertical="top" wrapText="1"/>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2" fillId="0" borderId="0" xfId="0" applyFont="1" applyFill="1" applyAlignment="1">
      <alignment horizontal="center"/>
    </xf>
    <xf numFmtId="0" fontId="2" fillId="0" borderId="3" xfId="0" applyFont="1" applyFill="1" applyBorder="1" applyAlignment="1">
      <alignment horizontal="center"/>
    </xf>
    <xf numFmtId="0" fontId="2" fillId="0" borderId="27" xfId="0" applyFont="1" applyFill="1" applyBorder="1" applyAlignment="1">
      <alignment horizontal="center"/>
    </xf>
    <xf numFmtId="0" fontId="2" fillId="0" borderId="8" xfId="0" applyFont="1" applyFill="1" applyBorder="1" applyAlignment="1">
      <alignment horizontal="center"/>
    </xf>
    <xf numFmtId="195" fontId="1" fillId="3" borderId="0" xfId="21" applyNumberFormat="1" applyFont="1" applyFill="1" applyAlignment="1">
      <alignment horizontal="right"/>
    </xf>
    <xf numFmtId="9" fontId="1" fillId="3" borderId="0" xfId="21" applyFont="1" applyFill="1" applyAlignment="1">
      <alignment horizontal="right"/>
    </xf>
    <xf numFmtId="193" fontId="9" fillId="3" borderId="0" xfId="15" applyNumberFormat="1" applyFont="1" applyFill="1" applyAlignment="1">
      <alignment horizontal="right"/>
    </xf>
    <xf numFmtId="193" fontId="0" fillId="3" borderId="0" xfId="15" applyNumberFormat="1" applyFill="1" applyAlignment="1">
      <alignment/>
    </xf>
    <xf numFmtId="9" fontId="0" fillId="3" borderId="0" xfId="21" applyFill="1" applyAlignment="1">
      <alignment/>
    </xf>
    <xf numFmtId="193" fontId="0" fillId="7" borderId="0" xfId="0" applyNumberFormat="1" applyFill="1" applyAlignment="1">
      <alignment/>
    </xf>
    <xf numFmtId="193" fontId="0" fillId="0" borderId="0" xfId="15" applyNumberFormat="1" applyBorder="1" applyAlignment="1">
      <alignment/>
    </xf>
    <xf numFmtId="9" fontId="28" fillId="0" borderId="0" xfId="21" applyFont="1" applyAlignment="1">
      <alignment/>
    </xf>
    <xf numFmtId="3" fontId="14" fillId="7" borderId="0" xfId="0" applyNumberFormat="1" applyFont="1" applyFill="1" applyAlignment="1">
      <alignment wrapText="1"/>
    </xf>
    <xf numFmtId="3" fontId="0" fillId="7" borderId="0" xfId="0" applyNumberFormat="1" applyFill="1" applyAlignment="1">
      <alignment horizontal="center"/>
    </xf>
    <xf numFmtId="3" fontId="13" fillId="7" borderId="0" xfId="0" applyNumberFormat="1" applyFont="1" applyFill="1" applyAlignment="1">
      <alignment horizontal="center"/>
    </xf>
    <xf numFmtId="3" fontId="31" fillId="0" borderId="0" xfId="0" applyNumberFormat="1" applyFont="1" applyAlignment="1">
      <alignment horizontal="center"/>
    </xf>
    <xf numFmtId="9" fontId="28" fillId="0" borderId="0" xfId="21" applyFont="1" applyAlignment="1">
      <alignment/>
    </xf>
    <xf numFmtId="0" fontId="32" fillId="0" borderId="0" xfId="0" applyFont="1" applyAlignment="1">
      <alignment/>
    </xf>
    <xf numFmtId="195" fontId="28" fillId="0" borderId="0" xfId="21" applyNumberFormat="1" applyFont="1" applyAlignment="1">
      <alignment/>
    </xf>
    <xf numFmtId="3" fontId="14" fillId="8" borderId="0" xfId="0" applyNumberFormat="1" applyFont="1" applyFill="1" applyAlignment="1">
      <alignment horizontal="center"/>
    </xf>
    <xf numFmtId="3" fontId="14" fillId="8" borderId="0" xfId="0" applyNumberFormat="1" applyFont="1" applyFill="1" applyAlignment="1">
      <alignment horizontal="left"/>
    </xf>
    <xf numFmtId="0" fontId="0" fillId="8" borderId="0" xfId="0" applyFill="1" applyAlignment="1">
      <alignment/>
    </xf>
    <xf numFmtId="9" fontId="15" fillId="8" borderId="0" xfId="0" applyNumberFormat="1" applyFont="1" applyFill="1" applyAlignment="1">
      <alignment/>
    </xf>
    <xf numFmtId="9" fontId="13" fillId="8" borderId="0" xfId="21" applyFont="1" applyFill="1" applyAlignment="1">
      <alignment/>
    </xf>
    <xf numFmtId="195" fontId="0" fillId="8" borderId="0" xfId="21" applyNumberFormat="1" applyFill="1" applyAlignment="1">
      <alignment/>
    </xf>
    <xf numFmtId="1" fontId="0" fillId="8" borderId="0" xfId="0" applyNumberFormat="1" applyFill="1" applyAlignment="1">
      <alignment/>
    </xf>
    <xf numFmtId="9" fontId="0" fillId="8" borderId="0" xfId="21" applyFill="1" applyAlignment="1">
      <alignment/>
    </xf>
    <xf numFmtId="195" fontId="13" fillId="8" borderId="0" xfId="21" applyNumberFormat="1" applyFont="1" applyFill="1" applyAlignment="1">
      <alignment/>
    </xf>
    <xf numFmtId="195" fontId="13" fillId="8" borderId="0" xfId="0" applyNumberFormat="1" applyFont="1" applyFill="1" applyAlignment="1">
      <alignment/>
    </xf>
    <xf numFmtId="9" fontId="13" fillId="8" borderId="0" xfId="2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NCSX ETC Probability Profile</a:t>
            </a:r>
          </a:p>
        </c:rich>
      </c:tx>
      <c:layout/>
      <c:spPr>
        <a:noFill/>
        <a:ln>
          <a:noFill/>
        </a:ln>
      </c:spPr>
    </c:title>
    <c:plotArea>
      <c:layout/>
      <c:lineChart>
        <c:grouping val="standard"/>
        <c:varyColors val="0"/>
        <c:ser>
          <c:idx val="0"/>
          <c:order val="0"/>
          <c:tx>
            <c:strRef>
              <c:f>'Prob Profile'!$B$24</c:f>
              <c:strCache>
                <c:ptCount val="1"/>
                <c:pt idx="0">
                  <c:v>Base ETC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Profile'!$B$25:$B$45</c:f>
              <c:numCache>
                <c:ptCount val="21"/>
                <c:pt idx="0">
                  <c:v>50.848679999999995</c:v>
                </c:pt>
                <c:pt idx="1">
                  <c:v>50.848679999999995</c:v>
                </c:pt>
                <c:pt idx="2">
                  <c:v>50.848679999999995</c:v>
                </c:pt>
                <c:pt idx="3">
                  <c:v>50.848679999999995</c:v>
                </c:pt>
                <c:pt idx="4">
                  <c:v>50.848679999999995</c:v>
                </c:pt>
                <c:pt idx="5">
                  <c:v>50.848679999999995</c:v>
                </c:pt>
                <c:pt idx="6">
                  <c:v>50.848679999999995</c:v>
                </c:pt>
                <c:pt idx="7">
                  <c:v>50.848679999999995</c:v>
                </c:pt>
                <c:pt idx="8">
                  <c:v>50.848679999999995</c:v>
                </c:pt>
                <c:pt idx="9">
                  <c:v>50.848679999999995</c:v>
                </c:pt>
                <c:pt idx="10">
                  <c:v>50.848679999999995</c:v>
                </c:pt>
                <c:pt idx="11">
                  <c:v>50.848679999999995</c:v>
                </c:pt>
                <c:pt idx="12">
                  <c:v>50.848679999999995</c:v>
                </c:pt>
                <c:pt idx="13">
                  <c:v>50.848679999999995</c:v>
                </c:pt>
                <c:pt idx="14">
                  <c:v>50.848679999999995</c:v>
                </c:pt>
                <c:pt idx="15">
                  <c:v>50.848679999999995</c:v>
                </c:pt>
                <c:pt idx="16">
                  <c:v>50.848679999999995</c:v>
                </c:pt>
                <c:pt idx="17">
                  <c:v>50.848679999999995</c:v>
                </c:pt>
                <c:pt idx="18">
                  <c:v>50.848679999999995</c:v>
                </c:pt>
                <c:pt idx="19">
                  <c:v>50.848679999999995</c:v>
                </c:pt>
                <c:pt idx="20">
                  <c:v>50.848679999999995</c:v>
                </c:pt>
              </c:numCache>
            </c:numRef>
          </c:val>
          <c:smooth val="0"/>
        </c:ser>
        <c:ser>
          <c:idx val="1"/>
          <c:order val="1"/>
          <c:tx>
            <c:strRef>
              <c:f>'Prob Profile'!$C$24</c:f>
              <c:strCache>
                <c:ptCount val="1"/>
                <c:pt idx="0">
                  <c:v>ETC with Uncertainty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Profile'!$C$25:$C$45</c:f>
              <c:numCache>
                <c:ptCount val="21"/>
                <c:pt idx="0">
                  <c:v>51.80526457408459</c:v>
                </c:pt>
                <c:pt idx="1">
                  <c:v>54.64632607169737</c:v>
                </c:pt>
                <c:pt idx="2">
                  <c:v>55.22348059517092</c:v>
                </c:pt>
                <c:pt idx="3">
                  <c:v>55.64610088255734</c:v>
                </c:pt>
                <c:pt idx="4">
                  <c:v>56.006327369835496</c:v>
                </c:pt>
                <c:pt idx="5">
                  <c:v>56.31792844272835</c:v>
                </c:pt>
                <c:pt idx="6">
                  <c:v>56.60854320219703</c:v>
                </c:pt>
                <c:pt idx="7">
                  <c:v>56.883586746793235</c:v>
                </c:pt>
                <c:pt idx="8">
                  <c:v>57.14955464808172</c:v>
                </c:pt>
                <c:pt idx="9">
                  <c:v>57.427003894823784</c:v>
                </c:pt>
                <c:pt idx="10">
                  <c:v>57.71118811646199</c:v>
                </c:pt>
                <c:pt idx="11">
                  <c:v>58.01366802518356</c:v>
                </c:pt>
                <c:pt idx="12">
                  <c:v>58.320233214834225</c:v>
                </c:pt>
                <c:pt idx="13">
                  <c:v>58.654851879989046</c:v>
                </c:pt>
                <c:pt idx="14">
                  <c:v>58.99754564796487</c:v>
                </c:pt>
                <c:pt idx="15">
                  <c:v>59.37892973820909</c:v>
                </c:pt>
                <c:pt idx="16">
                  <c:v>59.80015820147322</c:v>
                </c:pt>
                <c:pt idx="17">
                  <c:v>60.26473129227053</c:v>
                </c:pt>
                <c:pt idx="18">
                  <c:v>60.8433521998195</c:v>
                </c:pt>
                <c:pt idx="19">
                  <c:v>61.69336605709788</c:v>
                </c:pt>
                <c:pt idx="20">
                  <c:v>65.23479128027901</c:v>
                </c:pt>
              </c:numCache>
            </c:numRef>
          </c:val>
          <c:smooth val="0"/>
        </c:ser>
        <c:ser>
          <c:idx val="2"/>
          <c:order val="2"/>
          <c:tx>
            <c:strRef>
              <c:f>'Prob Profile'!$D$24</c:f>
              <c:strCache>
                <c:ptCount val="1"/>
                <c:pt idx="0">
                  <c:v>ETC with Uncertainty and Risk</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Profile'!$D$25:$D$45</c:f>
              <c:numCache>
                <c:ptCount val="21"/>
                <c:pt idx="0">
                  <c:v>50.93946573034141</c:v>
                </c:pt>
                <c:pt idx="1">
                  <c:v>54.34955271821953</c:v>
                </c:pt>
                <c:pt idx="2">
                  <c:v>55.070635987779546</c:v>
                </c:pt>
                <c:pt idx="3">
                  <c:v>55.61059829710664</c:v>
                </c:pt>
                <c:pt idx="4">
                  <c:v>56.059940244354976</c:v>
                </c:pt>
                <c:pt idx="5">
                  <c:v>56.42849063525845</c:v>
                </c:pt>
                <c:pt idx="6">
                  <c:v>56.753321427678706</c:v>
                </c:pt>
                <c:pt idx="7">
                  <c:v>57.06212192029432</c:v>
                </c:pt>
                <c:pt idx="8">
                  <c:v>57.36007879921</c:v>
                </c:pt>
                <c:pt idx="9">
                  <c:v>57.66943372965878</c:v>
                </c:pt>
                <c:pt idx="10">
                  <c:v>57.98185020711771</c:v>
                </c:pt>
                <c:pt idx="11">
                  <c:v>58.335044922583045</c:v>
                </c:pt>
                <c:pt idx="12">
                  <c:v>58.742090474223524</c:v>
                </c:pt>
                <c:pt idx="13">
                  <c:v>59.20320504646939</c:v>
                </c:pt>
                <c:pt idx="14">
                  <c:v>59.67140819369208</c:v>
                </c:pt>
                <c:pt idx="15">
                  <c:v>60.285457112964885</c:v>
                </c:pt>
                <c:pt idx="16">
                  <c:v>61.083001443150934</c:v>
                </c:pt>
                <c:pt idx="17">
                  <c:v>61.90846989098975</c:v>
                </c:pt>
                <c:pt idx="18">
                  <c:v>62.884159812015874</c:v>
                </c:pt>
                <c:pt idx="19">
                  <c:v>64.60797232616582</c:v>
                </c:pt>
                <c:pt idx="20">
                  <c:v>71.7115777442609</c:v>
                </c:pt>
              </c:numCache>
            </c:numRef>
          </c:val>
          <c:smooth val="0"/>
        </c:ser>
        <c:axId val="40371099"/>
        <c:axId val="27795572"/>
      </c:lineChart>
      <c:catAx>
        <c:axId val="40371099"/>
        <c:scaling>
          <c:orientation val="minMax"/>
        </c:scaling>
        <c:axPos val="b"/>
        <c:title>
          <c:tx>
            <c:rich>
              <a:bodyPr vert="horz" rot="0" anchor="ctr"/>
              <a:lstStyle/>
              <a:p>
                <a:pPr algn="ctr">
                  <a:defRPr/>
                </a:pPr>
                <a:r>
                  <a:rPr lang="en-US" cap="none" sz="1525" b="1" i="0" u="none" baseline="0">
                    <a:latin typeface="Arial"/>
                    <a:ea typeface="Arial"/>
                    <a:cs typeface="Arial"/>
                  </a:rPr>
                  <a:t>Confidence Level</a:t>
                </a:r>
              </a:p>
            </c:rich>
          </c:tx>
          <c:layout/>
          <c:overlay val="0"/>
          <c:spPr>
            <a:noFill/>
            <a:ln>
              <a:noFill/>
            </a:ln>
          </c:spPr>
        </c:title>
        <c:majorGridlines/>
        <c:delete val="0"/>
        <c:numFmt formatCode="General" sourceLinked="1"/>
        <c:majorTickMark val="cross"/>
        <c:minorTickMark val="none"/>
        <c:tickLblPos val="nextTo"/>
        <c:txPr>
          <a:bodyPr vert="horz" rot="-5400000"/>
          <a:lstStyle/>
          <a:p>
            <a:pPr>
              <a:defRPr lang="en-US" cap="none" sz="1525" b="0" i="0" u="none" baseline="0">
                <a:latin typeface="Arial"/>
                <a:ea typeface="Arial"/>
                <a:cs typeface="Arial"/>
              </a:defRPr>
            </a:pPr>
          </a:p>
        </c:txPr>
        <c:crossAx val="27795572"/>
        <c:crossesAt val="45"/>
        <c:auto val="1"/>
        <c:lblOffset val="100"/>
        <c:tickLblSkip val="2"/>
        <c:tickMarkSkip val="2"/>
        <c:noMultiLvlLbl val="0"/>
      </c:catAx>
      <c:valAx>
        <c:axId val="27795572"/>
        <c:scaling>
          <c:orientation val="minMax"/>
          <c:max val="72"/>
          <c:min val="47"/>
        </c:scaling>
        <c:axPos val="l"/>
        <c:title>
          <c:tx>
            <c:rich>
              <a:bodyPr vert="horz" rot="-5400000" anchor="ctr"/>
              <a:lstStyle/>
              <a:p>
                <a:pPr algn="ctr">
                  <a:defRPr/>
                </a:pPr>
                <a:r>
                  <a:rPr lang="en-US" cap="none" sz="1500" b="1" i="0" u="none" baseline="0">
                    <a:latin typeface="Arial"/>
                    <a:ea typeface="Arial"/>
                    <a:cs typeface="Arial"/>
                  </a:rPr>
                  <a:t>ETC ($M)</a:t>
                </a:r>
              </a:p>
            </c:rich>
          </c:tx>
          <c:layout/>
          <c:overlay val="0"/>
          <c:spPr>
            <a:noFill/>
            <a:ln>
              <a:noFill/>
            </a:ln>
          </c:spPr>
        </c:title>
        <c:majorGridlines/>
        <c:delete val="0"/>
        <c:numFmt formatCode="General" sourceLinked="1"/>
        <c:majorTickMark val="out"/>
        <c:minorTickMark val="none"/>
        <c:tickLblPos val="nextTo"/>
        <c:crossAx val="40371099"/>
        <c:crossesAt val="1"/>
        <c:crossBetween val="between"/>
        <c:dispUnits/>
        <c:majorUnit val="5"/>
        <c:minorUnit val="5"/>
      </c:valAx>
      <c:spPr>
        <a:noFill/>
        <a:ln w="12700">
          <a:solidFill/>
        </a:ln>
      </c:spPr>
    </c:plotArea>
    <c:legend>
      <c:legendPos val="r"/>
      <c:layout/>
      <c:overlay val="0"/>
      <c:spPr>
        <a:ln w="3175">
          <a:solidFill>
            <a:srgbClr val="000000"/>
          </a:solidFill>
        </a:ln>
      </c:spPr>
    </c:legend>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38</xdr:row>
      <xdr:rowOff>9525</xdr:rowOff>
    </xdr:from>
    <xdr:to>
      <xdr:col>13</xdr:col>
      <xdr:colOff>561975</xdr:colOff>
      <xdr:row>42</xdr:row>
      <xdr:rowOff>95250</xdr:rowOff>
    </xdr:to>
    <xdr:sp>
      <xdr:nvSpPr>
        <xdr:cNvPr id="1" name="Polygon 398"/>
        <xdr:cNvSpPr>
          <a:spLocks/>
        </xdr:cNvSpPr>
      </xdr:nvSpPr>
      <xdr:spPr>
        <a:xfrm>
          <a:off x="10210800" y="6248400"/>
          <a:ext cx="428625" cy="819150"/>
        </a:xfrm>
        <a:custGeom>
          <a:pathLst>
            <a:path h="86" w="45">
              <a:moveTo>
                <a:pt x="0" y="86"/>
              </a:moveTo>
              <a:lnTo>
                <a:pt x="45" y="86"/>
              </a:lnTo>
              <a:lnTo>
                <a:pt x="45" y="0"/>
              </a:lnTo>
              <a:lnTo>
                <a:pt x="3" y="0"/>
              </a:lnTo>
            </a:path>
          </a:pathLst>
        </a:custGeom>
        <a:noFill/>
        <a:ln w="222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7"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0.3995</cdr:x>
      <cdr:y>0.33775</cdr:y>
    </cdr:from>
    <cdr:to>
      <cdr:x>0.5515</cdr:x>
      <cdr:y>0.4055</cdr:y>
    </cdr:to>
    <cdr:sp>
      <cdr:nvSpPr>
        <cdr:cNvPr id="1" name="TextBox 1"/>
        <cdr:cNvSpPr txBox="1">
          <a:spLocks noChangeArrowheads="1"/>
        </cdr:cNvSpPr>
      </cdr:nvSpPr>
      <cdr:spPr>
        <a:xfrm>
          <a:off x="2790825" y="1476375"/>
          <a:ext cx="10668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4</xdr:col>
      <xdr:colOff>752475</xdr:colOff>
      <xdr:row>75</xdr:row>
      <xdr:rowOff>19050</xdr:rowOff>
    </xdr:to>
    <xdr:graphicFrame>
      <xdr:nvGraphicFramePr>
        <xdr:cNvPr id="1" name="Chart 1"/>
        <xdr:cNvGraphicFramePr/>
      </xdr:nvGraphicFramePr>
      <xdr:xfrm>
        <a:off x="609600" y="7781925"/>
        <a:ext cx="6991350" cy="4391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AI58"/>
  <sheetViews>
    <sheetView zoomScale="75" zoomScaleNormal="75" workbookViewId="0" topLeftCell="A1">
      <selection activeCell="V42" sqref="V42"/>
    </sheetView>
  </sheetViews>
  <sheetFormatPr defaultColWidth="9.140625" defaultRowHeight="12.75"/>
  <cols>
    <col min="1" max="1" width="8.421875" style="128" customWidth="1"/>
    <col min="2" max="2" width="6.57421875" style="128" customWidth="1"/>
    <col min="3" max="3" width="43.7109375" style="129" customWidth="1"/>
    <col min="4" max="4" width="32.140625" style="129" hidden="1" customWidth="1"/>
    <col min="5" max="5" width="16.28125" style="128" customWidth="1"/>
    <col min="6" max="6" width="18.421875" style="100" hidden="1" customWidth="1"/>
    <col min="7" max="7" width="13.28125" style="100" hidden="1" customWidth="1"/>
    <col min="8" max="8" width="23.140625" style="100" hidden="1" customWidth="1"/>
    <col min="9" max="9" width="9.140625" style="100" bestFit="1" customWidth="1"/>
    <col min="10" max="10" width="11.00390625" style="100" bestFit="1" customWidth="1"/>
    <col min="11" max="11" width="8.8515625" style="100" bestFit="1" customWidth="1"/>
    <col min="12" max="12" width="9.28125" style="100" bestFit="1" customWidth="1"/>
    <col min="13" max="13" width="3.57421875" style="100" customWidth="1"/>
    <col min="14" max="14" width="12.00390625" style="100" customWidth="1"/>
    <col min="15" max="15" width="12.140625" style="100" customWidth="1"/>
    <col min="16" max="16" width="14.421875" style="100" customWidth="1"/>
    <col min="17" max="17" width="12.421875" style="100" customWidth="1"/>
    <col min="18" max="18" width="14.8515625" style="100" customWidth="1"/>
    <col min="19" max="19" width="10.421875" style="100" customWidth="1"/>
    <col min="20" max="21" width="9.28125" style="100" bestFit="1" customWidth="1"/>
    <col min="22" max="22" width="9.140625" style="100" customWidth="1"/>
    <col min="23" max="23" width="9.28125" style="100" bestFit="1" customWidth="1"/>
    <col min="24" max="24" width="9.28125" style="0" bestFit="1" customWidth="1"/>
    <col min="25" max="25" width="9.28125" style="100" bestFit="1" customWidth="1"/>
    <col min="26" max="26" width="11.8515625" style="100" bestFit="1" customWidth="1"/>
    <col min="27" max="31" width="9.28125" style="100" bestFit="1" customWidth="1"/>
    <col min="32" max="33" width="9.28125" style="0" bestFit="1" customWidth="1"/>
    <col min="34" max="34" width="9.140625" style="100" customWidth="1"/>
    <col min="35" max="35" width="9.28125" style="100" bestFit="1" customWidth="1"/>
    <col min="36" max="16384" width="9.140625" style="100" customWidth="1"/>
  </cols>
  <sheetData>
    <row r="1" spans="1:14" s="77" customFormat="1" ht="15.75">
      <c r="A1" s="76" t="s">
        <v>474</v>
      </c>
      <c r="B1" s="76"/>
      <c r="C1" s="76"/>
      <c r="D1" s="76"/>
      <c r="E1" s="76"/>
      <c r="F1" s="76"/>
      <c r="G1" s="76"/>
      <c r="H1" s="76"/>
      <c r="I1" s="76"/>
      <c r="J1" s="76"/>
      <c r="K1" s="76"/>
      <c r="L1" s="76"/>
      <c r="M1" s="76"/>
      <c r="N1" s="76"/>
    </row>
    <row r="2" spans="1:35" s="83" customFormat="1" ht="32.25" customHeight="1">
      <c r="A2" s="78"/>
      <c r="B2" s="79"/>
      <c r="C2" s="80"/>
      <c r="D2" s="80"/>
      <c r="E2" s="80"/>
      <c r="F2" s="81"/>
      <c r="G2" s="81"/>
      <c r="H2" s="80"/>
      <c r="I2" s="279" t="s">
        <v>475</v>
      </c>
      <c r="J2" s="280"/>
      <c r="K2" s="279" t="s">
        <v>476</v>
      </c>
      <c r="L2" s="281"/>
      <c r="M2" s="82"/>
      <c r="N2" s="82"/>
      <c r="U2" s="284" t="s">
        <v>606</v>
      </c>
      <c r="V2" s="284"/>
      <c r="W2" s="284"/>
      <c r="X2" s="284"/>
      <c r="Y2" s="284"/>
      <c r="Z2" s="284"/>
      <c r="AA2" s="284"/>
      <c r="AB2" s="284"/>
      <c r="AC2" s="284"/>
      <c r="AD2" s="284"/>
      <c r="AE2" s="284"/>
      <c r="AF2" s="284"/>
      <c r="AG2" s="284"/>
      <c r="AH2" s="284"/>
      <c r="AI2" s="284"/>
    </row>
    <row r="3" spans="1:35" s="90" customFormat="1" ht="72">
      <c r="A3" s="84" t="s">
        <v>477</v>
      </c>
      <c r="B3" s="85" t="s">
        <v>174</v>
      </c>
      <c r="C3" s="86" t="s">
        <v>478</v>
      </c>
      <c r="D3" s="86" t="s">
        <v>479</v>
      </c>
      <c r="E3" s="86" t="s">
        <v>75</v>
      </c>
      <c r="F3" s="87" t="s">
        <v>480</v>
      </c>
      <c r="G3" s="87" t="s">
        <v>481</v>
      </c>
      <c r="H3" s="86" t="s">
        <v>482</v>
      </c>
      <c r="I3" s="88" t="s">
        <v>483</v>
      </c>
      <c r="J3" s="87" t="s">
        <v>484</v>
      </c>
      <c r="K3" s="88" t="s">
        <v>485</v>
      </c>
      <c r="L3" s="89" t="s">
        <v>486</v>
      </c>
      <c r="M3" s="87"/>
      <c r="N3" s="87" t="s">
        <v>487</v>
      </c>
      <c r="O3" s="90" t="s">
        <v>488</v>
      </c>
      <c r="P3" s="87" t="s">
        <v>489</v>
      </c>
      <c r="Q3" s="87" t="s">
        <v>490</v>
      </c>
      <c r="R3" s="87" t="s">
        <v>491</v>
      </c>
      <c r="S3" s="85" t="s">
        <v>601</v>
      </c>
      <c r="T3" s="90" t="s">
        <v>602</v>
      </c>
      <c r="U3" s="90">
        <v>12</v>
      </c>
      <c r="V3" s="90">
        <v>13</v>
      </c>
      <c r="W3" s="90">
        <v>14</v>
      </c>
      <c r="X3" s="90">
        <v>15</v>
      </c>
      <c r="Y3" s="90">
        <v>16</v>
      </c>
      <c r="Z3" s="90">
        <v>17</v>
      </c>
      <c r="AA3" s="90">
        <v>18</v>
      </c>
      <c r="AB3" s="90">
        <v>19</v>
      </c>
      <c r="AC3" s="90">
        <v>2</v>
      </c>
      <c r="AD3" s="90">
        <v>3</v>
      </c>
      <c r="AE3" s="90">
        <v>4</v>
      </c>
      <c r="AF3" s="90">
        <v>5</v>
      </c>
      <c r="AG3" s="90">
        <v>6</v>
      </c>
      <c r="AH3" s="90">
        <v>7</v>
      </c>
      <c r="AI3" s="90">
        <v>8</v>
      </c>
    </row>
    <row r="4" spans="1:34" ht="45" customHeight="1">
      <c r="A4" s="91">
        <v>1</v>
      </c>
      <c r="B4" s="92" t="s">
        <v>492</v>
      </c>
      <c r="C4" s="93" t="s">
        <v>493</v>
      </c>
      <c r="D4" s="93" t="s">
        <v>494</v>
      </c>
      <c r="E4" s="94" t="s">
        <v>495</v>
      </c>
      <c r="F4" s="94" t="s">
        <v>496</v>
      </c>
      <c r="G4" s="95" t="s">
        <v>170</v>
      </c>
      <c r="H4" s="93" t="s">
        <v>497</v>
      </c>
      <c r="I4" s="96">
        <v>200</v>
      </c>
      <c r="J4" s="97">
        <v>400</v>
      </c>
      <c r="K4" s="98">
        <v>0</v>
      </c>
      <c r="L4" s="98">
        <v>0</v>
      </c>
      <c r="M4" s="99"/>
      <c r="N4" s="99">
        <v>0</v>
      </c>
      <c r="P4" s="100">
        <f>VLOOKUP(E4,Likelihood!$A$24:$C$28,3)</f>
        <v>0</v>
      </c>
      <c r="Q4" s="100">
        <f aca="true" t="shared" si="0" ref="Q4:Q21">N4*P4</f>
        <v>0</v>
      </c>
      <c r="R4" s="100">
        <f aca="true" t="shared" si="1" ref="R4:R21">O4*P4</f>
        <v>0</v>
      </c>
      <c r="S4" s="100">
        <v>0.25</v>
      </c>
      <c r="T4" s="100">
        <f>J4*S4</f>
        <v>100</v>
      </c>
      <c r="V4" s="100">
        <f>0.5*T4</f>
        <v>50</v>
      </c>
      <c r="AH4" s="100">
        <f>0.5*T4</f>
        <v>50</v>
      </c>
    </row>
    <row r="5" spans="1:22" ht="45" customHeight="1">
      <c r="A5" s="91">
        <v>2</v>
      </c>
      <c r="B5" s="101" t="s">
        <v>498</v>
      </c>
      <c r="C5" s="93" t="s">
        <v>499</v>
      </c>
      <c r="D5" s="93" t="s">
        <v>500</v>
      </c>
      <c r="E5" s="102" t="s">
        <v>501</v>
      </c>
      <c r="F5" s="102" t="s">
        <v>502</v>
      </c>
      <c r="G5" s="95" t="s">
        <v>170</v>
      </c>
      <c r="H5" s="93" t="s">
        <v>503</v>
      </c>
      <c r="I5" s="96">
        <v>15</v>
      </c>
      <c r="J5" s="97">
        <v>35</v>
      </c>
      <c r="K5" s="98">
        <v>0</v>
      </c>
      <c r="L5" s="98">
        <v>0</v>
      </c>
      <c r="M5" s="99"/>
      <c r="N5" s="99">
        <v>0</v>
      </c>
      <c r="P5" s="100">
        <f>VLOOKUP(E5,Likelihood!$A$24:$C$28,3)</f>
        <v>0</v>
      </c>
      <c r="Q5" s="100">
        <f t="shared" si="0"/>
        <v>0</v>
      </c>
      <c r="R5" s="100">
        <f t="shared" si="1"/>
        <v>0</v>
      </c>
      <c r="S5" s="100">
        <v>0.05</v>
      </c>
      <c r="T5" s="100">
        <f aca="true" t="shared" si="2" ref="T5:T39">J5*S5</f>
        <v>1.75</v>
      </c>
      <c r="V5" s="100">
        <f>T5</f>
        <v>1.75</v>
      </c>
    </row>
    <row r="6" spans="1:22" ht="45" customHeight="1">
      <c r="A6" s="91">
        <v>3</v>
      </c>
      <c r="B6" s="101" t="s">
        <v>504</v>
      </c>
      <c r="C6" s="93" t="s">
        <v>505</v>
      </c>
      <c r="D6" s="93" t="s">
        <v>506</v>
      </c>
      <c r="E6" s="102" t="s">
        <v>501</v>
      </c>
      <c r="F6" s="102" t="s">
        <v>502</v>
      </c>
      <c r="G6" s="95" t="s">
        <v>170</v>
      </c>
      <c r="H6" s="93" t="s">
        <v>503</v>
      </c>
      <c r="I6" s="96">
        <v>15</v>
      </c>
      <c r="J6" s="97">
        <v>35</v>
      </c>
      <c r="K6" s="98">
        <v>0</v>
      </c>
      <c r="L6" s="98">
        <v>0</v>
      </c>
      <c r="M6" s="99"/>
      <c r="N6" s="99">
        <v>0</v>
      </c>
      <c r="P6" s="100">
        <f>VLOOKUP(E6,Likelihood!$A$24:$C$28,3)</f>
        <v>0</v>
      </c>
      <c r="Q6" s="100">
        <f t="shared" si="0"/>
        <v>0</v>
      </c>
      <c r="R6" s="100">
        <f t="shared" si="1"/>
        <v>0</v>
      </c>
      <c r="S6" s="100">
        <v>0.05</v>
      </c>
      <c r="T6" s="100">
        <f t="shared" si="2"/>
        <v>1.75</v>
      </c>
      <c r="V6" s="100">
        <f>T6</f>
        <v>1.75</v>
      </c>
    </row>
    <row r="7" spans="1:23" ht="45" customHeight="1">
      <c r="A7" s="91">
        <v>4</v>
      </c>
      <c r="B7" s="103" t="s">
        <v>507</v>
      </c>
      <c r="C7" s="104" t="s">
        <v>508</v>
      </c>
      <c r="D7" s="104" t="s">
        <v>509</v>
      </c>
      <c r="E7" s="105" t="s">
        <v>501</v>
      </c>
      <c r="F7" s="105" t="s">
        <v>510</v>
      </c>
      <c r="G7" s="106" t="s">
        <v>511</v>
      </c>
      <c r="H7" s="104" t="s">
        <v>512</v>
      </c>
      <c r="I7" s="107">
        <v>-100</v>
      </c>
      <c r="J7" s="108">
        <v>600</v>
      </c>
      <c r="K7" s="109">
        <v>1</v>
      </c>
      <c r="L7" s="109">
        <v>2</v>
      </c>
      <c r="M7" s="99"/>
      <c r="N7" s="99">
        <v>0</v>
      </c>
      <c r="O7" s="100">
        <v>0</v>
      </c>
      <c r="P7" s="100">
        <f>VLOOKUP(E7,Likelihood!$A$24:$C$28,3)</f>
        <v>0</v>
      </c>
      <c r="Q7" s="100">
        <f t="shared" si="0"/>
        <v>0</v>
      </c>
      <c r="R7" s="100">
        <f t="shared" si="1"/>
        <v>0</v>
      </c>
      <c r="S7" s="100">
        <v>0.05</v>
      </c>
      <c r="T7" s="100">
        <f t="shared" si="2"/>
        <v>30</v>
      </c>
      <c r="W7" s="100">
        <f>T7</f>
        <v>30</v>
      </c>
    </row>
    <row r="8" spans="1:23" ht="45" customHeight="1">
      <c r="A8" s="91">
        <v>5</v>
      </c>
      <c r="B8" s="103">
        <v>1421</v>
      </c>
      <c r="C8" s="104" t="s">
        <v>513</v>
      </c>
      <c r="D8" s="104" t="s">
        <v>514</v>
      </c>
      <c r="E8" s="105" t="s">
        <v>495</v>
      </c>
      <c r="F8" s="105" t="s">
        <v>515</v>
      </c>
      <c r="G8" s="106" t="s">
        <v>511</v>
      </c>
      <c r="H8" s="104" t="s">
        <v>516</v>
      </c>
      <c r="I8" s="107">
        <v>0</v>
      </c>
      <c r="J8" s="108">
        <v>600</v>
      </c>
      <c r="K8" s="109">
        <v>0</v>
      </c>
      <c r="L8" s="109">
        <v>2</v>
      </c>
      <c r="M8" s="99"/>
      <c r="N8" s="99">
        <v>0</v>
      </c>
      <c r="O8" s="100">
        <v>0</v>
      </c>
      <c r="P8" s="100">
        <f>VLOOKUP(E8,Likelihood!$A$24:$C$28,3)</f>
        <v>0</v>
      </c>
      <c r="Q8" s="100">
        <f t="shared" si="0"/>
        <v>0</v>
      </c>
      <c r="R8" s="100">
        <f t="shared" si="1"/>
        <v>0</v>
      </c>
      <c r="S8" s="100">
        <v>0.25</v>
      </c>
      <c r="T8" s="100">
        <f t="shared" si="2"/>
        <v>150</v>
      </c>
      <c r="W8" s="100">
        <f>T8</f>
        <v>150</v>
      </c>
    </row>
    <row r="9" spans="1:23" ht="45" customHeight="1">
      <c r="A9" s="91">
        <v>6</v>
      </c>
      <c r="B9" s="101" t="s">
        <v>517</v>
      </c>
      <c r="C9" s="93" t="s">
        <v>518</v>
      </c>
      <c r="D9" s="93" t="s">
        <v>519</v>
      </c>
      <c r="E9" s="102" t="s">
        <v>495</v>
      </c>
      <c r="F9" s="102" t="s">
        <v>515</v>
      </c>
      <c r="G9" s="95" t="s">
        <v>511</v>
      </c>
      <c r="H9" s="93" t="s">
        <v>520</v>
      </c>
      <c r="I9" s="96">
        <v>400</v>
      </c>
      <c r="J9" s="97">
        <v>450</v>
      </c>
      <c r="K9" s="98">
        <v>0</v>
      </c>
      <c r="L9" s="98">
        <v>2</v>
      </c>
      <c r="M9" s="99"/>
      <c r="N9" s="99">
        <v>0</v>
      </c>
      <c r="O9" s="100">
        <v>0</v>
      </c>
      <c r="P9" s="100">
        <f>VLOOKUP(E9,Likelihood!$A$24:$C$28,3)</f>
        <v>0</v>
      </c>
      <c r="Q9" s="100">
        <f t="shared" si="0"/>
        <v>0</v>
      </c>
      <c r="R9" s="100">
        <f t="shared" si="1"/>
        <v>0</v>
      </c>
      <c r="S9" s="100">
        <v>0.25</v>
      </c>
      <c r="T9" s="100">
        <f t="shared" si="2"/>
        <v>112.5</v>
      </c>
      <c r="W9" s="100">
        <f>T9</f>
        <v>112.5</v>
      </c>
    </row>
    <row r="10" spans="1:23" ht="45" customHeight="1">
      <c r="A10" s="91">
        <v>7</v>
      </c>
      <c r="B10" s="101" t="s">
        <v>517</v>
      </c>
      <c r="C10" s="93" t="s">
        <v>521</v>
      </c>
      <c r="D10" s="93" t="s">
        <v>522</v>
      </c>
      <c r="E10" s="102" t="s">
        <v>495</v>
      </c>
      <c r="F10" s="102" t="s">
        <v>502</v>
      </c>
      <c r="G10" s="95" t="s">
        <v>170</v>
      </c>
      <c r="H10" s="93" t="s">
        <v>523</v>
      </c>
      <c r="I10" s="96">
        <v>10</v>
      </c>
      <c r="J10" s="97">
        <v>30</v>
      </c>
      <c r="K10" s="98">
        <v>0</v>
      </c>
      <c r="L10" s="98">
        <v>0</v>
      </c>
      <c r="M10" s="99"/>
      <c r="N10" s="99">
        <v>0</v>
      </c>
      <c r="P10" s="100">
        <f>VLOOKUP(E10,Likelihood!$A$24:$C$28,3)</f>
        <v>0</v>
      </c>
      <c r="Q10" s="100">
        <f t="shared" si="0"/>
        <v>0</v>
      </c>
      <c r="R10" s="100">
        <f t="shared" si="1"/>
        <v>0</v>
      </c>
      <c r="S10" s="100">
        <v>0.25</v>
      </c>
      <c r="T10" s="100">
        <f t="shared" si="2"/>
        <v>7.5</v>
      </c>
      <c r="W10" s="100">
        <f>T10</f>
        <v>7.5</v>
      </c>
    </row>
    <row r="11" spans="1:34" ht="45" customHeight="1">
      <c r="A11" s="91">
        <v>8</v>
      </c>
      <c r="B11" s="92" t="s">
        <v>524</v>
      </c>
      <c r="C11" s="93" t="s">
        <v>525</v>
      </c>
      <c r="D11" s="93" t="s">
        <v>526</v>
      </c>
      <c r="E11" s="94" t="s">
        <v>501</v>
      </c>
      <c r="F11" s="94" t="s">
        <v>515</v>
      </c>
      <c r="G11" s="94" t="s">
        <v>170</v>
      </c>
      <c r="H11" s="93" t="s">
        <v>527</v>
      </c>
      <c r="I11" s="96">
        <v>0</v>
      </c>
      <c r="J11" s="97">
        <v>600</v>
      </c>
      <c r="K11" s="98">
        <v>0</v>
      </c>
      <c r="L11" s="98">
        <v>2</v>
      </c>
      <c r="M11" s="99"/>
      <c r="N11" s="99">
        <v>0</v>
      </c>
      <c r="O11" s="100">
        <v>0</v>
      </c>
      <c r="P11" s="100">
        <f>VLOOKUP(E11,Likelihood!$A$24:$C$28,3)</f>
        <v>0</v>
      </c>
      <c r="Q11" s="100">
        <f t="shared" si="0"/>
        <v>0</v>
      </c>
      <c r="R11" s="100">
        <f t="shared" si="1"/>
        <v>0</v>
      </c>
      <c r="S11" s="100">
        <v>0.05</v>
      </c>
      <c r="T11" s="100">
        <f t="shared" si="2"/>
        <v>30</v>
      </c>
      <c r="AA11" s="100">
        <f>0.5*T11</f>
        <v>15</v>
      </c>
      <c r="AH11" s="100">
        <f>0.5*T11</f>
        <v>15</v>
      </c>
    </row>
    <row r="12" spans="1:27" s="115" customFormat="1" ht="45" customHeight="1">
      <c r="A12" s="91">
        <v>9</v>
      </c>
      <c r="B12" s="110" t="s">
        <v>528</v>
      </c>
      <c r="C12" s="111" t="s">
        <v>529</v>
      </c>
      <c r="D12" s="93" t="s">
        <v>530</v>
      </c>
      <c r="E12" s="94" t="s">
        <v>501</v>
      </c>
      <c r="F12" s="94" t="s">
        <v>502</v>
      </c>
      <c r="G12" s="94" t="s">
        <v>170</v>
      </c>
      <c r="H12" s="93" t="s">
        <v>531</v>
      </c>
      <c r="I12" s="96">
        <v>10</v>
      </c>
      <c r="J12" s="112">
        <v>20</v>
      </c>
      <c r="K12" s="113">
        <v>0</v>
      </c>
      <c r="L12" s="113">
        <v>0.5</v>
      </c>
      <c r="M12" s="114"/>
      <c r="N12" s="114">
        <v>0</v>
      </c>
      <c r="O12" s="115">
        <v>0</v>
      </c>
      <c r="P12" s="100">
        <f>VLOOKUP(E12,Likelihood!$A$24:$C$28,3)</f>
        <v>0</v>
      </c>
      <c r="Q12" s="100">
        <f t="shared" si="0"/>
        <v>0</v>
      </c>
      <c r="R12" s="100">
        <f t="shared" si="1"/>
        <v>0</v>
      </c>
      <c r="S12" s="115">
        <v>0.05</v>
      </c>
      <c r="T12" s="100">
        <f t="shared" si="2"/>
        <v>1</v>
      </c>
      <c r="AA12" s="115">
        <f>T12</f>
        <v>1</v>
      </c>
    </row>
    <row r="13" spans="1:27" s="115" customFormat="1" ht="45" customHeight="1">
      <c r="A13" s="91">
        <v>10</v>
      </c>
      <c r="B13" s="101" t="s">
        <v>528</v>
      </c>
      <c r="C13" s="93" t="s">
        <v>532</v>
      </c>
      <c r="D13" s="93" t="s">
        <v>530</v>
      </c>
      <c r="E13" s="94" t="s">
        <v>501</v>
      </c>
      <c r="F13" s="94" t="s">
        <v>502</v>
      </c>
      <c r="G13" s="94" t="s">
        <v>170</v>
      </c>
      <c r="H13" s="93" t="s">
        <v>531</v>
      </c>
      <c r="I13" s="96">
        <v>10</v>
      </c>
      <c r="J13" s="112">
        <v>20</v>
      </c>
      <c r="K13" s="113">
        <v>0</v>
      </c>
      <c r="L13" s="113">
        <v>0.5</v>
      </c>
      <c r="M13" s="114"/>
      <c r="N13" s="114">
        <v>0</v>
      </c>
      <c r="O13" s="115">
        <v>0</v>
      </c>
      <c r="P13" s="100">
        <f>VLOOKUP(E13,Likelihood!$A$24:$C$28,3)</f>
        <v>0</v>
      </c>
      <c r="Q13" s="100">
        <f t="shared" si="0"/>
        <v>0</v>
      </c>
      <c r="R13" s="100">
        <f t="shared" si="1"/>
        <v>0</v>
      </c>
      <c r="S13" s="115">
        <v>0.05</v>
      </c>
      <c r="T13" s="100">
        <f t="shared" si="2"/>
        <v>1</v>
      </c>
      <c r="AA13" s="115">
        <f>T13</f>
        <v>1</v>
      </c>
    </row>
    <row r="14" spans="1:27" s="115" customFormat="1" ht="45" customHeight="1">
      <c r="A14" s="91">
        <v>11</v>
      </c>
      <c r="B14" s="101" t="s">
        <v>528</v>
      </c>
      <c r="C14" s="93" t="s">
        <v>533</v>
      </c>
      <c r="D14" s="93" t="s">
        <v>0</v>
      </c>
      <c r="E14" s="94" t="s">
        <v>501</v>
      </c>
      <c r="F14" s="94" t="s">
        <v>1</v>
      </c>
      <c r="G14" s="94" t="s">
        <v>170</v>
      </c>
      <c r="H14" s="93" t="s">
        <v>2</v>
      </c>
      <c r="I14" s="96">
        <v>25</v>
      </c>
      <c r="J14" s="97">
        <v>35</v>
      </c>
      <c r="K14" s="98">
        <v>0.75</v>
      </c>
      <c r="L14" s="98">
        <v>1.25</v>
      </c>
      <c r="M14" s="99"/>
      <c r="N14" s="99">
        <v>0</v>
      </c>
      <c r="O14" s="115">
        <v>0</v>
      </c>
      <c r="P14" s="100">
        <f>VLOOKUP(E14,Likelihood!$A$24:$C$28,3)</f>
        <v>0</v>
      </c>
      <c r="Q14" s="100">
        <f t="shared" si="0"/>
        <v>0</v>
      </c>
      <c r="R14" s="100">
        <f t="shared" si="1"/>
        <v>0</v>
      </c>
      <c r="S14" s="115">
        <v>0.05</v>
      </c>
      <c r="T14" s="100">
        <f t="shared" si="2"/>
        <v>1.75</v>
      </c>
      <c r="AA14" s="115">
        <f>T14</f>
        <v>1.75</v>
      </c>
    </row>
    <row r="15" spans="1:27" s="115" customFormat="1" ht="45" customHeight="1">
      <c r="A15" s="91">
        <v>12</v>
      </c>
      <c r="B15" s="101" t="s">
        <v>528</v>
      </c>
      <c r="C15" s="93" t="s">
        <v>3</v>
      </c>
      <c r="D15" s="93" t="s">
        <v>4</v>
      </c>
      <c r="E15" s="94" t="s">
        <v>5</v>
      </c>
      <c r="F15" s="94" t="s">
        <v>6</v>
      </c>
      <c r="G15" s="94" t="s">
        <v>170</v>
      </c>
      <c r="H15" s="116" t="s">
        <v>7</v>
      </c>
      <c r="I15" s="96"/>
      <c r="J15" s="97"/>
      <c r="K15" s="98"/>
      <c r="L15" s="98"/>
      <c r="M15" s="99"/>
      <c r="N15" s="99"/>
      <c r="P15" s="100">
        <f>VLOOKUP(E15,Likelihood!$A$24:$C$28,3)</f>
        <v>0</v>
      </c>
      <c r="Q15" s="100">
        <f t="shared" si="0"/>
        <v>0</v>
      </c>
      <c r="R15" s="100">
        <f t="shared" si="1"/>
        <v>0</v>
      </c>
      <c r="T15" s="100">
        <f t="shared" si="2"/>
        <v>0</v>
      </c>
      <c r="AA15" s="115">
        <f>T15</f>
        <v>0</v>
      </c>
    </row>
    <row r="16" spans="1:27" ht="45" customHeight="1">
      <c r="A16" s="91">
        <v>13</v>
      </c>
      <c r="B16" s="101" t="s">
        <v>8</v>
      </c>
      <c r="C16" s="93" t="s">
        <v>9</v>
      </c>
      <c r="D16" s="93" t="s">
        <v>10</v>
      </c>
      <c r="E16" s="94" t="s">
        <v>5</v>
      </c>
      <c r="F16" s="94" t="s">
        <v>496</v>
      </c>
      <c r="G16" s="94" t="s">
        <v>170</v>
      </c>
      <c r="H16" s="93" t="s">
        <v>11</v>
      </c>
      <c r="I16" s="96"/>
      <c r="J16" s="97"/>
      <c r="K16" s="98"/>
      <c r="L16" s="98"/>
      <c r="M16" s="99"/>
      <c r="N16" s="99"/>
      <c r="P16" s="100">
        <f>VLOOKUP(E16,Likelihood!$A$24:$C$28,3)</f>
        <v>0</v>
      </c>
      <c r="Q16" s="100">
        <f t="shared" si="0"/>
        <v>0</v>
      </c>
      <c r="R16" s="100">
        <f t="shared" si="1"/>
        <v>0</v>
      </c>
      <c r="T16" s="100">
        <f t="shared" si="2"/>
        <v>0</v>
      </c>
      <c r="AA16" s="115">
        <f>T16</f>
        <v>0</v>
      </c>
    </row>
    <row r="17" spans="1:34" ht="45" customHeight="1">
      <c r="A17" s="91">
        <v>14</v>
      </c>
      <c r="B17" s="117">
        <v>7503</v>
      </c>
      <c r="C17" s="104" t="s">
        <v>12</v>
      </c>
      <c r="D17" s="104" t="s">
        <v>13</v>
      </c>
      <c r="E17" s="117" t="s">
        <v>501</v>
      </c>
      <c r="F17" s="117" t="s">
        <v>496</v>
      </c>
      <c r="G17" s="117" t="s">
        <v>170</v>
      </c>
      <c r="H17" s="93" t="s">
        <v>14</v>
      </c>
      <c r="I17" s="96">
        <v>50</v>
      </c>
      <c r="J17" s="97">
        <v>150</v>
      </c>
      <c r="K17" s="98">
        <v>1</v>
      </c>
      <c r="L17" s="98">
        <v>2</v>
      </c>
      <c r="M17" s="99"/>
      <c r="N17" s="99">
        <v>0</v>
      </c>
      <c r="O17" s="100">
        <v>0</v>
      </c>
      <c r="P17" s="100">
        <f>VLOOKUP(E17,Likelihood!$A$24:$C$28,3)</f>
        <v>0</v>
      </c>
      <c r="Q17" s="100">
        <f t="shared" si="0"/>
        <v>0</v>
      </c>
      <c r="R17" s="100">
        <f t="shared" si="1"/>
        <v>0</v>
      </c>
      <c r="T17" s="100">
        <f t="shared" si="2"/>
        <v>0</v>
      </c>
      <c r="AH17" s="100">
        <f>T17</f>
        <v>0</v>
      </c>
    </row>
    <row r="18" spans="1:34" ht="45" customHeight="1">
      <c r="A18" s="91">
        <v>15</v>
      </c>
      <c r="B18" s="117">
        <v>7503</v>
      </c>
      <c r="C18" s="104" t="s">
        <v>15</v>
      </c>
      <c r="D18" s="104" t="s">
        <v>13</v>
      </c>
      <c r="E18" s="117" t="s">
        <v>5</v>
      </c>
      <c r="F18" s="117" t="s">
        <v>6</v>
      </c>
      <c r="G18" s="117" t="s">
        <v>170</v>
      </c>
      <c r="H18" s="116" t="s">
        <v>7</v>
      </c>
      <c r="I18" s="96"/>
      <c r="J18" s="97"/>
      <c r="K18" s="98"/>
      <c r="L18" s="98"/>
      <c r="M18" s="99"/>
      <c r="N18" s="99"/>
      <c r="P18" s="100">
        <f>VLOOKUP(E18,Likelihood!$A$24:$C$28,3)</f>
        <v>0</v>
      </c>
      <c r="Q18" s="100">
        <f t="shared" si="0"/>
        <v>0</v>
      </c>
      <c r="R18" s="100">
        <f t="shared" si="1"/>
        <v>0</v>
      </c>
      <c r="T18" s="100">
        <f t="shared" si="2"/>
        <v>0</v>
      </c>
      <c r="AH18" s="100">
        <f>T18</f>
        <v>0</v>
      </c>
    </row>
    <row r="19" spans="1:34" ht="45" customHeight="1">
      <c r="A19" s="91">
        <v>16</v>
      </c>
      <c r="B19" s="91">
        <v>7503</v>
      </c>
      <c r="C19" s="93" t="s">
        <v>16</v>
      </c>
      <c r="D19" s="93" t="s">
        <v>17</v>
      </c>
      <c r="E19" s="117" t="s">
        <v>501</v>
      </c>
      <c r="F19" s="117" t="s">
        <v>496</v>
      </c>
      <c r="G19" s="117" t="s">
        <v>170</v>
      </c>
      <c r="H19" s="93" t="s">
        <v>14</v>
      </c>
      <c r="I19" s="96">
        <v>50</v>
      </c>
      <c r="J19" s="97">
        <v>150</v>
      </c>
      <c r="K19" s="98">
        <v>1</v>
      </c>
      <c r="L19" s="98">
        <v>2</v>
      </c>
      <c r="M19" s="99"/>
      <c r="N19" s="99">
        <v>0</v>
      </c>
      <c r="O19" s="100">
        <v>0</v>
      </c>
      <c r="P19" s="100">
        <f>VLOOKUP(E19,Likelihood!$A$24:$C$28,3)</f>
        <v>0</v>
      </c>
      <c r="Q19" s="100">
        <f t="shared" si="0"/>
        <v>0</v>
      </c>
      <c r="R19" s="100">
        <f t="shared" si="1"/>
        <v>0</v>
      </c>
      <c r="T19" s="100">
        <f t="shared" si="2"/>
        <v>0</v>
      </c>
      <c r="AH19" s="100">
        <f>T19</f>
        <v>0</v>
      </c>
    </row>
    <row r="20" spans="1:34" ht="45" customHeight="1">
      <c r="A20" s="91">
        <v>17</v>
      </c>
      <c r="B20" s="91">
        <v>7503</v>
      </c>
      <c r="C20" s="93" t="s">
        <v>18</v>
      </c>
      <c r="D20" s="93" t="s">
        <v>17</v>
      </c>
      <c r="E20" s="117" t="s">
        <v>5</v>
      </c>
      <c r="F20" s="117" t="s">
        <v>6</v>
      </c>
      <c r="G20" s="117" t="s">
        <v>170</v>
      </c>
      <c r="H20" s="116" t="s">
        <v>7</v>
      </c>
      <c r="I20" s="96"/>
      <c r="J20" s="97"/>
      <c r="K20" s="98"/>
      <c r="L20" s="98"/>
      <c r="M20" s="99"/>
      <c r="N20" s="99"/>
      <c r="P20" s="100">
        <f>VLOOKUP(E20,Likelihood!$A$24:$C$28,3)</f>
        <v>0</v>
      </c>
      <c r="Q20" s="100">
        <f t="shared" si="0"/>
        <v>0</v>
      </c>
      <c r="R20" s="100">
        <f t="shared" si="1"/>
        <v>0</v>
      </c>
      <c r="T20" s="100">
        <f t="shared" si="2"/>
        <v>0</v>
      </c>
      <c r="AH20" s="100">
        <f>T20</f>
        <v>0</v>
      </c>
    </row>
    <row r="21" spans="1:34" ht="45" customHeight="1">
      <c r="A21" s="91">
        <v>18</v>
      </c>
      <c r="B21" s="101">
        <v>7503</v>
      </c>
      <c r="C21" s="93" t="s">
        <v>19</v>
      </c>
      <c r="D21" s="93" t="s">
        <v>20</v>
      </c>
      <c r="E21" s="94" t="s">
        <v>495</v>
      </c>
      <c r="F21" s="94" t="s">
        <v>496</v>
      </c>
      <c r="G21" s="94" t="s">
        <v>170</v>
      </c>
      <c r="H21" s="93" t="s">
        <v>21</v>
      </c>
      <c r="I21" s="96">
        <v>15</v>
      </c>
      <c r="J21" s="97">
        <v>30</v>
      </c>
      <c r="K21" s="98">
        <v>0.25</v>
      </c>
      <c r="L21" s="98">
        <v>1</v>
      </c>
      <c r="M21" s="99"/>
      <c r="N21" s="99">
        <v>0</v>
      </c>
      <c r="O21" s="100">
        <v>0</v>
      </c>
      <c r="P21" s="100">
        <f>VLOOKUP(E21,Likelihood!$A$24:$C$28,3)</f>
        <v>0</v>
      </c>
      <c r="Q21" s="100">
        <f t="shared" si="0"/>
        <v>0</v>
      </c>
      <c r="R21" s="100">
        <f t="shared" si="1"/>
        <v>0</v>
      </c>
      <c r="S21" s="100">
        <v>0.25</v>
      </c>
      <c r="T21" s="100">
        <f t="shared" si="2"/>
        <v>7.5</v>
      </c>
      <c r="AH21" s="100">
        <f>T21</f>
        <v>7.5</v>
      </c>
    </row>
    <row r="22" spans="1:20" ht="45" customHeight="1">
      <c r="A22" s="91">
        <v>19</v>
      </c>
      <c r="B22" s="101"/>
      <c r="C22" s="93" t="s">
        <v>22</v>
      </c>
      <c r="D22" s="116" t="s">
        <v>23</v>
      </c>
      <c r="E22" s="94"/>
      <c r="F22" s="94"/>
      <c r="G22" s="94"/>
      <c r="H22" s="93"/>
      <c r="I22" s="96"/>
      <c r="J22" s="97"/>
      <c r="K22" s="98"/>
      <c r="L22" s="98"/>
      <c r="M22" s="99"/>
      <c r="N22" s="99"/>
      <c r="P22" s="100" t="e">
        <f>VLOOKUP(E22,Likelihood!$A$24:$C$28,3)</f>
        <v>#N/A</v>
      </c>
      <c r="T22" s="100">
        <f t="shared" si="2"/>
        <v>0</v>
      </c>
    </row>
    <row r="23" spans="1:28" s="115" customFormat="1" ht="45" customHeight="1">
      <c r="A23" s="91"/>
      <c r="B23" s="101" t="s">
        <v>24</v>
      </c>
      <c r="C23" s="118" t="s">
        <v>25</v>
      </c>
      <c r="D23" s="93" t="s">
        <v>26</v>
      </c>
      <c r="E23" s="94" t="s">
        <v>501</v>
      </c>
      <c r="F23" s="94" t="s">
        <v>496</v>
      </c>
      <c r="G23" s="94" t="s">
        <v>170</v>
      </c>
      <c r="H23" s="93" t="s">
        <v>27</v>
      </c>
      <c r="I23" s="96">
        <v>0</v>
      </c>
      <c r="J23" s="97">
        <v>0</v>
      </c>
      <c r="K23" s="98">
        <v>0</v>
      </c>
      <c r="L23" s="98">
        <v>0.5</v>
      </c>
      <c r="M23" s="99"/>
      <c r="N23" s="99"/>
      <c r="O23" s="115">
        <v>0</v>
      </c>
      <c r="P23" s="100">
        <f>VLOOKUP(E23,Likelihood!$A$24:$C$28,3)</f>
        <v>0</v>
      </c>
      <c r="Q23" s="100">
        <f aca="true" t="shared" si="3" ref="Q23:Q39">N23*P23</f>
        <v>0</v>
      </c>
      <c r="R23" s="100">
        <f aca="true" t="shared" si="4" ref="R23:R39">O23*P23</f>
        <v>0</v>
      </c>
      <c r="S23" s="115">
        <v>0.05</v>
      </c>
      <c r="T23" s="100">
        <f t="shared" si="2"/>
        <v>0</v>
      </c>
      <c r="AB23" s="115">
        <f>T23</f>
        <v>0</v>
      </c>
    </row>
    <row r="24" spans="1:35" ht="45" customHeight="1">
      <c r="A24" s="91"/>
      <c r="B24" s="101" t="s">
        <v>28</v>
      </c>
      <c r="C24" s="118" t="s">
        <v>29</v>
      </c>
      <c r="D24" s="93" t="s">
        <v>30</v>
      </c>
      <c r="E24" s="94" t="s">
        <v>501</v>
      </c>
      <c r="F24" s="94" t="s">
        <v>496</v>
      </c>
      <c r="G24" s="94" t="s">
        <v>170</v>
      </c>
      <c r="H24" s="93" t="s">
        <v>27</v>
      </c>
      <c r="I24" s="96">
        <v>0</v>
      </c>
      <c r="J24" s="97">
        <v>0</v>
      </c>
      <c r="K24" s="98">
        <v>0</v>
      </c>
      <c r="L24" s="98">
        <v>0.5</v>
      </c>
      <c r="M24" s="99"/>
      <c r="N24" s="99"/>
      <c r="O24" s="100">
        <v>0</v>
      </c>
      <c r="P24" s="100">
        <f>VLOOKUP(E24,Likelihood!$A$24:$C$28,3)</f>
        <v>0</v>
      </c>
      <c r="Q24" s="100">
        <f t="shared" si="3"/>
        <v>0</v>
      </c>
      <c r="R24" s="100">
        <f t="shared" si="4"/>
        <v>0</v>
      </c>
      <c r="S24" s="100">
        <v>0.05</v>
      </c>
      <c r="T24" s="100">
        <f t="shared" si="2"/>
        <v>0</v>
      </c>
      <c r="AI24" s="100">
        <f>T24</f>
        <v>0</v>
      </c>
    </row>
    <row r="25" spans="1:35" s="115" customFormat="1" ht="45" customHeight="1">
      <c r="A25" s="91"/>
      <c r="B25" s="101" t="s">
        <v>31</v>
      </c>
      <c r="C25" s="118" t="s">
        <v>32</v>
      </c>
      <c r="D25" s="93" t="s">
        <v>33</v>
      </c>
      <c r="E25" s="94" t="s">
        <v>501</v>
      </c>
      <c r="F25" s="94" t="s">
        <v>496</v>
      </c>
      <c r="G25" s="94" t="s">
        <v>170</v>
      </c>
      <c r="H25" s="93" t="s">
        <v>27</v>
      </c>
      <c r="I25" s="96">
        <v>0</v>
      </c>
      <c r="J25" s="97">
        <v>0</v>
      </c>
      <c r="K25" s="98">
        <v>0</v>
      </c>
      <c r="L25" s="98">
        <v>0.5</v>
      </c>
      <c r="M25" s="99"/>
      <c r="N25" s="99"/>
      <c r="O25" s="115">
        <v>0</v>
      </c>
      <c r="P25" s="100">
        <f>VLOOKUP(E25,Likelihood!$A$24:$C$28,3)</f>
        <v>0</v>
      </c>
      <c r="Q25" s="100">
        <f t="shared" si="3"/>
        <v>0</v>
      </c>
      <c r="R25" s="100">
        <f t="shared" si="4"/>
        <v>0</v>
      </c>
      <c r="S25" s="115">
        <v>0.05</v>
      </c>
      <c r="T25" s="100">
        <f t="shared" si="2"/>
        <v>0</v>
      </c>
      <c r="AI25" s="100">
        <f>T25</f>
        <v>0</v>
      </c>
    </row>
    <row r="26" spans="1:35" s="115" customFormat="1" ht="45" customHeight="1">
      <c r="A26" s="91"/>
      <c r="B26" s="101" t="s">
        <v>34</v>
      </c>
      <c r="C26" s="118" t="s">
        <v>35</v>
      </c>
      <c r="D26" s="93" t="s">
        <v>36</v>
      </c>
      <c r="E26" s="94" t="s">
        <v>501</v>
      </c>
      <c r="F26" s="94" t="s">
        <v>496</v>
      </c>
      <c r="G26" s="94" t="s">
        <v>170</v>
      </c>
      <c r="H26" s="93" t="s">
        <v>27</v>
      </c>
      <c r="I26" s="96">
        <v>0</v>
      </c>
      <c r="J26" s="97">
        <v>0</v>
      </c>
      <c r="K26" s="98">
        <v>0</v>
      </c>
      <c r="L26" s="98">
        <v>0.5</v>
      </c>
      <c r="M26" s="99"/>
      <c r="N26" s="99"/>
      <c r="O26" s="115">
        <v>0</v>
      </c>
      <c r="P26" s="100">
        <f>VLOOKUP(E26,Likelihood!$A$24:$C$28,3)</f>
        <v>0</v>
      </c>
      <c r="Q26" s="100">
        <f t="shared" si="3"/>
        <v>0</v>
      </c>
      <c r="R26" s="100">
        <f t="shared" si="4"/>
        <v>0</v>
      </c>
      <c r="S26" s="115">
        <v>0.05</v>
      </c>
      <c r="T26" s="100">
        <f t="shared" si="2"/>
        <v>0</v>
      </c>
      <c r="AI26" s="100">
        <f>T26</f>
        <v>0</v>
      </c>
    </row>
    <row r="27" spans="1:34" s="115" customFormat="1" ht="45" customHeight="1">
      <c r="A27" s="91"/>
      <c r="B27" s="94" t="s">
        <v>37</v>
      </c>
      <c r="C27" s="118" t="s">
        <v>38</v>
      </c>
      <c r="D27" s="93" t="s">
        <v>39</v>
      </c>
      <c r="E27" s="94" t="s">
        <v>501</v>
      </c>
      <c r="F27" s="94" t="s">
        <v>496</v>
      </c>
      <c r="G27" s="94" t="s">
        <v>170</v>
      </c>
      <c r="H27" s="93" t="s">
        <v>27</v>
      </c>
      <c r="I27" s="96">
        <v>0</v>
      </c>
      <c r="J27" s="97">
        <v>0</v>
      </c>
      <c r="K27" s="98">
        <v>0</v>
      </c>
      <c r="L27" s="98">
        <v>0.5</v>
      </c>
      <c r="M27" s="99"/>
      <c r="N27" s="99"/>
      <c r="O27" s="115">
        <v>0</v>
      </c>
      <c r="P27" s="100">
        <f>VLOOKUP(E27,Likelihood!$A$24:$C$28,3)</f>
        <v>0</v>
      </c>
      <c r="Q27" s="100">
        <f t="shared" si="3"/>
        <v>0</v>
      </c>
      <c r="R27" s="100">
        <f t="shared" si="4"/>
        <v>0</v>
      </c>
      <c r="S27" s="115">
        <v>0.05</v>
      </c>
      <c r="T27" s="100">
        <f t="shared" si="2"/>
        <v>0</v>
      </c>
      <c r="AA27" s="115">
        <f>0.5*T27</f>
        <v>0</v>
      </c>
      <c r="AH27" s="115">
        <f>0.5*T27</f>
        <v>0</v>
      </c>
    </row>
    <row r="28" spans="1:34" s="115" customFormat="1" ht="45" customHeight="1">
      <c r="A28" s="91">
        <v>20</v>
      </c>
      <c r="B28" s="94" t="s">
        <v>40</v>
      </c>
      <c r="C28" s="93" t="s">
        <v>41</v>
      </c>
      <c r="D28" s="93" t="s">
        <v>42</v>
      </c>
      <c r="E28" s="94" t="s">
        <v>495</v>
      </c>
      <c r="F28" s="94" t="s">
        <v>502</v>
      </c>
      <c r="G28" s="94" t="s">
        <v>170</v>
      </c>
      <c r="H28" s="93" t="s">
        <v>43</v>
      </c>
      <c r="I28" s="96">
        <v>25</v>
      </c>
      <c r="J28" s="97">
        <v>75</v>
      </c>
      <c r="K28" s="98">
        <v>0</v>
      </c>
      <c r="L28" s="98">
        <v>0</v>
      </c>
      <c r="M28" s="99"/>
      <c r="N28" s="99">
        <v>0</v>
      </c>
      <c r="P28" s="100">
        <f>VLOOKUP(E28,Likelihood!$A$24:$C$28,3)</f>
        <v>0</v>
      </c>
      <c r="Q28" s="100">
        <f t="shared" si="3"/>
        <v>0</v>
      </c>
      <c r="R28" s="100">
        <f t="shared" si="4"/>
        <v>0</v>
      </c>
      <c r="S28" s="115">
        <v>0.25</v>
      </c>
      <c r="T28" s="100">
        <f t="shared" si="2"/>
        <v>18.75</v>
      </c>
      <c r="AA28" s="115">
        <f>0.5*T28</f>
        <v>9.375</v>
      </c>
      <c r="AH28" s="115">
        <f>0.5*T28</f>
        <v>9.375</v>
      </c>
    </row>
    <row r="29" spans="1:34" s="115" customFormat="1" ht="45" customHeight="1">
      <c r="A29" s="91">
        <v>21</v>
      </c>
      <c r="B29" s="110">
        <v>7503</v>
      </c>
      <c r="C29" s="111" t="s">
        <v>44</v>
      </c>
      <c r="D29" s="93" t="s">
        <v>45</v>
      </c>
      <c r="E29" s="94" t="s">
        <v>501</v>
      </c>
      <c r="F29" s="94" t="s">
        <v>496</v>
      </c>
      <c r="G29" s="94" t="s">
        <v>170</v>
      </c>
      <c r="H29" s="93" t="s">
        <v>46</v>
      </c>
      <c r="I29" s="96">
        <v>50</v>
      </c>
      <c r="J29" s="97">
        <v>200</v>
      </c>
      <c r="K29" s="98">
        <v>0</v>
      </c>
      <c r="L29" s="98">
        <v>0</v>
      </c>
      <c r="M29" s="99"/>
      <c r="N29" s="99">
        <v>0</v>
      </c>
      <c r="P29" s="100">
        <f>VLOOKUP(E29,Likelihood!$A$24:$C$28,3)</f>
        <v>0</v>
      </c>
      <c r="Q29" s="100">
        <f t="shared" si="3"/>
        <v>0</v>
      </c>
      <c r="R29" s="100">
        <f t="shared" si="4"/>
        <v>0</v>
      </c>
      <c r="S29" s="115">
        <v>0.05</v>
      </c>
      <c r="T29" s="100">
        <f t="shared" si="2"/>
        <v>10</v>
      </c>
      <c r="AH29" s="115">
        <f>T29</f>
        <v>10</v>
      </c>
    </row>
    <row r="30" spans="1:20" ht="45" customHeight="1">
      <c r="A30" s="91">
        <v>22</v>
      </c>
      <c r="B30" s="119" t="s">
        <v>47</v>
      </c>
      <c r="C30" s="111" t="s">
        <v>48</v>
      </c>
      <c r="D30" s="93" t="s">
        <v>49</v>
      </c>
      <c r="E30" s="94" t="s">
        <v>5</v>
      </c>
      <c r="F30" s="94"/>
      <c r="G30" s="94"/>
      <c r="H30" s="93"/>
      <c r="I30" s="96"/>
      <c r="J30" s="97"/>
      <c r="K30" s="98"/>
      <c r="L30" s="98"/>
      <c r="M30" s="99"/>
      <c r="N30" s="99"/>
      <c r="P30" s="100">
        <f>VLOOKUP(E30,Likelihood!$A$24:$C$28,3)</f>
        <v>0</v>
      </c>
      <c r="Q30" s="100">
        <f t="shared" si="3"/>
        <v>0</v>
      </c>
      <c r="R30" s="100">
        <f t="shared" si="4"/>
        <v>0</v>
      </c>
      <c r="T30" s="100">
        <f t="shared" si="2"/>
        <v>0</v>
      </c>
    </row>
    <row r="31" spans="1:20" s="115" customFormat="1" ht="45" customHeight="1">
      <c r="A31" s="91">
        <v>23</v>
      </c>
      <c r="B31" s="120">
        <v>8101</v>
      </c>
      <c r="C31" s="111" t="s">
        <v>50</v>
      </c>
      <c r="D31" s="93" t="s">
        <v>51</v>
      </c>
      <c r="E31" s="94" t="s">
        <v>5</v>
      </c>
      <c r="F31" s="94"/>
      <c r="G31" s="94"/>
      <c r="H31" s="93"/>
      <c r="I31" s="96"/>
      <c r="J31" s="97"/>
      <c r="K31" s="98"/>
      <c r="L31" s="98"/>
      <c r="M31" s="99"/>
      <c r="N31" s="99"/>
      <c r="P31" s="100">
        <f>VLOOKUP(E31,Likelihood!$A$24:$C$28,3)</f>
        <v>0</v>
      </c>
      <c r="Q31" s="100">
        <f t="shared" si="3"/>
        <v>0</v>
      </c>
      <c r="R31" s="100">
        <f t="shared" si="4"/>
        <v>0</v>
      </c>
      <c r="T31" s="100">
        <f t="shared" si="2"/>
        <v>0</v>
      </c>
    </row>
    <row r="32" spans="1:20" s="115" customFormat="1" ht="45" customHeight="1">
      <c r="A32" s="91">
        <v>24</v>
      </c>
      <c r="B32" s="110" t="s">
        <v>52</v>
      </c>
      <c r="C32" s="111" t="s">
        <v>53</v>
      </c>
      <c r="D32" s="93" t="s">
        <v>54</v>
      </c>
      <c r="E32" s="94" t="s">
        <v>495</v>
      </c>
      <c r="F32" s="94" t="s">
        <v>502</v>
      </c>
      <c r="G32" s="94" t="s">
        <v>170</v>
      </c>
      <c r="H32" s="116" t="s">
        <v>55</v>
      </c>
      <c r="I32" s="96"/>
      <c r="J32" s="97"/>
      <c r="K32" s="98"/>
      <c r="L32" s="98"/>
      <c r="M32" s="99"/>
      <c r="N32" s="99"/>
      <c r="P32" s="100">
        <f>VLOOKUP(E32,Likelihood!$A$24:$C$28,3)</f>
        <v>0</v>
      </c>
      <c r="Q32" s="100">
        <f t="shared" si="3"/>
        <v>0</v>
      </c>
      <c r="R32" s="100">
        <f t="shared" si="4"/>
        <v>0</v>
      </c>
      <c r="T32" s="100">
        <f t="shared" si="2"/>
        <v>0</v>
      </c>
    </row>
    <row r="33" spans="1:25" ht="45" customHeight="1">
      <c r="A33" s="91">
        <v>25</v>
      </c>
      <c r="B33" s="91">
        <v>8101</v>
      </c>
      <c r="C33" s="93" t="s">
        <v>56</v>
      </c>
      <c r="D33" s="93" t="s">
        <v>57</v>
      </c>
      <c r="E33" s="94" t="s">
        <v>58</v>
      </c>
      <c r="F33" s="94" t="s">
        <v>496</v>
      </c>
      <c r="G33" s="94" t="s">
        <v>511</v>
      </c>
      <c r="H33" s="93" t="s">
        <v>59</v>
      </c>
      <c r="I33" s="96">
        <f>'Escalation Risk'!J37</f>
        <v>37.00114244999999</v>
      </c>
      <c r="J33" s="97">
        <f>'Escalation Risk'!J39</f>
        <v>266.16479999999996</v>
      </c>
      <c r="K33" s="98">
        <v>0</v>
      </c>
      <c r="L33" s="98">
        <v>0</v>
      </c>
      <c r="M33" s="99"/>
      <c r="N33" s="99">
        <v>0</v>
      </c>
      <c r="P33" s="100">
        <f>VLOOKUP(E33,Likelihood!$A$24:$C$28,3)</f>
        <v>0</v>
      </c>
      <c r="Q33" s="100">
        <f t="shared" si="3"/>
        <v>0</v>
      </c>
      <c r="R33" s="100">
        <f t="shared" si="4"/>
        <v>0</v>
      </c>
      <c r="S33" s="100">
        <v>0.9</v>
      </c>
      <c r="T33" s="100">
        <f t="shared" si="2"/>
        <v>239.54831999999996</v>
      </c>
      <c r="U33" s="100">
        <f>'Escalation Risk'!E49*'Risk Model'!T33</f>
        <v>8.841931175468483</v>
      </c>
      <c r="W33" s="100">
        <f>'Escalation Risk'!E50*'Risk Model'!T33</f>
        <v>25.422441431005108</v>
      </c>
      <c r="Y33" s="100">
        <f>'Escalation Risk'!E51*'Risk Model'!T33</f>
        <v>205.2839473935264</v>
      </c>
    </row>
    <row r="34" spans="1:31" ht="45" customHeight="1">
      <c r="A34" s="91">
        <v>26</v>
      </c>
      <c r="B34" s="120">
        <v>8101</v>
      </c>
      <c r="C34" s="111" t="s">
        <v>60</v>
      </c>
      <c r="D34" s="93" t="s">
        <v>57</v>
      </c>
      <c r="E34" s="94" t="s">
        <v>58</v>
      </c>
      <c r="F34" s="94" t="s">
        <v>502</v>
      </c>
      <c r="G34" s="94" t="s">
        <v>170</v>
      </c>
      <c r="H34" s="93" t="s">
        <v>61</v>
      </c>
      <c r="I34" s="121">
        <v>11</v>
      </c>
      <c r="J34" s="122">
        <v>81</v>
      </c>
      <c r="K34" s="98">
        <v>0</v>
      </c>
      <c r="L34" s="98">
        <v>0</v>
      </c>
      <c r="M34" s="99"/>
      <c r="N34" s="99">
        <v>0</v>
      </c>
      <c r="P34" s="100">
        <f>VLOOKUP(E34,Likelihood!$A$24:$C$28,3)</f>
        <v>0</v>
      </c>
      <c r="Q34" s="100">
        <f t="shared" si="3"/>
        <v>0</v>
      </c>
      <c r="R34" s="100">
        <f t="shared" si="4"/>
        <v>0</v>
      </c>
      <c r="S34" s="100">
        <v>0.9</v>
      </c>
      <c r="T34" s="100">
        <f t="shared" si="2"/>
        <v>72.9</v>
      </c>
      <c r="V34" s="100">
        <f>'Escalation Risk'!E43*'Risk Model'!T34</f>
        <v>14.795202952029522</v>
      </c>
      <c r="W34" s="100">
        <f>'Escalation Risk'!E44*'Risk Model'!T34</f>
        <v>17.09070110701107</v>
      </c>
      <c r="AA34" s="100">
        <f>'Escalation Risk'!E45*'Risk Model'!T34</f>
        <v>6.043616236162362</v>
      </c>
      <c r="AE34" s="100">
        <f>'Escalation Risk'!E46*'Risk Model'!T34</f>
        <v>34.97047970479705</v>
      </c>
    </row>
    <row r="35" spans="1:35" s="115" customFormat="1" ht="45" customHeight="1">
      <c r="A35" s="91">
        <v>27</v>
      </c>
      <c r="B35" s="91">
        <v>8101</v>
      </c>
      <c r="C35" s="93" t="s">
        <v>62</v>
      </c>
      <c r="D35" s="93"/>
      <c r="E35" s="94" t="s">
        <v>200</v>
      </c>
      <c r="F35" s="94" t="s">
        <v>496</v>
      </c>
      <c r="G35" s="94" t="s">
        <v>511</v>
      </c>
      <c r="H35" s="93" t="s">
        <v>63</v>
      </c>
      <c r="I35" s="96">
        <v>-500</v>
      </c>
      <c r="J35" s="97">
        <v>500</v>
      </c>
      <c r="K35" s="98">
        <v>-0.5</v>
      </c>
      <c r="L35" s="98">
        <v>0.5</v>
      </c>
      <c r="M35" s="99"/>
      <c r="N35" s="99">
        <v>0</v>
      </c>
      <c r="O35" s="115">
        <v>0</v>
      </c>
      <c r="P35" s="100">
        <f>VLOOKUP(E35,Likelihood!$A$24:$C$28,3)</f>
        <v>0</v>
      </c>
      <c r="Q35" s="100">
        <f t="shared" si="3"/>
        <v>0</v>
      </c>
      <c r="R35" s="100">
        <f t="shared" si="4"/>
        <v>0</v>
      </c>
      <c r="S35" s="115">
        <v>0.6</v>
      </c>
      <c r="T35" s="100">
        <f t="shared" si="2"/>
        <v>300</v>
      </c>
      <c r="U35" s="115">
        <f>T35*'WBS Summary'!L5</f>
        <v>0.9210858570959952</v>
      </c>
      <c r="V35" s="115">
        <f>T35*'WBS Summary'!L6</f>
        <v>20.41586920250437</v>
      </c>
      <c r="W35" s="115">
        <f>T35*'WBS Summary'!L7</f>
        <v>36.819952848333536</v>
      </c>
      <c r="X35" s="115">
        <f>T35*'WBS Summary'!L8</f>
        <v>7.447803954792927</v>
      </c>
      <c r="Y35" s="115">
        <f>T35*'WBS Summary'!L9</f>
        <v>5.084792761582012</v>
      </c>
      <c r="Z35" s="115">
        <f>T35*'WBS Summary'!L10</f>
        <v>4.631034669926535</v>
      </c>
      <c r="AA35" s="115">
        <f>T35*'WBS Summary'!L11</f>
        <v>59.61741779727616</v>
      </c>
      <c r="AB35" s="115">
        <f>T35*'WBS Summary'!L12</f>
        <v>9.556177269498441</v>
      </c>
      <c r="AC35" s="115">
        <f>T35*'WBS Summary'!L13</f>
        <v>1.4187978920986741</v>
      </c>
      <c r="AD35" s="115">
        <f>T35*'WBS Summary'!L14</f>
        <v>4.2313192790845315</v>
      </c>
      <c r="AE35" s="115">
        <f>T35*'WBS Summary'!L15</f>
        <v>14.305327099936523</v>
      </c>
      <c r="AF35" s="115">
        <f>T35*'WBS Summary'!L16</f>
        <v>6.70253387108574</v>
      </c>
      <c r="AG35" s="115">
        <f>T35*'WBS Summary'!L17</f>
        <v>8.137320378818094</v>
      </c>
      <c r="AH35" s="115">
        <f>T35*'WBS Summary'!L18</f>
        <v>46.912840215321225</v>
      </c>
      <c r="AI35" s="115">
        <f>T35*'WBS Summary'!L19</f>
        <v>73.79772690264528</v>
      </c>
    </row>
    <row r="36" spans="1:34" s="115" customFormat="1" ht="45" customHeight="1">
      <c r="A36" s="91">
        <v>28</v>
      </c>
      <c r="B36" s="94" t="s">
        <v>64</v>
      </c>
      <c r="C36" s="93" t="s">
        <v>65</v>
      </c>
      <c r="D36" s="93" t="s">
        <v>66</v>
      </c>
      <c r="E36" s="94" t="s">
        <v>495</v>
      </c>
      <c r="F36" s="94" t="s">
        <v>496</v>
      </c>
      <c r="G36" s="94" t="s">
        <v>170</v>
      </c>
      <c r="H36" s="93" t="s">
        <v>67</v>
      </c>
      <c r="I36" s="96">
        <v>0</v>
      </c>
      <c r="J36" s="97">
        <v>150</v>
      </c>
      <c r="K36" s="98">
        <v>0</v>
      </c>
      <c r="L36" s="98">
        <v>0.5</v>
      </c>
      <c r="M36" s="99"/>
      <c r="N36" s="99">
        <v>0</v>
      </c>
      <c r="O36" s="115">
        <v>0</v>
      </c>
      <c r="P36" s="100">
        <f>VLOOKUP(E36,Likelihood!$A$24:$C$28,3)</f>
        <v>0</v>
      </c>
      <c r="Q36" s="100">
        <f t="shared" si="3"/>
        <v>0</v>
      </c>
      <c r="R36" s="100">
        <f t="shared" si="4"/>
        <v>0</v>
      </c>
      <c r="S36" s="115">
        <v>0.25</v>
      </c>
      <c r="T36" s="100">
        <f t="shared" si="2"/>
        <v>37.5</v>
      </c>
      <c r="AA36" s="115">
        <f>0.67*T36</f>
        <v>25.125</v>
      </c>
      <c r="AH36" s="115">
        <f>0.33*T36</f>
        <v>12.375</v>
      </c>
    </row>
    <row r="37" spans="1:22" s="115" customFormat="1" ht="45" customHeight="1">
      <c r="A37" s="91">
        <v>29</v>
      </c>
      <c r="B37" s="91">
        <v>1352</v>
      </c>
      <c r="C37" s="93" t="s">
        <v>68</v>
      </c>
      <c r="D37" s="93" t="s">
        <v>69</v>
      </c>
      <c r="E37" s="94" t="s">
        <v>495</v>
      </c>
      <c r="F37" s="94" t="s">
        <v>496</v>
      </c>
      <c r="G37" s="94" t="s">
        <v>170</v>
      </c>
      <c r="H37" s="93" t="s">
        <v>70</v>
      </c>
      <c r="I37" s="96">
        <v>0</v>
      </c>
      <c r="J37" s="97">
        <v>300</v>
      </c>
      <c r="K37" s="98">
        <v>0</v>
      </c>
      <c r="L37" s="98">
        <v>0</v>
      </c>
      <c r="M37" s="99"/>
      <c r="N37" s="99">
        <v>0</v>
      </c>
      <c r="P37" s="100">
        <f>VLOOKUP(E37,Likelihood!$A$24:$C$28,3)</f>
        <v>0</v>
      </c>
      <c r="Q37" s="100">
        <f t="shared" si="3"/>
        <v>0</v>
      </c>
      <c r="R37" s="100">
        <f t="shared" si="4"/>
        <v>0</v>
      </c>
      <c r="S37" s="115">
        <v>0.25</v>
      </c>
      <c r="T37" s="100">
        <f t="shared" si="2"/>
        <v>75</v>
      </c>
      <c r="V37" s="115">
        <f>T37</f>
        <v>75</v>
      </c>
    </row>
    <row r="38" spans="1:35" ht="45" customHeight="1">
      <c r="A38" s="91">
        <v>30</v>
      </c>
      <c r="B38" s="91">
        <v>8101</v>
      </c>
      <c r="C38" s="93" t="s">
        <v>71</v>
      </c>
      <c r="D38" s="93"/>
      <c r="E38" s="94" t="s">
        <v>495</v>
      </c>
      <c r="F38" s="94" t="s">
        <v>515</v>
      </c>
      <c r="G38" s="94" t="s">
        <v>511</v>
      </c>
      <c r="H38" s="93" t="s">
        <v>72</v>
      </c>
      <c r="I38" s="96">
        <v>0</v>
      </c>
      <c r="J38" s="97">
        <v>0</v>
      </c>
      <c r="K38" s="98">
        <v>-2</v>
      </c>
      <c r="L38" s="98">
        <v>2</v>
      </c>
      <c r="M38" s="99"/>
      <c r="N38" s="99"/>
      <c r="O38" s="100">
        <v>0</v>
      </c>
      <c r="P38" s="100">
        <f>VLOOKUP(E38,Likelihood!$A$24:$C$28,3)</f>
        <v>0</v>
      </c>
      <c r="Q38" s="100">
        <f t="shared" si="3"/>
        <v>0</v>
      </c>
      <c r="R38" s="100">
        <f t="shared" si="4"/>
        <v>0</v>
      </c>
      <c r="S38" s="100">
        <v>0.25</v>
      </c>
      <c r="T38" s="100">
        <f t="shared" si="2"/>
        <v>0</v>
      </c>
      <c r="AI38" s="100">
        <f>T38</f>
        <v>0</v>
      </c>
    </row>
    <row r="39" spans="1:35" ht="45" customHeight="1">
      <c r="A39" s="91">
        <v>31</v>
      </c>
      <c r="B39" s="120">
        <v>8101</v>
      </c>
      <c r="C39" s="111" t="s">
        <v>73</v>
      </c>
      <c r="D39" s="93"/>
      <c r="E39" s="94" t="s">
        <v>495</v>
      </c>
      <c r="F39" s="94" t="s">
        <v>515</v>
      </c>
      <c r="G39" s="94" t="s">
        <v>511</v>
      </c>
      <c r="H39" s="93" t="s">
        <v>74</v>
      </c>
      <c r="I39" s="96">
        <f>-45000*0.02</f>
        <v>-900</v>
      </c>
      <c r="J39" s="97">
        <v>0</v>
      </c>
      <c r="K39" s="98">
        <v>-1</v>
      </c>
      <c r="L39" s="98">
        <v>0</v>
      </c>
      <c r="M39" s="99"/>
      <c r="N39" s="99">
        <v>0</v>
      </c>
      <c r="O39" s="100">
        <v>0</v>
      </c>
      <c r="P39" s="100">
        <f>VLOOKUP(E39,Likelihood!$A$24:$C$28,3)</f>
        <v>0</v>
      </c>
      <c r="Q39" s="100">
        <f t="shared" si="3"/>
        <v>0</v>
      </c>
      <c r="R39" s="100">
        <f t="shared" si="4"/>
        <v>0</v>
      </c>
      <c r="S39" s="100">
        <v>0.25</v>
      </c>
      <c r="T39" s="100">
        <f t="shared" si="2"/>
        <v>0</v>
      </c>
      <c r="AI39" s="100">
        <f>T39</f>
        <v>0</v>
      </c>
    </row>
    <row r="40" spans="1:35" s="124" customFormat="1" ht="29.25" customHeight="1">
      <c r="A40" s="282" t="s">
        <v>76</v>
      </c>
      <c r="B40" s="283"/>
      <c r="C40" s="283"/>
      <c r="D40" s="283"/>
      <c r="E40" s="283"/>
      <c r="F40" s="283"/>
      <c r="G40" s="283"/>
      <c r="H40" s="283"/>
      <c r="I40" s="283"/>
      <c r="J40" s="283"/>
      <c r="K40" s="283"/>
      <c r="L40" s="283"/>
      <c r="M40" s="123"/>
      <c r="N40" s="123"/>
      <c r="T40" s="124">
        <f>SUM(T4:T39)</f>
        <v>1198.44832</v>
      </c>
      <c r="U40" s="124">
        <f>SUM(U4:U39)</f>
        <v>9.763017032564479</v>
      </c>
      <c r="V40" s="124">
        <f aca="true" t="shared" si="5" ref="V40:AG40">SUM(V4:V39)</f>
        <v>163.7110721545339</v>
      </c>
      <c r="W40" s="124">
        <f t="shared" si="5"/>
        <v>379.33309538634967</v>
      </c>
      <c r="X40" s="124">
        <f t="shared" si="5"/>
        <v>7.447803954792927</v>
      </c>
      <c r="Y40" s="124">
        <f t="shared" si="5"/>
        <v>210.3687401551084</v>
      </c>
      <c r="Z40" s="124">
        <f t="shared" si="5"/>
        <v>4.631034669926535</v>
      </c>
      <c r="AA40" s="124">
        <f t="shared" si="5"/>
        <v>118.91103403343853</v>
      </c>
      <c r="AB40" s="124">
        <f t="shared" si="5"/>
        <v>9.556177269498441</v>
      </c>
      <c r="AC40" s="124">
        <f t="shared" si="5"/>
        <v>1.4187978920986741</v>
      </c>
      <c r="AD40" s="124">
        <f t="shared" si="5"/>
        <v>4.2313192790845315</v>
      </c>
      <c r="AE40" s="124">
        <f t="shared" si="5"/>
        <v>49.27580680473358</v>
      </c>
      <c r="AF40" s="124">
        <f t="shared" si="5"/>
        <v>6.70253387108574</v>
      </c>
      <c r="AG40" s="124">
        <f t="shared" si="5"/>
        <v>8.137320378818094</v>
      </c>
      <c r="AH40" s="124">
        <f>SUM(AH4:AH39)</f>
        <v>151.16284021532124</v>
      </c>
      <c r="AI40" s="124">
        <f>SUM(AI4:AI39)</f>
        <v>73.79772690264528</v>
      </c>
    </row>
    <row r="41" spans="1:18" s="124" customFormat="1" ht="15">
      <c r="A41" s="123"/>
      <c r="B41" s="123"/>
      <c r="C41" s="125"/>
      <c r="D41" s="125"/>
      <c r="E41" s="123"/>
      <c r="F41" s="123"/>
      <c r="G41" s="123"/>
      <c r="H41" s="123"/>
      <c r="I41" s="123"/>
      <c r="J41" s="123"/>
      <c r="K41" s="123"/>
      <c r="L41" s="123"/>
      <c r="M41" s="123"/>
      <c r="N41" s="123"/>
      <c r="Q41" s="124">
        <f>SUM(Q4:Q39)</f>
        <v>0</v>
      </c>
      <c r="R41" s="124">
        <f>SUM(R4:R39)</f>
        <v>0</v>
      </c>
    </row>
    <row r="42" spans="1:35" s="124" customFormat="1" ht="15">
      <c r="A42" s="123"/>
      <c r="B42" s="123"/>
      <c r="C42" s="125"/>
      <c r="D42" s="125"/>
      <c r="E42" s="123"/>
      <c r="F42" s="123"/>
      <c r="G42" s="126"/>
      <c r="H42" s="123"/>
      <c r="I42" s="123"/>
      <c r="J42" s="123"/>
      <c r="K42" s="123"/>
      <c r="L42" s="123"/>
      <c r="M42" s="123"/>
      <c r="N42" s="123"/>
      <c r="T42" s="169">
        <f>SUM(U42:AI42)</f>
        <v>1</v>
      </c>
      <c r="U42" s="180">
        <f>U40/$T$40</f>
        <v>0.00814638134130346</v>
      </c>
      <c r="V42" s="180">
        <f aca="true" t="shared" si="6" ref="V42:AI42">V40/$T$40</f>
        <v>0.13660252963977113</v>
      </c>
      <c r="W42" s="180">
        <f t="shared" si="6"/>
        <v>0.31652019453483793</v>
      </c>
      <c r="X42" s="180">
        <f t="shared" si="6"/>
        <v>0.0062145391090313576</v>
      </c>
      <c r="Y42" s="180">
        <f t="shared" si="6"/>
        <v>0.17553426096430125</v>
      </c>
      <c r="Z42" s="180">
        <f t="shared" si="6"/>
        <v>0.003864192216420759</v>
      </c>
      <c r="AA42" s="180">
        <f t="shared" si="6"/>
        <v>0.09922082750588572</v>
      </c>
      <c r="AB42" s="180">
        <f t="shared" si="6"/>
        <v>0.00797379170217239</v>
      </c>
      <c r="AC42" s="180">
        <f t="shared" si="6"/>
        <v>0.0011838623897429922</v>
      </c>
      <c r="AD42" s="180">
        <f t="shared" si="6"/>
        <v>0.0035306647841807075</v>
      </c>
      <c r="AE42" s="180">
        <f t="shared" si="6"/>
        <v>0.041116338504052954</v>
      </c>
      <c r="AF42" s="180">
        <f t="shared" si="6"/>
        <v>0.005592676596255515</v>
      </c>
      <c r="AG42" s="180">
        <f t="shared" si="6"/>
        <v>0.006789880083288109</v>
      </c>
      <c r="AH42" s="180">
        <f t="shared" si="6"/>
        <v>0.12613213076665772</v>
      </c>
      <c r="AI42" s="180">
        <f t="shared" si="6"/>
        <v>0.061577729862098085</v>
      </c>
    </row>
    <row r="43" spans="1:14" s="124" customFormat="1" ht="15">
      <c r="A43" s="123"/>
      <c r="B43" s="123"/>
      <c r="C43" s="125"/>
      <c r="D43" s="125"/>
      <c r="E43" s="127"/>
      <c r="F43" s="123"/>
      <c r="G43" s="126"/>
      <c r="H43" s="123"/>
      <c r="I43" s="123"/>
      <c r="J43" s="123"/>
      <c r="K43" s="123"/>
      <c r="L43" s="123"/>
      <c r="M43" s="123"/>
      <c r="N43" s="123"/>
    </row>
    <row r="44" spans="1:35" s="124" customFormat="1" ht="15">
      <c r="A44" s="123"/>
      <c r="B44" s="123"/>
      <c r="C44" s="125"/>
      <c r="D44" s="125"/>
      <c r="E44" s="123"/>
      <c r="F44" s="123"/>
      <c r="G44" s="126"/>
      <c r="H44" s="123"/>
      <c r="I44" s="123"/>
      <c r="J44" s="123"/>
      <c r="K44" s="123"/>
      <c r="L44" s="123"/>
      <c r="M44" s="123"/>
      <c r="N44" s="123"/>
      <c r="R44" s="181" t="s">
        <v>105</v>
      </c>
      <c r="S44" s="181"/>
      <c r="T44" s="182">
        <f>Summary!C19</f>
        <v>1281.8617042541896</v>
      </c>
      <c r="U44" s="124">
        <f>U42*$T$44</f>
        <v>10.442534269667785</v>
      </c>
      <c r="V44" s="124">
        <f aca="true" t="shared" si="7" ref="V44:AI44">V42*$T$44</f>
        <v>175.10555144947045</v>
      </c>
      <c r="W44" s="124">
        <f t="shared" si="7"/>
        <v>405.735115997295</v>
      </c>
      <c r="X44" s="124">
        <f t="shared" si="7"/>
        <v>7.966179693457249</v>
      </c>
      <c r="Y44" s="124">
        <f t="shared" si="7"/>
        <v>225.01064691469887</v>
      </c>
      <c r="Z44" s="124">
        <f t="shared" si="7"/>
        <v>4.953360020106889</v>
      </c>
      <c r="AA44" s="124">
        <f t="shared" si="7"/>
        <v>127.18737904420564</v>
      </c>
      <c r="AB44" s="124">
        <f t="shared" si="7"/>
        <v>10.221298220714615</v>
      </c>
      <c r="AC44" s="124">
        <f t="shared" si="7"/>
        <v>1.5175478605183896</v>
      </c>
      <c r="AD44" s="124">
        <f t="shared" si="7"/>
        <v>4.525823977400132</v>
      </c>
      <c r="AE44" s="124">
        <f t="shared" si="7"/>
        <v>52.70545974749748</v>
      </c>
      <c r="AF44" s="124">
        <f t="shared" si="7"/>
        <v>7.169037953018615</v>
      </c>
      <c r="AG44" s="124">
        <f t="shared" si="7"/>
        <v>8.703687255245274</v>
      </c>
      <c r="AH44" s="124">
        <f t="shared" si="7"/>
        <v>161.68394810576015</v>
      </c>
      <c r="AI44" s="124">
        <f t="shared" si="7"/>
        <v>78.93413374513315</v>
      </c>
    </row>
    <row r="45" spans="1:14" s="124" customFormat="1" ht="15">
      <c r="A45" s="123"/>
      <c r="B45" s="123"/>
      <c r="C45" s="125"/>
      <c r="D45" s="125"/>
      <c r="E45" s="123"/>
      <c r="F45" s="123"/>
      <c r="G45" s="123"/>
      <c r="H45" s="123"/>
      <c r="I45" s="123"/>
      <c r="J45" s="123"/>
      <c r="K45" s="123"/>
      <c r="L45" s="123"/>
      <c r="M45" s="123"/>
      <c r="N45" s="123"/>
    </row>
    <row r="46" spans="1:14" s="124" customFormat="1" ht="15">
      <c r="A46" s="123"/>
      <c r="B46" s="123"/>
      <c r="C46" s="125"/>
      <c r="D46" s="125"/>
      <c r="E46" s="123"/>
      <c r="F46" s="123"/>
      <c r="G46" s="123"/>
      <c r="H46" s="123"/>
      <c r="I46" s="123"/>
      <c r="J46" s="123"/>
      <c r="K46" s="123"/>
      <c r="L46" s="123"/>
      <c r="M46" s="123"/>
      <c r="N46" s="123"/>
    </row>
    <row r="47" spans="1:14" s="124" customFormat="1" ht="15">
      <c r="A47" s="123"/>
      <c r="B47" s="123"/>
      <c r="C47" s="125"/>
      <c r="D47" s="125"/>
      <c r="E47" s="123"/>
      <c r="F47" s="123"/>
      <c r="G47" s="123"/>
      <c r="H47" s="123"/>
      <c r="I47" s="123"/>
      <c r="J47" s="123"/>
      <c r="K47" s="123"/>
      <c r="L47" s="123"/>
      <c r="M47" s="123"/>
      <c r="N47" s="123"/>
    </row>
    <row r="48" spans="1:14" s="124" customFormat="1" ht="15">
      <c r="A48" s="123"/>
      <c r="B48" s="123"/>
      <c r="C48" s="125"/>
      <c r="D48" s="125"/>
      <c r="E48" s="123"/>
      <c r="F48" s="123"/>
      <c r="G48" s="123"/>
      <c r="H48" s="123"/>
      <c r="I48" s="123"/>
      <c r="J48" s="123"/>
      <c r="K48" s="123"/>
      <c r="L48" s="123"/>
      <c r="M48" s="123"/>
      <c r="N48" s="123"/>
    </row>
    <row r="49" spans="1:14" s="124" customFormat="1" ht="15">
      <c r="A49" s="123"/>
      <c r="B49" s="123"/>
      <c r="C49" s="125"/>
      <c r="D49" s="125"/>
      <c r="E49" s="123"/>
      <c r="F49" s="123"/>
      <c r="G49" s="123"/>
      <c r="H49" s="123"/>
      <c r="I49" s="123"/>
      <c r="J49" s="123"/>
      <c r="K49" s="123"/>
      <c r="L49" s="123"/>
      <c r="M49" s="123"/>
      <c r="N49" s="123"/>
    </row>
    <row r="50" spans="1:14" s="124" customFormat="1" ht="15">
      <c r="A50" s="123"/>
      <c r="B50" s="123"/>
      <c r="C50" s="125"/>
      <c r="D50" s="125"/>
      <c r="E50" s="123"/>
      <c r="F50" s="123"/>
      <c r="G50" s="123"/>
      <c r="H50" s="123"/>
      <c r="I50" s="123"/>
      <c r="J50" s="123"/>
      <c r="K50" s="123"/>
      <c r="L50" s="123"/>
      <c r="M50" s="123"/>
      <c r="N50" s="123"/>
    </row>
    <row r="51" spans="1:14" s="124" customFormat="1" ht="15">
      <c r="A51" s="123"/>
      <c r="B51" s="123"/>
      <c r="C51" s="125"/>
      <c r="D51" s="125"/>
      <c r="E51" s="123"/>
      <c r="F51" s="123"/>
      <c r="G51" s="123"/>
      <c r="H51" s="123"/>
      <c r="I51" s="123"/>
      <c r="J51" s="123"/>
      <c r="K51" s="123"/>
      <c r="L51" s="123"/>
      <c r="M51" s="123"/>
      <c r="N51" s="123"/>
    </row>
    <row r="52" spans="1:14" s="124" customFormat="1" ht="15">
      <c r="A52" s="123"/>
      <c r="B52" s="123"/>
      <c r="C52" s="125"/>
      <c r="D52" s="125"/>
      <c r="E52" s="123"/>
      <c r="F52" s="123"/>
      <c r="G52" s="123"/>
      <c r="H52" s="123"/>
      <c r="I52" s="123"/>
      <c r="J52" s="123"/>
      <c r="K52" s="123"/>
      <c r="L52" s="123"/>
      <c r="M52" s="123"/>
      <c r="N52" s="123"/>
    </row>
    <row r="53" spans="1:14" s="124" customFormat="1" ht="15">
      <c r="A53" s="123"/>
      <c r="B53" s="123"/>
      <c r="C53" s="125"/>
      <c r="D53" s="125"/>
      <c r="E53" s="123"/>
      <c r="F53" s="123"/>
      <c r="G53" s="123"/>
      <c r="H53" s="123"/>
      <c r="I53" s="123"/>
      <c r="J53" s="123"/>
      <c r="K53" s="123"/>
      <c r="L53" s="123"/>
      <c r="M53" s="123"/>
      <c r="N53" s="123"/>
    </row>
    <row r="54" spans="1:14" s="124" customFormat="1" ht="15">
      <c r="A54" s="123"/>
      <c r="B54" s="123"/>
      <c r="C54" s="125"/>
      <c r="D54" s="125"/>
      <c r="E54" s="123"/>
      <c r="F54" s="123"/>
      <c r="G54" s="123"/>
      <c r="H54" s="123"/>
      <c r="I54" s="123"/>
      <c r="J54" s="123"/>
      <c r="K54" s="123"/>
      <c r="L54" s="123"/>
      <c r="M54" s="123"/>
      <c r="N54" s="123"/>
    </row>
    <row r="55" spans="1:14" s="124" customFormat="1" ht="15">
      <c r="A55" s="123"/>
      <c r="B55" s="123"/>
      <c r="C55" s="125"/>
      <c r="D55" s="125"/>
      <c r="E55" s="123"/>
      <c r="F55" s="123"/>
      <c r="G55" s="123"/>
      <c r="H55" s="123"/>
      <c r="I55" s="123"/>
      <c r="J55" s="123"/>
      <c r="K55" s="123"/>
      <c r="L55" s="123"/>
      <c r="M55" s="123"/>
      <c r="N55" s="123"/>
    </row>
    <row r="56" spans="1:14" s="124" customFormat="1" ht="15">
      <c r="A56" s="123"/>
      <c r="B56" s="123"/>
      <c r="C56" s="125"/>
      <c r="D56" s="125"/>
      <c r="E56" s="123"/>
      <c r="F56" s="123"/>
      <c r="G56" s="123"/>
      <c r="H56" s="123"/>
      <c r="I56" s="123"/>
      <c r="J56" s="123"/>
      <c r="K56" s="123"/>
      <c r="L56" s="123"/>
      <c r="M56" s="123"/>
      <c r="N56" s="123"/>
    </row>
    <row r="57" spans="1:14" s="124" customFormat="1" ht="15">
      <c r="A57" s="123"/>
      <c r="B57" s="123"/>
      <c r="C57" s="125"/>
      <c r="D57" s="125"/>
      <c r="E57" s="123"/>
      <c r="F57" s="123"/>
      <c r="G57" s="123"/>
      <c r="H57" s="123"/>
      <c r="I57" s="123"/>
      <c r="J57" s="123"/>
      <c r="K57" s="123"/>
      <c r="L57" s="123"/>
      <c r="M57" s="123"/>
      <c r="N57" s="123"/>
    </row>
    <row r="58" spans="1:5" s="124" customFormat="1" ht="15">
      <c r="A58" s="123"/>
      <c r="B58" s="123"/>
      <c r="C58" s="125"/>
      <c r="D58" s="125"/>
      <c r="E58" s="123"/>
    </row>
  </sheetData>
  <mergeCells count="4">
    <mergeCell ref="I2:J2"/>
    <mergeCell ref="K2:L2"/>
    <mergeCell ref="A40:L40"/>
    <mergeCell ref="U2:AI2"/>
  </mergeCells>
  <printOptions gridLines="1"/>
  <pageMargins left="0.18" right="0.14" top="0.56" bottom="0.42" header="0.5" footer="0.16"/>
  <pageSetup fitToHeight="2" fitToWidth="1" horizontalDpi="600" verticalDpi="600" orientation="portrait" scale="74" r:id="rId4"/>
  <headerFooter alignWithMargins="0">
    <oddFooter>&amp;L&amp;F&amp;C&amp;F    &amp;A   &amp;D   &amp;T&amp;R&amp;P  of    &amp;N</oddFooter>
  </headerFooter>
  <colBreaks count="1" manualBreakCount="1">
    <brk id="7" max="40" man="1"/>
  </colBreaks>
  <drawing r:id="rId3"/>
  <legacyDrawing r:id="rId2"/>
</worksheet>
</file>

<file path=xl/worksheets/sheet11.xml><?xml version="1.0" encoding="utf-8"?>
<worksheet xmlns="http://schemas.openxmlformats.org/spreadsheetml/2006/main" xmlns:r="http://schemas.openxmlformats.org/officeDocument/2006/relationships">
  <sheetPr codeName="Sheet3"/>
  <dimension ref="A3:F28"/>
  <sheetViews>
    <sheetView workbookViewId="0" topLeftCell="A1">
      <selection activeCell="B24" sqref="B24"/>
    </sheetView>
  </sheetViews>
  <sheetFormatPr defaultColWidth="9.140625" defaultRowHeight="12.75"/>
  <cols>
    <col min="1" max="1" width="9.140625" style="6" customWidth="1"/>
    <col min="2" max="2" width="17.28125" style="6" customWidth="1"/>
    <col min="3" max="3" width="14.421875" style="6" customWidth="1"/>
    <col min="4" max="4" width="45.7109375" style="6" customWidth="1"/>
    <col min="5" max="5" width="25.8515625" style="6" customWidth="1"/>
    <col min="6" max="16384" width="9.140625" style="6" customWidth="1"/>
  </cols>
  <sheetData>
    <row r="1" ht="12.75"/>
    <row r="2" ht="13.5" thickBot="1"/>
    <row r="3" spans="2:4" ht="13.5" thickBot="1">
      <c r="B3" s="285" t="s">
        <v>77</v>
      </c>
      <c r="C3" s="286"/>
      <c r="D3" s="287" t="s">
        <v>78</v>
      </c>
    </row>
    <row r="4" spans="2:6" ht="13.5" thickBot="1">
      <c r="B4" s="130" t="s">
        <v>79</v>
      </c>
      <c r="C4" s="131" t="s">
        <v>80</v>
      </c>
      <c r="D4" s="288"/>
      <c r="F4" s="50"/>
    </row>
    <row r="5" spans="2:6" ht="39" thickBot="1">
      <c r="B5" s="132" t="s">
        <v>81</v>
      </c>
      <c r="C5" s="133" t="s">
        <v>82</v>
      </c>
      <c r="D5" s="134" t="s">
        <v>83</v>
      </c>
      <c r="F5" s="135"/>
    </row>
    <row r="6" spans="1:6" ht="39" thickBot="1">
      <c r="A6" s="6" t="s">
        <v>501</v>
      </c>
      <c r="B6" s="136" t="s">
        <v>84</v>
      </c>
      <c r="C6" s="134" t="s">
        <v>85</v>
      </c>
      <c r="D6" s="134" t="s">
        <v>86</v>
      </c>
      <c r="F6" s="54"/>
    </row>
    <row r="7" spans="1:6" ht="39" thickBot="1">
      <c r="A7" s="6" t="s">
        <v>495</v>
      </c>
      <c r="B7" s="136" t="s">
        <v>87</v>
      </c>
      <c r="C7" s="134" t="s">
        <v>88</v>
      </c>
      <c r="D7" s="134" t="s">
        <v>89</v>
      </c>
      <c r="F7" s="54"/>
    </row>
    <row r="8" spans="1:6" ht="51.75" thickBot="1">
      <c r="A8" s="6" t="s">
        <v>200</v>
      </c>
      <c r="B8" s="136" t="s">
        <v>90</v>
      </c>
      <c r="C8" s="134" t="s">
        <v>91</v>
      </c>
      <c r="D8" s="134" t="s">
        <v>92</v>
      </c>
      <c r="F8" s="54"/>
    </row>
    <row r="9" spans="1:6" ht="39" thickBot="1">
      <c r="A9" s="6" t="s">
        <v>58</v>
      </c>
      <c r="B9" s="136" t="s">
        <v>93</v>
      </c>
      <c r="C9" s="134" t="s">
        <v>94</v>
      </c>
      <c r="D9" s="134" t="s">
        <v>95</v>
      </c>
      <c r="F9" s="54"/>
    </row>
    <row r="10" ht="12.75">
      <c r="B10" s="137" t="s">
        <v>96</v>
      </c>
    </row>
    <row r="14" ht="12.75">
      <c r="A14" s="49" t="s">
        <v>97</v>
      </c>
    </row>
    <row r="15" ht="12.75">
      <c r="A15" s="6" t="s">
        <v>98</v>
      </c>
    </row>
    <row r="16" ht="12.75">
      <c r="A16" s="6" t="s">
        <v>99</v>
      </c>
    </row>
    <row r="17" ht="12.75">
      <c r="A17" s="6" t="s">
        <v>100</v>
      </c>
    </row>
    <row r="18" ht="12.75">
      <c r="A18" s="6" t="s">
        <v>101</v>
      </c>
    </row>
    <row r="20" ht="12.75">
      <c r="A20" s="6" t="s">
        <v>102</v>
      </c>
    </row>
    <row r="21" ht="12.75">
      <c r="A21" s="6" t="s">
        <v>103</v>
      </c>
    </row>
    <row r="22" ht="12.75">
      <c r="A22" s="6" t="s">
        <v>104</v>
      </c>
    </row>
    <row r="24" spans="1:3" ht="12.75">
      <c r="A24" s="6" t="s">
        <v>200</v>
      </c>
      <c r="B24" s="6">
        <v>0</v>
      </c>
      <c r="C24" s="6">
        <v>0</v>
      </c>
    </row>
    <row r="25" spans="1:3" ht="12.75">
      <c r="A25" s="6" t="s">
        <v>5</v>
      </c>
      <c r="B25" s="6">
        <v>0</v>
      </c>
      <c r="C25" s="6">
        <v>0</v>
      </c>
    </row>
    <row r="26" spans="1:3" ht="12.75">
      <c r="A26" s="6" t="s">
        <v>495</v>
      </c>
      <c r="B26" s="6">
        <v>0</v>
      </c>
      <c r="C26" s="6">
        <v>0</v>
      </c>
    </row>
    <row r="27" spans="1:3" ht="12.75">
      <c r="A27" s="6" t="s">
        <v>58</v>
      </c>
      <c r="B27" s="6">
        <v>0</v>
      </c>
      <c r="C27" s="6">
        <v>0</v>
      </c>
    </row>
    <row r="28" spans="1:3" ht="12.75">
      <c r="A28" s="6" t="s">
        <v>501</v>
      </c>
      <c r="B28" s="6">
        <v>0</v>
      </c>
      <c r="C28" s="6">
        <v>0</v>
      </c>
    </row>
  </sheetData>
  <mergeCells count="2">
    <mergeCell ref="B3:C3"/>
    <mergeCell ref="D3:D4"/>
  </mergeCells>
  <printOptions/>
  <pageMargins left="0.75" right="0.75" top="1" bottom="1" header="0.5" footer="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49"/>
  <sheetViews>
    <sheetView workbookViewId="0" topLeftCell="A30">
      <selection activeCell="N49" sqref="A1:N49"/>
    </sheetView>
  </sheetViews>
  <sheetFormatPr defaultColWidth="9.140625" defaultRowHeight="12.75"/>
  <cols>
    <col min="1" max="1" width="7.00390625" style="138" customWidth="1"/>
    <col min="2" max="2" width="17.57421875" style="138" customWidth="1"/>
    <col min="3" max="16384" width="9.140625" style="138" customWidth="1"/>
  </cols>
  <sheetData>
    <row r="1" spans="2:8" ht="15.75">
      <c r="B1" s="292" t="s">
        <v>173</v>
      </c>
      <c r="C1" s="292"/>
      <c r="D1" s="292"/>
      <c r="E1" s="292"/>
      <c r="F1" s="292"/>
      <c r="G1" s="292"/>
      <c r="H1" s="292"/>
    </row>
    <row r="3" spans="2:8" ht="15.75">
      <c r="B3" s="139"/>
      <c r="C3" s="293" t="s">
        <v>169</v>
      </c>
      <c r="D3" s="293"/>
      <c r="E3" s="293"/>
      <c r="F3" s="293"/>
      <c r="G3" s="293"/>
      <c r="H3" s="294"/>
    </row>
    <row r="4" spans="2:8" ht="15.75">
      <c r="B4" s="140" t="s">
        <v>168</v>
      </c>
      <c r="C4" s="295" t="s">
        <v>170</v>
      </c>
      <c r="D4" s="229"/>
      <c r="E4" s="295" t="s">
        <v>171</v>
      </c>
      <c r="F4" s="229"/>
      <c r="G4" s="295" t="s">
        <v>172</v>
      </c>
      <c r="H4" s="229"/>
    </row>
    <row r="5" spans="2:8" ht="15.75">
      <c r="B5" s="141" t="s">
        <v>170</v>
      </c>
      <c r="C5" s="142">
        <v>-0.15</v>
      </c>
      <c r="D5" s="143">
        <v>0.25</v>
      </c>
      <c r="E5" s="142">
        <v>-0.2</v>
      </c>
      <c r="F5" s="143">
        <v>0.4</v>
      </c>
      <c r="G5" s="142">
        <v>-0.3</v>
      </c>
      <c r="H5" s="143">
        <v>0.6</v>
      </c>
    </row>
    <row r="6" spans="2:8" ht="15.75">
      <c r="B6" s="141" t="s">
        <v>171</v>
      </c>
      <c r="C6" s="142">
        <v>-0.1</v>
      </c>
      <c r="D6" s="143">
        <v>0.15</v>
      </c>
      <c r="E6" s="142">
        <v>-0.15</v>
      </c>
      <c r="F6" s="143">
        <v>0.25</v>
      </c>
      <c r="G6" s="142">
        <v>-0.2</v>
      </c>
      <c r="H6" s="143">
        <v>0.4</v>
      </c>
    </row>
    <row r="7" spans="2:8" ht="15.75">
      <c r="B7" s="144" t="s">
        <v>172</v>
      </c>
      <c r="C7" s="145">
        <v>-0.05</v>
      </c>
      <c r="D7" s="146">
        <v>0.1</v>
      </c>
      <c r="E7" s="145">
        <v>-0.1</v>
      </c>
      <c r="F7" s="146">
        <v>0.15</v>
      </c>
      <c r="G7" s="145">
        <v>-0.15</v>
      </c>
      <c r="H7" s="146">
        <v>0.25</v>
      </c>
    </row>
    <row r="9" spans="3:4" ht="15.75">
      <c r="C9" s="147" t="s">
        <v>170</v>
      </c>
      <c r="D9" s="147" t="s">
        <v>172</v>
      </c>
    </row>
    <row r="10" spans="2:4" ht="15">
      <c r="B10" s="138" t="s">
        <v>185</v>
      </c>
      <c r="C10" s="148">
        <f>$G$7</f>
        <v>-0.15</v>
      </c>
      <c r="D10" s="148">
        <f>$H$7</f>
        <v>0.25</v>
      </c>
    </row>
    <row r="11" spans="2:4" ht="15">
      <c r="B11" s="138" t="s">
        <v>183</v>
      </c>
      <c r="C11" s="148">
        <f>$C$7</f>
        <v>-0.05</v>
      </c>
      <c r="D11" s="148">
        <f>$D$7</f>
        <v>0.1</v>
      </c>
    </row>
    <row r="12" spans="2:4" ht="15">
      <c r="B12" s="138" t="s">
        <v>184</v>
      </c>
      <c r="C12" s="148">
        <f>$E$7</f>
        <v>-0.1</v>
      </c>
      <c r="D12" s="148">
        <f>$F$7</f>
        <v>0.15</v>
      </c>
    </row>
    <row r="13" spans="2:4" ht="15">
      <c r="B13" s="138" t="s">
        <v>177</v>
      </c>
      <c r="C13" s="148">
        <f>$G$5</f>
        <v>-0.3</v>
      </c>
      <c r="D13" s="148">
        <f>$H$5</f>
        <v>0.6</v>
      </c>
    </row>
    <row r="14" spans="2:4" ht="15">
      <c r="B14" s="138" t="s">
        <v>178</v>
      </c>
      <c r="C14" s="148">
        <f>$C$5</f>
        <v>-0.15</v>
      </c>
      <c r="D14" s="148">
        <f>$D$5</f>
        <v>0.25</v>
      </c>
    </row>
    <row r="15" spans="2:4" ht="15">
      <c r="B15" s="138" t="s">
        <v>179</v>
      </c>
      <c r="C15" s="148">
        <f>$E$5</f>
        <v>-0.2</v>
      </c>
      <c r="D15" s="148">
        <f>$F$5</f>
        <v>0.4</v>
      </c>
    </row>
    <row r="16" spans="2:4" ht="15">
      <c r="B16" s="138" t="s">
        <v>182</v>
      </c>
      <c r="C16" s="148">
        <f>$G$6</f>
        <v>-0.2</v>
      </c>
      <c r="D16" s="148">
        <f>$H$6</f>
        <v>0.4</v>
      </c>
    </row>
    <row r="17" spans="2:4" ht="15">
      <c r="B17" s="138" t="s">
        <v>180</v>
      </c>
      <c r="C17" s="148">
        <f>$C$6</f>
        <v>-0.1</v>
      </c>
      <c r="D17" s="148">
        <f>$D$6</f>
        <v>0.15</v>
      </c>
    </row>
    <row r="18" spans="2:4" ht="15">
      <c r="B18" s="138" t="s">
        <v>181</v>
      </c>
      <c r="C18" s="148">
        <f>$E$6</f>
        <v>-0.15</v>
      </c>
      <c r="D18" s="148">
        <f>$F$6</f>
        <v>0.25</v>
      </c>
    </row>
    <row r="19" spans="3:4" ht="15">
      <c r="C19" s="148"/>
      <c r="D19" s="148"/>
    </row>
    <row r="20" spans="3:4" ht="15">
      <c r="C20" s="148"/>
      <c r="D20" s="148"/>
    </row>
    <row r="21" ht="15.75">
      <c r="A21" s="149" t="s">
        <v>188</v>
      </c>
    </row>
    <row r="23" ht="15">
      <c r="A23" s="150" t="s">
        <v>168</v>
      </c>
    </row>
    <row r="24" spans="2:3" ht="15">
      <c r="B24" s="138" t="s">
        <v>172</v>
      </c>
      <c r="C24" s="138" t="s">
        <v>189</v>
      </c>
    </row>
    <row r="25" spans="2:11" ht="15">
      <c r="B25" s="151"/>
      <c r="C25" s="151" t="s">
        <v>190</v>
      </c>
      <c r="D25" s="151"/>
      <c r="E25" s="151"/>
      <c r="F25" s="151"/>
      <c r="G25" s="151"/>
      <c r="H25" s="151"/>
      <c r="I25" s="151"/>
      <c r="J25" s="151"/>
      <c r="K25" s="151"/>
    </row>
    <row r="26" spans="2:11" ht="15">
      <c r="B26" s="152" t="s">
        <v>171</v>
      </c>
      <c r="C26" s="152" t="s">
        <v>199</v>
      </c>
      <c r="D26" s="152"/>
      <c r="E26" s="152"/>
      <c r="F26" s="152"/>
      <c r="G26" s="152"/>
      <c r="H26" s="152"/>
      <c r="I26" s="152"/>
      <c r="J26" s="152"/>
      <c r="K26" s="152"/>
    </row>
    <row r="27" spans="2:11" ht="15">
      <c r="B27" s="151"/>
      <c r="C27" s="151" t="s">
        <v>191</v>
      </c>
      <c r="D27" s="151"/>
      <c r="E27" s="151"/>
      <c r="F27" s="151"/>
      <c r="G27" s="151"/>
      <c r="H27" s="151"/>
      <c r="I27" s="151"/>
      <c r="J27" s="151"/>
      <c r="K27" s="151"/>
    </row>
    <row r="28" spans="2:3" ht="15">
      <c r="B28" s="138" t="s">
        <v>170</v>
      </c>
      <c r="C28" s="138" t="s">
        <v>192</v>
      </c>
    </row>
    <row r="29" spans="2:11" ht="15">
      <c r="B29" s="151"/>
      <c r="C29" s="151" t="s">
        <v>193</v>
      </c>
      <c r="D29" s="151"/>
      <c r="E29" s="151"/>
      <c r="F29" s="151"/>
      <c r="G29" s="151"/>
      <c r="H29" s="151"/>
      <c r="I29" s="151"/>
      <c r="J29" s="151"/>
      <c r="K29" s="151"/>
    </row>
    <row r="30" ht="15">
      <c r="A30" s="150" t="s">
        <v>169</v>
      </c>
    </row>
    <row r="31" spans="2:3" ht="15">
      <c r="B31" s="138" t="s">
        <v>170</v>
      </c>
      <c r="C31" s="138" t="s">
        <v>194</v>
      </c>
    </row>
    <row r="32" spans="2:11" ht="15">
      <c r="B32" s="151"/>
      <c r="C32" s="151" t="s">
        <v>201</v>
      </c>
      <c r="D32" s="151"/>
      <c r="E32" s="151"/>
      <c r="F32" s="151"/>
      <c r="G32" s="151"/>
      <c r="H32" s="151"/>
      <c r="I32" s="151"/>
      <c r="J32" s="151"/>
      <c r="K32" s="151"/>
    </row>
    <row r="33" spans="2:3" ht="15">
      <c r="B33" s="138" t="s">
        <v>171</v>
      </c>
      <c r="C33" s="138" t="s">
        <v>195</v>
      </c>
    </row>
    <row r="34" spans="2:11" ht="15">
      <c r="B34" s="151"/>
      <c r="C34" s="151" t="s">
        <v>196</v>
      </c>
      <c r="D34" s="151"/>
      <c r="E34" s="151"/>
      <c r="F34" s="151"/>
      <c r="G34" s="151"/>
      <c r="H34" s="151"/>
      <c r="I34" s="151"/>
      <c r="J34" s="151"/>
      <c r="K34" s="151"/>
    </row>
    <row r="35" spans="2:3" ht="15">
      <c r="B35" s="138" t="s">
        <v>172</v>
      </c>
      <c r="C35" s="138" t="s">
        <v>197</v>
      </c>
    </row>
    <row r="36" spans="2:11" ht="15">
      <c r="B36" s="151"/>
      <c r="C36" s="151" t="s">
        <v>198</v>
      </c>
      <c r="D36" s="151"/>
      <c r="E36" s="151"/>
      <c r="F36" s="151"/>
      <c r="G36" s="151"/>
      <c r="H36" s="151"/>
      <c r="I36" s="151"/>
      <c r="J36" s="151"/>
      <c r="K36" s="151"/>
    </row>
    <row r="39" ht="15.75">
      <c r="A39" s="149" t="s">
        <v>202</v>
      </c>
    </row>
    <row r="41" spans="1:2" ht="15">
      <c r="A41" s="153" t="s">
        <v>203</v>
      </c>
      <c r="B41" s="153"/>
    </row>
    <row r="42" ht="15">
      <c r="B42" s="153" t="s">
        <v>204</v>
      </c>
    </row>
    <row r="44" spans="2:13" ht="15">
      <c r="B44" s="150" t="s">
        <v>205</v>
      </c>
      <c r="C44" s="150" t="s">
        <v>206</v>
      </c>
      <c r="D44" s="150"/>
      <c r="E44" s="150" t="s">
        <v>207</v>
      </c>
      <c r="F44" s="150"/>
      <c r="G44" s="150"/>
      <c r="I44" s="150" t="s">
        <v>208</v>
      </c>
      <c r="J44" s="150"/>
      <c r="L44" s="290" t="s">
        <v>209</v>
      </c>
      <c r="M44" s="290"/>
    </row>
    <row r="45" spans="2:13" ht="15">
      <c r="B45" s="1">
        <v>5</v>
      </c>
      <c r="C45" s="289" t="s">
        <v>210</v>
      </c>
      <c r="D45" s="289"/>
      <c r="E45" s="154" t="s">
        <v>215</v>
      </c>
      <c r="I45" s="138" t="s">
        <v>220</v>
      </c>
      <c r="L45" s="291" t="s">
        <v>228</v>
      </c>
      <c r="M45" s="291"/>
    </row>
    <row r="46" spans="2:13" ht="15">
      <c r="B46" s="1">
        <v>4</v>
      </c>
      <c r="C46" s="289" t="s">
        <v>212</v>
      </c>
      <c r="D46" s="289"/>
      <c r="E46" s="154" t="s">
        <v>216</v>
      </c>
      <c r="I46" s="138" t="s">
        <v>221</v>
      </c>
      <c r="L46" s="291" t="s">
        <v>224</v>
      </c>
      <c r="M46" s="291"/>
    </row>
    <row r="47" spans="2:13" ht="15">
      <c r="B47" s="1">
        <v>3</v>
      </c>
      <c r="C47" s="289" t="s">
        <v>211</v>
      </c>
      <c r="D47" s="289"/>
      <c r="E47" s="154" t="s">
        <v>217</v>
      </c>
      <c r="I47" s="138" t="s">
        <v>586</v>
      </c>
      <c r="L47" s="291" t="s">
        <v>225</v>
      </c>
      <c r="M47" s="291"/>
    </row>
    <row r="48" spans="2:13" ht="15">
      <c r="B48" s="1">
        <v>2</v>
      </c>
      <c r="C48" s="289" t="s">
        <v>213</v>
      </c>
      <c r="D48" s="289"/>
      <c r="E48" s="154" t="s">
        <v>218</v>
      </c>
      <c r="I48" s="138" t="s">
        <v>222</v>
      </c>
      <c r="L48" s="291" t="s">
        <v>226</v>
      </c>
      <c r="M48" s="291"/>
    </row>
    <row r="49" spans="2:13" ht="15">
      <c r="B49" s="1">
        <v>1</v>
      </c>
      <c r="C49" s="289" t="s">
        <v>214</v>
      </c>
      <c r="D49" s="289"/>
      <c r="E49" s="154" t="s">
        <v>219</v>
      </c>
      <c r="I49" s="138" t="s">
        <v>223</v>
      </c>
      <c r="L49" s="291" t="s">
        <v>227</v>
      </c>
      <c r="M49" s="291"/>
    </row>
  </sheetData>
  <mergeCells count="16">
    <mergeCell ref="C48:D48"/>
    <mergeCell ref="B1:H1"/>
    <mergeCell ref="C3:H3"/>
    <mergeCell ref="C4:D4"/>
    <mergeCell ref="E4:F4"/>
    <mergeCell ref="G4:H4"/>
    <mergeCell ref="C49:D49"/>
    <mergeCell ref="L44:M44"/>
    <mergeCell ref="L45:M45"/>
    <mergeCell ref="L46:M46"/>
    <mergeCell ref="L47:M47"/>
    <mergeCell ref="L48:M48"/>
    <mergeCell ref="L49:M49"/>
    <mergeCell ref="C45:D45"/>
    <mergeCell ref="C46:D46"/>
    <mergeCell ref="C47:D47"/>
  </mergeCells>
  <printOptions gridLines="1"/>
  <pageMargins left="0.75" right="0.75" top="1" bottom="1" header="0.5" footer="0.5"/>
  <pageSetup fitToHeight="1" fitToWidth="1" horizontalDpi="600" verticalDpi="600" orientation="landscape" scale="64" r:id="rId1"/>
  <headerFooter alignWithMargins="0">
    <oddFooter>&amp;R&amp;F    &amp;A   &amp;D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H31"/>
  <sheetViews>
    <sheetView workbookViewId="0" topLeftCell="A1">
      <selection activeCell="A1" sqref="A1:H28"/>
    </sheetView>
  </sheetViews>
  <sheetFormatPr defaultColWidth="9.140625" defaultRowHeight="12.75"/>
  <cols>
    <col min="1" max="3" width="9.140625" style="6" customWidth="1"/>
    <col min="4" max="4" width="24.140625" style="6" customWidth="1"/>
    <col min="5" max="16384" width="9.140625" style="6" customWidth="1"/>
  </cols>
  <sheetData>
    <row r="2" spans="5:6" ht="12.75">
      <c r="E2" s="46"/>
      <c r="F2" s="46"/>
    </row>
    <row r="3" spans="2:6" ht="12.75">
      <c r="B3" s="49" t="s">
        <v>406</v>
      </c>
      <c r="E3" s="46"/>
      <c r="F3" s="46"/>
    </row>
    <row r="4" spans="5:6" ht="12.75">
      <c r="E4" s="46"/>
      <c r="F4" s="46"/>
    </row>
    <row r="5" spans="5:6" ht="12.75">
      <c r="E5" s="46"/>
      <c r="F5" s="46"/>
    </row>
    <row r="6" spans="2:8" ht="12.75">
      <c r="B6" s="6" t="s">
        <v>407</v>
      </c>
      <c r="C6" s="6" t="s">
        <v>408</v>
      </c>
      <c r="D6" s="6" t="s">
        <v>409</v>
      </c>
      <c r="E6" s="46" t="s">
        <v>410</v>
      </c>
      <c r="F6" s="46" t="s">
        <v>411</v>
      </c>
      <c r="H6" s="167" t="s">
        <v>460</v>
      </c>
    </row>
    <row r="7" spans="2:8" ht="12.75">
      <c r="B7" s="6">
        <v>19</v>
      </c>
      <c r="C7" s="6">
        <v>1901</v>
      </c>
      <c r="D7" s="6" t="s">
        <v>412</v>
      </c>
      <c r="E7" s="46">
        <v>185</v>
      </c>
      <c r="F7" s="46">
        <f>+E7/12</f>
        <v>15.416666666666666</v>
      </c>
      <c r="H7" s="168">
        <f>F7/$F$16</f>
        <v>0.07641470466749277</v>
      </c>
    </row>
    <row r="8" spans="2:8" ht="12.75">
      <c r="B8" s="6">
        <v>81</v>
      </c>
      <c r="C8" s="6">
        <v>8101</v>
      </c>
      <c r="D8" s="6" t="s">
        <v>413</v>
      </c>
      <c r="E8" s="46">
        <v>1000</v>
      </c>
      <c r="F8" s="46">
        <f aca="true" t="shared" si="0" ref="F8:F15">+E8/12</f>
        <v>83.33333333333333</v>
      </c>
      <c r="H8" s="168">
        <f aca="true" t="shared" si="1" ref="H8:H15">F8/$F$16</f>
        <v>0.41305245766212306</v>
      </c>
    </row>
    <row r="9" spans="2:8" ht="12.75">
      <c r="B9" s="6">
        <v>81</v>
      </c>
      <c r="C9" s="6">
        <v>8102</v>
      </c>
      <c r="D9" s="6" t="s">
        <v>414</v>
      </c>
      <c r="E9" s="46">
        <v>158</v>
      </c>
      <c r="F9" s="46">
        <f t="shared" si="0"/>
        <v>13.166666666666666</v>
      </c>
      <c r="H9" s="168">
        <f t="shared" si="1"/>
        <v>0.06526228831061545</v>
      </c>
    </row>
    <row r="10" spans="2:8" ht="12.75">
      <c r="B10" s="6">
        <v>82</v>
      </c>
      <c r="C10" s="6">
        <v>8202</v>
      </c>
      <c r="D10" s="6" t="s">
        <v>415</v>
      </c>
      <c r="E10" s="46">
        <v>550</v>
      </c>
      <c r="F10" s="46">
        <f t="shared" si="0"/>
        <v>45.833333333333336</v>
      </c>
      <c r="H10" s="168">
        <f t="shared" si="1"/>
        <v>0.2271788517141677</v>
      </c>
    </row>
    <row r="11" spans="2:8" ht="12.75">
      <c r="B11" s="6">
        <v>82</v>
      </c>
      <c r="C11" s="6">
        <v>8203</v>
      </c>
      <c r="D11" s="6" t="s">
        <v>416</v>
      </c>
      <c r="E11" s="46">
        <v>98</v>
      </c>
      <c r="F11" s="46">
        <f t="shared" si="0"/>
        <v>8.166666666666666</v>
      </c>
      <c r="H11" s="168">
        <f t="shared" si="1"/>
        <v>0.04047914085088806</v>
      </c>
    </row>
    <row r="12" spans="2:8" ht="12.75">
      <c r="B12" s="6">
        <v>82</v>
      </c>
      <c r="C12" s="6">
        <v>8204</v>
      </c>
      <c r="D12" s="6" t="s">
        <v>417</v>
      </c>
      <c r="E12" s="46">
        <v>0</v>
      </c>
      <c r="F12" s="46">
        <f t="shared" si="0"/>
        <v>0</v>
      </c>
      <c r="H12" s="168">
        <f t="shared" si="1"/>
        <v>0</v>
      </c>
    </row>
    <row r="13" spans="2:8" ht="12.75">
      <c r="B13" s="6">
        <v>82</v>
      </c>
      <c r="C13" s="6">
        <v>8205</v>
      </c>
      <c r="D13" s="6" t="s">
        <v>418</v>
      </c>
      <c r="E13" s="46">
        <v>0</v>
      </c>
      <c r="F13" s="46">
        <f t="shared" si="0"/>
        <v>0</v>
      </c>
      <c r="H13" s="168">
        <f t="shared" si="1"/>
        <v>0</v>
      </c>
    </row>
    <row r="14" spans="2:8" ht="12.75">
      <c r="B14" s="6">
        <v>82</v>
      </c>
      <c r="C14" s="6">
        <v>8215</v>
      </c>
      <c r="D14" s="6" t="s">
        <v>419</v>
      </c>
      <c r="E14" s="46">
        <v>0</v>
      </c>
      <c r="F14" s="46">
        <f t="shared" si="0"/>
        <v>0</v>
      </c>
      <c r="H14" s="168">
        <f t="shared" si="1"/>
        <v>0</v>
      </c>
    </row>
    <row r="15" spans="2:8" ht="12.75">
      <c r="B15" s="6">
        <v>89</v>
      </c>
      <c r="C15" s="6">
        <v>8998</v>
      </c>
      <c r="D15" s="6" t="s">
        <v>420</v>
      </c>
      <c r="E15" s="46">
        <v>430</v>
      </c>
      <c r="F15" s="155">
        <f t="shared" si="0"/>
        <v>35.833333333333336</v>
      </c>
      <c r="H15" s="168">
        <f t="shared" si="1"/>
        <v>0.17761255679471294</v>
      </c>
    </row>
    <row r="16" spans="5:6" ht="12.75">
      <c r="E16" s="46"/>
      <c r="F16" s="46">
        <f>SUM(F7:F15)</f>
        <v>201.75</v>
      </c>
    </row>
    <row r="17" spans="5:6" ht="12.75">
      <c r="E17" s="46"/>
      <c r="F17" s="46"/>
    </row>
    <row r="18" spans="2:6" ht="12.75">
      <c r="B18" s="49" t="s">
        <v>421</v>
      </c>
      <c r="E18" s="46"/>
      <c r="F18" s="46"/>
    </row>
    <row r="19" spans="5:6" ht="12.75">
      <c r="E19" s="46"/>
      <c r="F19" s="46"/>
    </row>
    <row r="20" spans="2:6" ht="12.75">
      <c r="B20" s="6" t="s">
        <v>422</v>
      </c>
      <c r="E20" s="46" t="s">
        <v>423</v>
      </c>
      <c r="F20" s="46">
        <v>16.6</v>
      </c>
    </row>
    <row r="21" spans="2:6" ht="12.75">
      <c r="B21" s="6" t="s">
        <v>424</v>
      </c>
      <c r="E21" s="46" t="s">
        <v>425</v>
      </c>
      <c r="F21" s="46">
        <v>24.69</v>
      </c>
    </row>
    <row r="22" spans="2:6" ht="12.75">
      <c r="B22" s="6" t="s">
        <v>426</v>
      </c>
      <c r="E22" s="46" t="s">
        <v>427</v>
      </c>
      <c r="F22" s="46">
        <v>0</v>
      </c>
    </row>
    <row r="23" spans="2:6" ht="12.75">
      <c r="B23" s="6" t="s">
        <v>428</v>
      </c>
      <c r="E23" s="46" t="s">
        <v>429</v>
      </c>
      <c r="F23" s="46">
        <v>16</v>
      </c>
    </row>
    <row r="24" spans="2:6" ht="12.75">
      <c r="B24" s="6" t="s">
        <v>430</v>
      </c>
      <c r="E24" s="46"/>
      <c r="F24" s="155">
        <f>5*8*21*82.5*0.1/1000</f>
        <v>6.93</v>
      </c>
    </row>
    <row r="25" spans="5:6" ht="12.75">
      <c r="E25" s="46"/>
      <c r="F25" s="46">
        <f>SUM(F20:F24)</f>
        <v>64.22</v>
      </c>
    </row>
    <row r="26" spans="5:6" ht="12.75">
      <c r="E26" s="46"/>
      <c r="F26" s="46"/>
    </row>
    <row r="27" spans="5:6" ht="12.75">
      <c r="E27" s="46"/>
      <c r="F27" s="46"/>
    </row>
    <row r="28" spans="5:6" ht="12.75">
      <c r="E28" s="46"/>
      <c r="F28" s="46"/>
    </row>
    <row r="29" spans="5:6" ht="12.75">
      <c r="E29" s="46"/>
      <c r="F29" s="46"/>
    </row>
    <row r="30" spans="5:6" ht="12.75">
      <c r="E30" s="46"/>
      <c r="F30" s="46"/>
    </row>
    <row r="31" spans="5:6" ht="12.75">
      <c r="E31" s="46"/>
      <c r="F31" s="46"/>
    </row>
  </sheetData>
  <printOptions gridLines="1"/>
  <pageMargins left="0.75" right="0.75" top="1" bottom="1" header="0.5" footer="0.5"/>
  <pageSetup fitToHeight="1" fitToWidth="1" horizontalDpi="600" verticalDpi="600" orientation="portrait" r:id="rId1"/>
  <headerFooter alignWithMargins="0">
    <oddFooter>&amp;R&amp;F      &amp;A   &amp;D   &amp;T</oddFooter>
  </headerFooter>
</worksheet>
</file>

<file path=xl/worksheets/sheet14.xml><?xml version="1.0" encoding="utf-8"?>
<worksheet xmlns="http://schemas.openxmlformats.org/spreadsheetml/2006/main" xmlns:r="http://schemas.openxmlformats.org/officeDocument/2006/relationships">
  <sheetPr codeName="Sheet4">
    <pageSetUpPr fitToPage="1"/>
  </sheetPr>
  <dimension ref="A1:J52"/>
  <sheetViews>
    <sheetView workbookViewId="0" topLeftCell="C10">
      <selection activeCell="C1" sqref="C1:J52"/>
    </sheetView>
  </sheetViews>
  <sheetFormatPr defaultColWidth="9.140625" defaultRowHeight="12.75"/>
  <cols>
    <col min="1" max="1" width="6.57421875" style="6" customWidth="1"/>
    <col min="2" max="2" width="53.28125" style="6" bestFit="1" customWidth="1"/>
    <col min="3" max="3" width="9.7109375" style="6" bestFit="1" customWidth="1"/>
    <col min="4" max="4" width="39.8515625" style="6" customWidth="1"/>
    <col min="5" max="9" width="9.8515625" style="6" bestFit="1" customWidth="1"/>
    <col min="10" max="16384" width="9.140625" style="6" customWidth="1"/>
  </cols>
  <sheetData>
    <row r="1" ht="12.75">
      <c r="A1" s="49" t="s">
        <v>111</v>
      </c>
    </row>
    <row r="2" spans="1:5" ht="12.75">
      <c r="A2" s="6" t="s">
        <v>112</v>
      </c>
      <c r="E2" s="6" t="s">
        <v>113</v>
      </c>
    </row>
    <row r="3" spans="5:10" ht="12.75">
      <c r="E3" s="49" t="s">
        <v>114</v>
      </c>
      <c r="F3" s="49" t="s">
        <v>115</v>
      </c>
      <c r="G3" s="49" t="s">
        <v>116</v>
      </c>
      <c r="H3" s="49" t="s">
        <v>117</v>
      </c>
      <c r="I3" s="49" t="s">
        <v>118</v>
      </c>
      <c r="J3" s="49" t="s">
        <v>302</v>
      </c>
    </row>
    <row r="4" spans="1:10" ht="12.75">
      <c r="A4" s="6" t="s">
        <v>119</v>
      </c>
      <c r="E4" s="46"/>
      <c r="F4" s="46"/>
      <c r="G4" s="46"/>
      <c r="H4" s="46"/>
      <c r="I4" s="46"/>
      <c r="J4" s="46"/>
    </row>
    <row r="5" spans="2:10" ht="12.75">
      <c r="B5" s="6" t="s">
        <v>311</v>
      </c>
      <c r="C5" s="6" t="s">
        <v>120</v>
      </c>
      <c r="D5" s="6" t="s">
        <v>121</v>
      </c>
      <c r="E5" s="46"/>
      <c r="F5" s="46">
        <v>95.3</v>
      </c>
      <c r="G5" s="46"/>
      <c r="H5" s="46"/>
      <c r="I5" s="46"/>
      <c r="J5" s="46">
        <v>95.3</v>
      </c>
    </row>
    <row r="6" spans="2:10" ht="12.75">
      <c r="B6" s="6" t="s">
        <v>313</v>
      </c>
      <c r="C6" s="6" t="s">
        <v>122</v>
      </c>
      <c r="D6" s="6" t="s">
        <v>123</v>
      </c>
      <c r="E6" s="46"/>
      <c r="F6" s="46"/>
      <c r="G6" s="46">
        <v>33.7</v>
      </c>
      <c r="H6" s="46"/>
      <c r="I6" s="46"/>
      <c r="J6" s="46">
        <v>33.7</v>
      </c>
    </row>
    <row r="7" spans="2:10" ht="12.75">
      <c r="B7" s="6" t="s">
        <v>334</v>
      </c>
      <c r="C7" s="6" t="s">
        <v>124</v>
      </c>
      <c r="D7" s="6" t="s">
        <v>125</v>
      </c>
      <c r="E7" s="46"/>
      <c r="F7" s="46"/>
      <c r="G7" s="46">
        <v>64.7</v>
      </c>
      <c r="H7" s="46">
        <v>17.8</v>
      </c>
      <c r="I7" s="46"/>
      <c r="J7" s="46">
        <v>82.5</v>
      </c>
    </row>
    <row r="8" spans="2:10" ht="12.75">
      <c r="B8" s="6" t="s">
        <v>360</v>
      </c>
      <c r="C8" s="6" t="s">
        <v>126</v>
      </c>
      <c r="D8" s="6" t="s">
        <v>127</v>
      </c>
      <c r="E8" s="46"/>
      <c r="F8" s="46"/>
      <c r="G8" s="46">
        <v>10</v>
      </c>
      <c r="H8" s="46"/>
      <c r="I8" s="46"/>
      <c r="J8" s="46">
        <v>10</v>
      </c>
    </row>
    <row r="9" spans="2:10" ht="12.75">
      <c r="B9" s="6" t="s">
        <v>361</v>
      </c>
      <c r="C9" s="6" t="s">
        <v>128</v>
      </c>
      <c r="D9" s="6" t="s">
        <v>129</v>
      </c>
      <c r="E9" s="46"/>
      <c r="F9" s="46"/>
      <c r="G9" s="46">
        <v>45</v>
      </c>
      <c r="H9" s="46"/>
      <c r="I9" s="46"/>
      <c r="J9" s="46">
        <v>45</v>
      </c>
    </row>
    <row r="10" spans="2:10" ht="12.75">
      <c r="B10" s="6" t="s">
        <v>361</v>
      </c>
      <c r="C10" s="6" t="s">
        <v>130</v>
      </c>
      <c r="D10" s="6" t="s">
        <v>131</v>
      </c>
      <c r="E10" s="156"/>
      <c r="F10" s="156"/>
      <c r="G10" s="156">
        <v>140</v>
      </c>
      <c r="H10" s="156"/>
      <c r="I10" s="156"/>
      <c r="J10" s="156">
        <v>140</v>
      </c>
    </row>
    <row r="11" spans="5:10" ht="12.75">
      <c r="E11" s="157">
        <f aca="true" t="shared" si="0" ref="E11:J11">SUM(E4:E10)</f>
        <v>0</v>
      </c>
      <c r="F11" s="157">
        <f t="shared" si="0"/>
        <v>95.3</v>
      </c>
      <c r="G11" s="157">
        <f t="shared" si="0"/>
        <v>293.4</v>
      </c>
      <c r="H11" s="157">
        <f t="shared" si="0"/>
        <v>17.8</v>
      </c>
      <c r="I11" s="157">
        <f t="shared" si="0"/>
        <v>0</v>
      </c>
      <c r="J11" s="157">
        <f t="shared" si="0"/>
        <v>406.5</v>
      </c>
    </row>
    <row r="12" spans="1:10" ht="12.75">
      <c r="A12" s="6" t="s">
        <v>132</v>
      </c>
      <c r="E12" s="46"/>
      <c r="F12" s="46"/>
      <c r="G12" s="46"/>
      <c r="H12" s="46"/>
      <c r="I12" s="46"/>
      <c r="J12" s="46"/>
    </row>
    <row r="13" spans="2:10" ht="12.75">
      <c r="B13" s="6" t="s">
        <v>308</v>
      </c>
      <c r="C13" s="6" t="s">
        <v>133</v>
      </c>
      <c r="D13" s="6" t="s">
        <v>134</v>
      </c>
      <c r="E13" s="46"/>
      <c r="F13" s="46"/>
      <c r="G13" s="46">
        <v>58.5</v>
      </c>
      <c r="H13" s="46"/>
      <c r="I13" s="46"/>
      <c r="J13" s="46">
        <v>58.5</v>
      </c>
    </row>
    <row r="14" spans="2:10" ht="12.75">
      <c r="B14" s="6" t="s">
        <v>320</v>
      </c>
      <c r="C14" s="6" t="s">
        <v>135</v>
      </c>
      <c r="D14" s="6" t="s">
        <v>136</v>
      </c>
      <c r="E14" s="46">
        <v>30</v>
      </c>
      <c r="F14" s="46"/>
      <c r="G14" s="46"/>
      <c r="H14" s="46"/>
      <c r="I14" s="46"/>
      <c r="J14" s="46">
        <v>30</v>
      </c>
    </row>
    <row r="15" spans="2:10" ht="12.75">
      <c r="B15" s="6" t="s">
        <v>329</v>
      </c>
      <c r="C15" s="6" t="s">
        <v>137</v>
      </c>
      <c r="D15" s="6" t="s">
        <v>138</v>
      </c>
      <c r="E15" s="46">
        <v>77.6</v>
      </c>
      <c r="F15" s="46"/>
      <c r="G15" s="46"/>
      <c r="H15" s="46"/>
      <c r="I15" s="46"/>
      <c r="J15" s="46">
        <v>77.6</v>
      </c>
    </row>
    <row r="16" spans="2:10" ht="12.75">
      <c r="B16" s="6" t="s">
        <v>329</v>
      </c>
      <c r="C16" s="6" t="s">
        <v>139</v>
      </c>
      <c r="D16" s="6" t="s">
        <v>140</v>
      </c>
      <c r="E16" s="46">
        <v>57.1</v>
      </c>
      <c r="F16" s="46">
        <v>3.5</v>
      </c>
      <c r="G16" s="46"/>
      <c r="H16" s="46"/>
      <c r="I16" s="46"/>
      <c r="J16" s="46">
        <v>60.6</v>
      </c>
    </row>
    <row r="17" spans="2:10" ht="12.75">
      <c r="B17" s="6" t="s">
        <v>338</v>
      </c>
      <c r="C17" s="6" t="s">
        <v>141</v>
      </c>
      <c r="D17" s="6" t="s">
        <v>142</v>
      </c>
      <c r="E17" s="46"/>
      <c r="F17" s="46">
        <v>30</v>
      </c>
      <c r="G17" s="46"/>
      <c r="H17" s="46"/>
      <c r="I17" s="46"/>
      <c r="J17" s="46">
        <v>30</v>
      </c>
    </row>
    <row r="18" spans="2:10" ht="12.75">
      <c r="B18" s="6" t="s">
        <v>333</v>
      </c>
      <c r="C18" s="6" t="s">
        <v>143</v>
      </c>
      <c r="D18" s="6" t="s">
        <v>144</v>
      </c>
      <c r="E18" s="46"/>
      <c r="F18" s="46">
        <v>371.2</v>
      </c>
      <c r="G18" s="46">
        <v>88.4</v>
      </c>
      <c r="H18" s="46"/>
      <c r="I18" s="46"/>
      <c r="J18" s="46">
        <v>459.6</v>
      </c>
    </row>
    <row r="19" spans="2:10" ht="12.75">
      <c r="B19" s="6" t="s">
        <v>333</v>
      </c>
      <c r="C19" s="6" t="s">
        <v>145</v>
      </c>
      <c r="D19" s="6" t="s">
        <v>146</v>
      </c>
      <c r="E19" s="46"/>
      <c r="F19" s="46"/>
      <c r="G19" s="46">
        <v>480.1</v>
      </c>
      <c r="H19" s="46">
        <v>108.7</v>
      </c>
      <c r="I19" s="46"/>
      <c r="J19" s="46">
        <v>588.8</v>
      </c>
    </row>
    <row r="20" spans="2:10" ht="12.75">
      <c r="B20" s="6" t="s">
        <v>333</v>
      </c>
      <c r="C20" s="6" t="s">
        <v>147</v>
      </c>
      <c r="D20" s="6" t="s">
        <v>148</v>
      </c>
      <c r="E20" s="46"/>
      <c r="F20" s="46"/>
      <c r="G20" s="46">
        <v>83.6</v>
      </c>
      <c r="H20" s="46"/>
      <c r="I20" s="46"/>
      <c r="J20" s="46">
        <v>83.6</v>
      </c>
    </row>
    <row r="21" spans="2:10" ht="12.75">
      <c r="B21" s="6" t="s">
        <v>333</v>
      </c>
      <c r="C21" s="6" t="s">
        <v>149</v>
      </c>
      <c r="D21" s="6" t="s">
        <v>150</v>
      </c>
      <c r="E21" s="46"/>
      <c r="F21" s="46"/>
      <c r="G21" s="46">
        <v>84.8</v>
      </c>
      <c r="H21" s="46"/>
      <c r="I21" s="46"/>
      <c r="J21" s="46">
        <v>84.8</v>
      </c>
    </row>
    <row r="22" spans="2:10" ht="12.75">
      <c r="B22" s="6" t="s">
        <v>333</v>
      </c>
      <c r="C22" s="6" t="s">
        <v>151</v>
      </c>
      <c r="D22" s="6" t="s">
        <v>152</v>
      </c>
      <c r="E22" s="46"/>
      <c r="F22" s="46">
        <v>97.5</v>
      </c>
      <c r="G22" s="46"/>
      <c r="H22" s="46"/>
      <c r="I22" s="46"/>
      <c r="J22" s="46">
        <v>97.5</v>
      </c>
    </row>
    <row r="23" spans="2:10" ht="12.75">
      <c r="B23" s="6" t="s">
        <v>333</v>
      </c>
      <c r="C23" s="6" t="s">
        <v>153</v>
      </c>
      <c r="D23" s="6" t="s">
        <v>154</v>
      </c>
      <c r="E23" s="156"/>
      <c r="F23" s="156">
        <v>13.9</v>
      </c>
      <c r="G23" s="156"/>
      <c r="H23" s="156"/>
      <c r="I23" s="156"/>
      <c r="J23" s="156">
        <v>13.9</v>
      </c>
    </row>
    <row r="24" spans="5:10" ht="12.75">
      <c r="E24" s="157">
        <f aca="true" t="shared" si="1" ref="E24:J24">SUM(E13:E23)</f>
        <v>164.7</v>
      </c>
      <c r="F24" s="157">
        <f t="shared" si="1"/>
        <v>516.1</v>
      </c>
      <c r="G24" s="157">
        <f t="shared" si="1"/>
        <v>795.4</v>
      </c>
      <c r="H24" s="157">
        <f t="shared" si="1"/>
        <v>108.7</v>
      </c>
      <c r="I24" s="157">
        <f t="shared" si="1"/>
        <v>0</v>
      </c>
      <c r="J24" s="157">
        <f t="shared" si="1"/>
        <v>1584.8999999999999</v>
      </c>
    </row>
    <row r="25" spans="5:10" ht="12.75">
      <c r="E25" s="46"/>
      <c r="F25" s="46"/>
      <c r="G25" s="46"/>
      <c r="H25" s="46"/>
      <c r="I25" s="46"/>
      <c r="J25" s="46"/>
    </row>
    <row r="26" spans="5:10" ht="12.75">
      <c r="E26" s="46"/>
      <c r="F26" s="46"/>
      <c r="G26" s="46"/>
      <c r="H26" s="46"/>
      <c r="I26" s="46"/>
      <c r="J26" s="46"/>
    </row>
    <row r="27" spans="1:10" ht="12.75">
      <c r="A27" s="58" t="s">
        <v>155</v>
      </c>
      <c r="E27" s="46"/>
      <c r="F27" s="46"/>
      <c r="G27" s="46"/>
      <c r="H27" s="46"/>
      <c r="I27" s="46"/>
      <c r="J27" s="46"/>
    </row>
    <row r="28" spans="5:10" ht="12.75">
      <c r="E28" s="46"/>
      <c r="F28" s="46"/>
      <c r="G28" s="46"/>
      <c r="H28" s="46"/>
      <c r="I28" s="46"/>
      <c r="J28" s="46"/>
    </row>
    <row r="29" spans="2:10" ht="12.75">
      <c r="B29" s="6" t="s">
        <v>156</v>
      </c>
      <c r="E29" s="157">
        <f aca="true" t="shared" si="2" ref="E29:J29">+E11/2</f>
        <v>0</v>
      </c>
      <c r="F29" s="157">
        <f t="shared" si="2"/>
        <v>47.65</v>
      </c>
      <c r="G29" s="157">
        <f t="shared" si="2"/>
        <v>146.7</v>
      </c>
      <c r="H29" s="157">
        <f t="shared" si="2"/>
        <v>8.9</v>
      </c>
      <c r="I29" s="157">
        <f t="shared" si="2"/>
        <v>0</v>
      </c>
      <c r="J29" s="157">
        <f t="shared" si="2"/>
        <v>203.25</v>
      </c>
    </row>
    <row r="30" spans="2:10" ht="12.75">
      <c r="B30" s="6" t="s">
        <v>157</v>
      </c>
      <c r="C30" s="53">
        <v>0.03</v>
      </c>
      <c r="D30" s="6" t="s">
        <v>158</v>
      </c>
      <c r="E30" s="158">
        <v>0</v>
      </c>
      <c r="F30" s="158">
        <f>(1+$C$30)-1</f>
        <v>0.030000000000000027</v>
      </c>
      <c r="G30" s="158">
        <f>((1+C30)*(1+C30))-1</f>
        <v>0.060899999999999954</v>
      </c>
      <c r="H30" s="158">
        <f>((1+C30)*(1+C30)*(1+C30))-1</f>
        <v>0.092727</v>
      </c>
      <c r="I30" s="158">
        <f>((1+C30)*(1+C30)*(1+C30)*(1+C30))-1</f>
        <v>0.12550881000000014</v>
      </c>
      <c r="J30" s="158"/>
    </row>
    <row r="31" spans="3:10" ht="12.75">
      <c r="C31" s="53"/>
      <c r="E31" s="157">
        <f>E30*E$29</f>
        <v>0</v>
      </c>
      <c r="F31" s="157">
        <f>F30*F$29</f>
        <v>1.4295000000000013</v>
      </c>
      <c r="G31" s="157">
        <f>G30*G$29</f>
        <v>8.934029999999993</v>
      </c>
      <c r="H31" s="157">
        <f>H30*H$29</f>
        <v>0.8252703</v>
      </c>
      <c r="I31" s="157">
        <f>I30*I$29</f>
        <v>0</v>
      </c>
      <c r="J31" s="157">
        <f>SUM(E31:I31)</f>
        <v>11.188800299999993</v>
      </c>
    </row>
    <row r="32" spans="2:10" ht="12.75">
      <c r="B32" s="6" t="s">
        <v>159</v>
      </c>
      <c r="C32" s="53">
        <v>0.2</v>
      </c>
      <c r="D32" s="6" t="s">
        <v>158</v>
      </c>
      <c r="E32" s="158">
        <v>0</v>
      </c>
      <c r="F32" s="158">
        <f>(1+$C$32)-1</f>
        <v>0.19999999999999996</v>
      </c>
      <c r="G32" s="158">
        <f>((1+C32)*(1+C32))-1</f>
        <v>0.43999999999999995</v>
      </c>
      <c r="H32" s="158">
        <f>((1+C32)*(1+C32)*(1+C32))-1</f>
        <v>0.728</v>
      </c>
      <c r="I32" s="158">
        <f>((1+C32)*(1+C32)*(1+C32)*(1+C32))-1</f>
        <v>1.0735999999999999</v>
      </c>
      <c r="J32" s="158"/>
    </row>
    <row r="33" spans="5:10" ht="12.75">
      <c r="E33" s="157">
        <f>E32*E$29</f>
        <v>0</v>
      </c>
      <c r="F33" s="157">
        <f>F32*F$29</f>
        <v>9.529999999999998</v>
      </c>
      <c r="G33" s="157">
        <f>G32*G$29</f>
        <v>64.54799999999999</v>
      </c>
      <c r="H33" s="157">
        <f>H32*H$29</f>
        <v>6.4792000000000005</v>
      </c>
      <c r="I33" s="157">
        <f>I32*I$29</f>
        <v>0</v>
      </c>
      <c r="J33" s="157">
        <f>SUM(E33:I33)</f>
        <v>80.5572</v>
      </c>
    </row>
    <row r="34" spans="5:10" ht="12.75">
      <c r="E34" s="157"/>
      <c r="F34" s="157"/>
      <c r="G34" s="157"/>
      <c r="H34" s="157"/>
      <c r="I34" s="157"/>
      <c r="J34" s="157"/>
    </row>
    <row r="35" spans="2:10" ht="12.75">
      <c r="B35" s="6" t="s">
        <v>160</v>
      </c>
      <c r="E35" s="157">
        <f aca="true" t="shared" si="3" ref="E35:J35">+E24/2</f>
        <v>82.35</v>
      </c>
      <c r="F35" s="157">
        <f t="shared" si="3"/>
        <v>258.05</v>
      </c>
      <c r="G35" s="157">
        <f t="shared" si="3"/>
        <v>397.7</v>
      </c>
      <c r="H35" s="157">
        <f t="shared" si="3"/>
        <v>54.35</v>
      </c>
      <c r="I35" s="157">
        <f t="shared" si="3"/>
        <v>0</v>
      </c>
      <c r="J35" s="157">
        <f t="shared" si="3"/>
        <v>792.4499999999999</v>
      </c>
    </row>
    <row r="36" spans="2:10" ht="12.75">
      <c r="B36" s="6" t="s">
        <v>161</v>
      </c>
      <c r="C36" s="53">
        <v>0.03</v>
      </c>
      <c r="D36" s="6" t="s">
        <v>158</v>
      </c>
      <c r="E36" s="158">
        <v>0</v>
      </c>
      <c r="F36" s="158">
        <f>(1+$C$36)-1</f>
        <v>0.030000000000000027</v>
      </c>
      <c r="G36" s="158">
        <f>((1+C36)*(1+C36))-1</f>
        <v>0.060899999999999954</v>
      </c>
      <c r="H36" s="158">
        <f>((1+C36)*(1+C36)*(1+C36))-1</f>
        <v>0.092727</v>
      </c>
      <c r="I36" s="158">
        <f>((1+C36)*(1+C36)*(1+C36)*(1+C36))-1</f>
        <v>0.12550881000000014</v>
      </c>
      <c r="J36" s="158"/>
    </row>
    <row r="37" spans="3:10" ht="12.75">
      <c r="C37" s="53"/>
      <c r="E37" s="157">
        <f>E36*E$35</f>
        <v>0</v>
      </c>
      <c r="F37" s="157">
        <f>F36*F$35</f>
        <v>7.741500000000007</v>
      </c>
      <c r="G37" s="157">
        <f>G36*G$35</f>
        <v>24.21992999999998</v>
      </c>
      <c r="H37" s="157">
        <f>H36*H$35</f>
        <v>5.039712450000001</v>
      </c>
      <c r="I37" s="157">
        <f>I36*I$35</f>
        <v>0</v>
      </c>
      <c r="J37" s="157">
        <f>SUM(E37:I37)</f>
        <v>37.00114244999999</v>
      </c>
    </row>
    <row r="38" spans="2:10" ht="12.75">
      <c r="B38" s="6" t="s">
        <v>162</v>
      </c>
      <c r="C38" s="53">
        <v>0.2</v>
      </c>
      <c r="D38" s="6" t="s">
        <v>158</v>
      </c>
      <c r="E38" s="158">
        <v>0</v>
      </c>
      <c r="F38" s="158">
        <f>(1+$C$38)-1</f>
        <v>0.19999999999999996</v>
      </c>
      <c r="G38" s="158">
        <f>((1+C38)*(1+C38))-1</f>
        <v>0.43999999999999995</v>
      </c>
      <c r="H38" s="158">
        <f>((1+C38)*(1+C38)*(1+C38))-1</f>
        <v>0.728</v>
      </c>
      <c r="I38" s="158">
        <f>((1+C38)*(1+C38)*(1+C38)*(1+C38))-1</f>
        <v>1.0735999999999999</v>
      </c>
      <c r="J38" s="158"/>
    </row>
    <row r="39" spans="5:10" ht="12.75">
      <c r="E39" s="157">
        <f>E38*E$35</f>
        <v>0</v>
      </c>
      <c r="F39" s="157">
        <f>F38*F$35</f>
        <v>51.60999999999999</v>
      </c>
      <c r="G39" s="157">
        <f>G38*G$35</f>
        <v>174.98799999999997</v>
      </c>
      <c r="H39" s="157">
        <f>H38*H$35</f>
        <v>39.5668</v>
      </c>
      <c r="I39" s="157">
        <f>I38*I$35</f>
        <v>0</v>
      </c>
      <c r="J39" s="157">
        <f>SUM(E39:I39)</f>
        <v>266.16479999999996</v>
      </c>
    </row>
    <row r="42" ht="12.75">
      <c r="D42" s="6" t="s">
        <v>603</v>
      </c>
    </row>
    <row r="43" spans="4:5" ht="12.75">
      <c r="D43" s="6">
        <v>13</v>
      </c>
      <c r="E43" s="51">
        <f>J7/J11</f>
        <v>0.2029520295202952</v>
      </c>
    </row>
    <row r="44" spans="4:5" ht="12.75">
      <c r="D44" s="6">
        <v>14</v>
      </c>
      <c r="E44" s="51">
        <f>J5/J11</f>
        <v>0.23444034440344402</v>
      </c>
    </row>
    <row r="45" spans="4:5" ht="12.75">
      <c r="D45" s="6">
        <v>18</v>
      </c>
      <c r="E45" s="51">
        <f>J6/J11</f>
        <v>0.08290282902829028</v>
      </c>
    </row>
    <row r="46" spans="4:5" ht="12.75">
      <c r="D46" s="6">
        <v>4</v>
      </c>
      <c r="E46" s="51">
        <f>(J8+J9+J10)/J11</f>
        <v>0.4797047970479705</v>
      </c>
    </row>
    <row r="47" ht="12.75">
      <c r="E47" s="53">
        <f>SUM(E43:E46)</f>
        <v>1</v>
      </c>
    </row>
    <row r="48" ht="12.75">
      <c r="D48" s="6" t="s">
        <v>604</v>
      </c>
    </row>
    <row r="49" spans="4:5" ht="12.75">
      <c r="D49" s="6">
        <v>12</v>
      </c>
      <c r="E49" s="51">
        <f>J13/J24</f>
        <v>0.03691084611016468</v>
      </c>
    </row>
    <row r="50" spans="4:5" ht="12.75">
      <c r="D50" s="6">
        <v>14</v>
      </c>
      <c r="E50" s="51">
        <f>SUM(J14:J16)/J24</f>
        <v>0.10612656949965298</v>
      </c>
    </row>
    <row r="51" spans="4:5" ht="12.75">
      <c r="D51" s="6">
        <v>16</v>
      </c>
      <c r="E51" s="51">
        <f>SUM(J17:J23)/J24</f>
        <v>0.8569625843901825</v>
      </c>
    </row>
    <row r="52" ht="12.75">
      <c r="E52" s="51">
        <f>SUM(E49:E51)</f>
        <v>1</v>
      </c>
    </row>
  </sheetData>
  <printOptions gridLines="1"/>
  <pageMargins left="0.75" right="0.75" top="1" bottom="1" header="0.5" footer="0.5"/>
  <pageSetup fitToHeight="1" fitToWidth="1" horizontalDpi="600" verticalDpi="600" orientation="portrait" scale="83" r:id="rId1"/>
  <headerFooter alignWithMargins="0">
    <oddFooter>&amp;R&amp;F      &amp;A    &amp;D   &amp;T</oddFooter>
  </headerFooter>
</worksheet>
</file>

<file path=xl/worksheets/sheet15.xml><?xml version="1.0" encoding="utf-8"?>
<worksheet xmlns="http://schemas.openxmlformats.org/spreadsheetml/2006/main" xmlns:r="http://schemas.openxmlformats.org/officeDocument/2006/relationships">
  <dimension ref="A1:G45"/>
  <sheetViews>
    <sheetView workbookViewId="0" topLeftCell="A1">
      <selection activeCell="A47" sqref="A47"/>
    </sheetView>
  </sheetViews>
  <sheetFormatPr defaultColWidth="9.140625" defaultRowHeight="12.75"/>
  <cols>
    <col min="2" max="2" width="36.140625" style="0" customWidth="1"/>
    <col min="3" max="4" width="28.7109375" style="0" customWidth="1"/>
    <col min="5" max="5" width="11.28125" style="0" customWidth="1"/>
    <col min="6" max="6" width="21.8515625" style="0" customWidth="1"/>
    <col min="7" max="7" width="23.8515625" style="0" customWidth="1"/>
    <col min="8" max="8" width="29.57421875" style="0" customWidth="1"/>
  </cols>
  <sheetData>
    <row r="1" spans="1:7" ht="12.75">
      <c r="A1" t="s">
        <v>433</v>
      </c>
      <c r="B1" s="22" t="s">
        <v>549</v>
      </c>
      <c r="C1" s="22" t="s">
        <v>432</v>
      </c>
      <c r="D1" s="22" t="s">
        <v>431</v>
      </c>
      <c r="E1" s="174">
        <v>45.19047619047618</v>
      </c>
      <c r="F1" s="22" t="s">
        <v>105</v>
      </c>
      <c r="G1" s="22" t="s">
        <v>106</v>
      </c>
    </row>
    <row r="2" spans="1:7" ht="12.75">
      <c r="A2" t="s">
        <v>434</v>
      </c>
      <c r="B2" s="20">
        <f>'Uncertainty Results'!B2</f>
        <v>52807.913315333724</v>
      </c>
      <c r="C2" s="21">
        <f>'Uncertainty Results'!C2</f>
        <v>40.19252758881254</v>
      </c>
      <c r="D2" s="21">
        <f>'Uncertainty Results'!D2</f>
        <v>6.936876286922682</v>
      </c>
      <c r="E2" s="175">
        <v>202000</v>
      </c>
      <c r="F2" s="21">
        <f>'Risk Results'!B2</f>
        <v>-498.4908564940398</v>
      </c>
      <c r="G2" s="21">
        <f>'Risk Results'!C2</f>
        <v>-1.8183563725204914</v>
      </c>
    </row>
    <row r="3" spans="1:7" ht="13.5" thickBot="1">
      <c r="A3" t="s">
        <v>435</v>
      </c>
      <c r="B3" s="20">
        <f>'Uncertainty Results'!B3</f>
        <v>55014.1877812714</v>
      </c>
      <c r="C3" s="21">
        <f>'Uncertainty Results'!C3</f>
        <v>43.32630931139683</v>
      </c>
      <c r="D3" s="21">
        <f>'Uncertainty Results'!D3</f>
        <v>8.7</v>
      </c>
      <c r="E3" s="176">
        <v>64000</v>
      </c>
      <c r="F3" s="21">
        <f>'Risk Results'!B3</f>
        <v>-216.5731476662793</v>
      </c>
      <c r="G3" s="21">
        <f>'Risk Results'!C3</f>
        <v>-0.3970307218394284</v>
      </c>
    </row>
    <row r="4" spans="1:7" ht="12.75">
      <c r="A4" t="s">
        <v>436</v>
      </c>
      <c r="B4" s="20">
        <f>'Uncertainty Results'!B4</f>
        <v>55413.17438475301</v>
      </c>
      <c r="C4" s="21">
        <f>'Uncertainty Results'!C4</f>
        <v>44.13247182447673</v>
      </c>
      <c r="D4" s="21">
        <f>'Uncertainty Results'!D4</f>
        <v>24.023092349800365</v>
      </c>
      <c r="F4" s="21">
        <f>'Risk Results'!B4</f>
        <v>-94.1906397544281</v>
      </c>
      <c r="G4" s="21">
        <f>'Risk Results'!C4</f>
        <v>-0.29036617642050766</v>
      </c>
    </row>
    <row r="5" spans="1:7" ht="12.75">
      <c r="A5" t="s">
        <v>437</v>
      </c>
      <c r="B5" s="20">
        <f>'Uncertainty Results'!B5</f>
        <v>55690.15532628499</v>
      </c>
      <c r="C5" s="21">
        <f>'Uncertainty Results'!C5</f>
        <v>44.75226403591027</v>
      </c>
      <c r="D5" s="21">
        <f>'Uncertainty Results'!D5</f>
        <v>44.464411494659124</v>
      </c>
      <c r="F5" s="21">
        <f>'Risk Results'!B5</f>
        <v>0</v>
      </c>
      <c r="G5" s="21">
        <f>'Risk Results'!C5</f>
        <v>-0.1757553735183346</v>
      </c>
    </row>
    <row r="6" spans="1:7" ht="12.75">
      <c r="A6" t="s">
        <v>438</v>
      </c>
      <c r="B6" s="20">
        <f>'Uncertainty Results'!B6</f>
        <v>55937.72891090792</v>
      </c>
      <c r="C6" s="21">
        <f>'Uncertainty Results'!C6</f>
        <v>45.22032670217988</v>
      </c>
      <c r="D6" s="21">
        <f>'Uncertainty Results'!D6</f>
        <v>62.5686555634249</v>
      </c>
      <c r="F6" s="21">
        <f>'Risk Results'!B6</f>
        <v>65.58196828794934</v>
      </c>
      <c r="G6" s="21">
        <f>'Risk Results'!C6</f>
        <v>-0.059252939447883735</v>
      </c>
    </row>
    <row r="7" spans="1:7" ht="12.75">
      <c r="A7" t="s">
        <v>439</v>
      </c>
      <c r="B7" s="20">
        <f>'Uncertainty Results'!B7</f>
        <v>56136.27436031816</v>
      </c>
      <c r="C7" s="21">
        <f>'Uncertainty Results'!C7</f>
        <v>45.69000246698637</v>
      </c>
      <c r="D7" s="21">
        <f>'Uncertainty Results'!D7</f>
        <v>80.74977455513338</v>
      </c>
      <c r="F7" s="21">
        <f>'Risk Results'!B7</f>
        <v>110.56219253009746</v>
      </c>
      <c r="G7" s="21">
        <f>'Risk Results'!C7</f>
        <v>0</v>
      </c>
    </row>
    <row r="8" spans="1:7" ht="12.75">
      <c r="A8" t="s">
        <v>440</v>
      </c>
      <c r="B8" s="20">
        <f>'Uncertainty Results'!B8</f>
        <v>56325.79582416786</v>
      </c>
      <c r="C8" s="21">
        <f>'Uncertainty Results'!C8</f>
        <v>46.10741195460348</v>
      </c>
      <c r="D8" s="21">
        <f>'Uncertainty Results'!D8</f>
        <v>97.52635367546127</v>
      </c>
      <c r="F8" s="21">
        <f>'Risk Results'!B8</f>
        <v>144.77822548166966</v>
      </c>
      <c r="G8" s="21">
        <f>'Risk Results'!C8</f>
        <v>0</v>
      </c>
    </row>
    <row r="9" spans="1:7" ht="12.75">
      <c r="A9" t="s">
        <v>441</v>
      </c>
      <c r="B9" s="20">
        <f>'Uncertainty Results'!B9</f>
        <v>56497.84900551301</v>
      </c>
      <c r="C9" s="21">
        <f>'Uncertainty Results'!C9</f>
        <v>46.53343503884936</v>
      </c>
      <c r="D9" s="21">
        <f>'Uncertainty Results'!D9</f>
        <v>114.46005390884513</v>
      </c>
      <c r="F9" s="21">
        <f>'Risk Results'!B9</f>
        <v>178.5351735010837</v>
      </c>
      <c r="G9" s="21">
        <f>'Risk Results'!C9</f>
        <v>0</v>
      </c>
    </row>
    <row r="10" spans="1:7" ht="12.75">
      <c r="A10" t="s">
        <v>442</v>
      </c>
      <c r="B10" s="20">
        <f>'Uncertainty Results'!B10</f>
        <v>56660.0056039181</v>
      </c>
      <c r="C10" s="21">
        <f>'Uncertainty Results'!C10</f>
        <v>46.96208423745944</v>
      </c>
      <c r="D10" s="21">
        <f>'Uncertainty Results'!D10</f>
        <v>131.6842186730045</v>
      </c>
      <c r="F10" s="21">
        <f>'Risk Results'!B10</f>
        <v>210.52415112828254</v>
      </c>
      <c r="G10" s="21">
        <f>'Risk Results'!C10</f>
        <v>0</v>
      </c>
    </row>
    <row r="11" spans="1:7" ht="12.75">
      <c r="A11" t="s">
        <v>443</v>
      </c>
      <c r="B11" s="20">
        <f>'Uncertainty Results'!B11</f>
        <v>56828.634699996466</v>
      </c>
      <c r="C11" s="21">
        <f>'Uncertainty Results'!C11</f>
        <v>47.417180678772105</v>
      </c>
      <c r="D11" s="21">
        <f>'Uncertainty Results'!D11</f>
        <v>148.57488819154906</v>
      </c>
      <c r="F11" s="21">
        <f>'Risk Results'!B11</f>
        <v>242.42983483499273</v>
      </c>
      <c r="G11" s="21">
        <f>'Risk Results'!C11</f>
        <v>0</v>
      </c>
    </row>
    <row r="12" spans="1:7" ht="12.75">
      <c r="A12" t="s">
        <v>444</v>
      </c>
      <c r="B12" s="20">
        <f>'Uncertainty Results'!B12</f>
        <v>56999.531884632306</v>
      </c>
      <c r="C12" s="21">
        <f>'Uncertainty Results'!C12</f>
        <v>47.902002997774765</v>
      </c>
      <c r="D12" s="21">
        <f>'Uncertainty Results'!D12</f>
        <v>163.9278167553649</v>
      </c>
      <c r="F12" s="21">
        <f>'Risk Results'!B12</f>
        <v>270.6620906557221</v>
      </c>
      <c r="G12" s="21">
        <f>'Risk Results'!C12</f>
        <v>0</v>
      </c>
    </row>
    <row r="13" spans="1:7" ht="12.75">
      <c r="A13" t="s">
        <v>445</v>
      </c>
      <c r="B13" s="20">
        <f>'Uncertainty Results'!B13</f>
        <v>57190.011027663764</v>
      </c>
      <c r="C13" s="21">
        <f>'Uncertainty Results'!C13</f>
        <v>48.37594634468611</v>
      </c>
      <c r="D13" s="21">
        <f>'Uncertainty Results'!D13</f>
        <v>180.19202636939144</v>
      </c>
      <c r="F13" s="21">
        <f>'Risk Results'!B13</f>
        <v>304.60355199329194</v>
      </c>
      <c r="G13" s="21">
        <f>'Risk Results'!C13</f>
        <v>0.083036363397005</v>
      </c>
    </row>
    <row r="14" spans="1:7" ht="12.75">
      <c r="A14" t="s">
        <v>446</v>
      </c>
      <c r="B14" s="20">
        <f>'Uncertainty Results'!B14</f>
        <v>57375.24615989235</v>
      </c>
      <c r="C14" s="21">
        <f>'Uncertainty Results'!C14</f>
        <v>48.89029601538862</v>
      </c>
      <c r="D14" s="21">
        <f>'Uncertainty Results'!D14</f>
        <v>197.62345030956274</v>
      </c>
      <c r="F14" s="21">
        <f>'Risk Results'!B14</f>
        <v>383.40783749730974</v>
      </c>
      <c r="G14" s="21">
        <f>'Risk Results'!C14</f>
        <v>0.190343672732633</v>
      </c>
    </row>
    <row r="15" spans="1:7" ht="12.75">
      <c r="A15" t="s">
        <v>447</v>
      </c>
      <c r="B15" s="20">
        <f>'Uncertainty Results'!B15</f>
        <v>57572.27172923346</v>
      </c>
      <c r="C15" s="21">
        <f>'Uncertainty Results'!C15</f>
        <v>49.48422519014808</v>
      </c>
      <c r="D15" s="21">
        <f>'Uncertainty Results'!D15</f>
        <v>215.24285282186497</v>
      </c>
      <c r="F15" s="21">
        <f>'Risk Results'!B15</f>
        <v>486.1306153066884</v>
      </c>
      <c r="G15" s="21">
        <f>'Risk Results'!C15</f>
        <v>0.308032431552788</v>
      </c>
    </row>
    <row r="16" spans="1:7" ht="12.75">
      <c r="A16" t="s">
        <v>448</v>
      </c>
      <c r="B16" s="20">
        <f>'Uncertainty Results'!B16</f>
        <v>57771.50399674191</v>
      </c>
      <c r="C16" s="21">
        <f>'Uncertainty Results'!C16</f>
        <v>50.096825963362114</v>
      </c>
      <c r="D16" s="21">
        <f>'Uncertainty Results'!D16</f>
        <v>234.958997100008</v>
      </c>
      <c r="F16" s="21">
        <f>'Risk Results'!B16</f>
        <v>588.4752022870782</v>
      </c>
      <c r="G16" s="21">
        <f>'Risk Results'!C16</f>
        <v>0.422709620990756</v>
      </c>
    </row>
    <row r="17" spans="1:7" ht="12.75">
      <c r="A17" t="s">
        <v>449</v>
      </c>
      <c r="B17" s="20">
        <f>'Uncertainty Results'!B17</f>
        <v>58004.79684537705</v>
      </c>
      <c r="C17" s="21">
        <f>'Uncertainty Results'!C17</f>
        <v>50.7145340961869</v>
      </c>
      <c r="D17" s="21">
        <f>'Uncertainty Results'!D17</f>
        <v>258.2731958784701</v>
      </c>
      <c r="F17" s="21">
        <f>'Risk Results'!B17</f>
        <v>718.0786892935847</v>
      </c>
      <c r="G17" s="21">
        <f>'Risk Results'!C17</f>
        <v>0.932914284466392</v>
      </c>
    </row>
    <row r="18" spans="1:7" ht="12.75">
      <c r="A18" t="s">
        <v>450</v>
      </c>
      <c r="B18" s="20">
        <f>'Uncertainty Results'!B18</f>
        <v>58262.54008650659</v>
      </c>
      <c r="C18" s="21">
        <f>'Uncertainty Results'!C18</f>
        <v>51.39883664136389</v>
      </c>
      <c r="D18" s="21">
        <f>'Uncertainty Results'!D18</f>
        <v>283.5293038873032</v>
      </c>
      <c r="F18" s="21">
        <f>'Risk Results'!B18</f>
        <v>894.6264346543281</v>
      </c>
      <c r="G18" s="21">
        <f>'Risk Results'!C18</f>
        <v>1.92186538130391</v>
      </c>
    </row>
    <row r="19" spans="1:7" ht="12.75">
      <c r="A19" t="s">
        <v>451</v>
      </c>
      <c r="B19" s="20">
        <f>'Uncertainty Results'!B19</f>
        <v>58540.917953309705</v>
      </c>
      <c r="C19" s="21">
        <f>'Uncertainty Results'!C19</f>
        <v>52.156210889451515</v>
      </c>
      <c r="D19" s="21">
        <f>'Uncertainty Results'!D19</f>
        <v>316.7349297678101</v>
      </c>
      <c r="F19" s="21">
        <f>'Risk Results'!B19</f>
        <v>1085.9302519321043</v>
      </c>
      <c r="G19" s="21">
        <f>'Risk Results'!C19</f>
        <v>2.761427459342128</v>
      </c>
    </row>
    <row r="20" spans="1:7" ht="12.75">
      <c r="A20" t="s">
        <v>452</v>
      </c>
      <c r="B20" s="20">
        <f>'Uncertainty Results'!B20</f>
        <v>58884.81301939349</v>
      </c>
      <c r="C20" s="21">
        <f>'Uncertainty Results'!C20</f>
        <v>53.12739594691209</v>
      </c>
      <c r="D20" s="21">
        <f>'Uncertainty Results'!D20</f>
        <v>355.2813896259555</v>
      </c>
      <c r="F20" s="21">
        <f>'Risk Results'!B20</f>
        <v>1281.8617042541896</v>
      </c>
      <c r="G20" s="21">
        <f>'Risk Results'!C20</f>
        <v>3.757157960109828</v>
      </c>
    </row>
    <row r="21" spans="1:7" ht="12.75">
      <c r="A21" t="s">
        <v>453</v>
      </c>
      <c r="B21" s="20">
        <f>'Uncertainty Results'!B21</f>
        <v>59421.443904420004</v>
      </c>
      <c r="C21" s="21">
        <f>'Uncertainty Results'!C21</f>
        <v>54.41359690709711</v>
      </c>
      <c r="D21" s="21">
        <f>'Uncertainty Results'!D21</f>
        <v>408.8517679204525</v>
      </c>
      <c r="F21" s="21">
        <f>'Risk Results'!B21</f>
        <v>1530.1056466640619</v>
      </c>
      <c r="G21" s="21">
        <f>'Risk Results'!C21</f>
        <v>6.85396347724695</v>
      </c>
    </row>
    <row r="22" spans="1:7" ht="12.75">
      <c r="A22" t="s">
        <v>454</v>
      </c>
      <c r="B22" s="20">
        <f>'Uncertainty Results'!B22</f>
        <v>61862.179865371014</v>
      </c>
      <c r="C22" s="21">
        <f>'Uncertainty Results'!C22</f>
        <v>58.66655905212895</v>
      </c>
      <c r="D22" s="21">
        <v>650.4426768541462</v>
      </c>
      <c r="F22" s="21">
        <f>'Risk Results'!B22</f>
        <v>3400.8717056533005</v>
      </c>
      <c r="G22" s="21">
        <f>'Risk Results'!C22</f>
        <v>15.227300783804877</v>
      </c>
    </row>
    <row r="24" spans="2:4" ht="12.75">
      <c r="B24" s="177" t="s">
        <v>455</v>
      </c>
      <c r="C24" s="177" t="s">
        <v>627</v>
      </c>
      <c r="D24" s="177" t="s">
        <v>628</v>
      </c>
    </row>
    <row r="25" spans="1:4" ht="12.75">
      <c r="A25" t="s">
        <v>434</v>
      </c>
      <c r="B25" s="178">
        <f>Summary!$C$11/1000</f>
        <v>50.848679999999995</v>
      </c>
      <c r="C25" s="178">
        <f aca="true" t="shared" si="0" ref="C25:C45">B2/1000+((C2-$E$1)*0.202)+D2/1000</f>
        <v>51.80526457408459</v>
      </c>
      <c r="D25" s="178">
        <f aca="true" t="shared" si="1" ref="D25:D45">(C25+(F2/1000)+(G2*$E$2/1000000))</f>
        <v>50.93946573034141</v>
      </c>
    </row>
    <row r="26" spans="1:4" ht="12.75">
      <c r="A26" t="s">
        <v>435</v>
      </c>
      <c r="B26" s="178">
        <f>Summary!$C$11/1000</f>
        <v>50.848679999999995</v>
      </c>
      <c r="C26" s="178">
        <f t="shared" si="0"/>
        <v>54.64632607169737</v>
      </c>
      <c r="D26" s="178">
        <f t="shared" si="1"/>
        <v>54.34955271821953</v>
      </c>
    </row>
    <row r="27" spans="1:4" ht="12.75">
      <c r="A27" t="s">
        <v>436</v>
      </c>
      <c r="B27" s="178">
        <f>Summary!$C$11/1000</f>
        <v>50.848679999999995</v>
      </c>
      <c r="C27" s="178">
        <f t="shared" si="0"/>
        <v>55.22348059517092</v>
      </c>
      <c r="D27" s="178">
        <f t="shared" si="1"/>
        <v>55.070635987779546</v>
      </c>
    </row>
    <row r="28" spans="1:4" ht="12.75">
      <c r="A28" t="s">
        <v>437</v>
      </c>
      <c r="B28" s="178">
        <f>Summary!$C$11/1000</f>
        <v>50.848679999999995</v>
      </c>
      <c r="C28" s="178">
        <f t="shared" si="0"/>
        <v>55.64610088255734</v>
      </c>
      <c r="D28" s="178">
        <f t="shared" si="1"/>
        <v>55.61059829710664</v>
      </c>
    </row>
    <row r="29" spans="1:4" ht="12.75">
      <c r="A29" t="s">
        <v>438</v>
      </c>
      <c r="B29" s="178">
        <f>Summary!$C$11/1000</f>
        <v>50.848679999999995</v>
      </c>
      <c r="C29" s="178">
        <f t="shared" si="0"/>
        <v>56.006327369835496</v>
      </c>
      <c r="D29" s="178">
        <f t="shared" si="1"/>
        <v>56.059940244354976</v>
      </c>
    </row>
    <row r="30" spans="1:4" ht="12.75">
      <c r="A30" t="s">
        <v>439</v>
      </c>
      <c r="B30" s="178">
        <f>Summary!$C$11/1000</f>
        <v>50.848679999999995</v>
      </c>
      <c r="C30" s="178">
        <f t="shared" si="0"/>
        <v>56.31792844272835</v>
      </c>
      <c r="D30" s="178">
        <f t="shared" si="1"/>
        <v>56.42849063525845</v>
      </c>
    </row>
    <row r="31" spans="1:4" ht="12.75">
      <c r="A31" t="s">
        <v>440</v>
      </c>
      <c r="B31" s="178">
        <f>Summary!$C$11/1000</f>
        <v>50.848679999999995</v>
      </c>
      <c r="C31" s="178">
        <f t="shared" si="0"/>
        <v>56.60854320219703</v>
      </c>
      <c r="D31" s="178">
        <f t="shared" si="1"/>
        <v>56.753321427678706</v>
      </c>
    </row>
    <row r="32" spans="1:4" ht="12.75">
      <c r="A32" t="s">
        <v>441</v>
      </c>
      <c r="B32" s="178">
        <f>Summary!$C$11/1000</f>
        <v>50.848679999999995</v>
      </c>
      <c r="C32" s="178">
        <f t="shared" si="0"/>
        <v>56.883586746793235</v>
      </c>
      <c r="D32" s="178">
        <f t="shared" si="1"/>
        <v>57.06212192029432</v>
      </c>
    </row>
    <row r="33" spans="1:4" ht="12.75">
      <c r="A33" t="s">
        <v>442</v>
      </c>
      <c r="B33" s="178">
        <f>Summary!$C$11/1000</f>
        <v>50.848679999999995</v>
      </c>
      <c r="C33" s="178">
        <f t="shared" si="0"/>
        <v>57.14955464808172</v>
      </c>
      <c r="D33" s="178">
        <f t="shared" si="1"/>
        <v>57.36007879921</v>
      </c>
    </row>
    <row r="34" spans="1:4" ht="12.75">
      <c r="A34" t="s">
        <v>443</v>
      </c>
      <c r="B34" s="178">
        <f>Summary!$C$11/1000</f>
        <v>50.848679999999995</v>
      </c>
      <c r="C34" s="178">
        <f t="shared" si="0"/>
        <v>57.427003894823784</v>
      </c>
      <c r="D34" s="178">
        <f t="shared" si="1"/>
        <v>57.66943372965878</v>
      </c>
    </row>
    <row r="35" spans="1:4" ht="12.75">
      <c r="A35" t="s">
        <v>444</v>
      </c>
      <c r="B35" s="178">
        <f>Summary!$C$11/1000</f>
        <v>50.848679999999995</v>
      </c>
      <c r="C35" s="178">
        <f t="shared" si="0"/>
        <v>57.71118811646199</v>
      </c>
      <c r="D35" s="178">
        <f t="shared" si="1"/>
        <v>57.98185020711771</v>
      </c>
    </row>
    <row r="36" spans="1:4" ht="12.75">
      <c r="A36" t="s">
        <v>445</v>
      </c>
      <c r="B36" s="178">
        <f>Summary!$C$11/1000</f>
        <v>50.848679999999995</v>
      </c>
      <c r="C36" s="178">
        <f t="shared" si="0"/>
        <v>58.01366802518356</v>
      </c>
      <c r="D36" s="178">
        <f t="shared" si="1"/>
        <v>58.335044922583045</v>
      </c>
    </row>
    <row r="37" spans="1:4" ht="12.75">
      <c r="A37" t="s">
        <v>446</v>
      </c>
      <c r="B37" s="178">
        <f>Summary!$C$11/1000</f>
        <v>50.848679999999995</v>
      </c>
      <c r="C37" s="178">
        <f t="shared" si="0"/>
        <v>58.320233214834225</v>
      </c>
      <c r="D37" s="178">
        <f t="shared" si="1"/>
        <v>58.742090474223524</v>
      </c>
    </row>
    <row r="38" spans="1:4" ht="12.75">
      <c r="A38" t="s">
        <v>447</v>
      </c>
      <c r="B38" s="178">
        <f>Summary!$C$11/1000</f>
        <v>50.848679999999995</v>
      </c>
      <c r="C38" s="178">
        <f t="shared" si="0"/>
        <v>58.654851879989046</v>
      </c>
      <c r="D38" s="178">
        <f t="shared" si="1"/>
        <v>59.20320504646939</v>
      </c>
    </row>
    <row r="39" spans="1:4" ht="12.75">
      <c r="A39" t="s">
        <v>448</v>
      </c>
      <c r="B39" s="178">
        <f>Summary!$C$11/1000</f>
        <v>50.848679999999995</v>
      </c>
      <c r="C39" s="178">
        <f t="shared" si="0"/>
        <v>58.99754564796487</v>
      </c>
      <c r="D39" s="178">
        <f t="shared" si="1"/>
        <v>59.67140819369208</v>
      </c>
    </row>
    <row r="40" spans="1:4" ht="12.75">
      <c r="A40" t="s">
        <v>449</v>
      </c>
      <c r="B40" s="178">
        <f>Summary!$C$11/1000</f>
        <v>50.848679999999995</v>
      </c>
      <c r="C40" s="178">
        <f t="shared" si="0"/>
        <v>59.37892973820909</v>
      </c>
      <c r="D40" s="178">
        <f t="shared" si="1"/>
        <v>60.285457112964885</v>
      </c>
    </row>
    <row r="41" spans="1:4" ht="12.75">
      <c r="A41" t="s">
        <v>450</v>
      </c>
      <c r="B41" s="178">
        <f>Summary!$C$11/1000</f>
        <v>50.848679999999995</v>
      </c>
      <c r="C41" s="178">
        <f t="shared" si="0"/>
        <v>59.80015820147322</v>
      </c>
      <c r="D41" s="178">
        <f t="shared" si="1"/>
        <v>61.083001443150934</v>
      </c>
    </row>
    <row r="42" spans="1:4" ht="12.75">
      <c r="A42" t="s">
        <v>451</v>
      </c>
      <c r="B42" s="178">
        <f>Summary!$C$11/1000</f>
        <v>50.848679999999995</v>
      </c>
      <c r="C42" s="178">
        <f t="shared" si="0"/>
        <v>60.26473129227053</v>
      </c>
      <c r="D42" s="178">
        <f t="shared" si="1"/>
        <v>61.90846989098975</v>
      </c>
    </row>
    <row r="43" spans="1:4" ht="12.75">
      <c r="A43" t="s">
        <v>452</v>
      </c>
      <c r="B43" s="178">
        <f>Summary!$C$11/1000</f>
        <v>50.848679999999995</v>
      </c>
      <c r="C43" s="178">
        <f t="shared" si="0"/>
        <v>60.8433521998195</v>
      </c>
      <c r="D43" s="178">
        <f t="shared" si="1"/>
        <v>62.884159812015874</v>
      </c>
    </row>
    <row r="44" spans="1:4" ht="12.75">
      <c r="A44" t="s">
        <v>453</v>
      </c>
      <c r="B44" s="178">
        <f>Summary!$C$11/1000</f>
        <v>50.848679999999995</v>
      </c>
      <c r="C44" s="178">
        <f t="shared" si="0"/>
        <v>61.69336605709788</v>
      </c>
      <c r="D44" s="178">
        <f t="shared" si="1"/>
        <v>64.60797232616582</v>
      </c>
    </row>
    <row r="45" spans="1:4" ht="12.75">
      <c r="A45" t="s">
        <v>454</v>
      </c>
      <c r="B45" s="178">
        <f>Summary!$C$11/1000</f>
        <v>50.848679999999995</v>
      </c>
      <c r="C45" s="178">
        <f t="shared" si="0"/>
        <v>65.23479128027901</v>
      </c>
      <c r="D45" s="178">
        <f t="shared" si="1"/>
        <v>71.7115777442609</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7.8515625" style="0" customWidth="1"/>
    <col min="2" max="2" width="34.8515625" style="0" customWidth="1"/>
    <col min="3" max="3" width="16.140625" style="0" customWidth="1"/>
    <col min="4" max="4" width="9.7109375" style="0" customWidth="1"/>
  </cols>
  <sheetData>
    <row r="1" spans="1:4" ht="12.75">
      <c r="A1" s="272" t="s">
        <v>473</v>
      </c>
      <c r="B1" s="272"/>
      <c r="C1" s="272"/>
      <c r="D1" s="272"/>
    </row>
    <row r="3" spans="1:4" ht="12.75">
      <c r="A3" s="14" t="s">
        <v>456</v>
      </c>
      <c r="B3" s="14"/>
      <c r="C3" s="41">
        <f>'Schedule Ranges'!C16</f>
        <v>45.25</v>
      </c>
      <c r="D3" t="s">
        <v>458</v>
      </c>
    </row>
    <row r="4" ht="12.75">
      <c r="C4" s="17"/>
    </row>
    <row r="5" spans="1:3" ht="12.75">
      <c r="A5" t="s">
        <v>164</v>
      </c>
      <c r="C5" s="25">
        <f>'Uncertainty Results'!C20-Summary!C3</f>
        <v>7.877395946912088</v>
      </c>
    </row>
    <row r="6" spans="1:3" ht="12.75">
      <c r="A6" t="s">
        <v>165</v>
      </c>
      <c r="C6" s="25">
        <f>'Risk Results'!C20</f>
        <v>3.757157960109828</v>
      </c>
    </row>
    <row r="7" ht="12.75">
      <c r="C7" s="25"/>
    </row>
    <row r="8" spans="1:4" ht="12.75">
      <c r="A8" s="14" t="s">
        <v>551</v>
      </c>
      <c r="C8" s="30">
        <f>SUM(C5:C6)</f>
        <v>11.634553907021916</v>
      </c>
      <c r="D8" s="14" t="s">
        <v>458</v>
      </c>
    </row>
    <row r="9" ht="12.75">
      <c r="C9" s="25"/>
    </row>
    <row r="11" spans="1:3" ht="12.75">
      <c r="A11" s="26" t="s">
        <v>455</v>
      </c>
      <c r="B11" s="14"/>
      <c r="C11" s="29">
        <f>'Estimate Uncertainty Range'!I150</f>
        <v>50848.67999999999</v>
      </c>
    </row>
    <row r="13" spans="1:5" ht="12.75">
      <c r="A13" s="19" t="s">
        <v>166</v>
      </c>
      <c r="C13" s="24">
        <f>'Uncertainty Results'!B20-Summary!C11</f>
        <v>8036.133019393499</v>
      </c>
      <c r="D13" s="32">
        <f>C13/$C$11</f>
        <v>0.15804015009619718</v>
      </c>
      <c r="E13" s="24"/>
    </row>
    <row r="14" spans="1:4" ht="12.75">
      <c r="A14" s="19" t="s">
        <v>555</v>
      </c>
      <c r="C14" s="24">
        <f>C5*'Misc Inputs'!F16</f>
        <v>1589.2646322895139</v>
      </c>
      <c r="D14" s="32">
        <f>C14/$C$11</f>
        <v>0.03125478640329531</v>
      </c>
    </row>
    <row r="15" spans="1:4" ht="12.75">
      <c r="A15" s="19" t="s">
        <v>457</v>
      </c>
      <c r="C15" s="24">
        <f>'Uncertainty Results'!D20</f>
        <v>355.2813896259555</v>
      </c>
      <c r="D15" s="32">
        <f>C15/$C$11</f>
        <v>0.00698703269437782</v>
      </c>
    </row>
    <row r="16" ht="12.75">
      <c r="D16" s="13"/>
    </row>
    <row r="17" spans="1:4" ht="12.75">
      <c r="A17" t="s">
        <v>534</v>
      </c>
      <c r="C17" s="24">
        <f>SUM(C13:C16)</f>
        <v>9980.67904130897</v>
      </c>
      <c r="D17" s="32">
        <f>C17/$C$11</f>
        <v>0.19628196919387034</v>
      </c>
    </row>
    <row r="18" ht="12.75">
      <c r="D18" s="32"/>
    </row>
    <row r="19" spans="1:4" ht="12.75">
      <c r="A19" t="s">
        <v>556</v>
      </c>
      <c r="C19" s="24">
        <f>'Risk Results'!C26</f>
        <v>1281.8617042541896</v>
      </c>
      <c r="D19" s="32">
        <f>C19/$C$11</f>
        <v>0.02520934081777914</v>
      </c>
    </row>
    <row r="20" spans="1:4" ht="12.75">
      <c r="A20" t="s">
        <v>557</v>
      </c>
      <c r="C20" s="24">
        <f>'Risk Results'!C27</f>
        <v>758.0066184521578</v>
      </c>
      <c r="D20" s="32">
        <f>C20/$C$11</f>
        <v>0.01490710512941846</v>
      </c>
    </row>
    <row r="21" spans="3:4" ht="12.75">
      <c r="C21" s="24"/>
      <c r="D21" s="13"/>
    </row>
    <row r="22" spans="1:4" ht="12.75">
      <c r="A22" t="s">
        <v>558</v>
      </c>
      <c r="C22" s="24">
        <f>SUM(C19:C21)</f>
        <v>2039.8683227063475</v>
      </c>
      <c r="D22" s="32">
        <f>C22/$C$11</f>
        <v>0.040116445947197606</v>
      </c>
    </row>
    <row r="23" spans="3:4" ht="12.75">
      <c r="C23" s="24"/>
      <c r="D23" s="13"/>
    </row>
    <row r="24" spans="1:4" ht="12.75">
      <c r="A24" s="14" t="s">
        <v>552</v>
      </c>
      <c r="B24" s="14"/>
      <c r="C24" s="29">
        <f>C17+C22</f>
        <v>12020.547364015318</v>
      </c>
      <c r="D24" s="33">
        <f>C24/$C$11</f>
        <v>0.23639841514106796</v>
      </c>
    </row>
    <row r="25" ht="12.75">
      <c r="C25" s="24"/>
    </row>
    <row r="26" spans="1:3" ht="12.75">
      <c r="A26" s="31" t="s">
        <v>550</v>
      </c>
      <c r="B26" s="31"/>
      <c r="C26" s="40">
        <f>C11+C24</f>
        <v>62869.227364015314</v>
      </c>
    </row>
    <row r="27" ht="12.75">
      <c r="C27" s="24"/>
    </row>
    <row r="28" spans="2:4" ht="12.75">
      <c r="B28" s="16" t="s">
        <v>472</v>
      </c>
      <c r="C28" s="24"/>
      <c r="D28" s="15" t="s">
        <v>163</v>
      </c>
    </row>
    <row r="29" spans="2:4" ht="12.75">
      <c r="B29">
        <v>2008</v>
      </c>
      <c r="C29" s="9">
        <f>'Contingency by Year'!J32</f>
        <v>0.2</v>
      </c>
      <c r="D29" s="17">
        <f>$C$24*C29/1000</f>
        <v>2.4041094728030634</v>
      </c>
    </row>
    <row r="30" spans="2:4" ht="12.75">
      <c r="B30">
        <v>2009</v>
      </c>
      <c r="C30" s="9">
        <f>'Contingency by Year'!K32</f>
        <v>0.25</v>
      </c>
      <c r="D30" s="17">
        <f>$C$24*C30/1000</f>
        <v>3.0051368410038295</v>
      </c>
    </row>
    <row r="31" spans="2:4" ht="12.75">
      <c r="B31">
        <v>2010</v>
      </c>
      <c r="C31" s="9">
        <f>'Contingency by Year'!L32</f>
        <v>0.3</v>
      </c>
      <c r="D31" s="17">
        <f>$C$24*C31/1000</f>
        <v>3.6061642092045956</v>
      </c>
    </row>
    <row r="32" spans="2:4" ht="12.75">
      <c r="B32">
        <v>2011</v>
      </c>
      <c r="C32" s="9">
        <f>'Contingency by Year'!M32</f>
        <v>0.25</v>
      </c>
      <c r="D32" s="17">
        <f>$C$24*C32/1000</f>
        <v>3.0051368410038295</v>
      </c>
    </row>
    <row r="34" ht="12.75">
      <c r="D34" s="17"/>
    </row>
  </sheetData>
  <mergeCells count="1">
    <mergeCell ref="A1:D1"/>
  </mergeCells>
  <printOptions/>
  <pageMargins left="0.75" right="0.75" top="1" bottom="1" header="0.5" footer="0.5"/>
  <pageSetup horizontalDpi="600" verticalDpi="600" orientation="portrait" r:id="rId1"/>
  <headerFooter alignWithMargins="0">
    <oddFooter xml:space="preserve">&amp;R&amp;F   &amp;A   &amp;D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workbookViewId="0" topLeftCell="A1">
      <selection activeCell="R2" sqref="R2"/>
    </sheetView>
  </sheetViews>
  <sheetFormatPr defaultColWidth="9.140625" defaultRowHeight="12.75"/>
  <cols>
    <col min="1" max="1" width="11.140625" style="0" bestFit="1" customWidth="1"/>
    <col min="2" max="4" width="12.8515625" style="0" customWidth="1"/>
    <col min="6" max="6" width="11.140625" style="0" bestFit="1" customWidth="1"/>
    <col min="7" max="7" width="5.28125" style="0" bestFit="1" customWidth="1"/>
    <col min="8" max="8" width="5.28125" style="0" customWidth="1"/>
    <col min="9" max="9" width="6.28125" style="0" bestFit="1" customWidth="1"/>
    <col min="10" max="12" width="5.28125" style="0" customWidth="1"/>
    <col min="13" max="13" width="6.28125" style="0" customWidth="1"/>
    <col min="14" max="14" width="5.28125" style="0" customWidth="1"/>
    <col min="15" max="16" width="5.28125" style="0" bestFit="1" customWidth="1"/>
    <col min="17" max="19" width="5.28125" style="0" customWidth="1"/>
    <col min="20" max="21" width="6.28125" style="0" customWidth="1"/>
  </cols>
  <sheetData>
    <row r="1" spans="1:21" s="184" customFormat="1" ht="51">
      <c r="A1" s="183" t="s">
        <v>433</v>
      </c>
      <c r="B1" s="183" t="s">
        <v>549</v>
      </c>
      <c r="C1" s="183" t="s">
        <v>432</v>
      </c>
      <c r="D1" s="183" t="s">
        <v>431</v>
      </c>
      <c r="F1" s="183" t="s">
        <v>433</v>
      </c>
      <c r="G1" s="183" t="s">
        <v>608</v>
      </c>
      <c r="H1" s="183" t="s">
        <v>609</v>
      </c>
      <c r="I1" s="183" t="s">
        <v>610</v>
      </c>
      <c r="J1" s="183" t="s">
        <v>611</v>
      </c>
      <c r="K1" s="183" t="s">
        <v>612</v>
      </c>
      <c r="L1" s="183" t="s">
        <v>613</v>
      </c>
      <c r="M1" s="183" t="s">
        <v>614</v>
      </c>
      <c r="N1" s="183" t="s">
        <v>615</v>
      </c>
      <c r="O1" s="183" t="s">
        <v>616</v>
      </c>
      <c r="P1" s="183" t="s">
        <v>617</v>
      </c>
      <c r="Q1" s="183" t="s">
        <v>618</v>
      </c>
      <c r="R1" s="183" t="s">
        <v>619</v>
      </c>
      <c r="S1" s="183" t="s">
        <v>620</v>
      </c>
      <c r="T1" s="183" t="s">
        <v>621</v>
      </c>
      <c r="U1" s="183" t="s">
        <v>622</v>
      </c>
    </row>
    <row r="2" spans="1:21" ht="12.75">
      <c r="A2" s="19" t="s">
        <v>434</v>
      </c>
      <c r="B2" s="20">
        <v>52807.913315333724</v>
      </c>
      <c r="C2" s="21">
        <v>40.19252758881254</v>
      </c>
      <c r="D2" s="21">
        <v>6.936876286922682</v>
      </c>
      <c r="F2" s="19" t="s">
        <v>434</v>
      </c>
      <c r="G2" s="20">
        <v>142.22863025715276</v>
      </c>
      <c r="H2" s="20">
        <v>3216.230363085209</v>
      </c>
      <c r="I2" s="20">
        <v>6361.866344906556</v>
      </c>
      <c r="J2" s="20">
        <v>1154.276940699687</v>
      </c>
      <c r="K2" s="20">
        <v>828.6510982640851</v>
      </c>
      <c r="L2" s="20">
        <v>736.2528915353644</v>
      </c>
      <c r="M2" s="20">
        <v>9846.990867021646</v>
      </c>
      <c r="N2" s="20">
        <v>1542.076274184627</v>
      </c>
      <c r="O2" s="20">
        <v>216.12889339156874</v>
      </c>
      <c r="P2" s="20">
        <v>687.3687645293235</v>
      </c>
      <c r="Q2" s="20">
        <v>2362.8547089631616</v>
      </c>
      <c r="R2" s="20">
        <v>1086.2189749679437</v>
      </c>
      <c r="S2" s="20">
        <v>1225.789070149458</v>
      </c>
      <c r="T2" s="20">
        <v>6997.460016317416</v>
      </c>
      <c r="U2" s="20">
        <v>12201.139640988757</v>
      </c>
    </row>
    <row r="3" spans="1:21" ht="12.75">
      <c r="A3" s="19" t="s">
        <v>435</v>
      </c>
      <c r="B3" s="20">
        <v>55014.1877812714</v>
      </c>
      <c r="C3" s="21">
        <v>43.32630931139683</v>
      </c>
      <c r="D3" s="21">
        <v>8.7</v>
      </c>
      <c r="F3" s="19" t="s">
        <v>435</v>
      </c>
      <c r="G3" s="20">
        <v>157.44049604370952</v>
      </c>
      <c r="H3" s="20">
        <v>3435.796732148409</v>
      </c>
      <c r="I3" s="20">
        <v>6807.337828418677</v>
      </c>
      <c r="J3" s="20">
        <v>1215.3984522517421</v>
      </c>
      <c r="K3" s="20">
        <v>856.779930923292</v>
      </c>
      <c r="L3" s="20">
        <v>785.6533843192227</v>
      </c>
      <c r="M3" s="20">
        <v>10730.148182642659</v>
      </c>
      <c r="N3" s="20">
        <v>1608.1082185667965</v>
      </c>
      <c r="O3" s="20">
        <v>233.9047286210882</v>
      </c>
      <c r="P3" s="20">
        <v>715.355880653326</v>
      </c>
      <c r="Q3" s="20">
        <v>2465.9720418952106</v>
      </c>
      <c r="R3" s="20">
        <v>1157.1350052552227</v>
      </c>
      <c r="S3" s="20">
        <v>1387.423869036457</v>
      </c>
      <c r="T3" s="20">
        <v>7952.213559519228</v>
      </c>
      <c r="U3" s="20">
        <v>12804.195891995114</v>
      </c>
    </row>
    <row r="4" spans="1:21" ht="12.75">
      <c r="A4" s="19" t="s">
        <v>436</v>
      </c>
      <c r="B4" s="20">
        <v>55413.17438475301</v>
      </c>
      <c r="C4" s="21">
        <v>44.13247182447673</v>
      </c>
      <c r="D4" s="21">
        <v>24.023092349800365</v>
      </c>
      <c r="F4" s="19" t="s">
        <v>436</v>
      </c>
      <c r="G4" s="20">
        <v>160.76667371202063</v>
      </c>
      <c r="H4" s="20">
        <v>3494.086027994491</v>
      </c>
      <c r="I4" s="20">
        <v>6889.699295122315</v>
      </c>
      <c r="J4" s="20">
        <v>1236.137080275442</v>
      </c>
      <c r="K4" s="20">
        <v>864.5593737901492</v>
      </c>
      <c r="L4" s="20">
        <v>798.6681138699433</v>
      </c>
      <c r="M4" s="20">
        <v>10906.493879164005</v>
      </c>
      <c r="N4" s="20">
        <v>1623.0110244730151</v>
      </c>
      <c r="O4" s="20">
        <v>238.25141350413477</v>
      </c>
      <c r="P4" s="20">
        <v>724.1329302119768</v>
      </c>
      <c r="Q4" s="20">
        <v>2487.320509459648</v>
      </c>
      <c r="R4" s="20">
        <v>1175.2548472288222</v>
      </c>
      <c r="S4" s="20">
        <v>1431.4939554875916</v>
      </c>
      <c r="T4" s="20">
        <v>8214.120886987374</v>
      </c>
      <c r="U4" s="20">
        <v>12927.778474179724</v>
      </c>
    </row>
    <row r="5" spans="1:21" ht="12.75">
      <c r="A5" s="19" t="s">
        <v>437</v>
      </c>
      <c r="B5" s="20">
        <v>55690.15532628499</v>
      </c>
      <c r="C5" s="21">
        <v>44.75226403591027</v>
      </c>
      <c r="D5" s="21">
        <v>44.464411494659124</v>
      </c>
      <c r="F5" s="19" t="s">
        <v>437</v>
      </c>
      <c r="G5" s="20">
        <v>163.08664234182976</v>
      </c>
      <c r="H5" s="20">
        <v>3540.408200842866</v>
      </c>
      <c r="I5" s="20">
        <v>6949.598917199027</v>
      </c>
      <c r="J5" s="20">
        <v>1252.5557381304652</v>
      </c>
      <c r="K5" s="20">
        <v>870.5103868533665</v>
      </c>
      <c r="L5" s="20">
        <v>808.0829426619107</v>
      </c>
      <c r="M5" s="20">
        <v>11033.488958983384</v>
      </c>
      <c r="N5" s="20">
        <v>1634.88844536459</v>
      </c>
      <c r="O5" s="20">
        <v>241.6748151306673</v>
      </c>
      <c r="P5" s="20">
        <v>730.6902726537187</v>
      </c>
      <c r="Q5" s="20">
        <v>2501.2462865420657</v>
      </c>
      <c r="R5" s="20">
        <v>1187.4315165932865</v>
      </c>
      <c r="S5" s="20">
        <v>1465.6222128037493</v>
      </c>
      <c r="T5" s="20">
        <v>8416.484396001799</v>
      </c>
      <c r="U5" s="20">
        <v>13017.505014324168</v>
      </c>
    </row>
    <row r="6" spans="1:21" ht="12.75">
      <c r="A6" s="19" t="s">
        <v>438</v>
      </c>
      <c r="B6" s="20">
        <v>55937.72891090792</v>
      </c>
      <c r="C6" s="21">
        <v>45.22032670217988</v>
      </c>
      <c r="D6" s="21">
        <v>62.5686555634249</v>
      </c>
      <c r="F6" s="19" t="s">
        <v>438</v>
      </c>
      <c r="G6" s="20">
        <v>164.99236820995418</v>
      </c>
      <c r="H6" s="20">
        <v>3576.472586448462</v>
      </c>
      <c r="I6" s="20">
        <v>6996.023509277447</v>
      </c>
      <c r="J6" s="20">
        <v>1265.2027388329434</v>
      </c>
      <c r="K6" s="20">
        <v>875.9632352770967</v>
      </c>
      <c r="L6" s="20">
        <v>816.0680429066873</v>
      </c>
      <c r="M6" s="20">
        <v>11134.482408334927</v>
      </c>
      <c r="N6" s="20">
        <v>1645.2830450148297</v>
      </c>
      <c r="O6" s="20">
        <v>244.4931524373433</v>
      </c>
      <c r="P6" s="20">
        <v>736.7598777070749</v>
      </c>
      <c r="Q6" s="20">
        <v>2513.6937116472127</v>
      </c>
      <c r="R6" s="20">
        <v>1198.3448348213838</v>
      </c>
      <c r="S6" s="20">
        <v>1492.5983828252904</v>
      </c>
      <c r="T6" s="20">
        <v>8578.097719294234</v>
      </c>
      <c r="U6" s="20">
        <v>13092.296296711787</v>
      </c>
    </row>
    <row r="7" spans="1:21" ht="12.75">
      <c r="A7" s="19" t="s">
        <v>439</v>
      </c>
      <c r="B7" s="20">
        <v>56136.27436031816</v>
      </c>
      <c r="C7" s="21">
        <v>45.69000246698637</v>
      </c>
      <c r="D7" s="21">
        <v>80.74977455513338</v>
      </c>
      <c r="F7" s="19" t="s">
        <v>439</v>
      </c>
      <c r="G7" s="20">
        <v>166.9527175860419</v>
      </c>
      <c r="H7" s="20">
        <v>3610.865371293491</v>
      </c>
      <c r="I7" s="20">
        <v>7037.876617708102</v>
      </c>
      <c r="J7" s="20">
        <v>1277.5496176747686</v>
      </c>
      <c r="K7" s="20">
        <v>880.8127701576594</v>
      </c>
      <c r="L7" s="20">
        <v>823.199989089188</v>
      </c>
      <c r="M7" s="20">
        <v>11220.20388179683</v>
      </c>
      <c r="N7" s="20">
        <v>1654.6754177168627</v>
      </c>
      <c r="O7" s="20">
        <v>246.94996305728336</v>
      </c>
      <c r="P7" s="20">
        <v>741.7987186904181</v>
      </c>
      <c r="Q7" s="20">
        <v>2524.5221639668985</v>
      </c>
      <c r="R7" s="20">
        <v>1207.6656161469414</v>
      </c>
      <c r="S7" s="20">
        <v>1518.1531660213147</v>
      </c>
      <c r="T7" s="20">
        <v>8729.247763299274</v>
      </c>
      <c r="U7" s="20">
        <v>13159.509453828818</v>
      </c>
    </row>
    <row r="8" spans="1:21" ht="12.75">
      <c r="A8" s="19" t="s">
        <v>440</v>
      </c>
      <c r="B8" s="20">
        <v>56325.79582416786</v>
      </c>
      <c r="C8" s="21">
        <v>46.10741195460348</v>
      </c>
      <c r="D8" s="21">
        <v>97.52635367546127</v>
      </c>
      <c r="F8" s="19" t="s">
        <v>440</v>
      </c>
      <c r="G8" s="20">
        <v>168.5969794026456</v>
      </c>
      <c r="H8" s="20">
        <v>3645.086399321677</v>
      </c>
      <c r="I8" s="20">
        <v>7076.21799737226</v>
      </c>
      <c r="J8" s="20">
        <v>1289.1525955811185</v>
      </c>
      <c r="K8" s="20">
        <v>885.4076229992886</v>
      </c>
      <c r="L8" s="20">
        <v>830.0949853739148</v>
      </c>
      <c r="M8" s="20">
        <v>11295.482913585169</v>
      </c>
      <c r="N8" s="20">
        <v>1664.0673206740098</v>
      </c>
      <c r="O8" s="20">
        <v>249.55683710402747</v>
      </c>
      <c r="P8" s="20">
        <v>746.6886487747238</v>
      </c>
      <c r="Q8" s="20">
        <v>2534.0621931898654</v>
      </c>
      <c r="R8" s="20">
        <v>1216.3293345695351</v>
      </c>
      <c r="S8" s="20">
        <v>1541.8761346069105</v>
      </c>
      <c r="T8" s="20">
        <v>8872.389146750666</v>
      </c>
      <c r="U8" s="20">
        <v>13222.053306472231</v>
      </c>
    </row>
    <row r="9" spans="1:21" ht="12.75">
      <c r="A9" s="19" t="s">
        <v>441</v>
      </c>
      <c r="B9" s="20">
        <v>56497.84900551301</v>
      </c>
      <c r="C9" s="21">
        <v>46.53343503884936</v>
      </c>
      <c r="D9" s="21">
        <v>114.46005390884513</v>
      </c>
      <c r="F9" s="19" t="s">
        <v>441</v>
      </c>
      <c r="G9" s="20">
        <v>170.2543832768639</v>
      </c>
      <c r="H9" s="20">
        <v>3676.7258400804853</v>
      </c>
      <c r="I9" s="20">
        <v>7110.342638861187</v>
      </c>
      <c r="J9" s="20">
        <v>1301.5855529532837</v>
      </c>
      <c r="K9" s="20">
        <v>889.6586294818846</v>
      </c>
      <c r="L9" s="20">
        <v>836.5606337839267</v>
      </c>
      <c r="M9" s="20">
        <v>11364.6982503711</v>
      </c>
      <c r="N9" s="20">
        <v>1673.4561432672012</v>
      </c>
      <c r="O9" s="20">
        <v>252.01080889571887</v>
      </c>
      <c r="P9" s="20">
        <v>751.448652336047</v>
      </c>
      <c r="Q9" s="20">
        <v>2543.2892332012316</v>
      </c>
      <c r="R9" s="20">
        <v>1225.0237138300167</v>
      </c>
      <c r="S9" s="20">
        <v>1563.3590457614298</v>
      </c>
      <c r="T9" s="20">
        <v>9009.651331224926</v>
      </c>
      <c r="U9" s="20">
        <v>13275.958101858934</v>
      </c>
    </row>
    <row r="10" spans="1:21" ht="12.75">
      <c r="A10" s="19" t="s">
        <v>442</v>
      </c>
      <c r="B10" s="20">
        <v>56660.0056039181</v>
      </c>
      <c r="C10" s="21">
        <v>46.96208423745944</v>
      </c>
      <c r="D10" s="21">
        <v>131.6842186730045</v>
      </c>
      <c r="F10" s="19" t="s">
        <v>442</v>
      </c>
      <c r="G10" s="20">
        <v>171.80642803984045</v>
      </c>
      <c r="H10" s="20">
        <v>3709.8418278618956</v>
      </c>
      <c r="I10" s="20">
        <v>7141.520756413632</v>
      </c>
      <c r="J10" s="20">
        <v>1313.7709438748593</v>
      </c>
      <c r="K10" s="20">
        <v>894.0033393864201</v>
      </c>
      <c r="L10" s="20">
        <v>843.3260427614069</v>
      </c>
      <c r="M10" s="20">
        <v>11428.469464697662</v>
      </c>
      <c r="N10" s="20">
        <v>1681.660229599386</v>
      </c>
      <c r="O10" s="20">
        <v>254.34568213368107</v>
      </c>
      <c r="P10" s="20">
        <v>756.1912987097294</v>
      </c>
      <c r="Q10" s="20">
        <v>2552.040845100461</v>
      </c>
      <c r="R10" s="20">
        <v>1233.3218767014807</v>
      </c>
      <c r="S10" s="20">
        <v>1588.0096841672325</v>
      </c>
      <c r="T10" s="20">
        <v>9165.18192744588</v>
      </c>
      <c r="U10" s="20">
        <v>13330.298905226557</v>
      </c>
    </row>
    <row r="11" spans="1:21" ht="12.75">
      <c r="A11" s="19" t="s">
        <v>443</v>
      </c>
      <c r="B11" s="20">
        <v>56828.634699996466</v>
      </c>
      <c r="C11" s="21">
        <v>47.417180678772105</v>
      </c>
      <c r="D11" s="21">
        <v>148.57488819154906</v>
      </c>
      <c r="F11" s="19" t="s">
        <v>443</v>
      </c>
      <c r="G11" s="20">
        <v>173.564287475201</v>
      </c>
      <c r="H11" s="20">
        <v>3742.9805765615106</v>
      </c>
      <c r="I11" s="20">
        <v>7173.463420935215</v>
      </c>
      <c r="J11" s="20">
        <v>1326.6836843341641</v>
      </c>
      <c r="K11" s="20">
        <v>898.1008947263318</v>
      </c>
      <c r="L11" s="20">
        <v>850.1424532201615</v>
      </c>
      <c r="M11" s="20">
        <v>11495.071358969124</v>
      </c>
      <c r="N11" s="20">
        <v>1689.981380361571</v>
      </c>
      <c r="O11" s="20">
        <v>256.8014280915918</v>
      </c>
      <c r="P11" s="20">
        <v>761.3694551248834</v>
      </c>
      <c r="Q11" s="20">
        <v>2561.0448413706686</v>
      </c>
      <c r="R11" s="20">
        <v>1241.241035644868</v>
      </c>
      <c r="S11" s="20">
        <v>1610.615208464655</v>
      </c>
      <c r="T11" s="20">
        <v>9301.113180869763</v>
      </c>
      <c r="U11" s="20">
        <v>13387.769939885759</v>
      </c>
    </row>
    <row r="12" spans="1:21" ht="12.75">
      <c r="A12" s="19" t="s">
        <v>444</v>
      </c>
      <c r="B12" s="20">
        <v>56999.531884632306</v>
      </c>
      <c r="C12" s="21">
        <v>47.902002997774765</v>
      </c>
      <c r="D12" s="21">
        <v>163.9278167553649</v>
      </c>
      <c r="F12" s="19" t="s">
        <v>444</v>
      </c>
      <c r="G12" s="20">
        <v>175.3706514598062</v>
      </c>
      <c r="H12" s="20">
        <v>3778.7379116111497</v>
      </c>
      <c r="I12" s="20">
        <v>7204.454379593394</v>
      </c>
      <c r="J12" s="20">
        <v>1339.0893499573958</v>
      </c>
      <c r="K12" s="20">
        <v>902.8404917071413</v>
      </c>
      <c r="L12" s="20">
        <v>856.8316707552716</v>
      </c>
      <c r="M12" s="20">
        <v>11560.562403750213</v>
      </c>
      <c r="N12" s="20">
        <v>1697.975500443626</v>
      </c>
      <c r="O12" s="20">
        <v>259.12270921201707</v>
      </c>
      <c r="P12" s="20">
        <v>766.7070298051324</v>
      </c>
      <c r="Q12" s="20">
        <v>2569.2491135435484</v>
      </c>
      <c r="R12" s="20">
        <v>1249.3839538055543</v>
      </c>
      <c r="S12" s="20">
        <v>1631.5776432562634</v>
      </c>
      <c r="T12" s="20">
        <v>9443.184768623116</v>
      </c>
      <c r="U12" s="20">
        <v>13443.186802511662</v>
      </c>
    </row>
    <row r="13" spans="1:21" ht="12.75">
      <c r="A13" s="19" t="s">
        <v>445</v>
      </c>
      <c r="B13" s="20">
        <v>57190.011027663764</v>
      </c>
      <c r="C13" s="21">
        <v>48.37594634468611</v>
      </c>
      <c r="D13" s="21">
        <v>180.19202636939144</v>
      </c>
      <c r="F13" s="19" t="s">
        <v>445</v>
      </c>
      <c r="G13" s="20">
        <v>177.122375951626</v>
      </c>
      <c r="H13" s="20">
        <v>3812.930131771737</v>
      </c>
      <c r="I13" s="20">
        <v>7237.7681079179865</v>
      </c>
      <c r="J13" s="20">
        <v>1353.6377428211192</v>
      </c>
      <c r="K13" s="20">
        <v>907.1338414885942</v>
      </c>
      <c r="L13" s="20">
        <v>863.7252652905441</v>
      </c>
      <c r="M13" s="20">
        <v>11623.916000927196</v>
      </c>
      <c r="N13" s="20">
        <v>1705.7666127546277</v>
      </c>
      <c r="O13" s="20">
        <v>261.4864235771495</v>
      </c>
      <c r="P13" s="20">
        <v>771.6589772081463</v>
      </c>
      <c r="Q13" s="20">
        <v>2578.826458193608</v>
      </c>
      <c r="R13" s="20">
        <v>1257.8454485093982</v>
      </c>
      <c r="S13" s="20">
        <v>1653.2874220599724</v>
      </c>
      <c r="T13" s="20">
        <v>9580.537678888897</v>
      </c>
      <c r="U13" s="20">
        <v>13498.117503226325</v>
      </c>
    </row>
    <row r="14" spans="1:21" ht="12.75">
      <c r="A14" s="19" t="s">
        <v>446</v>
      </c>
      <c r="B14" s="20">
        <v>57375.24615989235</v>
      </c>
      <c r="C14" s="21">
        <v>48.89029601538862</v>
      </c>
      <c r="D14" s="21">
        <v>197.62345030956274</v>
      </c>
      <c r="F14" s="19" t="s">
        <v>446</v>
      </c>
      <c r="G14" s="20">
        <v>179.01534157939187</v>
      </c>
      <c r="H14" s="20">
        <v>3852.5999775332643</v>
      </c>
      <c r="I14" s="20">
        <v>7272.218346439312</v>
      </c>
      <c r="J14" s="20">
        <v>1368.9143591944687</v>
      </c>
      <c r="K14" s="20">
        <v>911.7975625429891</v>
      </c>
      <c r="L14" s="20">
        <v>870.4615958129424</v>
      </c>
      <c r="M14" s="20">
        <v>11693.022628562294</v>
      </c>
      <c r="N14" s="20">
        <v>1714.72251960415</v>
      </c>
      <c r="O14" s="20">
        <v>264.0936339873468</v>
      </c>
      <c r="P14" s="20">
        <v>777.5462895692639</v>
      </c>
      <c r="Q14" s="20">
        <v>2587.8315557266487</v>
      </c>
      <c r="R14" s="20">
        <v>1266.5605488386732</v>
      </c>
      <c r="S14" s="20">
        <v>1678.3150806077242</v>
      </c>
      <c r="T14" s="20">
        <v>9745.20184357721</v>
      </c>
      <c r="U14" s="20">
        <v>13551.114411801509</v>
      </c>
    </row>
    <row r="15" spans="1:21" ht="12.75">
      <c r="A15" s="19" t="s">
        <v>447</v>
      </c>
      <c r="B15" s="20">
        <v>57572.27172923346</v>
      </c>
      <c r="C15" s="21">
        <v>49.48422519014808</v>
      </c>
      <c r="D15" s="21">
        <v>215.24285282186497</v>
      </c>
      <c r="F15" s="19" t="s">
        <v>447</v>
      </c>
      <c r="G15" s="20">
        <v>181.15323130237013</v>
      </c>
      <c r="H15" s="20">
        <v>3890.8641445335725</v>
      </c>
      <c r="I15" s="20">
        <v>7306.909370980619</v>
      </c>
      <c r="J15" s="20">
        <v>1384.695563857127</v>
      </c>
      <c r="K15" s="20">
        <v>916.4755427831357</v>
      </c>
      <c r="L15" s="20">
        <v>877.9610934256127</v>
      </c>
      <c r="M15" s="20">
        <v>11760.607282273744</v>
      </c>
      <c r="N15" s="20">
        <v>1723.5844862394101</v>
      </c>
      <c r="O15" s="20">
        <v>266.6112502715904</v>
      </c>
      <c r="P15" s="20">
        <v>783.9073568013516</v>
      </c>
      <c r="Q15" s="20">
        <v>2596.9312340398837</v>
      </c>
      <c r="R15" s="20">
        <v>1275.1026436568902</v>
      </c>
      <c r="S15" s="20">
        <v>1702.6691293908918</v>
      </c>
      <c r="T15" s="20">
        <v>9905.945644596131</v>
      </c>
      <c r="U15" s="20">
        <v>13605.46938963231</v>
      </c>
    </row>
    <row r="16" spans="1:21" ht="12.75">
      <c r="A16" s="19" t="s">
        <v>448</v>
      </c>
      <c r="B16" s="20">
        <v>57771.50399674191</v>
      </c>
      <c r="C16" s="21">
        <v>50.096825963362114</v>
      </c>
      <c r="D16" s="21">
        <v>234.958997100008</v>
      </c>
      <c r="F16" s="19" t="s">
        <v>448</v>
      </c>
      <c r="G16" s="20">
        <v>183.4378822438073</v>
      </c>
      <c r="H16" s="20">
        <v>3931.5510582748952</v>
      </c>
      <c r="I16" s="20">
        <v>7339.458339345024</v>
      </c>
      <c r="J16" s="20">
        <v>1401.539366300782</v>
      </c>
      <c r="K16" s="20">
        <v>921.5183882270745</v>
      </c>
      <c r="L16" s="20">
        <v>886.5848450782646</v>
      </c>
      <c r="M16" s="20">
        <v>11835.97366122252</v>
      </c>
      <c r="N16" s="20">
        <v>1732.8025797035705</v>
      </c>
      <c r="O16" s="20">
        <v>269.65831076813015</v>
      </c>
      <c r="P16" s="20">
        <v>790.618714022608</v>
      </c>
      <c r="Q16" s="20">
        <v>2607.158934317845</v>
      </c>
      <c r="R16" s="20">
        <v>1285.168085842426</v>
      </c>
      <c r="S16" s="20">
        <v>1728.7123512184048</v>
      </c>
      <c r="T16" s="20">
        <v>10083.310717810406</v>
      </c>
      <c r="U16" s="20">
        <v>13663.175229532551</v>
      </c>
    </row>
    <row r="17" spans="1:21" ht="12.75">
      <c r="A17" s="19" t="s">
        <v>449</v>
      </c>
      <c r="B17" s="20">
        <v>58004.79684537705</v>
      </c>
      <c r="C17" s="21">
        <v>50.7145340961869</v>
      </c>
      <c r="D17" s="21">
        <v>258.2731958784701</v>
      </c>
      <c r="F17" s="19" t="s">
        <v>449</v>
      </c>
      <c r="G17" s="20">
        <v>185.8014882517778</v>
      </c>
      <c r="H17" s="20">
        <v>3974.9137156370434</v>
      </c>
      <c r="I17" s="20">
        <v>7380.927494973304</v>
      </c>
      <c r="J17" s="20">
        <v>1419.8063087242258</v>
      </c>
      <c r="K17" s="20">
        <v>927.1040618055381</v>
      </c>
      <c r="L17" s="20">
        <v>894.8012391214722</v>
      </c>
      <c r="M17" s="20">
        <v>11918.023222157124</v>
      </c>
      <c r="N17" s="20">
        <v>1742.572410355353</v>
      </c>
      <c r="O17" s="20">
        <v>272.85780052100284</v>
      </c>
      <c r="P17" s="20">
        <v>797.8978881920611</v>
      </c>
      <c r="Q17" s="20">
        <v>2617.543808514172</v>
      </c>
      <c r="R17" s="20">
        <v>1296.5164792745752</v>
      </c>
      <c r="S17" s="20">
        <v>1756.4170725157196</v>
      </c>
      <c r="T17" s="20">
        <v>10276.998901808987</v>
      </c>
      <c r="U17" s="20">
        <v>13733.791279645819</v>
      </c>
    </row>
    <row r="18" spans="1:21" ht="12.75">
      <c r="A18" s="34" t="s">
        <v>450</v>
      </c>
      <c r="B18" s="20">
        <v>58262.54008650659</v>
      </c>
      <c r="C18" s="21">
        <v>51.39883664136389</v>
      </c>
      <c r="D18" s="21">
        <v>283.5293038873032</v>
      </c>
      <c r="F18" s="19" t="s">
        <v>450</v>
      </c>
      <c r="G18" s="20">
        <v>188.379422806729</v>
      </c>
      <c r="H18" s="20">
        <v>4025.5721707890016</v>
      </c>
      <c r="I18" s="20">
        <v>7424.606495489327</v>
      </c>
      <c r="J18" s="20">
        <v>1438.648115633305</v>
      </c>
      <c r="K18" s="20">
        <v>933.0718480581531</v>
      </c>
      <c r="L18" s="20">
        <v>904.6248532024966</v>
      </c>
      <c r="M18" s="20">
        <v>12010.134977678366</v>
      </c>
      <c r="N18" s="20">
        <v>1754.3167818879676</v>
      </c>
      <c r="O18" s="20">
        <v>276.3539040518213</v>
      </c>
      <c r="P18" s="20">
        <v>806.060827405448</v>
      </c>
      <c r="Q18" s="20">
        <v>2629.2636017968525</v>
      </c>
      <c r="R18" s="20">
        <v>1308.328243969087</v>
      </c>
      <c r="S18" s="20">
        <v>1784.3272773924039</v>
      </c>
      <c r="T18" s="20">
        <v>10493.964138172198</v>
      </c>
      <c r="U18" s="20">
        <v>13808.50523817279</v>
      </c>
    </row>
    <row r="19" spans="1:21" ht="12.75">
      <c r="A19" s="19" t="s">
        <v>451</v>
      </c>
      <c r="B19" s="20">
        <v>58540.917953309705</v>
      </c>
      <c r="C19" s="21">
        <v>52.156210889451515</v>
      </c>
      <c r="D19" s="21">
        <v>316.7349297678101</v>
      </c>
      <c r="F19" s="19" t="s">
        <v>451</v>
      </c>
      <c r="G19" s="20">
        <v>191.37520803832678</v>
      </c>
      <c r="H19" s="20">
        <v>4080.7634496993874</v>
      </c>
      <c r="I19" s="20">
        <v>7478.295938150357</v>
      </c>
      <c r="J19" s="20">
        <v>1461.0894239752508</v>
      </c>
      <c r="K19" s="20">
        <v>940.3191099376496</v>
      </c>
      <c r="L19" s="20">
        <v>916.3938288133922</v>
      </c>
      <c r="M19" s="20">
        <v>12119.487761311573</v>
      </c>
      <c r="N19" s="20">
        <v>1767.6983414094204</v>
      </c>
      <c r="O19" s="20">
        <v>280.2959923536685</v>
      </c>
      <c r="P19" s="20">
        <v>815.170512319735</v>
      </c>
      <c r="Q19" s="20">
        <v>2643.4807147775205</v>
      </c>
      <c r="R19" s="20">
        <v>1322.1058818726992</v>
      </c>
      <c r="S19" s="20">
        <v>1822.983788679249</v>
      </c>
      <c r="T19" s="20">
        <v>10740.002513146801</v>
      </c>
      <c r="U19" s="20">
        <v>13894.897000345198</v>
      </c>
    </row>
    <row r="20" spans="1:21" s="6" customFormat="1" ht="12.75">
      <c r="A20" s="23" t="s">
        <v>452</v>
      </c>
      <c r="B20" s="27">
        <v>58884.81301939349</v>
      </c>
      <c r="C20" s="28">
        <v>53.12739594691209</v>
      </c>
      <c r="D20" s="28">
        <v>355.2813896259555</v>
      </c>
      <c r="F20" s="23" t="s">
        <v>452</v>
      </c>
      <c r="G20" s="27">
        <v>194.719137119378</v>
      </c>
      <c r="H20" s="27">
        <v>4147.21640260415</v>
      </c>
      <c r="I20" s="27">
        <v>7545.868662815019</v>
      </c>
      <c r="J20" s="27">
        <v>1488.0257520531304</v>
      </c>
      <c r="K20" s="27">
        <v>948.8320591676426</v>
      </c>
      <c r="L20" s="27">
        <v>930.5213214192684</v>
      </c>
      <c r="M20" s="27">
        <v>12247.893353382968</v>
      </c>
      <c r="N20" s="27">
        <v>1785.3202361063795</v>
      </c>
      <c r="O20" s="27">
        <v>284.84070567364125</v>
      </c>
      <c r="P20" s="27">
        <v>826.1506602970065</v>
      </c>
      <c r="Q20" s="27">
        <v>2662.152203603435</v>
      </c>
      <c r="R20" s="27">
        <v>1339.0361396891863</v>
      </c>
      <c r="S20" s="27">
        <v>1864.0692967903642</v>
      </c>
      <c r="T20" s="27">
        <v>11044.213965396442</v>
      </c>
      <c r="U20" s="27">
        <v>14005.88566516971</v>
      </c>
    </row>
    <row r="21" spans="1:21" ht="12.75">
      <c r="A21" s="19" t="s">
        <v>453</v>
      </c>
      <c r="B21" s="20">
        <v>59421.443904420004</v>
      </c>
      <c r="C21" s="21">
        <v>54.41359690709711</v>
      </c>
      <c r="D21" s="21">
        <v>408.8517679204525</v>
      </c>
      <c r="F21" s="19" t="s">
        <v>453</v>
      </c>
      <c r="G21" s="20">
        <v>199.62449245369942</v>
      </c>
      <c r="H21" s="20">
        <v>4247.703438581156</v>
      </c>
      <c r="I21" s="20">
        <v>7644.3266005671</v>
      </c>
      <c r="J21" s="20">
        <v>1523.2891999009141</v>
      </c>
      <c r="K21" s="20">
        <v>962.0209568708507</v>
      </c>
      <c r="L21" s="20">
        <v>949.0872422556022</v>
      </c>
      <c r="M21" s="20">
        <v>12456.77219037568</v>
      </c>
      <c r="N21" s="20">
        <v>1810.7771663942297</v>
      </c>
      <c r="O21" s="20">
        <v>291.86356095491124</v>
      </c>
      <c r="P21" s="20">
        <v>842.0234860416485</v>
      </c>
      <c r="Q21" s="20">
        <v>2687.178087078953</v>
      </c>
      <c r="R21" s="20">
        <v>1363.176143041957</v>
      </c>
      <c r="S21" s="20">
        <v>1929.36480334528</v>
      </c>
      <c r="T21" s="20">
        <v>11448.532283252205</v>
      </c>
      <c r="U21" s="20">
        <v>14157.894538134227</v>
      </c>
    </row>
    <row r="22" spans="1:21" ht="12.75">
      <c r="A22" s="19" t="s">
        <v>454</v>
      </c>
      <c r="B22" s="20">
        <v>61862.179865371014</v>
      </c>
      <c r="C22" s="21">
        <v>58.66655905212895</v>
      </c>
      <c r="D22" s="21">
        <v>637.153986080399</v>
      </c>
      <c r="F22" s="19" t="s">
        <v>454</v>
      </c>
      <c r="G22" s="20">
        <v>223.99858667363895</v>
      </c>
      <c r="H22" s="20">
        <v>4568.157563181627</v>
      </c>
      <c r="I22" s="20">
        <v>8120.651166378478</v>
      </c>
      <c r="J22" s="20">
        <v>1625.2827636174625</v>
      </c>
      <c r="K22" s="20">
        <v>1014.2777441413784</v>
      </c>
      <c r="L22" s="20">
        <v>1036.4513211882977</v>
      </c>
      <c r="M22" s="20">
        <v>13660.996735014262</v>
      </c>
      <c r="N22" s="20">
        <v>1912.99974790954</v>
      </c>
      <c r="O22" s="20">
        <v>322.148118557452</v>
      </c>
      <c r="P22" s="20">
        <v>899.937960252503</v>
      </c>
      <c r="Q22" s="20">
        <v>2835.051050325886</v>
      </c>
      <c r="R22" s="20">
        <v>1496.7884974492938</v>
      </c>
      <c r="S22" s="20">
        <v>2211.5132055107783</v>
      </c>
      <c r="T22" s="20">
        <v>13359.634447606251</v>
      </c>
      <c r="U22" s="20">
        <v>15079.690023154559</v>
      </c>
    </row>
    <row r="24" spans="6:22" ht="12.75">
      <c r="F24" s="19" t="s">
        <v>566</v>
      </c>
      <c r="G24" s="24">
        <f>'WBS Summary'!C5</f>
        <v>156.11999999999995</v>
      </c>
      <c r="H24" s="24">
        <f>'WBS Summary'!C6</f>
        <v>3460.3999999999996</v>
      </c>
      <c r="I24" s="24">
        <f>'WBS Summary'!C7</f>
        <v>6240.820000000001</v>
      </c>
      <c r="J24" s="24">
        <f>'WBS Summary'!C8</f>
        <v>1262.37</v>
      </c>
      <c r="K24" s="24">
        <f>'WBS Summary'!C9</f>
        <v>861.85</v>
      </c>
      <c r="L24" s="24">
        <f>'WBS Summary'!C10</f>
        <v>784.9399999999999</v>
      </c>
      <c r="M24" s="24">
        <f>'WBS Summary'!C11</f>
        <v>10104.89</v>
      </c>
      <c r="N24" s="24">
        <f>'WBS Summary'!C12</f>
        <v>1619.73</v>
      </c>
      <c r="O24" s="24">
        <f>'WBS Summary'!C13</f>
        <v>240.48000000000002</v>
      </c>
      <c r="P24" s="24">
        <f>'WBS Summary'!C14</f>
        <v>717.19</v>
      </c>
      <c r="Q24" s="24">
        <f>'WBS Summary'!C15</f>
        <v>2424.6900000000005</v>
      </c>
      <c r="R24" s="24">
        <f>'WBS Summary'!C16</f>
        <v>1136.05</v>
      </c>
      <c r="S24" s="24">
        <f>'WBS Summary'!C17</f>
        <v>1379.24</v>
      </c>
      <c r="T24" s="24">
        <f>'WBS Summary'!C18</f>
        <v>7951.5199999999995</v>
      </c>
      <c r="U24" s="24">
        <f>'WBS Summary'!C19</f>
        <v>12508.390000000001</v>
      </c>
      <c r="V24" s="24">
        <f>SUM(G24:U24)</f>
        <v>50848.67999999999</v>
      </c>
    </row>
    <row r="26" spans="6:22" ht="12.75">
      <c r="F26" s="19" t="s">
        <v>623</v>
      </c>
      <c r="G26" s="24">
        <f>G20-G24</f>
        <v>38.59913711937804</v>
      </c>
      <c r="H26" s="24">
        <f aca="true" t="shared" si="0" ref="H26:U26">H20-H24</f>
        <v>686.8164026041504</v>
      </c>
      <c r="I26" s="24">
        <f t="shared" si="0"/>
        <v>1305.0486628150184</v>
      </c>
      <c r="J26" s="24">
        <f t="shared" si="0"/>
        <v>225.65575205313053</v>
      </c>
      <c r="K26" s="24">
        <f t="shared" si="0"/>
        <v>86.98205916764255</v>
      </c>
      <c r="L26" s="24">
        <f t="shared" si="0"/>
        <v>145.58132141926842</v>
      </c>
      <c r="M26" s="24">
        <f t="shared" si="0"/>
        <v>2143.0033533829683</v>
      </c>
      <c r="N26" s="24">
        <f t="shared" si="0"/>
        <v>165.5902361063795</v>
      </c>
      <c r="O26" s="24">
        <f t="shared" si="0"/>
        <v>44.360705673641235</v>
      </c>
      <c r="P26" s="24">
        <f t="shared" si="0"/>
        <v>108.96066029700648</v>
      </c>
      <c r="Q26" s="24">
        <f t="shared" si="0"/>
        <v>237.46220360343432</v>
      </c>
      <c r="R26" s="24">
        <f t="shared" si="0"/>
        <v>202.9861396891863</v>
      </c>
      <c r="S26" s="24">
        <f t="shared" si="0"/>
        <v>484.8292967903642</v>
      </c>
      <c r="T26" s="24">
        <f t="shared" si="0"/>
        <v>3092.6939653964428</v>
      </c>
      <c r="U26" s="24">
        <f t="shared" si="0"/>
        <v>1497.4956651697084</v>
      </c>
      <c r="V26" s="24">
        <f>SUM(G26:U26)</f>
        <v>10466.06556128772</v>
      </c>
    </row>
    <row r="28" spans="6:22" ht="12.75">
      <c r="F28" t="s">
        <v>624</v>
      </c>
      <c r="G28" s="8">
        <f>G26/G24</f>
        <v>0.24724018139494014</v>
      </c>
      <c r="H28" s="8">
        <f aca="true" t="shared" si="1" ref="H28:U28">H26/H24</f>
        <v>0.19847890492548564</v>
      </c>
      <c r="I28" s="8">
        <f t="shared" si="1"/>
        <v>0.20911493406555842</v>
      </c>
      <c r="J28" s="8">
        <f t="shared" si="1"/>
        <v>0.17875563586993556</v>
      </c>
      <c r="K28" s="8">
        <f t="shared" si="1"/>
        <v>0.10092482353964442</v>
      </c>
      <c r="L28" s="8">
        <f t="shared" si="1"/>
        <v>0.18546808854086735</v>
      </c>
      <c r="M28" s="8">
        <f t="shared" si="1"/>
        <v>0.2120758715219036</v>
      </c>
      <c r="N28" s="8">
        <f t="shared" si="1"/>
        <v>0.10223323399972804</v>
      </c>
      <c r="O28" s="8">
        <f t="shared" si="1"/>
        <v>0.1844673389622473</v>
      </c>
      <c r="P28" s="8">
        <f t="shared" si="1"/>
        <v>0.15192718846750022</v>
      </c>
      <c r="Q28" s="8">
        <f t="shared" si="1"/>
        <v>0.09793507772269208</v>
      </c>
      <c r="R28" s="8">
        <f t="shared" si="1"/>
        <v>0.1786771178109998</v>
      </c>
      <c r="S28" s="8">
        <f t="shared" si="1"/>
        <v>0.35151916765056423</v>
      </c>
      <c r="T28" s="8">
        <f t="shared" si="1"/>
        <v>0.38894374476784854</v>
      </c>
      <c r="U28" s="8">
        <f t="shared" si="1"/>
        <v>0.11971929762101344</v>
      </c>
      <c r="V28" s="171">
        <f>V26/V24</f>
        <v>0.20582767460802762</v>
      </c>
    </row>
    <row r="30" spans="6:22" ht="12.75">
      <c r="F30" s="179" t="s">
        <v>625</v>
      </c>
      <c r="G30" s="164">
        <f>G26/$V$26</f>
        <v>0.0036880274534252864</v>
      </c>
      <c r="H30" s="164">
        <f aca="true" t="shared" si="2" ref="H30:U30">H26/$V$26</f>
        <v>0.06562317029090406</v>
      </c>
      <c r="I30" s="164">
        <f t="shared" si="2"/>
        <v>0.1246933391705649</v>
      </c>
      <c r="J30" s="164">
        <f t="shared" si="2"/>
        <v>0.021560704997663552</v>
      </c>
      <c r="K30" s="164">
        <f t="shared" si="2"/>
        <v>0.008310865115289846</v>
      </c>
      <c r="L30" s="164">
        <f t="shared" si="2"/>
        <v>0.013909842296206334</v>
      </c>
      <c r="M30" s="164">
        <f t="shared" si="2"/>
        <v>0.204757302620919</v>
      </c>
      <c r="N30" s="164">
        <f t="shared" si="2"/>
        <v>0.01582163183831668</v>
      </c>
      <c r="O30" s="164">
        <f t="shared" si="2"/>
        <v>0.004238527402095043</v>
      </c>
      <c r="P30" s="164">
        <f t="shared" si="2"/>
        <v>0.010410852068425245</v>
      </c>
      <c r="Q30" s="164">
        <f t="shared" si="2"/>
        <v>0.022688774708403178</v>
      </c>
      <c r="R30" s="164">
        <f t="shared" si="2"/>
        <v>0.019394694071093833</v>
      </c>
      <c r="S30" s="164">
        <f t="shared" si="2"/>
        <v>0.04632393079818544</v>
      </c>
      <c r="T30" s="164">
        <f t="shared" si="2"/>
        <v>0.29549728570742156</v>
      </c>
      <c r="U30" s="164">
        <f t="shared" si="2"/>
        <v>0.14308105146108602</v>
      </c>
      <c r="V30" s="172">
        <f>SUM(G30:U30)</f>
        <v>1</v>
      </c>
    </row>
    <row r="32" spans="6:22" ht="12.75">
      <c r="F32" t="s">
        <v>626</v>
      </c>
      <c r="G32" s="170">
        <f>G30*Summary!$C$13</f>
        <v>29.637479194900664</v>
      </c>
      <c r="H32" s="170">
        <f>H30*Summary!$C$13</f>
        <v>527.3565256120166</v>
      </c>
      <c r="I32" s="170">
        <f>I30*Summary!$C$13</f>
        <v>1002.0522602070093</v>
      </c>
      <c r="J32" s="170">
        <f>J30*Summary!$C$13</f>
        <v>173.26469335312652</v>
      </c>
      <c r="K32" s="170">
        <f>K30*Summary!$C$13</f>
        <v>66.7872175727063</v>
      </c>
      <c r="L32" s="170">
        <f>L30*Summary!$C$13</f>
        <v>111.78134297110002</v>
      </c>
      <c r="M32" s="170">
        <f>M30*Summary!$C$13</f>
        <v>1645.4569205539144</v>
      </c>
      <c r="N32" s="170">
        <f>N30*Summary!$C$13</f>
        <v>127.14473803658413</v>
      </c>
      <c r="O32" s="170">
        <f>O30*Summary!$C$13</f>
        <v>34.061370009580116</v>
      </c>
      <c r="P32" s="170">
        <f>P30*Summary!$C$13</f>
        <v>83.66299206709321</v>
      </c>
      <c r="Q32" s="170">
        <f>Q30*Summary!$C$13</f>
        <v>182.3300116037789</v>
      </c>
      <c r="R32" s="170">
        <f>R30*Summary!$C$13</f>
        <v>155.85834142575249</v>
      </c>
      <c r="S32" s="170">
        <f>S30*Summary!$C$13</f>
        <v>372.26526987539745</v>
      </c>
      <c r="T32" s="170">
        <f>T30*Summary!$C$13</f>
        <v>2374.655494814565</v>
      </c>
      <c r="U32" s="170">
        <f>U30*Summary!$C$13</f>
        <v>1149.8183620959737</v>
      </c>
      <c r="V32" s="170">
        <f>SUM(G32:U32)</f>
        <v>8036.133019393498</v>
      </c>
    </row>
  </sheetData>
  <printOptions gridLines="1" headings="1"/>
  <pageMargins left="0.21" right="0.27" top="1" bottom="1" header="0.5" footer="0.5"/>
  <pageSetup fitToHeight="1" fitToWidth="1" horizontalDpi="600" verticalDpi="600" orientation="landscape" scale="80" r:id="rId1"/>
  <headerFooter alignWithMargins="0">
    <oddFooter>&amp;R&amp;F  &amp;A  &amp;D  &amp;T</oddFooter>
  </headerFooter>
</worksheet>
</file>

<file path=xl/worksheets/sheet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1" max="1" width="11.140625" style="6" bestFit="1" customWidth="1"/>
    <col min="2" max="2" width="21.421875" style="6" bestFit="1" customWidth="1"/>
    <col min="3" max="3" width="26.28125" style="6" bestFit="1" customWidth="1"/>
    <col min="4" max="16384" width="9.140625" style="6" customWidth="1"/>
  </cols>
  <sheetData>
    <row r="1" spans="1:3" ht="12.75">
      <c r="A1" s="44" t="s">
        <v>433</v>
      </c>
      <c r="B1" s="44" t="s">
        <v>105</v>
      </c>
      <c r="C1" s="44" t="s">
        <v>106</v>
      </c>
    </row>
    <row r="2" spans="1:3" ht="12.75">
      <c r="A2" s="34" t="s">
        <v>434</v>
      </c>
      <c r="B2" s="21">
        <v>-498.4908564940398</v>
      </c>
      <c r="C2" s="21">
        <v>-1.8183563725204914</v>
      </c>
    </row>
    <row r="3" spans="1:3" ht="12.75">
      <c r="A3" s="34" t="s">
        <v>435</v>
      </c>
      <c r="B3" s="21">
        <v>-216.5731476662793</v>
      </c>
      <c r="C3" s="21">
        <v>-0.3970307218394284</v>
      </c>
    </row>
    <row r="4" spans="1:3" ht="12.75">
      <c r="A4" s="34" t="s">
        <v>436</v>
      </c>
      <c r="B4" s="21">
        <v>-94.1906397544281</v>
      </c>
      <c r="C4" s="21">
        <v>-0.29036617642050766</v>
      </c>
    </row>
    <row r="5" spans="1:3" ht="12.75">
      <c r="A5" s="34" t="s">
        <v>437</v>
      </c>
      <c r="B5" s="21">
        <v>0</v>
      </c>
      <c r="C5" s="21">
        <v>-0.1757553735183346</v>
      </c>
    </row>
    <row r="6" spans="1:3" ht="12.75">
      <c r="A6" s="34" t="s">
        <v>438</v>
      </c>
      <c r="B6" s="21">
        <v>65.58196828794934</v>
      </c>
      <c r="C6" s="21">
        <v>-0.059252939447883735</v>
      </c>
    </row>
    <row r="7" spans="1:3" ht="12.75">
      <c r="A7" s="34" t="s">
        <v>439</v>
      </c>
      <c r="B7" s="21">
        <v>110.56219253009746</v>
      </c>
      <c r="C7" s="21">
        <v>0</v>
      </c>
    </row>
    <row r="8" spans="1:3" ht="12.75">
      <c r="A8" s="34" t="s">
        <v>440</v>
      </c>
      <c r="B8" s="21">
        <v>144.77822548166966</v>
      </c>
      <c r="C8" s="21">
        <v>0</v>
      </c>
    </row>
    <row r="9" spans="1:3" ht="12.75">
      <c r="A9" s="34" t="s">
        <v>441</v>
      </c>
      <c r="B9" s="21">
        <v>178.5351735010837</v>
      </c>
      <c r="C9" s="21">
        <v>0</v>
      </c>
    </row>
    <row r="10" spans="1:3" ht="12.75">
      <c r="A10" s="34" t="s">
        <v>442</v>
      </c>
      <c r="B10" s="21">
        <v>210.52415112828254</v>
      </c>
      <c r="C10" s="21">
        <v>0</v>
      </c>
    </row>
    <row r="11" spans="1:3" ht="12.75">
      <c r="A11" s="34" t="s">
        <v>443</v>
      </c>
      <c r="B11" s="21">
        <v>242.42983483499273</v>
      </c>
      <c r="C11" s="21">
        <v>0</v>
      </c>
    </row>
    <row r="12" spans="1:3" ht="12.75">
      <c r="A12" s="34" t="s">
        <v>444</v>
      </c>
      <c r="B12" s="21">
        <v>270.6620906557221</v>
      </c>
      <c r="C12" s="21">
        <v>0</v>
      </c>
    </row>
    <row r="13" spans="1:3" ht="12.75">
      <c r="A13" s="34" t="s">
        <v>445</v>
      </c>
      <c r="B13" s="21">
        <v>304.60355199329194</v>
      </c>
      <c r="C13" s="21">
        <v>0.083036363397005</v>
      </c>
    </row>
    <row r="14" spans="1:3" ht="12.75">
      <c r="A14" s="34" t="s">
        <v>446</v>
      </c>
      <c r="B14" s="21">
        <v>383.40783749730974</v>
      </c>
      <c r="C14" s="21">
        <v>0.190343672732633</v>
      </c>
    </row>
    <row r="15" spans="1:3" ht="12.75">
      <c r="A15" s="34" t="s">
        <v>447</v>
      </c>
      <c r="B15" s="21">
        <v>486.1306153066884</v>
      </c>
      <c r="C15" s="21">
        <v>0.308032431552788</v>
      </c>
    </row>
    <row r="16" spans="1:3" ht="12.75">
      <c r="A16" s="34" t="s">
        <v>448</v>
      </c>
      <c r="B16" s="21">
        <v>588.4752022870782</v>
      </c>
      <c r="C16" s="21">
        <v>0.422709620990756</v>
      </c>
    </row>
    <row r="17" spans="1:3" ht="12.75">
      <c r="A17" s="34" t="s">
        <v>449</v>
      </c>
      <c r="B17" s="21">
        <v>718.0786892935847</v>
      </c>
      <c r="C17" s="21">
        <v>0.932914284466392</v>
      </c>
    </row>
    <row r="18" spans="1:3" ht="12.75">
      <c r="A18" s="34" t="s">
        <v>450</v>
      </c>
      <c r="B18" s="21">
        <v>894.6264346543281</v>
      </c>
      <c r="C18" s="21">
        <v>1.92186538130391</v>
      </c>
    </row>
    <row r="19" spans="1:3" ht="12.75">
      <c r="A19" s="34" t="s">
        <v>451</v>
      </c>
      <c r="B19" s="21">
        <v>1085.9302519321043</v>
      </c>
      <c r="C19" s="21">
        <v>2.761427459342128</v>
      </c>
    </row>
    <row r="20" spans="1:3" ht="12.75">
      <c r="A20" s="23" t="s">
        <v>452</v>
      </c>
      <c r="B20" s="28">
        <v>1281.8617042541896</v>
      </c>
      <c r="C20" s="28">
        <v>3.757157960109828</v>
      </c>
    </row>
    <row r="21" spans="1:3" ht="12.75">
      <c r="A21" s="34" t="s">
        <v>453</v>
      </c>
      <c r="B21" s="21">
        <v>1530.1056466640619</v>
      </c>
      <c r="C21" s="21">
        <v>6.85396347724695</v>
      </c>
    </row>
    <row r="22" spans="1:3" ht="12.75">
      <c r="A22" s="34" t="s">
        <v>454</v>
      </c>
      <c r="B22" s="21">
        <v>3400.8717056533005</v>
      </c>
      <c r="C22" s="21">
        <v>15.227300783804877</v>
      </c>
    </row>
    <row r="25" ht="12.75">
      <c r="A25" s="34" t="s">
        <v>107</v>
      </c>
    </row>
    <row r="26" spans="1:3" ht="12.75">
      <c r="A26" s="45" t="s">
        <v>167</v>
      </c>
      <c r="B26" s="6" t="s">
        <v>108</v>
      </c>
      <c r="C26" s="46">
        <f>B20</f>
        <v>1281.8617042541896</v>
      </c>
    </row>
    <row r="27" spans="2:3" ht="12.75">
      <c r="B27" s="6" t="s">
        <v>109</v>
      </c>
      <c r="C27" s="46">
        <f>C20*'Misc Inputs'!F16</f>
        <v>758.0066184521578</v>
      </c>
    </row>
    <row r="28" ht="12.75">
      <c r="C28" s="46"/>
    </row>
    <row r="29" spans="2:3" ht="12.75">
      <c r="B29" s="6" t="s">
        <v>110</v>
      </c>
      <c r="C29" s="46">
        <f>SUM(C26:C28)</f>
        <v>2039.8683227063475</v>
      </c>
    </row>
  </sheetData>
  <printOptions gridLines="1"/>
  <pageMargins left="0.75" right="0.75" top="1" bottom="1" header="0.5" footer="0.5"/>
  <pageSetup horizontalDpi="600" verticalDpi="600" orientation="portrait" r:id="rId1"/>
  <headerFooter alignWithMargins="0">
    <oddFooter xml:space="preserve">&amp;R&amp;F      &amp;A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O45"/>
  <sheetViews>
    <sheetView workbookViewId="0" topLeftCell="A4">
      <selection activeCell="R28" sqref="R28"/>
    </sheetView>
  </sheetViews>
  <sheetFormatPr defaultColWidth="9.140625" defaultRowHeight="12.75"/>
  <cols>
    <col min="1" max="1" width="22.28125" style="6" customWidth="1"/>
    <col min="2" max="7" width="9.140625" style="6" customWidth="1"/>
    <col min="8" max="8" width="19.57421875" style="6" customWidth="1"/>
    <col min="9" max="9" width="10.28125" style="6" bestFit="1" customWidth="1"/>
    <col min="10" max="12" width="11.28125" style="6" bestFit="1" customWidth="1"/>
    <col min="13" max="13" width="10.28125" style="6" bestFit="1" customWidth="1"/>
    <col min="14" max="16384" width="9.140625" style="6" customWidth="1"/>
  </cols>
  <sheetData>
    <row r="1" ht="12.75"/>
    <row r="2" s="47" customFormat="1" ht="12.75">
      <c r="A2" s="47" t="s">
        <v>459</v>
      </c>
    </row>
    <row r="3" spans="3:13" s="47" customFormat="1" ht="12.75">
      <c r="C3" s="273" t="s">
        <v>461</v>
      </c>
      <c r="D3" s="273"/>
      <c r="E3" s="273"/>
      <c r="F3" s="273"/>
      <c r="G3" s="273"/>
      <c r="I3" s="273" t="s">
        <v>462</v>
      </c>
      <c r="J3" s="273"/>
      <c r="K3" s="273"/>
      <c r="L3" s="273"/>
      <c r="M3" s="273"/>
    </row>
    <row r="4" spans="1:13" s="49" customFormat="1" ht="12.75">
      <c r="A4" s="49" t="s">
        <v>174</v>
      </c>
      <c r="B4" s="50" t="s">
        <v>460</v>
      </c>
      <c r="C4" s="50">
        <v>2007</v>
      </c>
      <c r="D4" s="50">
        <v>2008</v>
      </c>
      <c r="E4" s="50">
        <v>2009</v>
      </c>
      <c r="F4" s="50">
        <v>2010</v>
      </c>
      <c r="G4" s="50">
        <v>2011</v>
      </c>
      <c r="I4" s="50">
        <v>2007</v>
      </c>
      <c r="J4" s="50">
        <v>2008</v>
      </c>
      <c r="K4" s="50">
        <v>2009</v>
      </c>
      <c r="L4" s="50">
        <v>2010</v>
      </c>
      <c r="M4" s="50">
        <v>2011</v>
      </c>
    </row>
    <row r="5" spans="1:13" ht="12.75">
      <c r="A5" s="6" t="s">
        <v>553</v>
      </c>
      <c r="B5" s="51">
        <v>0.384888891321885</v>
      </c>
      <c r="C5" s="52">
        <f>'Estimate Uncertainty Range'!AB130</f>
        <v>0</v>
      </c>
      <c r="D5" s="52">
        <f>'Estimate Uncertainty Range'!AC130</f>
        <v>0</v>
      </c>
      <c r="E5" s="52">
        <f>'Estimate Uncertainty Range'!AD130</f>
        <v>0.18658876874782002</v>
      </c>
      <c r="F5" s="52">
        <f>'Estimate Uncertainty Range'!AE130</f>
        <v>0.8134112312521801</v>
      </c>
      <c r="G5" s="52">
        <f>'Estimate Uncertainty Range'!AF130</f>
        <v>0</v>
      </c>
      <c r="I5" s="53">
        <f aca="true" t="shared" si="0" ref="I5:M9">C5*$B5</f>
        <v>0</v>
      </c>
      <c r="J5" s="53">
        <f t="shared" si="0"/>
        <v>0</v>
      </c>
      <c r="K5" s="53">
        <f t="shared" si="0"/>
        <v>0.07181594433646403</v>
      </c>
      <c r="L5" s="53">
        <f t="shared" si="0"/>
        <v>0.313072946985421</v>
      </c>
      <c r="M5" s="53">
        <f t="shared" si="0"/>
        <v>0</v>
      </c>
    </row>
    <row r="6" spans="1:13" ht="12.75">
      <c r="A6" s="6" t="s">
        <v>282</v>
      </c>
      <c r="B6" s="51">
        <v>0.0508549432613499</v>
      </c>
      <c r="C6" s="52">
        <f>'Estimate Uncertainty Range'!AB132</f>
        <v>0</v>
      </c>
      <c r="D6" s="52">
        <f>'Estimate Uncertainty Range'!AC132</f>
        <v>0</v>
      </c>
      <c r="E6" s="52">
        <f>'Estimate Uncertainty Range'!AD132</f>
        <v>0.34758780486340796</v>
      </c>
      <c r="F6" s="52">
        <f>'Estimate Uncertainty Range'!AE132</f>
        <v>0.5144095419320371</v>
      </c>
      <c r="G6" s="52">
        <f>'Estimate Uncertainty Range'!AF132</f>
        <v>0.13800265320455488</v>
      </c>
      <c r="I6" s="53">
        <f t="shared" si="0"/>
        <v>0</v>
      </c>
      <c r="J6" s="53">
        <f t="shared" si="0"/>
        <v>0</v>
      </c>
      <c r="K6" s="53">
        <f t="shared" si="0"/>
        <v>0.017676558094665774</v>
      </c>
      <c r="L6" s="53">
        <f t="shared" si="0"/>
        <v>0.026160268068050743</v>
      </c>
      <c r="M6" s="53">
        <f t="shared" si="0"/>
        <v>0.007018117098633385</v>
      </c>
    </row>
    <row r="7" spans="1:13" ht="12.75">
      <c r="A7" s="6" t="s">
        <v>538</v>
      </c>
      <c r="B7" s="51">
        <v>0.06</v>
      </c>
      <c r="C7" s="52">
        <f>'Estimate Uncertainty Range'!AB134</f>
        <v>0</v>
      </c>
      <c r="D7" s="52">
        <f>'Estimate Uncertainty Range'!AC134</f>
        <v>0</v>
      </c>
      <c r="E7" s="52">
        <f>'Estimate Uncertainty Range'!AD134</f>
        <v>0.23858174785996644</v>
      </c>
      <c r="F7" s="52">
        <f>'Estimate Uncertainty Range'!AE134</f>
        <v>0.5727824702101642</v>
      </c>
      <c r="G7" s="52">
        <f>'Estimate Uncertainty Range'!AF134</f>
        <v>0.18863578192986946</v>
      </c>
      <c r="I7" s="53">
        <f t="shared" si="0"/>
        <v>0</v>
      </c>
      <c r="J7" s="53">
        <f t="shared" si="0"/>
        <v>0</v>
      </c>
      <c r="K7" s="53">
        <f t="shared" si="0"/>
        <v>0.014314904871597986</v>
      </c>
      <c r="L7" s="53">
        <f t="shared" si="0"/>
        <v>0.03436694821260985</v>
      </c>
      <c r="M7" s="53">
        <f t="shared" si="0"/>
        <v>0.011318146915792167</v>
      </c>
    </row>
    <row r="8" spans="1:13" ht="12.75">
      <c r="A8" s="6" t="s">
        <v>554</v>
      </c>
      <c r="B8" s="51">
        <v>0.0204937865435155</v>
      </c>
      <c r="C8" s="52">
        <f>'Estimate Uncertainty Range'!AB91</f>
        <v>0</v>
      </c>
      <c r="D8" s="52">
        <f>'Estimate Uncertainty Range'!AC91</f>
        <v>0</v>
      </c>
      <c r="E8" s="52">
        <f>'Estimate Uncertainty Range'!AD91</f>
        <v>1</v>
      </c>
      <c r="F8" s="52">
        <f>'Estimate Uncertainty Range'!AE91</f>
        <v>0</v>
      </c>
      <c r="G8" s="52">
        <f>'Estimate Uncertainty Range'!AF91</f>
        <v>0</v>
      </c>
      <c r="I8" s="53">
        <f t="shared" si="0"/>
        <v>0</v>
      </c>
      <c r="J8" s="53">
        <f t="shared" si="0"/>
        <v>0</v>
      </c>
      <c r="K8" s="53">
        <f t="shared" si="0"/>
        <v>0.0204937865435155</v>
      </c>
      <c r="L8" s="53">
        <f t="shared" si="0"/>
        <v>0</v>
      </c>
      <c r="M8" s="53">
        <f t="shared" si="0"/>
        <v>0</v>
      </c>
    </row>
    <row r="9" spans="1:13" ht="12.75">
      <c r="A9" s="6" t="s">
        <v>256</v>
      </c>
      <c r="B9" s="51">
        <v>0.0201816268718253</v>
      </c>
      <c r="C9" s="52">
        <f>'Estimate Uncertainty Range'!AB12</f>
        <v>0</v>
      </c>
      <c r="D9" s="52">
        <f>'Estimate Uncertainty Range'!AC12</f>
        <v>0.5938903477556631</v>
      </c>
      <c r="E9" s="52">
        <f>'Estimate Uncertainty Range'!AD12</f>
        <v>0.3887034628316195</v>
      </c>
      <c r="F9" s="52">
        <f>'Estimate Uncertainty Range'!AE12</f>
        <v>0.0174061894127175</v>
      </c>
      <c r="G9" s="52">
        <f>'Estimate Uncertainty Range'!AF12</f>
        <v>0</v>
      </c>
      <c r="I9" s="53">
        <f t="shared" si="0"/>
        <v>0</v>
      </c>
      <c r="J9" s="53">
        <f t="shared" si="0"/>
        <v>0.011985673401183363</v>
      </c>
      <c r="K9" s="53">
        <f t="shared" si="0"/>
        <v>0.00784466825065416</v>
      </c>
      <c r="L9" s="53">
        <f t="shared" si="0"/>
        <v>0.00035128521998778055</v>
      </c>
      <c r="M9" s="53">
        <f t="shared" si="0"/>
        <v>0</v>
      </c>
    </row>
    <row r="10" spans="3:7" ht="12.75">
      <c r="C10" s="54"/>
      <c r="D10" s="54"/>
      <c r="E10" s="54"/>
      <c r="F10" s="54"/>
      <c r="G10" s="54"/>
    </row>
    <row r="11" spans="3:7" ht="12.75">
      <c r="C11" s="54"/>
      <c r="D11" s="54"/>
      <c r="E11" s="54"/>
      <c r="F11" s="54"/>
      <c r="G11" s="54"/>
    </row>
    <row r="12" spans="2:13" ht="12.75">
      <c r="B12" s="53">
        <f>SUM(B5:B11)</f>
        <v>0.5364192479985757</v>
      </c>
      <c r="C12" s="54"/>
      <c r="D12" s="54"/>
      <c r="E12" s="54"/>
      <c r="F12" s="54"/>
      <c r="G12" s="54"/>
      <c r="I12" s="53">
        <f>SUM(I5:I7)</f>
        <v>0</v>
      </c>
      <c r="J12" s="53">
        <f>SUM(J5:J7)</f>
        <v>0</v>
      </c>
      <c r="K12" s="53">
        <f>SUM(K5:K7)</f>
        <v>0.10380740730272779</v>
      </c>
      <c r="L12" s="53">
        <f>SUM(L5:L7)</f>
        <v>0.37360016326608153</v>
      </c>
      <c r="M12" s="53">
        <f>SUM(M5:M7)</f>
        <v>0.018336264014425552</v>
      </c>
    </row>
    <row r="13" spans="1:13" ht="12.75">
      <c r="A13" s="6" t="s">
        <v>463</v>
      </c>
      <c r="B13" s="53">
        <f>1-B12</f>
        <v>0.46358075200142435</v>
      </c>
      <c r="C13" s="34" t="s">
        <v>464</v>
      </c>
      <c r="D13" s="51"/>
      <c r="E13" s="51"/>
      <c r="F13" s="51"/>
      <c r="G13" s="51"/>
      <c r="J13" s="51">
        <f>$B13/4</f>
        <v>0.11589518800035609</v>
      </c>
      <c r="K13" s="51">
        <f>$B13/4</f>
        <v>0.11589518800035609</v>
      </c>
      <c r="L13" s="51">
        <f>$B13/4</f>
        <v>0.11589518800035609</v>
      </c>
      <c r="M13" s="51">
        <f>$B13/4</f>
        <v>0.11589518800035609</v>
      </c>
    </row>
    <row r="14" spans="2:7" ht="12.75">
      <c r="B14" s="55"/>
      <c r="D14" s="54"/>
      <c r="E14" s="54"/>
      <c r="F14" s="54"/>
      <c r="G14" s="54"/>
    </row>
    <row r="15" spans="3:7" ht="12.75">
      <c r="C15" s="54"/>
      <c r="D15" s="54"/>
      <c r="E15" s="54"/>
      <c r="F15" s="54"/>
      <c r="G15" s="54"/>
    </row>
    <row r="16" spans="3:14" ht="12.75">
      <c r="C16" s="54"/>
      <c r="D16" s="54"/>
      <c r="E16" s="56" t="s">
        <v>465</v>
      </c>
      <c r="J16" s="53">
        <f>SUM(J12:J13)</f>
        <v>0.11589518800035609</v>
      </c>
      <c r="K16" s="53">
        <f>SUM(K12:K13)</f>
        <v>0.2197025953030839</v>
      </c>
      <c r="L16" s="53">
        <f>SUM(L12:L13)</f>
        <v>0.4894953512664376</v>
      </c>
      <c r="M16" s="53">
        <v>0.18</v>
      </c>
      <c r="N16" s="53"/>
    </row>
    <row r="17" spans="3:14" ht="12.75">
      <c r="C17" s="54"/>
      <c r="D17" s="54"/>
      <c r="E17" s="54"/>
      <c r="F17" s="56"/>
      <c r="J17" s="53"/>
      <c r="K17" s="53"/>
      <c r="L17" s="53"/>
      <c r="M17" s="53"/>
      <c r="N17" s="53"/>
    </row>
    <row r="18" spans="3:14" ht="12.75">
      <c r="C18" s="54"/>
      <c r="D18" s="54"/>
      <c r="E18" s="56" t="s">
        <v>468</v>
      </c>
      <c r="H18" s="57">
        <f>Summary!C13+Summary!C15</f>
        <v>8391.414409019455</v>
      </c>
      <c r="J18" s="57">
        <f>J16*$H$18</f>
        <v>972.5245505222067</v>
      </c>
      <c r="K18" s="57">
        <f>K16*$H$18</f>
        <v>1843.6155239252682</v>
      </c>
      <c r="L18" s="57">
        <f>L16*$H$18</f>
        <v>4107.558343765224</v>
      </c>
      <c r="M18" s="57">
        <f>M16*$H$18</f>
        <v>1510.4545936235018</v>
      </c>
      <c r="N18" s="53"/>
    </row>
    <row r="19" spans="3:14" ht="12.75">
      <c r="C19" s="54"/>
      <c r="D19" s="54"/>
      <c r="E19" s="54"/>
      <c r="F19" s="56"/>
      <c r="J19" s="53"/>
      <c r="K19" s="53"/>
      <c r="L19" s="53"/>
      <c r="M19" s="53"/>
      <c r="N19" s="53"/>
    </row>
    <row r="20" spans="1:7" ht="12.75">
      <c r="A20" s="6" t="s">
        <v>466</v>
      </c>
      <c r="C20" s="54"/>
      <c r="D20" s="54"/>
      <c r="E20" s="54"/>
      <c r="F20" s="54"/>
      <c r="G20" s="54"/>
    </row>
    <row r="21" spans="2:13" ht="12.75">
      <c r="B21" s="6" t="s">
        <v>467</v>
      </c>
      <c r="C21" s="54"/>
      <c r="D21" s="54"/>
      <c r="E21" s="54"/>
      <c r="F21" s="54"/>
      <c r="G21" s="54"/>
      <c r="J21" s="53">
        <v>0.25</v>
      </c>
      <c r="K21" s="53">
        <v>0.25</v>
      </c>
      <c r="L21" s="53">
        <v>0.25</v>
      </c>
      <c r="M21" s="53">
        <v>0.25</v>
      </c>
    </row>
    <row r="22" spans="3:7" ht="12.75">
      <c r="C22" s="54"/>
      <c r="D22" s="54"/>
      <c r="E22" s="54"/>
      <c r="F22" s="54"/>
      <c r="G22" s="54"/>
    </row>
    <row r="23" spans="3:13" ht="12.75">
      <c r="C23" s="54"/>
      <c r="D23" s="54"/>
      <c r="E23" s="56" t="s">
        <v>469</v>
      </c>
      <c r="F23" s="54"/>
      <c r="G23" s="54"/>
      <c r="H23" s="57">
        <f>'Risk Results'!$C$26</f>
        <v>1281.8617042541896</v>
      </c>
      <c r="J23" s="57">
        <f>J21*$H$23</f>
        <v>320.4654260635474</v>
      </c>
      <c r="K23" s="57">
        <f>K21*$H$23</f>
        <v>320.4654260635474</v>
      </c>
      <c r="L23" s="57">
        <f>L21*$H$23</f>
        <v>320.4654260635474</v>
      </c>
      <c r="M23" s="57">
        <f>M21*$H$23</f>
        <v>320.4654260635474</v>
      </c>
    </row>
    <row r="24" spans="3:7" ht="12.75">
      <c r="C24" s="54"/>
      <c r="D24" s="54"/>
      <c r="E24" s="54"/>
      <c r="F24" s="54"/>
      <c r="G24" s="54"/>
    </row>
    <row r="25" spans="3:7" ht="12.75">
      <c r="C25" s="54"/>
      <c r="D25" s="54"/>
      <c r="E25" s="54"/>
      <c r="F25" s="54"/>
      <c r="G25" s="54"/>
    </row>
    <row r="26" spans="5:13" ht="12.75">
      <c r="E26" s="47" t="s">
        <v>470</v>
      </c>
      <c r="M26" s="57">
        <f>Summary!C14+'Risk Results'!$C$27</f>
        <v>2347.271250741672</v>
      </c>
    </row>
    <row r="29" spans="5:13" ht="12.75">
      <c r="E29" s="47" t="s">
        <v>471</v>
      </c>
      <c r="H29" s="57">
        <f>SUM(J29:M29)</f>
        <v>12063.285966832062</v>
      </c>
      <c r="J29" s="57">
        <f>J23+J18+J26</f>
        <v>1292.989976585754</v>
      </c>
      <c r="K29" s="57">
        <f>K23+K18+K26</f>
        <v>2164.0809499888155</v>
      </c>
      <c r="L29" s="57">
        <f>L23+L18+L26</f>
        <v>4428.023769828771</v>
      </c>
      <c r="M29" s="57">
        <f>M23+M18+M26</f>
        <v>4178.191270428721</v>
      </c>
    </row>
    <row r="30" ht="13.5" thickBot="1"/>
    <row r="31" spans="4:14" ht="12.75">
      <c r="D31" s="223"/>
      <c r="E31" s="223"/>
      <c r="F31" s="223"/>
      <c r="G31" s="223"/>
      <c r="H31" s="243" t="s">
        <v>647</v>
      </c>
      <c r="I31" s="244" t="s">
        <v>649</v>
      </c>
      <c r="J31" s="245">
        <f>J29/$H$29</f>
        <v>0.10718389501341698</v>
      </c>
      <c r="K31" s="245">
        <f>K29/$H$29</f>
        <v>0.17939398568009945</v>
      </c>
      <c r="L31" s="245">
        <f>L29/$H$29</f>
        <v>0.3670661362089565</v>
      </c>
      <c r="M31" s="245">
        <f>M29/$H$29</f>
        <v>0.346355983097527</v>
      </c>
      <c r="N31" s="246">
        <f>SUM(J31:M31)</f>
        <v>0.9999999999999999</v>
      </c>
    </row>
    <row r="32" spans="4:14" ht="12.75">
      <c r="D32" s="223"/>
      <c r="E32" s="223"/>
      <c r="F32" s="223"/>
      <c r="G32" s="223"/>
      <c r="H32" s="247" t="s">
        <v>648</v>
      </c>
      <c r="I32" s="248" t="s">
        <v>649</v>
      </c>
      <c r="J32" s="249">
        <v>0.2</v>
      </c>
      <c r="K32" s="249">
        <v>0.25</v>
      </c>
      <c r="L32" s="249">
        <v>0.3</v>
      </c>
      <c r="M32" s="249">
        <v>0.25</v>
      </c>
      <c r="N32" s="250">
        <f>SUM(J32:M32)</f>
        <v>1</v>
      </c>
    </row>
    <row r="33" spans="4:14" ht="12.75">
      <c r="D33" s="223"/>
      <c r="E33" s="223"/>
      <c r="F33" s="223"/>
      <c r="G33" s="223"/>
      <c r="H33" s="251"/>
      <c r="I33" s="252"/>
      <c r="J33" s="252"/>
      <c r="K33" s="252"/>
      <c r="L33" s="252"/>
      <c r="M33" s="252"/>
      <c r="N33" s="253"/>
    </row>
    <row r="34" spans="4:15" ht="18">
      <c r="D34" s="223"/>
      <c r="E34" s="223"/>
      <c r="F34" s="223"/>
      <c r="G34" s="242" t="s">
        <v>651</v>
      </c>
      <c r="H34" s="223" t="s">
        <v>654</v>
      </c>
      <c r="I34" s="252"/>
      <c r="J34" s="254">
        <f aca="true" t="shared" si="1" ref="J34:M35">+J31*$O$34</f>
        <v>1471.7420624292286</v>
      </c>
      <c r="K34" s="254">
        <f t="shared" si="1"/>
        <v>2463.2588173734457</v>
      </c>
      <c r="L34" s="254">
        <f t="shared" si="1"/>
        <v>5040.185116285182</v>
      </c>
      <c r="M34" s="254">
        <f t="shared" si="1"/>
        <v>4755.814003912144</v>
      </c>
      <c r="N34" s="255">
        <f>SUM(J34:M34)</f>
        <v>13731</v>
      </c>
      <c r="O34" s="251">
        <v>13731</v>
      </c>
    </row>
    <row r="35" spans="4:14" ht="12.75">
      <c r="D35" s="223"/>
      <c r="E35" s="223"/>
      <c r="F35" s="223"/>
      <c r="G35" s="223"/>
      <c r="H35" s="223" t="s">
        <v>655</v>
      </c>
      <c r="I35" s="252"/>
      <c r="J35" s="254">
        <f t="shared" si="1"/>
        <v>2746.2000000000003</v>
      </c>
      <c r="K35" s="254">
        <f t="shared" si="1"/>
        <v>3432.75</v>
      </c>
      <c r="L35" s="254">
        <f t="shared" si="1"/>
        <v>4119.3</v>
      </c>
      <c r="M35" s="254">
        <f t="shared" si="1"/>
        <v>3432.75</v>
      </c>
      <c r="N35" s="255">
        <f>SUM(J35:M35)</f>
        <v>13731</v>
      </c>
    </row>
    <row r="36" spans="4:14" ht="12.75">
      <c r="D36" s="223"/>
      <c r="E36" s="223"/>
      <c r="F36" s="223"/>
      <c r="G36" s="223"/>
      <c r="H36" s="251"/>
      <c r="I36" s="252"/>
      <c r="J36" s="252"/>
      <c r="K36" s="252"/>
      <c r="L36" s="252"/>
      <c r="M36" s="252"/>
      <c r="N36" s="253"/>
    </row>
    <row r="37" spans="4:14" ht="13.5" thickBot="1">
      <c r="D37" s="223"/>
      <c r="E37" s="223"/>
      <c r="F37" s="223"/>
      <c r="G37" s="223"/>
      <c r="H37" s="266" t="s">
        <v>566</v>
      </c>
      <c r="I37" s="267">
        <v>6120</v>
      </c>
      <c r="J37" s="267">
        <v>14483</v>
      </c>
      <c r="K37" s="267">
        <v>15068</v>
      </c>
      <c r="L37" s="267">
        <v>12581</v>
      </c>
      <c r="M37" s="267">
        <v>2602</v>
      </c>
      <c r="N37" s="268">
        <f>SUM(I37:M37)</f>
        <v>50854</v>
      </c>
    </row>
    <row r="38" spans="4:14" ht="12.75">
      <c r="D38" s="223"/>
      <c r="E38" s="223"/>
      <c r="F38" s="223"/>
      <c r="G38" s="223"/>
      <c r="H38" s="251"/>
      <c r="I38" s="252"/>
      <c r="J38" s="236">
        <f>+J34/J37</f>
        <v>0.10161859161977688</v>
      </c>
      <c r="K38" s="237">
        <f>+K34/K37</f>
        <v>0.16347616255464864</v>
      </c>
      <c r="L38" s="237">
        <f>+L34/L37</f>
        <v>0.40061879948217005</v>
      </c>
      <c r="M38" s="238">
        <f>+M34/M37</f>
        <v>1.8277532682214233</v>
      </c>
      <c r="N38" s="253"/>
    </row>
    <row r="39" spans="4:14" ht="13.5" thickBot="1">
      <c r="D39" s="223"/>
      <c r="E39" s="223"/>
      <c r="F39" s="223"/>
      <c r="G39" s="223"/>
      <c r="H39" s="256"/>
      <c r="I39" s="257"/>
      <c r="J39" s="239">
        <f>+J35/J37</f>
        <v>0.1896154111717186</v>
      </c>
      <c r="K39" s="240">
        <f>+K35/K37</f>
        <v>0.2278172285638439</v>
      </c>
      <c r="L39" s="240">
        <f>+L35/L37</f>
        <v>0.32742230347349177</v>
      </c>
      <c r="M39" s="241">
        <f>+M35/M37</f>
        <v>1.319273635664873</v>
      </c>
      <c r="N39" s="258"/>
    </row>
    <row r="41" spans="4:14" ht="12.75">
      <c r="D41" s="259"/>
      <c r="E41" s="259"/>
      <c r="F41" s="259"/>
      <c r="G41" s="259"/>
      <c r="H41" s="269" t="s">
        <v>566</v>
      </c>
      <c r="I41" s="270">
        <v>6120</v>
      </c>
      <c r="J41" s="270">
        <v>14483</v>
      </c>
      <c r="K41" s="270">
        <v>15068</v>
      </c>
      <c r="L41" s="270">
        <v>12581</v>
      </c>
      <c r="M41" s="270">
        <v>2602</v>
      </c>
      <c r="N41" s="271">
        <f>SUM(I41:M41)</f>
        <v>50854</v>
      </c>
    </row>
    <row r="42" spans="4:14" ht="18.75" thickBot="1">
      <c r="D42" s="259"/>
      <c r="E42" s="259"/>
      <c r="F42" s="259"/>
      <c r="G42" s="260" t="s">
        <v>650</v>
      </c>
      <c r="H42" s="259" t="s">
        <v>653</v>
      </c>
      <c r="I42" s="261">
        <v>144</v>
      </c>
      <c r="J42" s="261">
        <v>2205</v>
      </c>
      <c r="K42" s="261">
        <v>3492</v>
      </c>
      <c r="L42" s="261">
        <v>4450</v>
      </c>
      <c r="M42" s="261">
        <v>3440</v>
      </c>
      <c r="N42" s="259"/>
    </row>
    <row r="43" spans="4:14" ht="13.5" thickBot="1">
      <c r="D43" s="259"/>
      <c r="E43" s="259"/>
      <c r="F43" s="259"/>
      <c r="G43" s="259"/>
      <c r="H43" s="259"/>
      <c r="I43" s="262">
        <f>+I42/I41</f>
        <v>0.023529411764705882</v>
      </c>
      <c r="J43" s="263">
        <f>+J42/J41</f>
        <v>0.15224746254229096</v>
      </c>
      <c r="K43" s="263">
        <f>+K42/K41</f>
        <v>0.23174940270772498</v>
      </c>
      <c r="L43" s="263">
        <f>+L42/L41</f>
        <v>0.3537079723392417</v>
      </c>
      <c r="M43" s="264">
        <f>+M42/M41</f>
        <v>1.3220599538816296</v>
      </c>
      <c r="N43" s="259"/>
    </row>
    <row r="45" ht="20.25">
      <c r="J45" s="265" t="s">
        <v>652</v>
      </c>
    </row>
  </sheetData>
  <mergeCells count="2">
    <mergeCell ref="C3:G3"/>
    <mergeCell ref="I3:M3"/>
  </mergeCells>
  <printOptions gridLines="1"/>
  <pageMargins left="0.75" right="0.75" top="1" bottom="1" header="0.5" footer="0.5"/>
  <pageSetup fitToHeight="1" fitToWidth="1" horizontalDpi="600" verticalDpi="600" orientation="landscape" scale="89" r:id="rId4"/>
  <headerFooter alignWithMargins="0">
    <oddFooter>&amp;R&amp;F   &amp;A   &amp;D  &amp;T</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45"/>
  <sheetViews>
    <sheetView tabSelected="1" workbookViewId="0" topLeftCell="A19">
      <selection activeCell="L34" sqref="L34"/>
    </sheetView>
  </sheetViews>
  <sheetFormatPr defaultColWidth="9.140625" defaultRowHeight="12.75"/>
  <cols>
    <col min="1" max="1" width="5.28125" style="0" customWidth="1"/>
    <col min="2" max="2" width="30.57421875" style="0" customWidth="1"/>
    <col min="3" max="3" width="9.140625" style="24" customWidth="1"/>
    <col min="4" max="4" width="1.7109375" style="24" customWidth="1"/>
    <col min="5" max="5" width="11.00390625" style="24" customWidth="1"/>
    <col min="6" max="6" width="11.140625" style="24" bestFit="1" customWidth="1"/>
    <col min="7" max="7" width="8.57421875" style="24" customWidth="1"/>
    <col min="8" max="8" width="8.00390625" style="24" customWidth="1"/>
    <col min="9" max="9" width="13.421875" style="24" customWidth="1"/>
    <col min="10" max="10" width="9.57421875" style="0" bestFit="1" customWidth="1"/>
    <col min="11" max="11" width="9.57421875" style="0" hidden="1" customWidth="1"/>
    <col min="12" max="13" width="11.7109375" style="0" customWidth="1"/>
    <col min="18" max="18" width="10.57421875" style="0" bestFit="1" customWidth="1"/>
  </cols>
  <sheetData>
    <row r="1" spans="5:9" ht="12.75">
      <c r="E1" s="274" t="s">
        <v>567</v>
      </c>
      <c r="F1" s="274"/>
      <c r="G1" s="274"/>
      <c r="H1" s="274"/>
      <c r="I1" s="274"/>
    </row>
    <row r="2" spans="1:18" ht="12.75">
      <c r="A2" s="16" t="s">
        <v>407</v>
      </c>
      <c r="B2" s="16" t="s">
        <v>409</v>
      </c>
      <c r="C2" s="159" t="s">
        <v>566</v>
      </c>
      <c r="D2" s="159" t="s">
        <v>585</v>
      </c>
      <c r="E2" s="159" t="s">
        <v>183</v>
      </c>
      <c r="F2" s="159" t="s">
        <v>568</v>
      </c>
      <c r="G2" s="159" t="s">
        <v>587</v>
      </c>
      <c r="H2" s="159" t="s">
        <v>569</v>
      </c>
      <c r="I2" s="159" t="s">
        <v>177</v>
      </c>
      <c r="L2" s="159" t="s">
        <v>594</v>
      </c>
      <c r="M2" s="159"/>
      <c r="N2" s="159"/>
      <c r="O2" s="159"/>
      <c r="P2" s="159"/>
      <c r="R2" s="159" t="s">
        <v>394</v>
      </c>
    </row>
    <row r="3" spans="2:9" ht="12.75">
      <c r="B3" s="161" t="s">
        <v>588</v>
      </c>
      <c r="C3" s="162"/>
      <c r="D3" s="162"/>
      <c r="E3" s="163" t="s">
        <v>589</v>
      </c>
      <c r="F3" s="163" t="s">
        <v>590</v>
      </c>
      <c r="G3" s="163" t="s">
        <v>591</v>
      </c>
      <c r="H3" s="163" t="s">
        <v>592</v>
      </c>
      <c r="I3" s="163" t="s">
        <v>593</v>
      </c>
    </row>
    <row r="4" spans="1:9" ht="12.75">
      <c r="A4" s="16"/>
      <c r="B4" s="16"/>
      <c r="C4" s="159"/>
      <c r="D4" s="159"/>
      <c r="E4" s="159"/>
      <c r="F4" s="159"/>
      <c r="G4" s="159"/>
      <c r="H4" s="159"/>
      <c r="I4" s="159"/>
    </row>
    <row r="5" spans="1:18" ht="12.75">
      <c r="A5" s="13">
        <v>12</v>
      </c>
      <c r="B5" t="s">
        <v>570</v>
      </c>
      <c r="C5" s="24">
        <f>SUM('Estimate Uncertainty Range'!I3:I9)</f>
        <v>156.11999999999995</v>
      </c>
      <c r="D5" s="24">
        <f>'Estimate Uncertainty Range'!I9</f>
        <v>-251.69</v>
      </c>
      <c r="E5" s="24">
        <f>SUM('Estimate Uncertainty Range'!I3:I8)</f>
        <v>407.80999999999995</v>
      </c>
      <c r="L5" s="165">
        <f>C5/$C$21</f>
        <v>0.003070286190319984</v>
      </c>
      <c r="M5" s="165"/>
      <c r="N5" s="165"/>
      <c r="P5" s="165"/>
      <c r="R5" s="173">
        <f>SUM('Estimate Uncertainty Range'!T3:T9)</f>
        <v>-251.69</v>
      </c>
    </row>
    <row r="6" spans="1:18" ht="12.75">
      <c r="A6" s="13">
        <v>13</v>
      </c>
      <c r="B6" t="s">
        <v>571</v>
      </c>
      <c r="C6" s="24">
        <f>SUM('Estimate Uncertainty Range'!I10:I19)</f>
        <v>3460.3999999999996</v>
      </c>
      <c r="D6" s="24">
        <f>'Estimate Uncertainty Range'!I10+'Estimate Uncertainty Range'!I18+'Estimate Uncertainty Range'!I19</f>
        <v>-32.36</v>
      </c>
      <c r="E6" s="24">
        <f>'Estimate Uncertainty Range'!I13</f>
        <v>337.33</v>
      </c>
      <c r="F6" s="24">
        <f>'Estimate Uncertainty Range'!I15+'Estimate Uncertainty Range'!I16+'Estimate Uncertainty Range'!I17</f>
        <v>1110.97</v>
      </c>
      <c r="G6" s="24">
        <f>'Estimate Uncertainty Range'!I11+'Estimate Uncertainty Range'!I12+'Estimate Uncertainty Range'!I14</f>
        <v>2044.46</v>
      </c>
      <c r="L6" s="165">
        <f aca="true" t="shared" si="0" ref="L6:L19">C6/$C$21</f>
        <v>0.06805289734168124</v>
      </c>
      <c r="M6" s="165"/>
      <c r="N6" s="165"/>
      <c r="P6" s="165"/>
      <c r="R6" s="173">
        <f>SUM('Estimate Uncertainty Range'!T10:T19)</f>
        <v>-32.36</v>
      </c>
    </row>
    <row r="7" spans="1:18" ht="12.75">
      <c r="A7" s="13">
        <v>14</v>
      </c>
      <c r="B7" t="s">
        <v>572</v>
      </c>
      <c r="C7" s="24">
        <f>SUM('Estimate Uncertainty Range'!I20:I52)</f>
        <v>6240.820000000001</v>
      </c>
      <c r="D7" s="24">
        <f>'Estimate Uncertainty Range'!I20+'Estimate Uncertainty Range'!I22</f>
        <v>-116.33</v>
      </c>
      <c r="F7" s="24">
        <f>'Estimate Uncertainty Range'!I51+'Estimate Uncertainty Range'!I52</f>
        <v>501.06</v>
      </c>
      <c r="G7" s="24">
        <f>'Estimate Uncertainty Range'!I38+'Estimate Uncertainty Range'!I39+'Estimate Uncertainty Range'!I40+'Estimate Uncertainty Range'!I41+'Estimate Uncertainty Range'!I42+'Estimate Uncertainty Range'!I43+'Estimate Uncertainty Range'!I44+'Estimate Uncertainty Range'!I45+'Estimate Uncertainty Range'!I46+'Estimate Uncertainty Range'!I47+'Estimate Uncertainty Range'!I48+'Estimate Uncertainty Range'!I49+'Estimate Uncertainty Range'!I50</f>
        <v>3901.33</v>
      </c>
      <c r="H7" s="24">
        <f>'Estimate Uncertainty Range'!I21+'Estimate Uncertainty Range'!I23+'Estimate Uncertainty Range'!I24+'Estimate Uncertainty Range'!I25+'Estimate Uncertainty Range'!I26+'Estimate Uncertainty Range'!I27+'Estimate Uncertainty Range'!I28+'Estimate Uncertainty Range'!I29+'Estimate Uncertainty Range'!I30+'Estimate Uncertainty Range'!I31+'Estimate Uncertainty Range'!I32+'Estimate Uncertainty Range'!I33+'Estimate Uncertainty Range'!I34+'Estimate Uncertainty Range'!I35+'Estimate Uncertainty Range'!I36+'Estimate Uncertainty Range'!I37</f>
        <v>1954.76</v>
      </c>
      <c r="L7" s="165">
        <f t="shared" si="0"/>
        <v>0.12273317616111178</v>
      </c>
      <c r="M7" s="165"/>
      <c r="N7" s="165"/>
      <c r="P7" s="165"/>
      <c r="R7" s="173">
        <f>SUM('Estimate Uncertainty Range'!T20:T52)</f>
        <v>-35.94</v>
      </c>
    </row>
    <row r="8" spans="1:18" ht="12.75">
      <c r="A8" s="13">
        <v>15</v>
      </c>
      <c r="B8" t="s">
        <v>573</v>
      </c>
      <c r="C8" s="24">
        <f>SUM('Estimate Uncertainty Range'!I53:I54)</f>
        <v>1262.37</v>
      </c>
      <c r="F8" s="24">
        <f>'Estimate Uncertainty Range'!I53+'Estimate Uncertainty Range'!I54</f>
        <v>1262.37</v>
      </c>
      <c r="L8" s="165">
        <f t="shared" si="0"/>
        <v>0.02482601318264309</v>
      </c>
      <c r="M8" s="165"/>
      <c r="N8" s="165"/>
      <c r="P8" s="165"/>
      <c r="R8" s="173">
        <f>SUM('Estimate Uncertainty Range'!T53:T54)</f>
        <v>0</v>
      </c>
    </row>
    <row r="9" spans="1:18" ht="12.75">
      <c r="A9" s="13">
        <v>16</v>
      </c>
      <c r="B9" t="s">
        <v>574</v>
      </c>
      <c r="C9" s="24">
        <f>SUM('Estimate Uncertainty Range'!I55:I58)</f>
        <v>861.85</v>
      </c>
      <c r="E9" s="24">
        <f>'Estimate Uncertainty Range'!I55+'Estimate Uncertainty Range'!I56+'Estimate Uncertainty Range'!I57+'Estimate Uncertainty Range'!I58</f>
        <v>861.85</v>
      </c>
      <c r="L9" s="165">
        <f t="shared" si="0"/>
        <v>0.016949309205273374</v>
      </c>
      <c r="M9" s="165"/>
      <c r="N9" s="165"/>
      <c r="P9" s="165"/>
      <c r="R9" s="173">
        <f>SUM('Estimate Uncertainty Range'!T55:T58)</f>
        <v>0</v>
      </c>
    </row>
    <row r="10" spans="1:18" ht="12.75">
      <c r="A10" s="13">
        <v>17</v>
      </c>
      <c r="B10" t="s">
        <v>575</v>
      </c>
      <c r="C10" s="24">
        <f>SUM('Estimate Uncertainty Range'!I59:I62)</f>
        <v>784.9399999999999</v>
      </c>
      <c r="E10" s="24">
        <f>'Estimate Uncertainty Range'!I61</f>
        <v>324.85</v>
      </c>
      <c r="F10" s="24">
        <f>'Estimate Uncertainty Range'!I60+'Estimate Uncertainty Range'!I62</f>
        <v>253.12</v>
      </c>
      <c r="H10" s="24">
        <f>'Estimate Uncertainty Range'!I59</f>
        <v>206.97</v>
      </c>
      <c r="L10" s="165">
        <f t="shared" si="0"/>
        <v>0.015436782233088451</v>
      </c>
      <c r="M10" s="165"/>
      <c r="N10" s="165"/>
      <c r="P10" s="165"/>
      <c r="R10" s="173">
        <f>SUM('Estimate Uncertainty Range'!T59:T62)</f>
        <v>0</v>
      </c>
    </row>
    <row r="11" spans="1:18" ht="12.75">
      <c r="A11" s="13">
        <v>18</v>
      </c>
      <c r="B11" t="s">
        <v>576</v>
      </c>
      <c r="C11" s="24">
        <f>SUM('Estimate Uncertainty Range'!I63:I93)</f>
        <v>10104.89</v>
      </c>
      <c r="F11" s="24">
        <f>'Estimate Uncertainty Range'!I63+'Estimate Uncertainty Range'!I65+'Estimate Uncertainty Range'!I66+'Estimate Uncertainty Range'!I74+'Estimate Uncertainty Range'!I75+'Estimate Uncertainty Range'!I76+'Estimate Uncertainty Range'!I77+'Estimate Uncertainty Range'!I78</f>
        <v>5727.130000000001</v>
      </c>
      <c r="G11" s="24">
        <f>'Estimate Uncertainty Range'!I64+'Estimate Uncertainty Range'!I68+'Estimate Uncertainty Range'!I69+'Estimate Uncertainty Range'!I70+'Estimate Uncertainty Range'!I71+'Estimate Uncertainty Range'!I72+'Estimate Uncertainty Range'!I73</f>
        <v>514.76</v>
      </c>
      <c r="H11" s="24">
        <f>'Estimate Uncertainty Range'!I90+'Estimate Uncertainty Range'!I91+'Estimate Uncertainty Range'!I92+'Estimate Uncertainty Range'!I93+'Estimate Uncertainty Range'!I67</f>
        <v>1548.17</v>
      </c>
      <c r="I11" s="24">
        <f>'Estimate Uncertainty Range'!I79+'Estimate Uncertainty Range'!I80+'Estimate Uncertainty Range'!I81+'Estimate Uncertainty Range'!I82+'Estimate Uncertainty Range'!I83+'Estimate Uncertainty Range'!I84+'Estimate Uncertainty Range'!I85+'Estimate Uncertainty Range'!I86+'Estimate Uncertainty Range'!I87+'Estimate Uncertainty Range'!I88+'Estimate Uncertainty Range'!I89</f>
        <v>2314.83</v>
      </c>
      <c r="L11" s="165">
        <f t="shared" si="0"/>
        <v>0.19872472599092053</v>
      </c>
      <c r="M11" s="165"/>
      <c r="N11" s="165"/>
      <c r="P11" s="165"/>
      <c r="R11" s="173">
        <f>SUM('Estimate Uncertainty Range'!T63:T93)</f>
        <v>0</v>
      </c>
    </row>
    <row r="12" spans="1:18" ht="12.75">
      <c r="A12" s="13">
        <v>19</v>
      </c>
      <c r="B12" t="s">
        <v>577</v>
      </c>
      <c r="C12" s="24">
        <f>SUM('Estimate Uncertainty Range'!I94:I95)</f>
        <v>1619.73</v>
      </c>
      <c r="E12" s="24">
        <f>'Estimate Uncertainty Range'!I94+'Estimate Uncertainty Range'!I95</f>
        <v>1619.73</v>
      </c>
      <c r="L12" s="165">
        <f t="shared" si="0"/>
        <v>0.03185392423166147</v>
      </c>
      <c r="M12" s="165"/>
      <c r="N12" s="165"/>
      <c r="P12" s="165"/>
      <c r="R12" s="173">
        <f>SUM('Estimate Uncertainty Range'!T94:T95)</f>
        <v>0</v>
      </c>
    </row>
    <row r="13" spans="1:18" ht="12.75">
      <c r="A13" s="13">
        <v>2</v>
      </c>
      <c r="B13" t="s">
        <v>578</v>
      </c>
      <c r="C13" s="24">
        <f>SUM('Estimate Uncertainty Range'!I96:I97)</f>
        <v>240.48000000000002</v>
      </c>
      <c r="F13" s="24">
        <f>'Estimate Uncertainty Range'!I97</f>
        <v>172</v>
      </c>
      <c r="G13" s="24">
        <f>'Estimate Uncertainty Range'!I96</f>
        <v>68.48</v>
      </c>
      <c r="L13" s="165">
        <f t="shared" si="0"/>
        <v>0.004729326306995581</v>
      </c>
      <c r="M13" s="165"/>
      <c r="N13" s="165"/>
      <c r="P13" s="165"/>
      <c r="R13" s="173">
        <f>SUM('Estimate Uncertainty Range'!T96:T97)</f>
        <v>0</v>
      </c>
    </row>
    <row r="14" spans="1:18" ht="12.75">
      <c r="A14" s="13">
        <v>3</v>
      </c>
      <c r="B14" t="s">
        <v>579</v>
      </c>
      <c r="C14" s="24">
        <f>SUM('Estimate Uncertainty Range'!I98:I105)</f>
        <v>717.19</v>
      </c>
      <c r="E14" s="24">
        <f>'Estimate Uncertainty Range'!I98+'Estimate Uncertainty Range'!I99+'Estimate Uncertainty Range'!I100+'Estimate Uncertainty Range'!I101+'Estimate Uncertainty Range'!I102+'Estimate Uncertainty Range'!I103+'Estimate Uncertainty Range'!I105</f>
        <v>454.22</v>
      </c>
      <c r="G14" s="24">
        <f>'Estimate Uncertainty Range'!I104</f>
        <v>262.97</v>
      </c>
      <c r="L14" s="165">
        <f t="shared" si="0"/>
        <v>0.01410439759694844</v>
      </c>
      <c r="M14" s="165"/>
      <c r="N14" s="165"/>
      <c r="P14" s="165"/>
      <c r="R14" s="173">
        <f>SUM('Estimate Uncertainty Range'!T98:T105)</f>
        <v>0</v>
      </c>
    </row>
    <row r="15" spans="1:18" ht="12.75">
      <c r="A15" s="13">
        <v>4</v>
      </c>
      <c r="B15" t="s">
        <v>580</v>
      </c>
      <c r="C15" s="24">
        <f>SUM('Estimate Uncertainty Range'!I106:I117)</f>
        <v>2424.6900000000005</v>
      </c>
      <c r="D15" s="24">
        <f>'Estimate Uncertainty Range'!I106</f>
        <v>-104.1</v>
      </c>
      <c r="E15" s="24">
        <f>'Estimate Uncertainty Range'!I107+'Estimate Uncertainty Range'!I108+'Estimate Uncertainty Range'!I109+'Estimate Uncertainty Range'!I115+'Estimate Uncertainty Range'!I116+'Estimate Uncertainty Range'!I117</f>
        <v>1444.5000000000002</v>
      </c>
      <c r="F15" s="24">
        <f>'Estimate Uncertainty Range'!I110+'Estimate Uncertainty Range'!I111+'Estimate Uncertainty Range'!I112+'Estimate Uncertainty Range'!I113+'Estimate Uncertainty Range'!I114</f>
        <v>1084.2900000000002</v>
      </c>
      <c r="L15" s="165">
        <f t="shared" si="0"/>
        <v>0.047684423666455075</v>
      </c>
      <c r="M15" s="165"/>
      <c r="N15" s="165"/>
      <c r="P15" s="165"/>
      <c r="R15" s="173">
        <f>SUM('Estimate Uncertainty Range'!T106:T117)</f>
        <v>-104.1</v>
      </c>
    </row>
    <row r="16" spans="1:18" ht="12.75">
      <c r="A16" s="13">
        <v>5</v>
      </c>
      <c r="B16" t="s">
        <v>581</v>
      </c>
      <c r="C16" s="24">
        <f>SUM('Estimate Uncertainty Range'!I118:I124)</f>
        <v>1136.05</v>
      </c>
      <c r="E16" s="24">
        <f>'Estimate Uncertainty Range'!I124</f>
        <v>68.99</v>
      </c>
      <c r="F16" s="24">
        <f>'Estimate Uncertainty Range'!I118+'Estimate Uncertainty Range'!I119+'Estimate Uncertainty Range'!I120+'Estimate Uncertainty Range'!I122</f>
        <v>640.32</v>
      </c>
      <c r="G16" s="24">
        <f>'Estimate Uncertainty Range'!I121</f>
        <v>204.82</v>
      </c>
      <c r="H16" s="24">
        <f>'Estimate Uncertainty Range'!I123</f>
        <v>221.92</v>
      </c>
      <c r="L16" s="165">
        <f t="shared" si="0"/>
        <v>0.0223417795702858</v>
      </c>
      <c r="M16" s="165"/>
      <c r="N16" s="165"/>
      <c r="P16" s="165"/>
      <c r="R16" s="173">
        <f>SUM('Estimate Uncertainty Range'!T118:T124)</f>
        <v>0</v>
      </c>
    </row>
    <row r="17" spans="1:18" ht="12.75">
      <c r="A17" s="13">
        <v>6</v>
      </c>
      <c r="B17" t="s">
        <v>582</v>
      </c>
      <c r="C17" s="24">
        <f>SUM('Estimate Uncertainty Range'!I125:I130)</f>
        <v>1379.24</v>
      </c>
      <c r="G17" s="24">
        <f>'Estimate Uncertainty Range'!I125+'Estimate Uncertainty Range'!I129</f>
        <v>151.27</v>
      </c>
      <c r="H17" s="24">
        <f>'Estimate Uncertainty Range'!I126+'Estimate Uncertainty Range'!I127+'Estimate Uncertainty Range'!I128+'Estimate Uncertainty Range'!I130</f>
        <v>1227.97</v>
      </c>
      <c r="L17" s="165">
        <f t="shared" si="0"/>
        <v>0.027124401262726982</v>
      </c>
      <c r="M17" s="165"/>
      <c r="N17" s="165"/>
      <c r="P17" s="165"/>
      <c r="R17" s="173">
        <f>SUM('Estimate Uncertainty Range'!T125:T130)</f>
        <v>0</v>
      </c>
    </row>
    <row r="18" spans="1:18" ht="12.75">
      <c r="A18" s="13">
        <v>7</v>
      </c>
      <c r="B18" t="s">
        <v>583</v>
      </c>
      <c r="C18" s="24">
        <f>SUM('Estimate Uncertainty Range'!I131:I136)</f>
        <v>7951.5199999999995</v>
      </c>
      <c r="D18" s="24">
        <f>'Estimate Uncertainty Range'!I133</f>
        <v>-249.43</v>
      </c>
      <c r="G18" s="24">
        <f>'Estimate Uncertainty Range'!I131+'Estimate Uncertainty Range'!I136</f>
        <v>616.6700000000001</v>
      </c>
      <c r="H18" s="24">
        <f>'Estimate Uncertainty Range'!I134+'Estimate Uncertainty Range'!I135+'Estimate Uncertainty Range'!I132</f>
        <v>7584.279999999999</v>
      </c>
      <c r="L18" s="165">
        <f t="shared" si="0"/>
        <v>0.15637613405107076</v>
      </c>
      <c r="M18" s="165"/>
      <c r="N18" s="165"/>
      <c r="P18" s="165"/>
      <c r="R18" s="173">
        <f>SUM('Estimate Uncertainty Range'!T131:T136)</f>
        <v>-249.43</v>
      </c>
    </row>
    <row r="19" spans="1:18" ht="12.75">
      <c r="A19" s="13">
        <v>8</v>
      </c>
      <c r="B19" t="s">
        <v>584</v>
      </c>
      <c r="C19" s="24">
        <f>SUM('Estimate Uncertainty Range'!I137:I149)</f>
        <v>12508.390000000001</v>
      </c>
      <c r="D19" s="24">
        <f>'Estimate Uncertainty Range'!I137+'Estimate Uncertainty Range'!I140+'Estimate Uncertainty Range'!I145+'Estimate Uncertainty Range'!I146</f>
        <v>173.62</v>
      </c>
      <c r="E19" s="24">
        <f>'Estimate Uncertainty Range'!I138+'Estimate Uncertainty Range'!I139+'Estimate Uncertainty Range'!I141+'Estimate Uncertainty Range'!I147+'Estimate Uncertainty Range'!I148+'Estimate Uncertainty Range'!I149</f>
        <v>9176.29</v>
      </c>
      <c r="G19" s="24">
        <f>'Estimate Uncertainty Range'!I142+'Estimate Uncertainty Range'!I143</f>
        <v>2561.62</v>
      </c>
      <c r="I19" s="24">
        <f>'Estimate Uncertainty Range'!I144</f>
        <v>596.8599999999999</v>
      </c>
      <c r="L19" s="165">
        <f t="shared" si="0"/>
        <v>0.2459924230088176</v>
      </c>
      <c r="M19" s="165"/>
      <c r="N19" s="165"/>
      <c r="P19" s="165"/>
      <c r="R19" s="173">
        <f>SUM('Estimate Uncertainty Range'!T137:T149)</f>
        <v>173.62</v>
      </c>
    </row>
    <row r="20" spans="2:16" ht="15">
      <c r="B20" s="138"/>
      <c r="P20" s="165"/>
    </row>
    <row r="21" spans="2:18" ht="15">
      <c r="B21" s="138"/>
      <c r="C21" s="24">
        <f>SUM(C5:C20)</f>
        <v>50848.67999999999</v>
      </c>
      <c r="D21" s="24">
        <f aca="true" t="shared" si="1" ref="D21:I21">SUM(D5:D20)</f>
        <v>-580.2900000000001</v>
      </c>
      <c r="E21" s="24">
        <f t="shared" si="1"/>
        <v>14695.57</v>
      </c>
      <c r="F21" s="24">
        <f t="shared" si="1"/>
        <v>10751.260000000002</v>
      </c>
      <c r="G21" s="24">
        <f t="shared" si="1"/>
        <v>10326.380000000001</v>
      </c>
      <c r="H21" s="24">
        <f t="shared" si="1"/>
        <v>12744.07</v>
      </c>
      <c r="I21" s="24">
        <f t="shared" si="1"/>
        <v>2911.6899999999996</v>
      </c>
      <c r="L21" s="166">
        <f>SUM(L5:L20)</f>
        <v>1.0000000000000002</v>
      </c>
      <c r="M21" s="166"/>
      <c r="N21" s="166"/>
      <c r="P21" s="165"/>
      <c r="R21" s="24">
        <f>SUM(R5:R20)</f>
        <v>-499.9</v>
      </c>
    </row>
    <row r="22" ht="12.75"/>
    <row r="23" spans="1:13" ht="12.75">
      <c r="A23" s="18"/>
      <c r="B23" s="18"/>
      <c r="C23" s="188">
        <f>SUM(D23:I23)</f>
        <v>1.0000000000000002</v>
      </c>
      <c r="D23" s="188">
        <f aca="true" t="shared" si="2" ref="D23:I23">D21/$C$21</f>
        <v>-0.011412095653220499</v>
      </c>
      <c r="E23" s="188">
        <f t="shared" si="2"/>
        <v>0.2890059289641344</v>
      </c>
      <c r="F23" s="188">
        <f t="shared" si="2"/>
        <v>0.2114363637364825</v>
      </c>
      <c r="G23" s="188">
        <f t="shared" si="2"/>
        <v>0.2030805912759191</v>
      </c>
      <c r="H23" s="188">
        <f t="shared" si="2"/>
        <v>0.2506273515851346</v>
      </c>
      <c r="I23" s="188">
        <f t="shared" si="2"/>
        <v>0.057261860091550064</v>
      </c>
      <c r="J23" s="18"/>
      <c r="K23" s="18"/>
      <c r="L23" s="18"/>
      <c r="M23" s="18"/>
    </row>
    <row r="24" spans="1:13" ht="12.75">
      <c r="A24" s="189" t="s">
        <v>595</v>
      </c>
      <c r="B24" s="18"/>
      <c r="C24" s="190"/>
      <c r="D24" s="190"/>
      <c r="E24" s="190"/>
      <c r="F24" s="190"/>
      <c r="G24" s="190"/>
      <c r="H24" s="190"/>
      <c r="I24" s="193"/>
      <c r="J24" s="18"/>
      <c r="K24" s="18"/>
      <c r="L24" s="18"/>
      <c r="M24" s="18"/>
    </row>
    <row r="25" spans="1:13" ht="12.75">
      <c r="A25" s="18"/>
      <c r="B25" s="18"/>
      <c r="C25" s="190"/>
      <c r="D25" s="190"/>
      <c r="E25" s="185" t="s">
        <v>605</v>
      </c>
      <c r="F25" s="185"/>
      <c r="G25" s="185"/>
      <c r="H25" s="185"/>
      <c r="I25" s="193"/>
      <c r="J25" s="18"/>
      <c r="K25" s="18"/>
      <c r="L25" s="18"/>
      <c r="M25" s="18"/>
    </row>
    <row r="26" spans="1:23" ht="63.75">
      <c r="A26" s="18"/>
      <c r="B26" s="189" t="s">
        <v>407</v>
      </c>
      <c r="C26" s="159" t="s">
        <v>566</v>
      </c>
      <c r="D26" s="191"/>
      <c r="E26" s="159" t="s">
        <v>596</v>
      </c>
      <c r="F26" s="159" t="s">
        <v>597</v>
      </c>
      <c r="G26" s="186" t="s">
        <v>598</v>
      </c>
      <c r="H26" s="159" t="s">
        <v>599</v>
      </c>
      <c r="I26" s="304" t="s">
        <v>629</v>
      </c>
      <c r="J26" s="159" t="s">
        <v>600</v>
      </c>
      <c r="K26" s="159"/>
      <c r="L26" s="307" t="s">
        <v>594</v>
      </c>
      <c r="M26" s="311"/>
      <c r="N26" s="312" t="s">
        <v>607</v>
      </c>
      <c r="O26" s="313"/>
      <c r="P26" s="314">
        <v>0.9</v>
      </c>
      <c r="Q26" s="313"/>
      <c r="R26" s="313"/>
      <c r="S26" s="311" t="s">
        <v>594</v>
      </c>
      <c r="T26" s="312" t="s">
        <v>607</v>
      </c>
      <c r="U26" s="313"/>
      <c r="V26" s="313"/>
      <c r="W26" s="313"/>
    </row>
    <row r="27" spans="1:23" ht="15.75" customHeight="1">
      <c r="A27" s="18">
        <v>12</v>
      </c>
      <c r="B27" s="18" t="s">
        <v>570</v>
      </c>
      <c r="C27" s="187">
        <v>156</v>
      </c>
      <c r="D27" s="187"/>
      <c r="E27" s="187">
        <f>'Uncertainty Results'!G32</f>
        <v>29.637479194900664</v>
      </c>
      <c r="F27" s="187"/>
      <c r="G27" s="187"/>
      <c r="H27" s="187">
        <f>'Risk Model'!U42*Summary!C19</f>
        <v>10.442534269667785</v>
      </c>
      <c r="I27" s="305">
        <v>0</v>
      </c>
      <c r="J27" s="187">
        <f>SUM(E27:I27)</f>
        <v>40.08001346456845</v>
      </c>
      <c r="K27" s="32">
        <f>+J27/C27</f>
        <v>0.25692316323441317</v>
      </c>
      <c r="L27" s="308">
        <f aca="true" t="shared" si="3" ref="L27:L41">J27/C27</f>
        <v>0.25692316323441317</v>
      </c>
      <c r="M27" s="315">
        <v>0.2526225305725204</v>
      </c>
      <c r="N27" s="316">
        <f aca="true" t="shared" si="4" ref="N27:N41">J27/$J$43</f>
        <v>0.0027872931219565587</v>
      </c>
      <c r="O27" s="313"/>
      <c r="P27" s="313"/>
      <c r="Q27" s="313"/>
      <c r="R27" s="317">
        <v>40.08001346456845</v>
      </c>
      <c r="S27" s="318">
        <v>0.2567256819406127</v>
      </c>
      <c r="T27" s="316">
        <v>0.0033342918796320283</v>
      </c>
      <c r="U27" s="313"/>
      <c r="V27" s="313">
        <v>12</v>
      </c>
      <c r="W27" s="313">
        <v>156</v>
      </c>
    </row>
    <row r="28" spans="1:23" ht="15.75" customHeight="1">
      <c r="A28" s="18">
        <v>13</v>
      </c>
      <c r="B28" s="18" t="s">
        <v>571</v>
      </c>
      <c r="C28" s="187">
        <v>3462</v>
      </c>
      <c r="D28" s="187"/>
      <c r="E28" s="187">
        <f>'Uncertainty Results'!H32</f>
        <v>527.3565256120166</v>
      </c>
      <c r="F28" s="187"/>
      <c r="G28" s="187"/>
      <c r="H28" s="187">
        <f>Summary!C19*'Risk Model'!V42</f>
        <v>175.10555144947045</v>
      </c>
      <c r="I28" s="305">
        <v>400</v>
      </c>
      <c r="J28" s="187">
        <f aca="true" t="shared" si="5" ref="J28:J41">SUM(E28:I28)</f>
        <v>1102.462077061487</v>
      </c>
      <c r="K28" s="32">
        <f aca="true" t="shared" si="6" ref="K28:K43">+J28/C28</f>
        <v>0.31844658493977096</v>
      </c>
      <c r="L28" s="308">
        <f t="shared" si="3"/>
        <v>0.31844658493977096</v>
      </c>
      <c r="M28" s="315">
        <v>0.34212973603279156</v>
      </c>
      <c r="N28" s="316">
        <f t="shared" si="4"/>
        <v>0.07666876078591932</v>
      </c>
      <c r="O28" s="313"/>
      <c r="P28" s="313"/>
      <c r="Q28" s="313"/>
      <c r="R28" s="317">
        <v>702.4620770614871</v>
      </c>
      <c r="S28" s="318">
        <v>0.20300025345667758</v>
      </c>
      <c r="T28" s="316">
        <v>0.05843844342432991</v>
      </c>
      <c r="U28" s="313"/>
      <c r="V28" s="313">
        <v>13</v>
      </c>
      <c r="W28" s="313">
        <v>3462</v>
      </c>
    </row>
    <row r="29" spans="1:23" ht="15.75" customHeight="1">
      <c r="A29" s="18">
        <v>14</v>
      </c>
      <c r="B29" s="18" t="s">
        <v>572</v>
      </c>
      <c r="C29" s="187">
        <v>6247</v>
      </c>
      <c r="D29" s="187"/>
      <c r="E29" s="187">
        <f>'Uncertainty Results'!I32</f>
        <v>1002.0522602070093</v>
      </c>
      <c r="F29" s="187"/>
      <c r="G29" s="187"/>
      <c r="H29" s="187">
        <f>'Risk Model'!W42*Summary!C19</f>
        <v>405.735115997295</v>
      </c>
      <c r="I29" s="305">
        <v>200</v>
      </c>
      <c r="J29" s="187">
        <f t="shared" si="5"/>
        <v>1607.7873762043043</v>
      </c>
      <c r="K29" s="32">
        <f t="shared" si="6"/>
        <v>0.25736951756111803</v>
      </c>
      <c r="L29" s="308">
        <f t="shared" si="3"/>
        <v>0.25736951756111803</v>
      </c>
      <c r="M29" s="315">
        <v>0.31424054642770427</v>
      </c>
      <c r="N29" s="316">
        <f t="shared" si="4"/>
        <v>0.1118107083278419</v>
      </c>
      <c r="O29" s="313"/>
      <c r="P29" s="313"/>
      <c r="Q29" s="313"/>
      <c r="R29" s="317">
        <v>1407.7873762043043</v>
      </c>
      <c r="S29" s="318">
        <v>0.22557730814288898</v>
      </c>
      <c r="T29" s="316">
        <v>0.11711508083389394</v>
      </c>
      <c r="U29" s="313"/>
      <c r="V29" s="313">
        <v>14</v>
      </c>
      <c r="W29" s="313">
        <v>6247</v>
      </c>
    </row>
    <row r="30" spans="1:23" ht="15.75" customHeight="1">
      <c r="A30" s="18">
        <v>15</v>
      </c>
      <c r="B30" s="18" t="s">
        <v>573</v>
      </c>
      <c r="C30" s="187">
        <v>1262</v>
      </c>
      <c r="D30" s="187"/>
      <c r="E30" s="187">
        <f>'Uncertainty Results'!J32</f>
        <v>173.26469335312652</v>
      </c>
      <c r="F30" s="187"/>
      <c r="G30" s="187"/>
      <c r="H30" s="187">
        <f>Summary!C19*'Risk Model'!X42</f>
        <v>7.966179693457249</v>
      </c>
      <c r="I30" s="305">
        <v>150</v>
      </c>
      <c r="J30" s="187">
        <f t="shared" si="5"/>
        <v>331.2308730465838</v>
      </c>
      <c r="K30" s="32">
        <f t="shared" si="6"/>
        <v>0.2624650341098128</v>
      </c>
      <c r="L30" s="308">
        <f t="shared" si="3"/>
        <v>0.2624650341098128</v>
      </c>
      <c r="M30" s="315">
        <v>0.2630804796748849</v>
      </c>
      <c r="N30" s="316">
        <f t="shared" si="4"/>
        <v>0.02303486087993882</v>
      </c>
      <c r="O30" s="313"/>
      <c r="P30" s="313"/>
      <c r="Q30" s="313"/>
      <c r="R30" s="317">
        <v>181.23087304658378</v>
      </c>
      <c r="S30" s="318">
        <v>0.14356398920014243</v>
      </c>
      <c r="T30" s="316">
        <v>0.015076757119157163</v>
      </c>
      <c r="U30" s="313"/>
      <c r="V30" s="313">
        <v>15</v>
      </c>
      <c r="W30" s="313">
        <v>1262</v>
      </c>
    </row>
    <row r="31" spans="1:23" ht="15.75" customHeight="1">
      <c r="A31" s="18">
        <v>16</v>
      </c>
      <c r="B31" s="18" t="s">
        <v>574</v>
      </c>
      <c r="C31" s="187">
        <v>861</v>
      </c>
      <c r="D31" s="187"/>
      <c r="E31" s="187">
        <f>'Uncertainty Results'!K32</f>
        <v>66.7872175727063</v>
      </c>
      <c r="F31" s="187"/>
      <c r="G31" s="187"/>
      <c r="H31" s="187">
        <f>'Risk Model'!Y42*Summary!C19</f>
        <v>225.01064691469887</v>
      </c>
      <c r="I31" s="305">
        <v>0</v>
      </c>
      <c r="J31" s="187">
        <f t="shared" si="5"/>
        <v>291.79786448740515</v>
      </c>
      <c r="K31" s="32">
        <f t="shared" si="6"/>
        <v>0.3389057659551744</v>
      </c>
      <c r="L31" s="308">
        <f t="shared" si="3"/>
        <v>0.3389057659551744</v>
      </c>
      <c r="M31" s="315">
        <v>0.24124312386405966</v>
      </c>
      <c r="N31" s="316">
        <f t="shared" si="4"/>
        <v>0.020292562561296374</v>
      </c>
      <c r="O31" s="313"/>
      <c r="P31" s="313"/>
      <c r="Q31" s="313"/>
      <c r="R31" s="317">
        <v>291.79786448740515</v>
      </c>
      <c r="S31" s="318">
        <v>0.33857151997146273</v>
      </c>
      <c r="T31" s="316">
        <v>0.0242749232336067</v>
      </c>
      <c r="U31" s="313"/>
      <c r="V31" s="313">
        <v>16</v>
      </c>
      <c r="W31" s="313">
        <v>861</v>
      </c>
    </row>
    <row r="32" spans="1:23" ht="15.75" customHeight="1">
      <c r="A32" s="18">
        <v>17</v>
      </c>
      <c r="B32" s="18" t="s">
        <v>575</v>
      </c>
      <c r="C32" s="187">
        <v>784</v>
      </c>
      <c r="D32" s="187"/>
      <c r="E32" s="187">
        <f>'Uncertainty Results'!L32</f>
        <v>111.78134297110002</v>
      </c>
      <c r="F32" s="187"/>
      <c r="G32" s="187"/>
      <c r="H32" s="187">
        <f>Summary!C19*'Risk Model'!Z42</f>
        <v>4.953360020106889</v>
      </c>
      <c r="I32" s="305">
        <v>150</v>
      </c>
      <c r="J32" s="187">
        <f t="shared" si="5"/>
        <v>266.7347029912069</v>
      </c>
      <c r="K32" s="32">
        <f t="shared" si="6"/>
        <v>0.340222835447968</v>
      </c>
      <c r="L32" s="308">
        <f t="shared" si="3"/>
        <v>0.340222835447968</v>
      </c>
      <c r="M32" s="315">
        <v>0.3789387899103867</v>
      </c>
      <c r="N32" s="316">
        <f t="shared" si="4"/>
        <v>0.01854958965250242</v>
      </c>
      <c r="O32" s="313"/>
      <c r="P32" s="313"/>
      <c r="Q32" s="313"/>
      <c r="R32" s="317">
        <v>116.7347029912069</v>
      </c>
      <c r="S32" s="318">
        <v>0.14871799499478544</v>
      </c>
      <c r="T32" s="316">
        <v>0.009711263510400837</v>
      </c>
      <c r="U32" s="313"/>
      <c r="V32" s="313">
        <v>17</v>
      </c>
      <c r="W32" s="313">
        <v>784</v>
      </c>
    </row>
    <row r="33" spans="1:23" ht="15.75" customHeight="1">
      <c r="A33" s="18">
        <v>18</v>
      </c>
      <c r="B33" s="18" t="s">
        <v>576</v>
      </c>
      <c r="C33" s="187">
        <v>10104</v>
      </c>
      <c r="D33" s="187"/>
      <c r="E33" s="187">
        <f>'Uncertainty Results'!M32</f>
        <v>1645.4569205539144</v>
      </c>
      <c r="F33" s="187"/>
      <c r="G33" s="187">
        <f>Summary!C15</f>
        <v>355.2813896259555</v>
      </c>
      <c r="H33" s="187">
        <f>'Risk Model'!AA42*Summary!C19</f>
        <v>127.18737904420564</v>
      </c>
      <c r="I33" s="305">
        <v>500</v>
      </c>
      <c r="J33" s="187">
        <f t="shared" si="5"/>
        <v>2627.9256892240755</v>
      </c>
      <c r="K33" s="32">
        <f t="shared" si="6"/>
        <v>0.26008765728662664</v>
      </c>
      <c r="L33" s="308">
        <f t="shared" si="3"/>
        <v>0.26008765728662664</v>
      </c>
      <c r="M33" s="315">
        <v>0.3344136462069971</v>
      </c>
      <c r="N33" s="316">
        <f t="shared" si="4"/>
        <v>0.18275440962769351</v>
      </c>
      <c r="O33" s="313"/>
      <c r="P33" s="313"/>
      <c r="Q33" s="313"/>
      <c r="R33" s="317">
        <v>2127.9256892240755</v>
      </c>
      <c r="S33" s="318">
        <v>0.21058375590670217</v>
      </c>
      <c r="T33" s="316">
        <v>0.1770240260101823</v>
      </c>
      <c r="U33" s="313"/>
      <c r="V33" s="313">
        <v>18</v>
      </c>
      <c r="W33" s="313">
        <v>10104</v>
      </c>
    </row>
    <row r="34" spans="1:23" ht="15.75" customHeight="1">
      <c r="A34" s="18">
        <v>19</v>
      </c>
      <c r="B34" s="18" t="s">
        <v>577</v>
      </c>
      <c r="C34" s="187">
        <v>1620</v>
      </c>
      <c r="D34" s="187"/>
      <c r="E34" s="187">
        <f>'Uncertainty Results'!N32</f>
        <v>127.14473803658413</v>
      </c>
      <c r="F34" s="187">
        <f>'Misc Inputs'!H7*(Summary!C14+Summary!C20)</f>
        <v>179.36603939992122</v>
      </c>
      <c r="G34" s="187"/>
      <c r="H34" s="187">
        <f>Summary!C19*'Risk Model'!AB42</f>
        <v>10.221298220714615</v>
      </c>
      <c r="I34" s="305">
        <v>0</v>
      </c>
      <c r="J34" s="187">
        <f t="shared" si="5"/>
        <v>316.73207565722</v>
      </c>
      <c r="K34" s="32">
        <f t="shared" si="6"/>
        <v>0.19551362694890123</v>
      </c>
      <c r="L34" s="308">
        <f t="shared" si="3"/>
        <v>0.19551362694890123</v>
      </c>
      <c r="M34" s="315">
        <v>0.09615411389149327</v>
      </c>
      <c r="N34" s="316">
        <f t="shared" si="4"/>
        <v>0.022026567849405265</v>
      </c>
      <c r="O34" s="313"/>
      <c r="P34" s="313"/>
      <c r="Q34" s="313"/>
      <c r="R34" s="317">
        <v>316.73207565722</v>
      </c>
      <c r="S34" s="318">
        <v>0.19554621798523208</v>
      </c>
      <c r="T34" s="316">
        <v>0.02634922238278337</v>
      </c>
      <c r="U34" s="313"/>
      <c r="V34" s="313">
        <v>19</v>
      </c>
      <c r="W34" s="313">
        <v>1620</v>
      </c>
    </row>
    <row r="35" spans="1:23" ht="15.75" customHeight="1">
      <c r="A35" s="18">
        <v>2</v>
      </c>
      <c r="B35" s="18" t="s">
        <v>578</v>
      </c>
      <c r="C35" s="187">
        <v>241</v>
      </c>
      <c r="D35" s="187"/>
      <c r="E35" s="187">
        <f>'Uncertainty Results'!O32</f>
        <v>34.061370009580116</v>
      </c>
      <c r="F35" s="187"/>
      <c r="G35" s="187"/>
      <c r="H35" s="187">
        <f>'Risk Model'!AC42*Summary!C19</f>
        <v>1.5175478605183896</v>
      </c>
      <c r="I35" s="305">
        <v>10</v>
      </c>
      <c r="J35" s="187">
        <f t="shared" si="5"/>
        <v>45.57891787009851</v>
      </c>
      <c r="K35" s="32">
        <f t="shared" si="6"/>
        <v>0.18912414053982785</v>
      </c>
      <c r="L35" s="308">
        <f t="shared" si="3"/>
        <v>0.18912414053982785</v>
      </c>
      <c r="M35" s="315">
        <v>0.21380318009039495</v>
      </c>
      <c r="N35" s="316">
        <f t="shared" si="4"/>
        <v>0.003169704630909268</v>
      </c>
      <c r="O35" s="313"/>
      <c r="P35" s="313"/>
      <c r="Q35" s="313"/>
      <c r="R35" s="317">
        <v>35.57891787009851</v>
      </c>
      <c r="S35" s="318">
        <v>0.1479495919415274</v>
      </c>
      <c r="T35" s="316">
        <v>0.00295984174369692</v>
      </c>
      <c r="U35" s="313"/>
      <c r="V35" s="313">
        <v>2</v>
      </c>
      <c r="W35" s="313">
        <v>241</v>
      </c>
    </row>
    <row r="36" spans="1:23" ht="15.75" customHeight="1">
      <c r="A36" s="18">
        <v>3</v>
      </c>
      <c r="B36" s="18" t="s">
        <v>579</v>
      </c>
      <c r="C36" s="187">
        <v>717</v>
      </c>
      <c r="D36" s="187"/>
      <c r="E36" s="187">
        <f>'Uncertainty Results'!P32</f>
        <v>83.66299206709321</v>
      </c>
      <c r="F36" s="187"/>
      <c r="G36" s="187"/>
      <c r="H36" s="187">
        <f>Summary!C19*'Risk Model'!AD42</f>
        <v>4.525823977400132</v>
      </c>
      <c r="I36" s="305">
        <v>75</v>
      </c>
      <c r="J36" s="187">
        <f t="shared" si="5"/>
        <v>163.18881604449336</v>
      </c>
      <c r="K36" s="32">
        <f t="shared" si="6"/>
        <v>0.22759946449720134</v>
      </c>
      <c r="L36" s="308">
        <f t="shared" si="3"/>
        <v>0.22759946449720134</v>
      </c>
      <c r="M36" s="315">
        <v>0.25372946587243556</v>
      </c>
      <c r="N36" s="316">
        <f t="shared" si="4"/>
        <v>0.011348675442515796</v>
      </c>
      <c r="O36" s="313"/>
      <c r="P36" s="313"/>
      <c r="Q36" s="313"/>
      <c r="R36" s="317">
        <v>88.18881604449335</v>
      </c>
      <c r="S36" s="318">
        <v>0.1229643693365682</v>
      </c>
      <c r="T36" s="316">
        <v>0.007336505849017757</v>
      </c>
      <c r="U36" s="313"/>
      <c r="V36" s="313">
        <v>3</v>
      </c>
      <c r="W36" s="313">
        <v>717</v>
      </c>
    </row>
    <row r="37" spans="1:23" ht="15.75" customHeight="1">
      <c r="A37" s="18">
        <v>4</v>
      </c>
      <c r="B37" s="18" t="s">
        <v>580</v>
      </c>
      <c r="C37" s="187">
        <v>2425</v>
      </c>
      <c r="D37" s="187"/>
      <c r="E37" s="187">
        <f>'Uncertainty Results'!Q32</f>
        <v>182.3300116037789</v>
      </c>
      <c r="F37" s="187"/>
      <c r="G37" s="187"/>
      <c r="H37" s="187">
        <f>'Risk Model'!AE42*Summary!C19</f>
        <v>52.70545974749748</v>
      </c>
      <c r="I37" s="305">
        <v>175</v>
      </c>
      <c r="J37" s="187">
        <f t="shared" si="5"/>
        <v>410.0354713512764</v>
      </c>
      <c r="K37" s="32">
        <f t="shared" si="6"/>
        <v>0.1690867923098047</v>
      </c>
      <c r="L37" s="308">
        <f t="shared" si="3"/>
        <v>0.1690867923098047</v>
      </c>
      <c r="M37" s="315">
        <v>0.1939309969487757</v>
      </c>
      <c r="N37" s="316">
        <f t="shared" si="4"/>
        <v>0.028515186255263246</v>
      </c>
      <c r="O37" s="313"/>
      <c r="P37" s="313"/>
      <c r="Q37" s="313"/>
      <c r="R37" s="317">
        <v>235.03547135127639</v>
      </c>
      <c r="S37" s="318">
        <v>0.0969342354491817</v>
      </c>
      <c r="T37" s="316">
        <v>0.019552809388271124</v>
      </c>
      <c r="U37" s="313"/>
      <c r="V37" s="313">
        <v>4</v>
      </c>
      <c r="W37" s="313">
        <v>2425</v>
      </c>
    </row>
    <row r="38" spans="1:23" ht="15.75" customHeight="1">
      <c r="A38" s="18">
        <v>5</v>
      </c>
      <c r="B38" s="18" t="s">
        <v>581</v>
      </c>
      <c r="C38" s="187">
        <v>1136</v>
      </c>
      <c r="D38" s="187"/>
      <c r="E38" s="187">
        <f>'Uncertainty Results'!R32</f>
        <v>155.85834142575249</v>
      </c>
      <c r="F38" s="187"/>
      <c r="G38" s="187"/>
      <c r="H38" s="187">
        <f>Summary!C19*'Risk Model'!AF42</f>
        <v>7.169037953018615</v>
      </c>
      <c r="I38" s="305">
        <v>0</v>
      </c>
      <c r="J38" s="187">
        <f t="shared" si="5"/>
        <v>163.0273793787711</v>
      </c>
      <c r="K38" s="32">
        <f t="shared" si="6"/>
        <v>0.14351001705877736</v>
      </c>
      <c r="L38" s="308">
        <f t="shared" si="3"/>
        <v>0.14351001705877736</v>
      </c>
      <c r="M38" s="315">
        <v>0.2056590228180207</v>
      </c>
      <c r="N38" s="316">
        <f t="shared" si="4"/>
        <v>0.011337448617245463</v>
      </c>
      <c r="O38" s="313"/>
      <c r="P38" s="313"/>
      <c r="Q38" s="313"/>
      <c r="R38" s="317">
        <v>163.0273793787711</v>
      </c>
      <c r="S38" s="318">
        <v>0.14350370087476</v>
      </c>
      <c r="T38" s="316">
        <v>0.013562392330553057</v>
      </c>
      <c r="U38" s="313"/>
      <c r="V38" s="313">
        <v>5</v>
      </c>
      <c r="W38" s="313">
        <v>1136</v>
      </c>
    </row>
    <row r="39" spans="1:23" ht="15.75" customHeight="1">
      <c r="A39" s="18">
        <v>6</v>
      </c>
      <c r="B39" s="18" t="s">
        <v>582</v>
      </c>
      <c r="C39" s="187">
        <v>1379</v>
      </c>
      <c r="D39" s="187"/>
      <c r="E39" s="187">
        <f>'Uncertainty Results'!S32</f>
        <v>372.26526987539745</v>
      </c>
      <c r="F39" s="187"/>
      <c r="G39" s="187"/>
      <c r="H39" s="187">
        <f>'Risk Model'!AG42*Summary!C19</f>
        <v>8.703687255245274</v>
      </c>
      <c r="I39" s="305">
        <v>0</v>
      </c>
      <c r="J39" s="187">
        <f t="shared" si="5"/>
        <v>380.9689571306427</v>
      </c>
      <c r="K39" s="32">
        <f t="shared" si="6"/>
        <v>0.276264653466746</v>
      </c>
      <c r="L39" s="308">
        <f t="shared" si="3"/>
        <v>0.276264653466746</v>
      </c>
      <c r="M39" s="315">
        <v>0.3688373847555854</v>
      </c>
      <c r="N39" s="316">
        <f t="shared" si="4"/>
        <v>0.026493807314409215</v>
      </c>
      <c r="O39" s="313"/>
      <c r="P39" s="313"/>
      <c r="Q39" s="313"/>
      <c r="R39" s="317">
        <v>380.9689571306427</v>
      </c>
      <c r="S39" s="318">
        <v>0.2762165809653452</v>
      </c>
      <c r="T39" s="316">
        <v>0.03169314554436269</v>
      </c>
      <c r="U39" s="313"/>
      <c r="V39" s="313">
        <v>6</v>
      </c>
      <c r="W39" s="313">
        <v>1379</v>
      </c>
    </row>
    <row r="40" spans="1:23" ht="15.75" customHeight="1">
      <c r="A40" s="18">
        <v>7</v>
      </c>
      <c r="B40" s="18" t="s">
        <v>583</v>
      </c>
      <c r="C40" s="187">
        <v>7951</v>
      </c>
      <c r="D40" s="187"/>
      <c r="E40" s="187">
        <f>'Uncertainty Results'!T32</f>
        <v>2374.655494814565</v>
      </c>
      <c r="F40" s="187"/>
      <c r="G40" s="187"/>
      <c r="H40" s="187">
        <f>Summary!C19*'Risk Model'!AH42</f>
        <v>161.68394810576015</v>
      </c>
      <c r="I40" s="305">
        <v>500</v>
      </c>
      <c r="J40" s="187">
        <f t="shared" si="5"/>
        <v>3036.339442920325</v>
      </c>
      <c r="K40" s="32">
        <f t="shared" si="6"/>
        <v>0.38188145427245945</v>
      </c>
      <c r="L40" s="308">
        <f t="shared" si="3"/>
        <v>0.38188145427245945</v>
      </c>
      <c r="M40" s="315">
        <v>0.3853063626631041</v>
      </c>
      <c r="N40" s="316">
        <f t="shared" si="4"/>
        <v>0.21115681641820913</v>
      </c>
      <c r="O40" s="313"/>
      <c r="P40" s="313"/>
      <c r="Q40" s="313"/>
      <c r="R40" s="317">
        <v>2536.339442920325</v>
      </c>
      <c r="S40" s="318">
        <v>0.3189754214188388</v>
      </c>
      <c r="T40" s="316">
        <v>0.21100032853022194</v>
      </c>
      <c r="U40" s="313"/>
      <c r="V40" s="313">
        <v>7</v>
      </c>
      <c r="W40" s="313">
        <v>7951</v>
      </c>
    </row>
    <row r="41" spans="1:23" ht="15.75" customHeight="1">
      <c r="A41" s="18">
        <v>8</v>
      </c>
      <c r="B41" s="18" t="s">
        <v>584</v>
      </c>
      <c r="C41" s="187">
        <v>12509</v>
      </c>
      <c r="D41" s="187"/>
      <c r="E41" s="187">
        <f>'Uncertainty Results'!U32</f>
        <v>1149.8183620959737</v>
      </c>
      <c r="F41" s="187">
        <f>(1-'Misc Inputs'!H7)*(Summary!C14+Summary!C20)</f>
        <v>2167.9052113417506</v>
      </c>
      <c r="G41" s="187"/>
      <c r="H41" s="187">
        <f>'Risk Model'!AI42*Summary!C19</f>
        <v>78.93413374513315</v>
      </c>
      <c r="I41" s="305">
        <v>200</v>
      </c>
      <c r="J41" s="187">
        <f t="shared" si="5"/>
        <v>3596.657707182858</v>
      </c>
      <c r="K41" s="32">
        <f t="shared" si="6"/>
        <v>0.287525598143965</v>
      </c>
      <c r="L41" s="308">
        <f t="shared" si="3"/>
        <v>0.287525598143965</v>
      </c>
      <c r="M41" s="315">
        <v>0.16</v>
      </c>
      <c r="N41" s="316">
        <f t="shared" si="4"/>
        <v>0.250123151733097</v>
      </c>
      <c r="O41" s="313"/>
      <c r="P41" s="313"/>
      <c r="Q41" s="313"/>
      <c r="R41" s="317">
        <v>3396.657707182858</v>
      </c>
      <c r="S41" s="318">
        <v>0.27155035197838073</v>
      </c>
      <c r="T41" s="316">
        <v>0.2825709682198903</v>
      </c>
      <c r="U41" s="313"/>
      <c r="V41" s="313">
        <v>8</v>
      </c>
      <c r="W41" s="313">
        <v>12509</v>
      </c>
    </row>
    <row r="42" spans="1:23" ht="14.25">
      <c r="A42" s="18"/>
      <c r="B42" s="18"/>
      <c r="C42" s="187"/>
      <c r="D42" s="187"/>
      <c r="E42" s="187"/>
      <c r="F42" s="187"/>
      <c r="G42" s="187"/>
      <c r="H42" s="187"/>
      <c r="I42" s="305"/>
      <c r="J42" s="187"/>
      <c r="K42" s="32"/>
      <c r="L42" s="309"/>
      <c r="M42" s="319"/>
      <c r="N42" s="313"/>
      <c r="O42" s="313"/>
      <c r="P42" s="313"/>
      <c r="Q42" s="313"/>
      <c r="R42" s="317"/>
      <c r="S42" s="313"/>
      <c r="T42" s="313"/>
      <c r="U42" s="313"/>
      <c r="V42" s="313"/>
      <c r="W42" s="313"/>
    </row>
    <row r="43" spans="1:23" ht="15">
      <c r="A43" s="18"/>
      <c r="B43" s="192" t="s">
        <v>600</v>
      </c>
      <c r="C43" s="185">
        <f>SUM(C27:C42)</f>
        <v>50854</v>
      </c>
      <c r="D43" s="185"/>
      <c r="E43" s="185">
        <f>SUM(E27:E41)</f>
        <v>8036.133019393498</v>
      </c>
      <c r="F43" s="185">
        <f>SUM(F27:F42)</f>
        <v>2347.271250741672</v>
      </c>
      <c r="G43" s="185">
        <f>SUM(G27:G42)</f>
        <v>355.2813896259555</v>
      </c>
      <c r="H43" s="185">
        <f>SUM(H27:H41)</f>
        <v>1281.8617042541898</v>
      </c>
      <c r="I43" s="306">
        <f>SUM(I27:I41)</f>
        <v>2360</v>
      </c>
      <c r="J43" s="185">
        <f>SUM(E43:I43)-1</f>
        <v>14379.547364015316</v>
      </c>
      <c r="K43" s="32">
        <f t="shared" si="6"/>
        <v>0.28276138286103975</v>
      </c>
      <c r="L43" s="310">
        <f>J43/C43</f>
        <v>0.28276138286103975</v>
      </c>
      <c r="M43" s="313"/>
      <c r="N43" s="320">
        <f>SUM(N27:N41)</f>
        <v>1.0000695432182034</v>
      </c>
      <c r="O43" s="313"/>
      <c r="P43" s="313"/>
      <c r="Q43" s="313"/>
      <c r="R43" s="317">
        <v>12020.547364015316</v>
      </c>
      <c r="S43" s="321">
        <v>0.23639841514106788</v>
      </c>
      <c r="T43" s="320">
        <v>1</v>
      </c>
      <c r="U43" s="313"/>
      <c r="V43" s="313"/>
      <c r="W43" s="313"/>
    </row>
    <row r="44" spans="9:23" ht="12.75">
      <c r="I44" s="57"/>
      <c r="M44" s="313"/>
      <c r="N44" s="313"/>
      <c r="O44" s="313"/>
      <c r="P44" s="313"/>
      <c r="Q44" s="313"/>
      <c r="R44" s="313"/>
      <c r="S44" s="313"/>
      <c r="T44" s="313"/>
      <c r="U44" s="313"/>
      <c r="V44" s="313"/>
      <c r="W44" s="313"/>
    </row>
    <row r="45" ht="12.75">
      <c r="I45" s="24">
        <f>SUM(I27:I41)</f>
        <v>2360</v>
      </c>
    </row>
  </sheetData>
  <mergeCells count="1">
    <mergeCell ref="E1:I1"/>
  </mergeCells>
  <printOptions gridLines="1"/>
  <pageMargins left="0.75" right="0.75" top="1" bottom="1" header="0.5" footer="0.5"/>
  <pageSetup fitToHeight="1" fitToWidth="1" horizontalDpi="600" verticalDpi="600" orientation="landscape" scale="83" r:id="rId4"/>
  <headerFooter alignWithMargins="0">
    <oddFooter>&amp;R&amp;F     &amp;A     &amp;D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B2:K36"/>
  <sheetViews>
    <sheetView zoomScale="125" zoomScaleNormal="125" workbookViewId="0" topLeftCell="A6">
      <selection activeCell="I8" sqref="I8:I15"/>
    </sheetView>
  </sheetViews>
  <sheetFormatPr defaultColWidth="9.140625" defaultRowHeight="12.75"/>
  <cols>
    <col min="3" max="3" width="30.8515625" style="0" customWidth="1"/>
    <col min="4" max="4" width="28.140625" style="0" customWidth="1"/>
    <col min="5" max="5" width="16.140625" style="0" customWidth="1"/>
    <col min="6" max="6" width="11.7109375" style="0" customWidth="1"/>
    <col min="7" max="9" width="16.140625" style="0" customWidth="1"/>
  </cols>
  <sheetData>
    <row r="2" spans="7:9" ht="12.75">
      <c r="G2" s="204"/>
      <c r="H2" s="204"/>
      <c r="I2" s="204"/>
    </row>
    <row r="3" spans="7:9" ht="12.75">
      <c r="G3" s="204"/>
      <c r="H3" s="204"/>
      <c r="I3" s="204"/>
    </row>
    <row r="4" spans="7:9" ht="12.75">
      <c r="G4" s="204"/>
      <c r="H4" s="204"/>
      <c r="I4" s="204"/>
    </row>
    <row r="5" spans="3:9" ht="23.25">
      <c r="C5" s="210" t="s">
        <v>646</v>
      </c>
      <c r="D5" s="210"/>
      <c r="E5" s="210"/>
      <c r="F5" s="210"/>
      <c r="G5" s="211"/>
      <c r="H5" s="211"/>
      <c r="I5" s="211"/>
    </row>
    <row r="6" spans="4:9" ht="55.5" customHeight="1">
      <c r="D6" s="227" t="s">
        <v>566</v>
      </c>
      <c r="E6" s="227" t="s">
        <v>637</v>
      </c>
      <c r="F6" s="227"/>
      <c r="G6" s="227" t="s">
        <v>638</v>
      </c>
      <c r="H6" s="228" t="s">
        <v>644</v>
      </c>
      <c r="I6" s="228" t="s">
        <v>645</v>
      </c>
    </row>
    <row r="7" spans="4:9" ht="12.75">
      <c r="D7" s="13"/>
      <c r="E7" s="13"/>
      <c r="F7" s="13"/>
      <c r="G7" s="212"/>
      <c r="H7" s="212"/>
      <c r="I7" s="212"/>
    </row>
    <row r="8" spans="2:11" ht="12.75">
      <c r="B8" s="204">
        <v>12</v>
      </c>
      <c r="C8" s="18" t="s">
        <v>570</v>
      </c>
      <c r="D8" s="213">
        <v>156.12</v>
      </c>
      <c r="E8" s="213">
        <v>39.188414774197625</v>
      </c>
      <c r="F8" s="214">
        <f>+E8/D8</f>
        <v>0.2510146987842533</v>
      </c>
      <c r="G8" s="224">
        <v>0</v>
      </c>
      <c r="H8" s="213">
        <f>SUM(E8:G8)</f>
        <v>39.43942947298188</v>
      </c>
      <c r="I8" s="214">
        <f>+H8/D8</f>
        <v>0.2526225305725204</v>
      </c>
      <c r="J8" s="9">
        <f>+I8-K8</f>
        <v>-0.040870975008369725</v>
      </c>
      <c r="K8" s="8">
        <v>0.2934935055808901</v>
      </c>
    </row>
    <row r="9" spans="2:11" ht="12.75">
      <c r="B9" s="204">
        <v>13</v>
      </c>
      <c r="C9" s="18" t="s">
        <v>571</v>
      </c>
      <c r="D9" s="213">
        <v>3460.4</v>
      </c>
      <c r="E9" s="213">
        <v>683.7081578957255</v>
      </c>
      <c r="F9" s="214">
        <f aca="true" t="shared" si="0" ref="F9:F29">+E9/D9</f>
        <v>0.19758067214649333</v>
      </c>
      <c r="G9" s="224">
        <v>500</v>
      </c>
      <c r="H9" s="213">
        <f aca="true" t="shared" si="1" ref="H9:H29">SUM(E9:G9)</f>
        <v>1183.905738567872</v>
      </c>
      <c r="I9" s="214">
        <f aca="true" t="shared" si="2" ref="I9:I29">+H9/D9</f>
        <v>0.34212973603279156</v>
      </c>
      <c r="J9" s="9">
        <f aca="true" t="shared" si="3" ref="J9:J23">+I9-K9</f>
        <v>0.11034167890959237</v>
      </c>
      <c r="K9" s="8">
        <v>0.2317880571231992</v>
      </c>
    </row>
    <row r="10" spans="2:11" ht="12.75">
      <c r="B10" s="204">
        <v>14</v>
      </c>
      <c r="C10" s="18" t="s">
        <v>572</v>
      </c>
      <c r="D10" s="213">
        <v>6240.82</v>
      </c>
      <c r="E10" s="213">
        <v>1760.836538691382</v>
      </c>
      <c r="F10" s="214">
        <f t="shared" si="0"/>
        <v>0.2821482655630802</v>
      </c>
      <c r="G10" s="224">
        <v>200</v>
      </c>
      <c r="H10" s="213">
        <f t="shared" si="1"/>
        <v>1961.118686956945</v>
      </c>
      <c r="I10" s="214">
        <f t="shared" si="2"/>
        <v>0.31424054642770427</v>
      </c>
      <c r="J10" s="9">
        <f t="shared" si="3"/>
        <v>0.056809574839566446</v>
      </c>
      <c r="K10" s="8">
        <v>0.2574309715881378</v>
      </c>
    </row>
    <row r="11" spans="2:11" ht="12.75">
      <c r="B11" s="204">
        <v>15</v>
      </c>
      <c r="C11" s="18" t="s">
        <v>573</v>
      </c>
      <c r="D11" s="213">
        <v>1262.37</v>
      </c>
      <c r="E11" s="213">
        <v>181.96076294783308</v>
      </c>
      <c r="F11" s="214">
        <f t="shared" si="0"/>
        <v>0.14414217935140497</v>
      </c>
      <c r="G11" s="224">
        <v>150</v>
      </c>
      <c r="H11" s="213">
        <f t="shared" si="1"/>
        <v>332.10490512718445</v>
      </c>
      <c r="I11" s="214">
        <f t="shared" si="2"/>
        <v>0.2630804796748849</v>
      </c>
      <c r="J11" s="9">
        <f t="shared" si="3"/>
        <v>0.09903356645978056</v>
      </c>
      <c r="K11" s="8">
        <v>0.16404691321510434</v>
      </c>
    </row>
    <row r="12" spans="2:11" ht="12.75">
      <c r="B12" s="204">
        <v>16</v>
      </c>
      <c r="C12" s="18" t="s">
        <v>574</v>
      </c>
      <c r="D12" s="213">
        <v>861.85</v>
      </c>
      <c r="E12" s="213">
        <v>82.81929151600556</v>
      </c>
      <c r="F12" s="214">
        <f t="shared" si="0"/>
        <v>0.09609478623426995</v>
      </c>
      <c r="G12" s="224">
        <v>125</v>
      </c>
      <c r="H12" s="213">
        <f t="shared" si="1"/>
        <v>207.91538630223982</v>
      </c>
      <c r="I12" s="214">
        <f t="shared" si="2"/>
        <v>0.24124312386405966</v>
      </c>
      <c r="J12" s="9">
        <f t="shared" si="3"/>
        <v>-0.14590235597346207</v>
      </c>
      <c r="K12" s="8">
        <v>0.38714547983752173</v>
      </c>
    </row>
    <row r="13" spans="2:11" ht="12.75">
      <c r="B13" s="204">
        <v>17</v>
      </c>
      <c r="C13" s="18" t="s">
        <v>575</v>
      </c>
      <c r="D13" s="213">
        <v>784.94</v>
      </c>
      <c r="E13" s="213">
        <v>147.25661137325767</v>
      </c>
      <c r="F13" s="214">
        <f t="shared" si="0"/>
        <v>0.187602379001271</v>
      </c>
      <c r="G13" s="224">
        <v>150</v>
      </c>
      <c r="H13" s="213">
        <f t="shared" si="1"/>
        <v>297.444213752259</v>
      </c>
      <c r="I13" s="214">
        <f t="shared" si="2"/>
        <v>0.3789387899103867</v>
      </c>
      <c r="J13" s="9">
        <f t="shared" si="3"/>
        <v>0.20884864340846998</v>
      </c>
      <c r="K13" s="8">
        <v>0.17009014650191673</v>
      </c>
    </row>
    <row r="14" spans="2:11" ht="12.75">
      <c r="B14" s="204">
        <v>18</v>
      </c>
      <c r="C14" s="18" t="s">
        <v>576</v>
      </c>
      <c r="D14" s="213">
        <v>10104.89</v>
      </c>
      <c r="E14" s="213">
        <v>2878.928204962983</v>
      </c>
      <c r="F14" s="214">
        <f t="shared" si="0"/>
        <v>0.2849044576401112</v>
      </c>
      <c r="G14" s="224">
        <v>500</v>
      </c>
      <c r="H14" s="213">
        <f t="shared" si="1"/>
        <v>3379.213109420623</v>
      </c>
      <c r="I14" s="214">
        <f t="shared" si="2"/>
        <v>0.3344136462069971</v>
      </c>
      <c r="J14" s="9">
        <f t="shared" si="3"/>
        <v>0.09383429172090274</v>
      </c>
      <c r="K14" s="8">
        <v>0.24057935448609435</v>
      </c>
    </row>
    <row r="15" spans="2:11" ht="12.75">
      <c r="B15" s="204">
        <v>19</v>
      </c>
      <c r="C15" s="18" t="s">
        <v>577</v>
      </c>
      <c r="D15" s="215">
        <v>1619.73</v>
      </c>
      <c r="E15" s="215">
        <v>155.64760810723413</v>
      </c>
      <c r="F15" s="216">
        <f t="shared" si="0"/>
        <v>0.09609478623427</v>
      </c>
      <c r="G15" s="225">
        <v>0</v>
      </c>
      <c r="H15" s="215">
        <f t="shared" si="1"/>
        <v>155.7437028934684</v>
      </c>
      <c r="I15" s="216">
        <f t="shared" si="2"/>
        <v>0.09615411389149327</v>
      </c>
      <c r="J15" s="9">
        <f t="shared" si="3"/>
        <v>-0.12718884608021186</v>
      </c>
      <c r="K15" s="8">
        <v>0.22334295997170514</v>
      </c>
    </row>
    <row r="16" spans="2:10" s="205" customFormat="1" ht="15">
      <c r="B16" s="206">
        <v>1</v>
      </c>
      <c r="C16" s="207" t="s">
        <v>642</v>
      </c>
      <c r="D16" s="217">
        <f>SUM(D8:D15)</f>
        <v>24491.12</v>
      </c>
      <c r="E16" s="217">
        <f>SUM(E8:E15)</f>
        <v>5930.345590268619</v>
      </c>
      <c r="F16" s="230">
        <f t="shared" si="0"/>
        <v>0.24214268642138945</v>
      </c>
      <c r="G16" s="217">
        <f>SUM(G8:G15)</f>
        <v>1625</v>
      </c>
      <c r="H16" s="218">
        <f t="shared" si="1"/>
        <v>7555.58773295504</v>
      </c>
      <c r="I16" s="219">
        <f t="shared" si="2"/>
        <v>0.3085031526918753</v>
      </c>
      <c r="J16" s="9">
        <f t="shared" si="3"/>
        <v>0.3085031526918753</v>
      </c>
    </row>
    <row r="17" spans="2:11" s="205" customFormat="1" ht="15">
      <c r="B17" s="208">
        <v>2</v>
      </c>
      <c r="C17" s="207" t="s">
        <v>578</v>
      </c>
      <c r="D17" s="218">
        <v>240.48</v>
      </c>
      <c r="E17" s="218">
        <v>41.24388225174867</v>
      </c>
      <c r="F17" s="219">
        <f t="shared" si="0"/>
        <v>0.17150649638950713</v>
      </c>
      <c r="G17" s="226">
        <v>10</v>
      </c>
      <c r="H17" s="213">
        <f t="shared" si="1"/>
        <v>51.41538874813818</v>
      </c>
      <c r="I17" s="214">
        <f t="shared" si="2"/>
        <v>0.21380318009039495</v>
      </c>
      <c r="J17" s="9">
        <f t="shared" si="3"/>
        <v>0.045159167254030075</v>
      </c>
      <c r="K17" s="303">
        <v>0.16864401283636488</v>
      </c>
    </row>
    <row r="18" spans="2:11" s="205" customFormat="1" ht="15">
      <c r="B18" s="208">
        <v>3</v>
      </c>
      <c r="C18" s="207" t="s">
        <v>579</v>
      </c>
      <c r="D18" s="218">
        <v>717.19</v>
      </c>
      <c r="E18" s="218">
        <v>106.82328864339499</v>
      </c>
      <c r="F18" s="219">
        <f t="shared" si="0"/>
        <v>0.14894698565707132</v>
      </c>
      <c r="G18" s="226">
        <v>75</v>
      </c>
      <c r="H18" s="213">
        <f t="shared" si="1"/>
        <v>181.97223562905208</v>
      </c>
      <c r="I18" s="214">
        <f t="shared" si="2"/>
        <v>0.25372946587243556</v>
      </c>
      <c r="J18" s="9">
        <f t="shared" si="3"/>
        <v>0.11322517361000495</v>
      </c>
      <c r="K18" s="303">
        <v>0.1405042922624306</v>
      </c>
    </row>
    <row r="19" spans="2:11" s="205" customFormat="1" ht="15">
      <c r="B19" s="208">
        <v>4</v>
      </c>
      <c r="C19" s="207" t="s">
        <v>580</v>
      </c>
      <c r="D19" s="218">
        <v>2424.69</v>
      </c>
      <c r="E19" s="218">
        <v>295.1008423643378</v>
      </c>
      <c r="F19" s="219">
        <f t="shared" si="0"/>
        <v>0.1217066273892076</v>
      </c>
      <c r="G19" s="226">
        <v>175</v>
      </c>
      <c r="H19" s="213">
        <f t="shared" si="1"/>
        <v>470.22254899172697</v>
      </c>
      <c r="I19" s="214">
        <f t="shared" si="2"/>
        <v>0.1939309969487757</v>
      </c>
      <c r="J19" s="9">
        <f t="shared" si="3"/>
        <v>0.0832133358293496</v>
      </c>
      <c r="K19" s="303">
        <v>0.11071766111942609</v>
      </c>
    </row>
    <row r="20" spans="2:11" s="205" customFormat="1" ht="15">
      <c r="B20" s="208">
        <v>5</v>
      </c>
      <c r="C20" s="207" t="s">
        <v>581</v>
      </c>
      <c r="D20" s="218">
        <v>1136.05</v>
      </c>
      <c r="E20" s="218">
        <v>233.43345472028855</v>
      </c>
      <c r="F20" s="219">
        <f t="shared" si="0"/>
        <v>0.2054781521238401</v>
      </c>
      <c r="G20" s="226">
        <v>0</v>
      </c>
      <c r="H20" s="213">
        <f t="shared" si="1"/>
        <v>233.6389328724124</v>
      </c>
      <c r="I20" s="214">
        <f t="shared" si="2"/>
        <v>0.2056590228180207</v>
      </c>
      <c r="J20" s="9">
        <f t="shared" si="3"/>
        <v>0.041721846183912115</v>
      </c>
      <c r="K20" s="303">
        <v>0.1639371766341086</v>
      </c>
    </row>
    <row r="21" spans="2:11" s="205" customFormat="1" ht="15">
      <c r="B21" s="208">
        <v>6</v>
      </c>
      <c r="C21" s="207" t="s">
        <v>582</v>
      </c>
      <c r="D21" s="218">
        <v>1379.24</v>
      </c>
      <c r="E21" s="218">
        <v>508.346704392531</v>
      </c>
      <c r="F21" s="219">
        <f t="shared" si="0"/>
        <v>0.36857015776263086</v>
      </c>
      <c r="G21" s="226">
        <v>0</v>
      </c>
      <c r="H21" s="213">
        <f t="shared" si="1"/>
        <v>508.71527455029366</v>
      </c>
      <c r="I21" s="214">
        <f t="shared" si="2"/>
        <v>0.3688373847555854</v>
      </c>
      <c r="J21" s="9">
        <f t="shared" si="3"/>
        <v>0.053249328804137075</v>
      </c>
      <c r="K21" s="303">
        <v>0.31558805595144834</v>
      </c>
    </row>
    <row r="22" spans="2:11" s="205" customFormat="1" ht="15">
      <c r="B22" s="208">
        <v>7</v>
      </c>
      <c r="C22" s="207" t="s">
        <v>583</v>
      </c>
      <c r="D22" s="218">
        <v>7951.52</v>
      </c>
      <c r="E22" s="218">
        <v>3063.3859909311136</v>
      </c>
      <c r="F22" s="219">
        <f t="shared" si="0"/>
        <v>0.3852579118119697</v>
      </c>
      <c r="G22" s="226">
        <v>0</v>
      </c>
      <c r="H22" s="213">
        <f t="shared" si="1"/>
        <v>3063.7712488429256</v>
      </c>
      <c r="I22" s="214">
        <f t="shared" si="2"/>
        <v>0.3853063626631041</v>
      </c>
      <c r="J22" s="9">
        <f t="shared" si="3"/>
        <v>0.02090427424208352</v>
      </c>
      <c r="K22" s="303">
        <v>0.36440208842102056</v>
      </c>
    </row>
    <row r="23" spans="2:11" ht="15">
      <c r="B23" s="204">
        <v>81</v>
      </c>
      <c r="C23" s="204" t="s">
        <v>639</v>
      </c>
      <c r="D23" s="213">
        <v>4343.17</v>
      </c>
      <c r="E23" s="213">
        <v>416.9293318782144</v>
      </c>
      <c r="F23" s="214">
        <f t="shared" si="0"/>
        <v>0.09599654903635234</v>
      </c>
      <c r="G23" s="224">
        <v>0</v>
      </c>
      <c r="H23" s="213">
        <f t="shared" si="1"/>
        <v>417.0253284272507</v>
      </c>
      <c r="I23" s="214">
        <f t="shared" si="2"/>
        <v>0.09601865191260087</v>
      </c>
      <c r="J23" s="9">
        <f t="shared" si="3"/>
        <v>-0.21416894372310866</v>
      </c>
      <c r="K23" s="303">
        <v>0.3101875956357095</v>
      </c>
    </row>
    <row r="24" spans="2:9" ht="12.75">
      <c r="B24" s="204">
        <v>82</v>
      </c>
      <c r="C24" s="204" t="s">
        <v>640</v>
      </c>
      <c r="D24" s="213">
        <v>5946.62</v>
      </c>
      <c r="E24" s="213">
        <v>1211.1950218103984</v>
      </c>
      <c r="F24" s="214">
        <f t="shared" si="0"/>
        <v>0.203677891274438</v>
      </c>
      <c r="G24" s="224">
        <v>0</v>
      </c>
      <c r="H24" s="213">
        <f t="shared" si="1"/>
        <v>1211.398699701673</v>
      </c>
      <c r="I24" s="214">
        <f t="shared" si="2"/>
        <v>0.2037121423096941</v>
      </c>
    </row>
    <row r="25" spans="2:9" ht="12.75">
      <c r="B25" s="204">
        <v>85</v>
      </c>
      <c r="C25" s="204" t="s">
        <v>641</v>
      </c>
      <c r="D25" s="213">
        <v>764.83</v>
      </c>
      <c r="E25" s="213">
        <v>73.49617535555669</v>
      </c>
      <c r="F25" s="214">
        <f t="shared" si="0"/>
        <v>0.09609478623426995</v>
      </c>
      <c r="G25" s="224">
        <v>200</v>
      </c>
      <c r="H25" s="213">
        <f t="shared" si="1"/>
        <v>273.59227014179095</v>
      </c>
      <c r="I25" s="214">
        <f t="shared" si="2"/>
        <v>0.3577164469774864</v>
      </c>
    </row>
    <row r="26" spans="2:9" ht="12.75">
      <c r="B26" s="204">
        <v>89</v>
      </c>
      <c r="C26" s="204" t="s">
        <v>420</v>
      </c>
      <c r="D26" s="215">
        <v>1453.77</v>
      </c>
      <c r="E26" s="215">
        <v>139.69971738379456</v>
      </c>
      <c r="F26" s="216">
        <f t="shared" si="0"/>
        <v>0.09609478623426991</v>
      </c>
      <c r="G26" s="225">
        <v>0</v>
      </c>
      <c r="H26" s="215">
        <f t="shared" si="1"/>
        <v>139.79581217002882</v>
      </c>
      <c r="I26" s="216">
        <f t="shared" si="2"/>
        <v>0.09616088663958455</v>
      </c>
    </row>
    <row r="27" spans="2:9" s="205" customFormat="1" ht="15">
      <c r="B27" s="206">
        <v>8</v>
      </c>
      <c r="C27" s="207" t="s">
        <v>643</v>
      </c>
      <c r="D27" s="217">
        <f>SUM(D23:D26)</f>
        <v>12508.390000000001</v>
      </c>
      <c r="E27" s="217">
        <f>SUM(E23:E26)</f>
        <v>1841.3202464279639</v>
      </c>
      <c r="F27" s="230">
        <f t="shared" si="0"/>
        <v>0.14720681450034445</v>
      </c>
      <c r="G27" s="217">
        <f>SUM(G23:G26)</f>
        <v>200</v>
      </c>
      <c r="H27" s="218">
        <f t="shared" si="1"/>
        <v>2041.4674532424642</v>
      </c>
      <c r="I27" s="219">
        <f t="shared" si="2"/>
        <v>0.16320785114970543</v>
      </c>
    </row>
    <row r="28" spans="4:9" ht="12.75">
      <c r="D28" s="13"/>
      <c r="E28" s="13"/>
      <c r="F28" s="32"/>
      <c r="G28" s="212"/>
      <c r="H28" s="213"/>
      <c r="I28" s="214"/>
    </row>
    <row r="29" spans="3:9" ht="15.75">
      <c r="C29" s="209" t="s">
        <v>600</v>
      </c>
      <c r="D29" s="220">
        <f>SUM(D16:D26)</f>
        <v>50848.67999999999</v>
      </c>
      <c r="E29" s="220">
        <f>SUM(E16:E26)</f>
        <v>12019.999999999998</v>
      </c>
      <c r="F29" s="231">
        <f t="shared" si="0"/>
        <v>0.23638765057421351</v>
      </c>
      <c r="G29" s="220">
        <f>SUM(G16:G26)</f>
        <v>2085</v>
      </c>
      <c r="H29" s="221">
        <f t="shared" si="1"/>
        <v>14105.236387650571</v>
      </c>
      <c r="I29" s="222">
        <f t="shared" si="2"/>
        <v>0.2773963136830803</v>
      </c>
    </row>
    <row r="30" spans="2:9" ht="12.75">
      <c r="B30" s="204"/>
      <c r="C30" s="204"/>
      <c r="D30" s="204"/>
      <c r="E30" s="204"/>
      <c r="F30" s="204"/>
      <c r="H30" s="204"/>
      <c r="I30" s="204"/>
    </row>
    <row r="31" spans="2:9" ht="12.75">
      <c r="B31" s="204"/>
      <c r="C31" s="204"/>
      <c r="D31" s="204"/>
      <c r="E31" s="204"/>
      <c r="F31" s="204"/>
      <c r="G31" s="204"/>
      <c r="H31" s="204"/>
      <c r="I31" s="204"/>
    </row>
    <row r="32" spans="2:9" ht="12.75">
      <c r="B32" s="204"/>
      <c r="C32" s="204"/>
      <c r="D32" s="204"/>
      <c r="E32" s="204"/>
      <c r="F32" s="204"/>
      <c r="G32" s="302">
        <v>1711</v>
      </c>
      <c r="H32" s="204"/>
      <c r="I32" s="204"/>
    </row>
    <row r="33" spans="2:9" ht="12.75">
      <c r="B33" s="204"/>
      <c r="C33" s="204"/>
      <c r="D33" s="204"/>
      <c r="E33" s="204"/>
      <c r="F33" s="204"/>
      <c r="G33" s="204"/>
      <c r="H33" s="204"/>
      <c r="I33" s="204"/>
    </row>
    <row r="34" spans="2:9" ht="12.75">
      <c r="B34" s="204"/>
      <c r="C34" s="204"/>
      <c r="D34" s="204"/>
      <c r="E34" s="204"/>
      <c r="F34" s="204"/>
      <c r="G34" s="204"/>
      <c r="H34" s="204"/>
      <c r="I34" s="204"/>
    </row>
    <row r="35" spans="2:9" ht="12.75">
      <c r="B35" s="204"/>
      <c r="C35" s="204"/>
      <c r="D35" s="204"/>
      <c r="E35" s="204"/>
      <c r="F35" s="204"/>
      <c r="G35" s="204"/>
      <c r="H35" s="204"/>
      <c r="I35" s="204"/>
    </row>
    <row r="36" spans="2:9" ht="12.75">
      <c r="B36" s="204"/>
      <c r="C36" s="204"/>
      <c r="D36" s="204"/>
      <c r="E36" s="204"/>
      <c r="F36" s="204"/>
      <c r="G36" s="204"/>
      <c r="H36" s="204"/>
      <c r="I36" s="204"/>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AG157"/>
  <sheetViews>
    <sheetView zoomScale="85" zoomScaleNormal="85" workbookViewId="0" topLeftCell="A1">
      <pane xSplit="3" ySplit="2" topLeftCell="D118" activePane="bottomRight" state="frozen"/>
      <selection pane="topLeft" activeCell="A1" sqref="A1"/>
      <selection pane="topRight" activeCell="D1" sqref="D1"/>
      <selection pane="bottomLeft" activeCell="A3" sqref="A3"/>
      <selection pane="bottomRight" activeCell="D140" sqref="D140:I146"/>
    </sheetView>
  </sheetViews>
  <sheetFormatPr defaultColWidth="9.140625" defaultRowHeight="12.75"/>
  <cols>
    <col min="1" max="1" width="5.00390625" style="0" bestFit="1" customWidth="1"/>
    <col min="2" max="3" width="2.7109375" style="0" customWidth="1"/>
    <col min="4" max="4" width="53.57421875" style="6" bestFit="1" customWidth="1"/>
    <col min="5" max="5" width="42.57421875" style="6" customWidth="1"/>
    <col min="6" max="6" width="16.28125" style="6" customWidth="1"/>
    <col min="7" max="7" width="16.7109375" style="6" bestFit="1" customWidth="1"/>
    <col min="8" max="8" width="10.57421875" style="6" bestFit="1" customWidth="1"/>
    <col min="9" max="9" width="10.8515625" style="10" bestFit="1" customWidth="1"/>
    <col min="10" max="10" width="12.57421875" style="2" customWidth="1"/>
    <col min="11" max="13" width="12.140625" style="2" customWidth="1"/>
    <col min="14" max="14" width="16.57421875" style="2" customWidth="1"/>
    <col min="15" max="20" width="12.140625" style="2" customWidth="1"/>
    <col min="21" max="21" width="7.140625" style="62" customWidth="1"/>
    <col min="22" max="26" width="12.28125" style="62" customWidth="1"/>
  </cols>
  <sheetData>
    <row r="1" spans="9:32" ht="30.75" customHeight="1">
      <c r="I1" s="60" t="s">
        <v>559</v>
      </c>
      <c r="J1" s="278" t="s">
        <v>392</v>
      </c>
      <c r="K1" s="278"/>
      <c r="L1" s="194"/>
      <c r="M1" s="194"/>
      <c r="N1" s="194"/>
      <c r="O1" s="194"/>
      <c r="P1" s="194"/>
      <c r="Q1" s="194"/>
      <c r="R1" s="194"/>
      <c r="S1" s="194"/>
      <c r="T1" s="35"/>
      <c r="U1" s="65"/>
      <c r="W1" s="60" t="s">
        <v>559</v>
      </c>
      <c r="X1" s="60" t="s">
        <v>559</v>
      </c>
      <c r="Y1" s="60" t="s">
        <v>559</v>
      </c>
      <c r="Z1" s="60" t="s">
        <v>559</v>
      </c>
      <c r="AB1" s="277" t="s">
        <v>393</v>
      </c>
      <c r="AC1" s="277"/>
      <c r="AD1" s="277"/>
      <c r="AE1" s="277"/>
      <c r="AF1" s="277"/>
    </row>
    <row r="2" spans="1:32" s="184" customFormat="1" ht="47.25">
      <c r="A2" s="195" t="s">
        <v>301</v>
      </c>
      <c r="B2" s="184" t="s">
        <v>634</v>
      </c>
      <c r="C2" s="184" t="s">
        <v>635</v>
      </c>
      <c r="D2" s="195" t="s">
        <v>174</v>
      </c>
      <c r="E2" s="195" t="s">
        <v>229</v>
      </c>
      <c r="F2" s="195" t="s">
        <v>175</v>
      </c>
      <c r="G2" s="195" t="s">
        <v>176</v>
      </c>
      <c r="H2" s="195" t="s">
        <v>391</v>
      </c>
      <c r="I2" s="196" t="s">
        <v>566</v>
      </c>
      <c r="J2" s="195" t="s">
        <v>170</v>
      </c>
      <c r="K2" s="195" t="s">
        <v>172</v>
      </c>
      <c r="L2" s="195" t="s">
        <v>630</v>
      </c>
      <c r="M2" s="195" t="s">
        <v>636</v>
      </c>
      <c r="N2" s="195" t="s">
        <v>632</v>
      </c>
      <c r="O2" s="195" t="s">
        <v>633</v>
      </c>
      <c r="P2" s="195"/>
      <c r="Q2" s="195"/>
      <c r="R2" s="195"/>
      <c r="S2" s="195"/>
      <c r="T2" s="195" t="s">
        <v>394</v>
      </c>
      <c r="U2" s="195"/>
      <c r="V2" s="195" t="s">
        <v>303</v>
      </c>
      <c r="W2" s="195" t="s">
        <v>304</v>
      </c>
      <c r="X2" s="195" t="s">
        <v>305</v>
      </c>
      <c r="Y2" s="195" t="s">
        <v>306</v>
      </c>
      <c r="Z2" s="195" t="s">
        <v>307</v>
      </c>
      <c r="AB2" s="195" t="s">
        <v>303</v>
      </c>
      <c r="AC2" s="195" t="s">
        <v>304</v>
      </c>
      <c r="AD2" s="195" t="s">
        <v>305</v>
      </c>
      <c r="AE2" s="195" t="s">
        <v>306</v>
      </c>
      <c r="AF2" s="195" t="s">
        <v>307</v>
      </c>
    </row>
    <row r="3" spans="1:32" ht="15">
      <c r="A3">
        <v>12</v>
      </c>
      <c r="B3" s="18" t="s">
        <v>308</v>
      </c>
      <c r="C3" s="18" t="s">
        <v>253</v>
      </c>
      <c r="D3" s="6" t="s">
        <v>308</v>
      </c>
      <c r="E3" s="6" t="s">
        <v>253</v>
      </c>
      <c r="F3" s="36" t="s">
        <v>186</v>
      </c>
      <c r="G3" s="36" t="s">
        <v>200</v>
      </c>
      <c r="H3" s="1" t="str">
        <f>CONCATENATE(F3,G3)</f>
        <v>HL</v>
      </c>
      <c r="I3" s="160">
        <f>SUM(V3:Z3)</f>
        <v>83.79</v>
      </c>
      <c r="J3" s="10">
        <f>(VLOOKUP($H3,'Standard Estimate Uncertainty '!$B$10:$D$18,2)*$I3)+$I3</f>
        <v>79.60050000000001</v>
      </c>
      <c r="K3" s="10">
        <f>(VLOOKUP($H3,'Standard Estimate Uncertainty '!$B$10:$D$18,3)*$I3)+$I3</f>
        <v>92.16900000000001</v>
      </c>
      <c r="L3" s="10">
        <f>+K3-I3</f>
        <v>8.379000000000005</v>
      </c>
      <c r="M3" s="199">
        <f>+L3/L$150</f>
        <v>0.0006698654025432182</v>
      </c>
      <c r="N3" s="10">
        <f>+M3*M$152</f>
        <v>8.051782138569482</v>
      </c>
      <c r="O3" s="198">
        <f>+N3/I3</f>
        <v>0.09609478623426998</v>
      </c>
      <c r="P3" s="10"/>
      <c r="Q3" s="10"/>
      <c r="R3" s="10"/>
      <c r="S3" s="10"/>
      <c r="T3" s="11">
        <v>0</v>
      </c>
      <c r="U3" s="66"/>
      <c r="V3" s="63"/>
      <c r="W3" s="63"/>
      <c r="X3" s="63"/>
      <c r="Y3" s="63">
        <v>83.79</v>
      </c>
      <c r="Z3" s="63"/>
      <c r="AA3" s="43"/>
      <c r="AB3" s="8">
        <f aca="true" t="shared" si="0" ref="AB3:AB34">V3/$I3</f>
        <v>0</v>
      </c>
      <c r="AC3" s="8">
        <f aca="true" t="shared" si="1" ref="AC3:AC34">W3/$I3</f>
        <v>0</v>
      </c>
      <c r="AD3" s="8">
        <f aca="true" t="shared" si="2" ref="AD3:AD34">X3/$I3</f>
        <v>0</v>
      </c>
      <c r="AE3" s="8">
        <f aca="true" t="shared" si="3" ref="AE3:AE34">Y3/$I3</f>
        <v>1</v>
      </c>
      <c r="AF3" s="8">
        <f aca="true" t="shared" si="4" ref="AF3:AF34">Z3/$I3</f>
        <v>0</v>
      </c>
    </row>
    <row r="4" spans="1:32" ht="15">
      <c r="A4">
        <v>12</v>
      </c>
      <c r="B4" s="18" t="s">
        <v>308</v>
      </c>
      <c r="C4" s="18" t="s">
        <v>255</v>
      </c>
      <c r="D4" s="6" t="s">
        <v>308</v>
      </c>
      <c r="E4" s="6" t="s">
        <v>255</v>
      </c>
      <c r="F4" s="36" t="s">
        <v>186</v>
      </c>
      <c r="G4" s="36" t="s">
        <v>200</v>
      </c>
      <c r="H4" s="1" t="str">
        <f aca="true" t="shared" si="5" ref="H4:H65">CONCATENATE(F4,G4)</f>
        <v>HL</v>
      </c>
      <c r="I4" s="160">
        <f aca="true" t="shared" si="6" ref="I4:I67">SUM(V4:Z4)</f>
        <v>34.4</v>
      </c>
      <c r="J4" s="10">
        <f>(VLOOKUP($H4,'Standard Estimate Uncertainty '!$B$10:$D$18,2)*$I4)+$I4</f>
        <v>32.68</v>
      </c>
      <c r="K4" s="10">
        <f>(VLOOKUP($H4,'Standard Estimate Uncertainty '!$B$10:$D$18,3)*$I4)+$I4</f>
        <v>37.839999999999996</v>
      </c>
      <c r="L4" s="10">
        <f aca="true" t="shared" si="7" ref="L4:L67">+K4-I4</f>
        <v>3.4399999999999977</v>
      </c>
      <c r="M4" s="199">
        <f aca="true" t="shared" si="8" ref="M4:M67">+L4/L$150</f>
        <v>0.00027501336493002365</v>
      </c>
      <c r="N4" s="10">
        <f>+M4*M$152</f>
        <v>3.3056606464588842</v>
      </c>
      <c r="O4" s="198">
        <f aca="true" t="shared" si="9" ref="O4:O67">+N4/I4</f>
        <v>0.0960947862342699</v>
      </c>
      <c r="P4" s="10"/>
      <c r="Q4" s="10"/>
      <c r="R4" s="10"/>
      <c r="S4" s="10"/>
      <c r="T4" s="11">
        <v>0</v>
      </c>
      <c r="U4" s="66"/>
      <c r="V4" s="63">
        <v>34.4</v>
      </c>
      <c r="W4" s="63"/>
      <c r="X4" s="63"/>
      <c r="Y4" s="63"/>
      <c r="Z4" s="63"/>
      <c r="AA4" s="43"/>
      <c r="AB4" s="8">
        <f t="shared" si="0"/>
        <v>1</v>
      </c>
      <c r="AC4" s="8">
        <f t="shared" si="1"/>
        <v>0</v>
      </c>
      <c r="AD4" s="8">
        <f t="shared" si="2"/>
        <v>0</v>
      </c>
      <c r="AE4" s="8">
        <f t="shared" si="3"/>
        <v>0</v>
      </c>
      <c r="AF4" s="8">
        <f t="shared" si="4"/>
        <v>0</v>
      </c>
    </row>
    <row r="5" spans="1:32" ht="15">
      <c r="A5">
        <v>12</v>
      </c>
      <c r="B5" s="18" t="s">
        <v>308</v>
      </c>
      <c r="C5" s="18" t="s">
        <v>252</v>
      </c>
      <c r="D5" s="6" t="s">
        <v>308</v>
      </c>
      <c r="E5" s="6" t="s">
        <v>252</v>
      </c>
      <c r="F5" s="36" t="s">
        <v>186</v>
      </c>
      <c r="G5" s="36" t="s">
        <v>200</v>
      </c>
      <c r="H5" s="1" t="str">
        <f t="shared" si="5"/>
        <v>HL</v>
      </c>
      <c r="I5" s="160">
        <f t="shared" si="6"/>
        <v>220.25</v>
      </c>
      <c r="J5" s="10">
        <f>(VLOOKUP($H5,'Standard Estimate Uncertainty '!$B$10:$D$18,2)*$I5)+$I5</f>
        <v>209.2375</v>
      </c>
      <c r="K5" s="10">
        <f>(VLOOKUP($H5,'Standard Estimate Uncertainty '!$B$10:$D$18,3)*$I5)+$I5</f>
        <v>242.275</v>
      </c>
      <c r="L5" s="10">
        <f t="shared" si="7"/>
        <v>22.025000000000006</v>
      </c>
      <c r="M5" s="199">
        <f t="shared" si="8"/>
        <v>0.0017608050472627255</v>
      </c>
      <c r="N5" s="10">
        <f>+M5*M$152</f>
        <v>21.16487666809796</v>
      </c>
      <c r="O5" s="198">
        <f t="shared" si="9"/>
        <v>0.09609478623426997</v>
      </c>
      <c r="P5" s="10"/>
      <c r="Q5" s="10"/>
      <c r="R5" s="10"/>
      <c r="S5" s="10"/>
      <c r="T5" s="11">
        <v>0</v>
      </c>
      <c r="U5" s="66"/>
      <c r="V5" s="63"/>
      <c r="W5" s="63">
        <v>104.57</v>
      </c>
      <c r="X5" s="63">
        <v>1.12</v>
      </c>
      <c r="Y5" s="63">
        <v>114.56</v>
      </c>
      <c r="Z5" s="63"/>
      <c r="AA5" s="43"/>
      <c r="AB5" s="8">
        <f t="shared" si="0"/>
        <v>0</v>
      </c>
      <c r="AC5" s="8">
        <f t="shared" si="1"/>
        <v>0.47477866061293983</v>
      </c>
      <c r="AD5" s="8">
        <f t="shared" si="2"/>
        <v>0.005085130533484677</v>
      </c>
      <c r="AE5" s="8">
        <f t="shared" si="3"/>
        <v>0.5201362088535755</v>
      </c>
      <c r="AF5" s="8">
        <f t="shared" si="4"/>
        <v>0</v>
      </c>
    </row>
    <row r="6" spans="1:32" ht="15">
      <c r="A6">
        <v>12</v>
      </c>
      <c r="B6" s="18" t="s">
        <v>308</v>
      </c>
      <c r="C6" s="18" t="s">
        <v>254</v>
      </c>
      <c r="D6" s="6" t="s">
        <v>308</v>
      </c>
      <c r="E6" s="6" t="s">
        <v>254</v>
      </c>
      <c r="F6" s="36" t="s">
        <v>186</v>
      </c>
      <c r="G6" s="36" t="s">
        <v>200</v>
      </c>
      <c r="H6" s="1" t="str">
        <f t="shared" si="5"/>
        <v>HL</v>
      </c>
      <c r="I6" s="160">
        <f t="shared" si="6"/>
        <v>20.14</v>
      </c>
      <c r="J6" s="10">
        <f>(VLOOKUP($H6,'Standard Estimate Uncertainty '!$B$10:$D$18,2)*$I6)+$I6</f>
        <v>19.133</v>
      </c>
      <c r="K6" s="10">
        <f>(VLOOKUP($H6,'Standard Estimate Uncertainty '!$B$10:$D$18,3)*$I6)+$I6</f>
        <v>22.154</v>
      </c>
      <c r="L6" s="10">
        <f t="shared" si="7"/>
        <v>2.0139999999999993</v>
      </c>
      <c r="M6" s="199">
        <f t="shared" si="8"/>
        <v>0.0001610107316770546</v>
      </c>
      <c r="N6" s="10">
        <f>+M6*M$152</f>
        <v>1.935348994758196</v>
      </c>
      <c r="O6" s="198">
        <f t="shared" si="9"/>
        <v>0.09609478623426991</v>
      </c>
      <c r="P6" s="10"/>
      <c r="Q6" s="10"/>
      <c r="R6" s="10"/>
      <c r="S6" s="10"/>
      <c r="T6" s="11">
        <v>0</v>
      </c>
      <c r="U6" s="66"/>
      <c r="V6" s="63"/>
      <c r="W6" s="63">
        <v>20.14</v>
      </c>
      <c r="X6" s="63"/>
      <c r="Y6" s="63"/>
      <c r="Z6" s="63"/>
      <c r="AA6" s="43"/>
      <c r="AB6" s="8">
        <f t="shared" si="0"/>
        <v>0</v>
      </c>
      <c r="AC6" s="8">
        <f t="shared" si="1"/>
        <v>1</v>
      </c>
      <c r="AD6" s="8">
        <f t="shared" si="2"/>
        <v>0</v>
      </c>
      <c r="AE6" s="8">
        <f t="shared" si="3"/>
        <v>0</v>
      </c>
      <c r="AF6" s="8">
        <f t="shared" si="4"/>
        <v>0</v>
      </c>
    </row>
    <row r="7" spans="1:32" ht="15">
      <c r="A7">
        <v>12</v>
      </c>
      <c r="B7" s="18" t="s">
        <v>308</v>
      </c>
      <c r="C7" s="18" t="s">
        <v>231</v>
      </c>
      <c r="D7" s="6" t="s">
        <v>308</v>
      </c>
      <c r="E7" s="6" t="s">
        <v>231</v>
      </c>
      <c r="F7" s="36" t="s">
        <v>186</v>
      </c>
      <c r="G7" s="36" t="s">
        <v>200</v>
      </c>
      <c r="H7" s="1" t="str">
        <f t="shared" si="5"/>
        <v>HL</v>
      </c>
      <c r="I7" s="160">
        <f t="shared" si="6"/>
        <v>36.95</v>
      </c>
      <c r="J7" s="10">
        <f>(VLOOKUP($H7,'Standard Estimate Uncertainty '!$B$10:$D$18,2)*$I7)+$I7</f>
        <v>35.102500000000006</v>
      </c>
      <c r="K7" s="10">
        <f>(VLOOKUP($H7,'Standard Estimate Uncertainty '!$B$10:$D$18,3)*$I7)+$I7</f>
        <v>40.645</v>
      </c>
      <c r="L7" s="10">
        <f t="shared" si="7"/>
        <v>3.6950000000000003</v>
      </c>
      <c r="M7" s="199">
        <f t="shared" si="8"/>
        <v>0.00029539953006291805</v>
      </c>
      <c r="N7" s="10">
        <f aca="true" t="shared" si="10" ref="N7:N70">+M7*M$152</f>
        <v>3.550702351356275</v>
      </c>
      <c r="O7" s="198">
        <f t="shared" si="9"/>
        <v>0.09609478623426995</v>
      </c>
      <c r="P7" s="10"/>
      <c r="Q7" s="10"/>
      <c r="R7" s="10"/>
      <c r="S7" s="10"/>
      <c r="T7" s="11">
        <v>0</v>
      </c>
      <c r="U7" s="66"/>
      <c r="V7" s="63"/>
      <c r="W7" s="63">
        <v>36.95</v>
      </c>
      <c r="X7" s="63"/>
      <c r="Y7" s="63"/>
      <c r="Z7" s="63"/>
      <c r="AA7" s="43"/>
      <c r="AB7" s="8">
        <f t="shared" si="0"/>
        <v>0</v>
      </c>
      <c r="AC7" s="8">
        <f t="shared" si="1"/>
        <v>1</v>
      </c>
      <c r="AD7" s="8">
        <f t="shared" si="2"/>
        <v>0</v>
      </c>
      <c r="AE7" s="8">
        <f t="shared" si="3"/>
        <v>0</v>
      </c>
      <c r="AF7" s="8">
        <f t="shared" si="4"/>
        <v>0</v>
      </c>
    </row>
    <row r="8" spans="1:32" ht="15">
      <c r="A8">
        <v>12</v>
      </c>
      <c r="B8" s="18" t="s">
        <v>308</v>
      </c>
      <c r="C8" s="18" t="s">
        <v>232</v>
      </c>
      <c r="D8" s="6" t="s">
        <v>308</v>
      </c>
      <c r="E8" s="6" t="s">
        <v>232</v>
      </c>
      <c r="F8" s="36" t="s">
        <v>186</v>
      </c>
      <c r="G8" s="36" t="s">
        <v>200</v>
      </c>
      <c r="H8" s="1" t="str">
        <f t="shared" si="5"/>
        <v>HL</v>
      </c>
      <c r="I8" s="160">
        <f t="shared" si="6"/>
        <v>12.28</v>
      </c>
      <c r="J8" s="10">
        <f>(VLOOKUP($H8,'Standard Estimate Uncertainty '!$B$10:$D$18,2)*$I8)+$I8</f>
        <v>11.665999999999999</v>
      </c>
      <c r="K8" s="10">
        <f>(VLOOKUP($H8,'Standard Estimate Uncertainty '!$B$10:$D$18,3)*$I8)+$I8</f>
        <v>13.508</v>
      </c>
      <c r="L8" s="10">
        <f t="shared" si="7"/>
        <v>1.2279999999999998</v>
      </c>
      <c r="M8" s="199">
        <f t="shared" si="8"/>
        <v>9.817337562036894E-05</v>
      </c>
      <c r="N8" s="10">
        <f t="shared" si="10"/>
        <v>1.1800439749568346</v>
      </c>
      <c r="O8" s="198">
        <f t="shared" si="9"/>
        <v>0.09609478623426992</v>
      </c>
      <c r="P8" s="10"/>
      <c r="Q8" s="10"/>
      <c r="R8" s="10"/>
      <c r="S8" s="10"/>
      <c r="T8" s="11">
        <v>0</v>
      </c>
      <c r="U8" s="66"/>
      <c r="V8" s="63">
        <v>12.28</v>
      </c>
      <c r="W8" s="63"/>
      <c r="X8" s="63"/>
      <c r="Y8" s="63"/>
      <c r="Z8" s="63"/>
      <c r="AA8" s="43"/>
      <c r="AB8" s="8">
        <f t="shared" si="0"/>
        <v>1</v>
      </c>
      <c r="AC8" s="8">
        <f t="shared" si="1"/>
        <v>0</v>
      </c>
      <c r="AD8" s="8">
        <f t="shared" si="2"/>
        <v>0</v>
      </c>
      <c r="AE8" s="8">
        <f t="shared" si="3"/>
        <v>0</v>
      </c>
      <c r="AF8" s="8">
        <f t="shared" si="4"/>
        <v>0</v>
      </c>
    </row>
    <row r="9" spans="1:32" ht="15">
      <c r="A9">
        <v>12</v>
      </c>
      <c r="B9" s="18" t="s">
        <v>309</v>
      </c>
      <c r="C9" s="18"/>
      <c r="D9" s="6" t="s">
        <v>309</v>
      </c>
      <c r="F9" s="275" t="s">
        <v>390</v>
      </c>
      <c r="G9" s="276"/>
      <c r="H9" s="1" t="str">
        <f t="shared" si="5"/>
        <v>FROZEN</v>
      </c>
      <c r="I9" s="160">
        <f t="shared" si="6"/>
        <v>-251.69</v>
      </c>
      <c r="J9" s="10">
        <f>I9</f>
        <v>-251.69</v>
      </c>
      <c r="K9" s="10">
        <f>I9</f>
        <v>-251.69</v>
      </c>
      <c r="L9" s="10">
        <f t="shared" si="7"/>
        <v>0</v>
      </c>
      <c r="M9" s="199">
        <f t="shared" si="8"/>
        <v>0</v>
      </c>
      <c r="N9" s="10">
        <f t="shared" si="10"/>
        <v>0</v>
      </c>
      <c r="O9" s="198">
        <f t="shared" si="9"/>
        <v>0</v>
      </c>
      <c r="P9" s="10"/>
      <c r="Q9" s="10"/>
      <c r="R9" s="10"/>
      <c r="S9" s="10"/>
      <c r="T9" s="10">
        <f>I9</f>
        <v>-251.69</v>
      </c>
      <c r="U9" s="66"/>
      <c r="V9" s="63">
        <v>-251.69</v>
      </c>
      <c r="W9" s="63"/>
      <c r="X9" s="63"/>
      <c r="Y9" s="63"/>
      <c r="Z9" s="63"/>
      <c r="AA9" s="43"/>
      <c r="AB9" s="8">
        <f t="shared" si="0"/>
        <v>1</v>
      </c>
      <c r="AC9" s="8">
        <f t="shared" si="1"/>
        <v>0</v>
      </c>
      <c r="AD9" s="8">
        <f t="shared" si="2"/>
        <v>0</v>
      </c>
      <c r="AE9" s="8">
        <f t="shared" si="3"/>
        <v>0</v>
      </c>
      <c r="AF9" s="8">
        <f t="shared" si="4"/>
        <v>0</v>
      </c>
    </row>
    <row r="10" spans="1:32" ht="15">
      <c r="A10">
        <v>13</v>
      </c>
      <c r="B10" s="18" t="s">
        <v>310</v>
      </c>
      <c r="C10" s="18" t="s">
        <v>250</v>
      </c>
      <c r="D10" s="6" t="s">
        <v>310</v>
      </c>
      <c r="E10" s="6" t="s">
        <v>250</v>
      </c>
      <c r="F10" s="275" t="s">
        <v>390</v>
      </c>
      <c r="G10" s="276"/>
      <c r="H10" s="1" t="str">
        <f t="shared" si="5"/>
        <v>FROZEN</v>
      </c>
      <c r="I10" s="61">
        <f t="shared" si="6"/>
        <v>4.53</v>
      </c>
      <c r="J10" s="10">
        <f>I10</f>
        <v>4.53</v>
      </c>
      <c r="K10" s="10">
        <f>I10</f>
        <v>4.53</v>
      </c>
      <c r="L10" s="10">
        <f t="shared" si="7"/>
        <v>0</v>
      </c>
      <c r="M10" s="199">
        <f t="shared" si="8"/>
        <v>0</v>
      </c>
      <c r="N10" s="10">
        <f t="shared" si="10"/>
        <v>0</v>
      </c>
      <c r="O10" s="198">
        <f t="shared" si="9"/>
        <v>0</v>
      </c>
      <c r="P10" s="10"/>
      <c r="Q10" s="10"/>
      <c r="R10" s="10"/>
      <c r="S10" s="10"/>
      <c r="T10" s="10">
        <f>I10</f>
        <v>4.53</v>
      </c>
      <c r="U10" s="66"/>
      <c r="V10" s="63">
        <v>4.53</v>
      </c>
      <c r="W10" s="63"/>
      <c r="X10" s="63"/>
      <c r="Y10" s="63"/>
      <c r="Z10" s="63"/>
      <c r="AA10" s="43"/>
      <c r="AB10" s="8">
        <f t="shared" si="0"/>
        <v>1</v>
      </c>
      <c r="AC10" s="8">
        <f t="shared" si="1"/>
        <v>0</v>
      </c>
      <c r="AD10" s="8">
        <f t="shared" si="2"/>
        <v>0</v>
      </c>
      <c r="AE10" s="8">
        <f t="shared" si="3"/>
        <v>0</v>
      </c>
      <c r="AF10" s="8">
        <f t="shared" si="4"/>
        <v>0</v>
      </c>
    </row>
    <row r="11" spans="1:32" ht="15">
      <c r="A11">
        <v>13</v>
      </c>
      <c r="B11" s="18" t="s">
        <v>310</v>
      </c>
      <c r="C11" s="18" t="s">
        <v>230</v>
      </c>
      <c r="D11" s="6" t="s">
        <v>310</v>
      </c>
      <c r="E11" s="6" t="s">
        <v>230</v>
      </c>
      <c r="F11" s="36" t="s">
        <v>200</v>
      </c>
      <c r="G11" s="36" t="s">
        <v>200</v>
      </c>
      <c r="H11" s="1" t="str">
        <f t="shared" si="5"/>
        <v>LL</v>
      </c>
      <c r="I11" s="61">
        <f t="shared" si="6"/>
        <v>252.68</v>
      </c>
      <c r="J11" s="10">
        <f>(VLOOKUP($H11,'Standard Estimate Uncertainty '!$B$10:$D$18,2)*$I11)+$I11</f>
        <v>214.77800000000002</v>
      </c>
      <c r="K11" s="10">
        <f>(VLOOKUP($H11,'Standard Estimate Uncertainty '!$B$10:$D$18,3)*$I11)+$I11</f>
        <v>315.85</v>
      </c>
      <c r="L11" s="10">
        <f t="shared" si="7"/>
        <v>63.170000000000016</v>
      </c>
      <c r="M11" s="199">
        <f t="shared" si="8"/>
        <v>0.005050172750764421</v>
      </c>
      <c r="N11" s="10">
        <f t="shared" si="10"/>
        <v>60.703076464188335</v>
      </c>
      <c r="O11" s="198">
        <f t="shared" si="9"/>
        <v>0.2402369655856749</v>
      </c>
      <c r="P11" s="10"/>
      <c r="Q11" s="10"/>
      <c r="R11" s="10"/>
      <c r="S11" s="10"/>
      <c r="T11" s="11">
        <v>0</v>
      </c>
      <c r="U11" s="66"/>
      <c r="V11" s="63">
        <v>39.25</v>
      </c>
      <c r="W11" s="63">
        <v>213.43</v>
      </c>
      <c r="X11" s="63"/>
      <c r="Y11" s="63"/>
      <c r="Z11" s="63"/>
      <c r="AA11" s="43"/>
      <c r="AB11" s="8">
        <f t="shared" si="0"/>
        <v>0.15533481082792464</v>
      </c>
      <c r="AC11" s="8">
        <f t="shared" si="1"/>
        <v>0.8446651891720753</v>
      </c>
      <c r="AD11" s="8">
        <f t="shared" si="2"/>
        <v>0</v>
      </c>
      <c r="AE11" s="8">
        <f t="shared" si="3"/>
        <v>0</v>
      </c>
      <c r="AF11" s="8">
        <f t="shared" si="4"/>
        <v>0</v>
      </c>
    </row>
    <row r="12" spans="1:32" ht="15">
      <c r="A12">
        <v>13</v>
      </c>
      <c r="B12" s="18" t="s">
        <v>311</v>
      </c>
      <c r="C12" s="18" t="s">
        <v>256</v>
      </c>
      <c r="D12" s="6" t="s">
        <v>311</v>
      </c>
      <c r="E12" s="6" t="s">
        <v>256</v>
      </c>
      <c r="F12" s="36" t="s">
        <v>200</v>
      </c>
      <c r="G12" s="36" t="s">
        <v>200</v>
      </c>
      <c r="H12" s="1" t="str">
        <f t="shared" si="5"/>
        <v>LL</v>
      </c>
      <c r="I12" s="61">
        <f t="shared" si="6"/>
        <v>1629.8799999999999</v>
      </c>
      <c r="J12" s="10">
        <f>(VLOOKUP($H12,'Standard Estimate Uncertainty '!$B$10:$D$18,2)*$I12)+$I12</f>
        <v>1385.398</v>
      </c>
      <c r="K12" s="10">
        <f>(VLOOKUP($H12,'Standard Estimate Uncertainty '!$B$10:$D$18,3)*$I12)+$I12</f>
        <v>2037.35</v>
      </c>
      <c r="L12" s="10">
        <f t="shared" si="7"/>
        <v>407.47</v>
      </c>
      <c r="M12" s="199">
        <f t="shared" si="8"/>
        <v>0.03257549296745256</v>
      </c>
      <c r="N12" s="10">
        <f t="shared" si="10"/>
        <v>391.5574254687798</v>
      </c>
      <c r="O12" s="198">
        <f t="shared" si="9"/>
        <v>0.24023696558567492</v>
      </c>
      <c r="P12" s="10"/>
      <c r="Q12" s="10"/>
      <c r="R12" s="10"/>
      <c r="S12" s="10"/>
      <c r="T12" s="11">
        <v>0</v>
      </c>
      <c r="U12" s="66"/>
      <c r="V12" s="63"/>
      <c r="W12" s="63">
        <v>967.97</v>
      </c>
      <c r="X12" s="63">
        <v>633.54</v>
      </c>
      <c r="Y12" s="63">
        <v>28.37</v>
      </c>
      <c r="Z12" s="63"/>
      <c r="AA12" s="43"/>
      <c r="AB12" s="8">
        <f t="shared" si="0"/>
        <v>0</v>
      </c>
      <c r="AC12" s="8">
        <f t="shared" si="1"/>
        <v>0.5938903477556631</v>
      </c>
      <c r="AD12" s="8">
        <f t="shared" si="2"/>
        <v>0.3887034628316195</v>
      </c>
      <c r="AE12" s="8">
        <f t="shared" si="3"/>
        <v>0.0174061894127175</v>
      </c>
      <c r="AF12" s="8">
        <f t="shared" si="4"/>
        <v>0</v>
      </c>
    </row>
    <row r="13" spans="1:32" ht="15">
      <c r="A13">
        <v>13</v>
      </c>
      <c r="B13" s="18" t="s">
        <v>312</v>
      </c>
      <c r="C13" s="18" t="s">
        <v>257</v>
      </c>
      <c r="D13" s="6" t="s">
        <v>312</v>
      </c>
      <c r="E13" s="6" t="s">
        <v>257</v>
      </c>
      <c r="F13" s="36" t="s">
        <v>186</v>
      </c>
      <c r="G13" s="36" t="s">
        <v>200</v>
      </c>
      <c r="H13" s="1" t="str">
        <f t="shared" si="5"/>
        <v>HL</v>
      </c>
      <c r="I13" s="61">
        <f t="shared" si="6"/>
        <v>337.33</v>
      </c>
      <c r="J13" s="10">
        <f>(VLOOKUP($H13,'Standard Estimate Uncertainty '!$B$10:$D$18,2)*$I13)+$I13</f>
        <v>320.4635</v>
      </c>
      <c r="K13" s="10">
        <f>(VLOOKUP($H13,'Standard Estimate Uncertainty '!$B$10:$D$18,3)*$I13)+$I13</f>
        <v>371.063</v>
      </c>
      <c r="L13" s="10">
        <f t="shared" si="7"/>
        <v>33.733000000000004</v>
      </c>
      <c r="M13" s="199">
        <f t="shared" si="8"/>
        <v>0.002696809836972237</v>
      </c>
      <c r="N13" s="10">
        <f t="shared" si="10"/>
        <v>32.41565424040628</v>
      </c>
      <c r="O13" s="198">
        <f t="shared" si="9"/>
        <v>0.09609478623426995</v>
      </c>
      <c r="P13" s="10"/>
      <c r="Q13" s="10"/>
      <c r="R13" s="10"/>
      <c r="S13" s="10"/>
      <c r="T13" s="11">
        <v>0</v>
      </c>
      <c r="U13" s="66"/>
      <c r="V13" s="63"/>
      <c r="W13" s="63"/>
      <c r="X13" s="63">
        <v>78.26</v>
      </c>
      <c r="Y13" s="63">
        <v>259.07</v>
      </c>
      <c r="Z13" s="63"/>
      <c r="AA13" s="43"/>
      <c r="AB13" s="8">
        <f t="shared" si="0"/>
        <v>0</v>
      </c>
      <c r="AC13" s="8">
        <f t="shared" si="1"/>
        <v>0</v>
      </c>
      <c r="AD13" s="8">
        <f t="shared" si="2"/>
        <v>0.23199833990454455</v>
      </c>
      <c r="AE13" s="8">
        <f t="shared" si="3"/>
        <v>0.7680016600954555</v>
      </c>
      <c r="AF13" s="8">
        <f t="shared" si="4"/>
        <v>0</v>
      </c>
    </row>
    <row r="14" spans="1:32" ht="15">
      <c r="A14">
        <v>13</v>
      </c>
      <c r="B14" s="18" t="s">
        <v>313</v>
      </c>
      <c r="C14" s="18" t="s">
        <v>258</v>
      </c>
      <c r="D14" s="6" t="s">
        <v>313</v>
      </c>
      <c r="E14" s="6" t="s">
        <v>258</v>
      </c>
      <c r="F14" s="36" t="s">
        <v>200</v>
      </c>
      <c r="G14" s="36" t="s">
        <v>200</v>
      </c>
      <c r="H14" s="1" t="str">
        <f t="shared" si="5"/>
        <v>LL</v>
      </c>
      <c r="I14" s="61">
        <f t="shared" si="6"/>
        <v>161.9</v>
      </c>
      <c r="J14" s="10">
        <f>(VLOOKUP($H14,'Standard Estimate Uncertainty '!$B$10:$D$18,2)*$I14)+$I14</f>
        <v>137.615</v>
      </c>
      <c r="K14" s="10">
        <f>(VLOOKUP($H14,'Standard Estimate Uncertainty '!$B$10:$D$18,3)*$I14)+$I14</f>
        <v>202.375</v>
      </c>
      <c r="L14" s="10">
        <f t="shared" si="7"/>
        <v>40.474999999999994</v>
      </c>
      <c r="M14" s="199">
        <f t="shared" si="8"/>
        <v>0.0032358040539368347</v>
      </c>
      <c r="N14" s="10">
        <f t="shared" si="10"/>
        <v>38.89436472832075</v>
      </c>
      <c r="O14" s="198">
        <f t="shared" si="9"/>
        <v>0.2402369655856748</v>
      </c>
      <c r="P14" s="10"/>
      <c r="Q14" s="10"/>
      <c r="R14" s="10"/>
      <c r="S14" s="10"/>
      <c r="T14" s="11">
        <v>0</v>
      </c>
      <c r="U14" s="66"/>
      <c r="V14" s="63"/>
      <c r="W14" s="63"/>
      <c r="X14" s="63">
        <v>161.9</v>
      </c>
      <c r="Y14" s="63"/>
      <c r="Z14" s="63"/>
      <c r="AA14" s="43"/>
      <c r="AB14" s="8">
        <f t="shared" si="0"/>
        <v>0</v>
      </c>
      <c r="AC14" s="8">
        <f t="shared" si="1"/>
        <v>0</v>
      </c>
      <c r="AD14" s="8">
        <f t="shared" si="2"/>
        <v>1</v>
      </c>
      <c r="AE14" s="8">
        <f t="shared" si="3"/>
        <v>0</v>
      </c>
      <c r="AF14" s="8">
        <f t="shared" si="4"/>
        <v>0</v>
      </c>
    </row>
    <row r="15" spans="1:32" ht="15">
      <c r="A15">
        <v>13</v>
      </c>
      <c r="B15" s="18" t="s">
        <v>314</v>
      </c>
      <c r="C15" s="18" t="s">
        <v>259</v>
      </c>
      <c r="D15" s="6" t="s">
        <v>314</v>
      </c>
      <c r="E15" s="6" t="s">
        <v>259</v>
      </c>
      <c r="F15" s="36" t="s">
        <v>187</v>
      </c>
      <c r="G15" s="36" t="s">
        <v>200</v>
      </c>
      <c r="H15" s="1" t="str">
        <f t="shared" si="5"/>
        <v>ML</v>
      </c>
      <c r="I15" s="61">
        <f t="shared" si="6"/>
        <v>72.01</v>
      </c>
      <c r="J15" s="10">
        <f>(VLOOKUP($H15,'Standard Estimate Uncertainty '!$B$10:$D$18,2)*$I15)+$I15</f>
        <v>64.809</v>
      </c>
      <c r="K15" s="10">
        <f>(VLOOKUP($H15,'Standard Estimate Uncertainty '!$B$10:$D$18,3)*$I15)+$I15</f>
        <v>82.81150000000001</v>
      </c>
      <c r="L15" s="10">
        <f t="shared" si="7"/>
        <v>10.801500000000004</v>
      </c>
      <c r="M15" s="199">
        <f t="shared" si="8"/>
        <v>0.0008635339713057131</v>
      </c>
      <c r="N15" s="10">
        <f t="shared" si="10"/>
        <v>10.379678335094672</v>
      </c>
      <c r="O15" s="198">
        <f t="shared" si="9"/>
        <v>0.14414217935140497</v>
      </c>
      <c r="P15" s="10"/>
      <c r="Q15" s="10"/>
      <c r="R15" s="10"/>
      <c r="S15" s="10"/>
      <c r="T15" s="11">
        <v>0</v>
      </c>
      <c r="U15" s="66"/>
      <c r="V15" s="63"/>
      <c r="W15" s="63">
        <v>31.66</v>
      </c>
      <c r="X15" s="63">
        <v>38.79</v>
      </c>
      <c r="Y15" s="63">
        <v>1.56</v>
      </c>
      <c r="Z15" s="63"/>
      <c r="AA15" s="43"/>
      <c r="AB15" s="8">
        <f t="shared" si="0"/>
        <v>0</v>
      </c>
      <c r="AC15" s="8">
        <f t="shared" si="1"/>
        <v>0.43966115817247603</v>
      </c>
      <c r="AD15" s="8">
        <f t="shared" si="2"/>
        <v>0.5386751840022219</v>
      </c>
      <c r="AE15" s="8">
        <f t="shared" si="3"/>
        <v>0.02166365782530204</v>
      </c>
      <c r="AF15" s="8">
        <f t="shared" si="4"/>
        <v>0</v>
      </c>
    </row>
    <row r="16" spans="1:32" ht="15">
      <c r="A16">
        <v>13</v>
      </c>
      <c r="B16" s="18" t="s">
        <v>315</v>
      </c>
      <c r="C16" s="18" t="s">
        <v>260</v>
      </c>
      <c r="D16" s="6" t="s">
        <v>315</v>
      </c>
      <c r="E16" s="6" t="s">
        <v>260</v>
      </c>
      <c r="F16" s="36" t="s">
        <v>186</v>
      </c>
      <c r="G16" s="36" t="s">
        <v>187</v>
      </c>
      <c r="H16" s="1" t="str">
        <f t="shared" si="5"/>
        <v>HM</v>
      </c>
      <c r="I16" s="61">
        <f t="shared" si="6"/>
        <v>212.76</v>
      </c>
      <c r="J16" s="10">
        <f>(VLOOKUP($H16,'Standard Estimate Uncertainty '!$B$10:$D$18,2)*$I16)+$I16</f>
        <v>191.48399999999998</v>
      </c>
      <c r="K16" s="10">
        <f>(VLOOKUP($H16,'Standard Estimate Uncertainty '!$B$10:$D$18,3)*$I16)+$I16</f>
        <v>244.67399999999998</v>
      </c>
      <c r="L16" s="10">
        <f t="shared" si="7"/>
        <v>31.913999999999987</v>
      </c>
      <c r="M16" s="199">
        <f t="shared" si="8"/>
        <v>0.0025513885256909234</v>
      </c>
      <c r="N16" s="10">
        <f t="shared" si="10"/>
        <v>30.6676900788049</v>
      </c>
      <c r="O16" s="198">
        <f t="shared" si="9"/>
        <v>0.14414217935140486</v>
      </c>
      <c r="P16" s="10"/>
      <c r="Q16" s="10"/>
      <c r="R16" s="10"/>
      <c r="S16" s="10"/>
      <c r="T16" s="11">
        <v>0</v>
      </c>
      <c r="U16" s="66"/>
      <c r="V16" s="63">
        <v>99.18</v>
      </c>
      <c r="W16" s="63">
        <v>113.58</v>
      </c>
      <c r="X16" s="63"/>
      <c r="Y16" s="63"/>
      <c r="Z16" s="63"/>
      <c r="AA16" s="43"/>
      <c r="AB16" s="8">
        <f t="shared" si="0"/>
        <v>0.4661590524534687</v>
      </c>
      <c r="AC16" s="8">
        <f t="shared" si="1"/>
        <v>0.5338409475465313</v>
      </c>
      <c r="AD16" s="8">
        <f t="shared" si="2"/>
        <v>0</v>
      </c>
      <c r="AE16" s="8">
        <f t="shared" si="3"/>
        <v>0</v>
      </c>
      <c r="AF16" s="8">
        <f t="shared" si="4"/>
        <v>0</v>
      </c>
    </row>
    <row r="17" spans="1:32" ht="15">
      <c r="A17">
        <v>13</v>
      </c>
      <c r="B17" s="18" t="s">
        <v>315</v>
      </c>
      <c r="C17" s="18" t="s">
        <v>261</v>
      </c>
      <c r="D17" s="6" t="s">
        <v>315</v>
      </c>
      <c r="E17" s="6" t="s">
        <v>261</v>
      </c>
      <c r="F17" s="36" t="s">
        <v>186</v>
      </c>
      <c r="G17" s="36" t="s">
        <v>187</v>
      </c>
      <c r="H17" s="1" t="str">
        <f t="shared" si="5"/>
        <v>HM</v>
      </c>
      <c r="I17" s="61">
        <f t="shared" si="6"/>
        <v>826.2</v>
      </c>
      <c r="J17" s="10">
        <f>(VLOOKUP($H17,'Standard Estimate Uncertainty '!$B$10:$D$18,2)*$I17)+$I17</f>
        <v>743.58</v>
      </c>
      <c r="K17" s="10">
        <f>(VLOOKUP($H17,'Standard Estimate Uncertainty '!$B$10:$D$18,3)*$I17)+$I17</f>
        <v>950.1300000000001</v>
      </c>
      <c r="L17" s="10">
        <f t="shared" si="7"/>
        <v>123.93000000000006</v>
      </c>
      <c r="M17" s="199">
        <f t="shared" si="8"/>
        <v>0.009907676254586589</v>
      </c>
      <c r="N17" s="10">
        <f t="shared" si="10"/>
        <v>119.0902685801308</v>
      </c>
      <c r="O17" s="198">
        <f t="shared" si="9"/>
        <v>0.14414217935140497</v>
      </c>
      <c r="P17" s="10"/>
      <c r="Q17" s="10"/>
      <c r="R17" s="10"/>
      <c r="S17" s="10"/>
      <c r="T17" s="11">
        <v>0</v>
      </c>
      <c r="U17" s="66"/>
      <c r="V17" s="63">
        <v>165.22</v>
      </c>
      <c r="W17" s="63">
        <v>660.98</v>
      </c>
      <c r="X17" s="63"/>
      <c r="Y17" s="63"/>
      <c r="Z17" s="63"/>
      <c r="AA17" s="43"/>
      <c r="AB17" s="8">
        <f t="shared" si="0"/>
        <v>0.1999757927862503</v>
      </c>
      <c r="AC17" s="8">
        <f t="shared" si="1"/>
        <v>0.8000242072137497</v>
      </c>
      <c r="AD17" s="8">
        <f t="shared" si="2"/>
        <v>0</v>
      </c>
      <c r="AE17" s="8">
        <f t="shared" si="3"/>
        <v>0</v>
      </c>
      <c r="AF17" s="8">
        <f t="shared" si="4"/>
        <v>0</v>
      </c>
    </row>
    <row r="18" spans="1:32" ht="15">
      <c r="A18">
        <v>13</v>
      </c>
      <c r="B18" s="18" t="s">
        <v>315</v>
      </c>
      <c r="C18" s="18" t="s">
        <v>250</v>
      </c>
      <c r="D18" s="6" t="s">
        <v>315</v>
      </c>
      <c r="E18" s="6" t="s">
        <v>250</v>
      </c>
      <c r="F18" s="275" t="s">
        <v>390</v>
      </c>
      <c r="G18" s="276"/>
      <c r="H18" s="1" t="str">
        <f t="shared" si="5"/>
        <v>FROZEN</v>
      </c>
      <c r="I18" s="61">
        <f t="shared" si="6"/>
        <v>1.39</v>
      </c>
      <c r="J18" s="10">
        <f>I18</f>
        <v>1.39</v>
      </c>
      <c r="K18" s="10">
        <f>I18</f>
        <v>1.39</v>
      </c>
      <c r="L18" s="10">
        <f t="shared" si="7"/>
        <v>0</v>
      </c>
      <c r="M18" s="199">
        <f t="shared" si="8"/>
        <v>0</v>
      </c>
      <c r="N18" s="10">
        <f t="shared" si="10"/>
        <v>0</v>
      </c>
      <c r="O18" s="198">
        <f t="shared" si="9"/>
        <v>0</v>
      </c>
      <c r="P18" s="10"/>
      <c r="Q18" s="10"/>
      <c r="R18" s="10"/>
      <c r="S18" s="10"/>
      <c r="T18" s="10">
        <f>I18</f>
        <v>1.39</v>
      </c>
      <c r="U18" s="66"/>
      <c r="V18" s="63">
        <v>1.39</v>
      </c>
      <c r="W18" s="63"/>
      <c r="X18" s="6"/>
      <c r="Y18" s="6"/>
      <c r="Z18" s="6"/>
      <c r="AA18" s="43"/>
      <c r="AB18" s="8">
        <f t="shared" si="0"/>
        <v>1</v>
      </c>
      <c r="AC18" s="8">
        <f t="shared" si="1"/>
        <v>0</v>
      </c>
      <c r="AD18" s="8">
        <f t="shared" si="2"/>
        <v>0</v>
      </c>
      <c r="AE18" s="8">
        <f t="shared" si="3"/>
        <v>0</v>
      </c>
      <c r="AF18" s="8">
        <f t="shared" si="4"/>
        <v>0</v>
      </c>
    </row>
    <row r="19" spans="1:32" ht="15">
      <c r="A19">
        <v>13</v>
      </c>
      <c r="B19" s="18" t="s">
        <v>315</v>
      </c>
      <c r="C19" s="18" t="s">
        <v>230</v>
      </c>
      <c r="D19" s="6" t="s">
        <v>315</v>
      </c>
      <c r="E19" s="6" t="s">
        <v>230</v>
      </c>
      <c r="F19" s="275" t="s">
        <v>390</v>
      </c>
      <c r="G19" s="276"/>
      <c r="H19" s="1" t="str">
        <f t="shared" si="5"/>
        <v>FROZEN</v>
      </c>
      <c r="I19" s="61">
        <f t="shared" si="6"/>
        <v>-38.28</v>
      </c>
      <c r="J19" s="10">
        <f>I19</f>
        <v>-38.28</v>
      </c>
      <c r="K19" s="10">
        <f>I19</f>
        <v>-38.28</v>
      </c>
      <c r="L19" s="10">
        <f t="shared" si="7"/>
        <v>0</v>
      </c>
      <c r="M19" s="199">
        <f t="shared" si="8"/>
        <v>0</v>
      </c>
      <c r="N19" s="10">
        <f t="shared" si="10"/>
        <v>0</v>
      </c>
      <c r="O19" s="198">
        <f t="shared" si="9"/>
        <v>0</v>
      </c>
      <c r="P19" s="10"/>
      <c r="Q19" s="10"/>
      <c r="R19" s="10"/>
      <c r="S19" s="10"/>
      <c r="T19" s="10">
        <f>I19</f>
        <v>-38.28</v>
      </c>
      <c r="U19" s="66"/>
      <c r="V19" s="63">
        <v>-38.28</v>
      </c>
      <c r="W19" s="63"/>
      <c r="X19" s="6"/>
      <c r="Y19" s="6"/>
      <c r="Z19" s="6"/>
      <c r="AA19" s="43"/>
      <c r="AB19" s="8">
        <f t="shared" si="0"/>
        <v>1</v>
      </c>
      <c r="AC19" s="8">
        <f t="shared" si="1"/>
        <v>0</v>
      </c>
      <c r="AD19" s="8">
        <f t="shared" si="2"/>
        <v>0</v>
      </c>
      <c r="AE19" s="8">
        <f t="shared" si="3"/>
        <v>0</v>
      </c>
      <c r="AF19" s="8">
        <f t="shared" si="4"/>
        <v>0</v>
      </c>
    </row>
    <row r="20" spans="1:32" ht="15">
      <c r="A20">
        <v>14</v>
      </c>
      <c r="B20" s="18" t="s">
        <v>316</v>
      </c>
      <c r="C20" s="18" t="s">
        <v>230</v>
      </c>
      <c r="D20" s="223" t="s">
        <v>316</v>
      </c>
      <c r="E20" s="223" t="s">
        <v>230</v>
      </c>
      <c r="F20" s="275" t="s">
        <v>390</v>
      </c>
      <c r="G20" s="276"/>
      <c r="H20" s="1" t="str">
        <f t="shared" si="5"/>
        <v>FROZEN</v>
      </c>
      <c r="I20" s="232">
        <f t="shared" si="6"/>
        <v>-35.94</v>
      </c>
      <c r="J20" s="10">
        <f>I20</f>
        <v>-35.94</v>
      </c>
      <c r="K20" s="10">
        <f>I20</f>
        <v>-35.94</v>
      </c>
      <c r="L20" s="10">
        <f t="shared" si="7"/>
        <v>0</v>
      </c>
      <c r="M20" s="199">
        <f t="shared" si="8"/>
        <v>0</v>
      </c>
      <c r="N20" s="10">
        <f t="shared" si="10"/>
        <v>0</v>
      </c>
      <c r="O20" s="198">
        <f t="shared" si="9"/>
        <v>0</v>
      </c>
      <c r="P20" s="10"/>
      <c r="Q20" s="10"/>
      <c r="R20" s="10"/>
      <c r="S20" s="10"/>
      <c r="T20" s="10">
        <f>I20</f>
        <v>-35.94</v>
      </c>
      <c r="U20" s="66"/>
      <c r="V20" s="63">
        <v>-35.94</v>
      </c>
      <c r="W20" s="63"/>
      <c r="X20" s="6"/>
      <c r="Y20" s="6"/>
      <c r="Z20" s="6"/>
      <c r="AA20" s="43"/>
      <c r="AB20" s="8">
        <f t="shared" si="0"/>
        <v>1</v>
      </c>
      <c r="AC20" s="8">
        <f t="shared" si="1"/>
        <v>0</v>
      </c>
      <c r="AD20" s="8">
        <f t="shared" si="2"/>
        <v>0</v>
      </c>
      <c r="AE20" s="8">
        <f t="shared" si="3"/>
        <v>0</v>
      </c>
      <c r="AF20" s="8">
        <f t="shared" si="4"/>
        <v>0</v>
      </c>
    </row>
    <row r="21" spans="1:32" ht="15">
      <c r="A21">
        <v>14</v>
      </c>
      <c r="B21" s="18" t="s">
        <v>317</v>
      </c>
      <c r="C21" s="18" t="s">
        <v>230</v>
      </c>
      <c r="D21" s="223" t="s">
        <v>317</v>
      </c>
      <c r="E21" s="223" t="s">
        <v>230</v>
      </c>
      <c r="F21" s="36" t="s">
        <v>200</v>
      </c>
      <c r="G21" s="36" t="s">
        <v>187</v>
      </c>
      <c r="H21" s="1" t="str">
        <f t="shared" si="5"/>
        <v>LM</v>
      </c>
      <c r="I21" s="232">
        <f t="shared" si="6"/>
        <v>349.6</v>
      </c>
      <c r="J21" s="10">
        <f>(VLOOKUP($H21,'Standard Estimate Uncertainty '!$B$10:$D$18,2)*$I21)+$I21</f>
        <v>279.68</v>
      </c>
      <c r="K21" s="10">
        <f>(VLOOKUP($H21,'Standard Estimate Uncertainty '!$B$10:$D$18,3)*$I21)+$I21</f>
        <v>489.44000000000005</v>
      </c>
      <c r="L21" s="10">
        <f t="shared" si="7"/>
        <v>139.84000000000003</v>
      </c>
      <c r="M21" s="199">
        <f t="shared" si="8"/>
        <v>0.011179613067387947</v>
      </c>
      <c r="N21" s="10">
        <f t="shared" si="10"/>
        <v>134.37894907000313</v>
      </c>
      <c r="O21" s="198">
        <f t="shared" si="9"/>
        <v>0.38437914493707986</v>
      </c>
      <c r="P21" s="10"/>
      <c r="Q21" s="10"/>
      <c r="R21" s="10"/>
      <c r="S21" s="10"/>
      <c r="T21" s="11">
        <v>0</v>
      </c>
      <c r="U21" s="66"/>
      <c r="V21" s="63">
        <v>177.74</v>
      </c>
      <c r="W21" s="63">
        <v>171.86</v>
      </c>
      <c r="X21" s="6"/>
      <c r="Y21" s="6"/>
      <c r="Z21" s="6"/>
      <c r="AA21" s="43"/>
      <c r="AB21" s="8">
        <f t="shared" si="0"/>
        <v>0.5084096109839817</v>
      </c>
      <c r="AC21" s="8">
        <f t="shared" si="1"/>
        <v>0.4915903890160183</v>
      </c>
      <c r="AD21" s="8">
        <f t="shared" si="2"/>
        <v>0</v>
      </c>
      <c r="AE21" s="8">
        <f t="shared" si="3"/>
        <v>0</v>
      </c>
      <c r="AF21" s="8">
        <f t="shared" si="4"/>
        <v>0</v>
      </c>
    </row>
    <row r="22" spans="1:32" ht="15">
      <c r="A22">
        <v>14</v>
      </c>
      <c r="B22" s="18" t="s">
        <v>318</v>
      </c>
      <c r="C22" s="18" t="s">
        <v>230</v>
      </c>
      <c r="D22" s="223" t="s">
        <v>318</v>
      </c>
      <c r="E22" s="223" t="s">
        <v>230</v>
      </c>
      <c r="F22" s="275" t="s">
        <v>390</v>
      </c>
      <c r="G22" s="276"/>
      <c r="H22" s="1" t="str">
        <f t="shared" si="5"/>
        <v>FROZEN</v>
      </c>
      <c r="I22" s="232">
        <f t="shared" si="6"/>
        <v>-80.39</v>
      </c>
      <c r="J22" s="10">
        <f>I22</f>
        <v>-80.39</v>
      </c>
      <c r="K22" s="10">
        <f>I22</f>
        <v>-80.39</v>
      </c>
      <c r="L22" s="10">
        <f t="shared" si="7"/>
        <v>0</v>
      </c>
      <c r="M22" s="199">
        <f t="shared" si="8"/>
        <v>0</v>
      </c>
      <c r="N22" s="10">
        <f t="shared" si="10"/>
        <v>0</v>
      </c>
      <c r="O22" s="198">
        <f t="shared" si="9"/>
        <v>0</v>
      </c>
      <c r="P22" s="10"/>
      <c r="Q22" s="10"/>
      <c r="R22" s="10"/>
      <c r="S22" s="10"/>
      <c r="T22" s="10">
        <v>0</v>
      </c>
      <c r="U22" s="66"/>
      <c r="V22" s="63">
        <v>-80.39</v>
      </c>
      <c r="W22" s="63"/>
      <c r="X22" s="6"/>
      <c r="Y22" s="6"/>
      <c r="Z22" s="6"/>
      <c r="AA22" s="43"/>
      <c r="AB22" s="8">
        <f t="shared" si="0"/>
        <v>1</v>
      </c>
      <c r="AC22" s="8">
        <f t="shared" si="1"/>
        <v>0</v>
      </c>
      <c r="AD22" s="8">
        <f t="shared" si="2"/>
        <v>0</v>
      </c>
      <c r="AE22" s="8">
        <f t="shared" si="3"/>
        <v>0</v>
      </c>
      <c r="AF22" s="8">
        <f t="shared" si="4"/>
        <v>0</v>
      </c>
    </row>
    <row r="23" spans="1:32" ht="15">
      <c r="A23">
        <v>14</v>
      </c>
      <c r="B23" s="18" t="s">
        <v>319</v>
      </c>
      <c r="C23" s="18" t="s">
        <v>262</v>
      </c>
      <c r="D23" s="223" t="s">
        <v>319</v>
      </c>
      <c r="E23" s="223" t="s">
        <v>262</v>
      </c>
      <c r="F23" s="36" t="s">
        <v>200</v>
      </c>
      <c r="G23" s="36" t="s">
        <v>187</v>
      </c>
      <c r="H23" s="1" t="str">
        <f t="shared" si="5"/>
        <v>LM</v>
      </c>
      <c r="I23" s="232">
        <f t="shared" si="6"/>
        <v>7.79</v>
      </c>
      <c r="J23" s="10">
        <f>(VLOOKUP($H23,'Standard Estimate Uncertainty '!$B$10:$D$18,2)*$I23)+$I23</f>
        <v>6.232</v>
      </c>
      <c r="K23" s="10">
        <f>(VLOOKUP($H23,'Standard Estimate Uncertainty '!$B$10:$D$18,3)*$I23)+$I23</f>
        <v>10.906</v>
      </c>
      <c r="L23" s="10">
        <f t="shared" si="7"/>
        <v>3.1160000000000005</v>
      </c>
      <c r="M23" s="199">
        <f t="shared" si="8"/>
        <v>0.00024911094334940535</v>
      </c>
      <c r="N23" s="10">
        <f t="shared" si="10"/>
        <v>2.9943135390598523</v>
      </c>
      <c r="O23" s="198">
        <f t="shared" si="9"/>
        <v>0.38437914493707986</v>
      </c>
      <c r="P23" s="10"/>
      <c r="Q23" s="10"/>
      <c r="R23" s="10"/>
      <c r="S23" s="10"/>
      <c r="T23" s="11">
        <v>0</v>
      </c>
      <c r="U23" s="66"/>
      <c r="V23" s="63">
        <v>7.79</v>
      </c>
      <c r="W23" s="63"/>
      <c r="X23" s="6"/>
      <c r="Y23" s="6"/>
      <c r="Z23" s="6"/>
      <c r="AA23" s="43"/>
      <c r="AB23" s="8">
        <f t="shared" si="0"/>
        <v>1</v>
      </c>
      <c r="AC23" s="8">
        <f t="shared" si="1"/>
        <v>0</v>
      </c>
      <c r="AD23" s="8">
        <f t="shared" si="2"/>
        <v>0</v>
      </c>
      <c r="AE23" s="8">
        <f t="shared" si="3"/>
        <v>0</v>
      </c>
      <c r="AF23" s="8">
        <f t="shared" si="4"/>
        <v>0</v>
      </c>
    </row>
    <row r="24" spans="1:32" ht="15">
      <c r="A24">
        <v>14</v>
      </c>
      <c r="B24" s="18" t="s">
        <v>319</v>
      </c>
      <c r="C24" s="18" t="s">
        <v>263</v>
      </c>
      <c r="D24" s="223" t="s">
        <v>319</v>
      </c>
      <c r="E24" s="223" t="s">
        <v>263</v>
      </c>
      <c r="F24" s="36" t="s">
        <v>200</v>
      </c>
      <c r="G24" s="36" t="s">
        <v>187</v>
      </c>
      <c r="H24" s="1" t="str">
        <f t="shared" si="5"/>
        <v>LM</v>
      </c>
      <c r="I24" s="232">
        <f t="shared" si="6"/>
        <v>23.38</v>
      </c>
      <c r="J24" s="10">
        <f>(VLOOKUP($H24,'Standard Estimate Uncertainty '!$B$10:$D$18,2)*$I24)+$I24</f>
        <v>18.704</v>
      </c>
      <c r="K24" s="10">
        <f>(VLOOKUP($H24,'Standard Estimate Uncertainty '!$B$10:$D$18,3)*$I24)+$I24</f>
        <v>32.732</v>
      </c>
      <c r="L24" s="10">
        <f t="shared" si="7"/>
        <v>9.352</v>
      </c>
      <c r="M24" s="199">
        <f t="shared" si="8"/>
        <v>0.0007476526130306926</v>
      </c>
      <c r="N24" s="10">
        <f t="shared" si="10"/>
        <v>8.986784408628925</v>
      </c>
      <c r="O24" s="198">
        <f t="shared" si="9"/>
        <v>0.38437914493707975</v>
      </c>
      <c r="P24" s="10"/>
      <c r="Q24" s="10"/>
      <c r="R24" s="10"/>
      <c r="S24" s="10"/>
      <c r="T24" s="11">
        <v>0</v>
      </c>
      <c r="U24" s="66"/>
      <c r="V24" s="63">
        <v>23.38</v>
      </c>
      <c r="W24" s="63"/>
      <c r="X24" s="6"/>
      <c r="Y24" s="6"/>
      <c r="Z24" s="6"/>
      <c r="AA24" s="43"/>
      <c r="AB24" s="8">
        <f t="shared" si="0"/>
        <v>1</v>
      </c>
      <c r="AC24" s="8">
        <f t="shared" si="1"/>
        <v>0</v>
      </c>
      <c r="AD24" s="8">
        <f t="shared" si="2"/>
        <v>0</v>
      </c>
      <c r="AE24" s="8">
        <f t="shared" si="3"/>
        <v>0</v>
      </c>
      <c r="AF24" s="8">
        <f t="shared" si="4"/>
        <v>0</v>
      </c>
    </row>
    <row r="25" spans="1:32" ht="15">
      <c r="A25">
        <v>14</v>
      </c>
      <c r="B25" s="18" t="s">
        <v>319</v>
      </c>
      <c r="C25" s="18" t="s">
        <v>264</v>
      </c>
      <c r="D25" s="223" t="s">
        <v>319</v>
      </c>
      <c r="E25" s="223" t="s">
        <v>264</v>
      </c>
      <c r="F25" s="36" t="s">
        <v>200</v>
      </c>
      <c r="G25" s="36" t="s">
        <v>187</v>
      </c>
      <c r="H25" s="1" t="str">
        <f t="shared" si="5"/>
        <v>LM</v>
      </c>
      <c r="I25" s="232">
        <f t="shared" si="6"/>
        <v>76.15</v>
      </c>
      <c r="J25" s="10">
        <f>(VLOOKUP($H25,'Standard Estimate Uncertainty '!$B$10:$D$18,2)*$I25)+$I25</f>
        <v>60.92</v>
      </c>
      <c r="K25" s="10">
        <f>(VLOOKUP($H25,'Standard Estimate Uncertainty '!$B$10:$D$18,3)*$I25)+$I25</f>
        <v>106.61000000000001</v>
      </c>
      <c r="L25" s="10">
        <f t="shared" si="7"/>
        <v>30.460000000000008</v>
      </c>
      <c r="M25" s="199">
        <f t="shared" si="8"/>
        <v>0.0024351474115606184</v>
      </c>
      <c r="N25" s="10">
        <f t="shared" si="10"/>
        <v>29.27047188695863</v>
      </c>
      <c r="O25" s="198">
        <f t="shared" si="9"/>
        <v>0.3843791449370798</v>
      </c>
      <c r="P25" s="10"/>
      <c r="Q25" s="10"/>
      <c r="R25" s="10"/>
      <c r="S25" s="10"/>
      <c r="T25" s="11">
        <v>0</v>
      </c>
      <c r="U25" s="66"/>
      <c r="V25" s="63">
        <v>39.1</v>
      </c>
      <c r="W25" s="63">
        <v>37.05</v>
      </c>
      <c r="X25" s="6"/>
      <c r="Y25" s="6"/>
      <c r="Z25" s="6"/>
      <c r="AA25" s="43"/>
      <c r="AB25" s="8">
        <f t="shared" si="0"/>
        <v>0.5134602757715035</v>
      </c>
      <c r="AC25" s="8">
        <f t="shared" si="1"/>
        <v>0.48653972422849634</v>
      </c>
      <c r="AD25" s="8">
        <f t="shared" si="2"/>
        <v>0</v>
      </c>
      <c r="AE25" s="8">
        <f t="shared" si="3"/>
        <v>0</v>
      </c>
      <c r="AF25" s="8">
        <f t="shared" si="4"/>
        <v>0</v>
      </c>
    </row>
    <row r="26" spans="1:32" ht="15">
      <c r="A26">
        <v>14</v>
      </c>
      <c r="B26" s="18" t="s">
        <v>319</v>
      </c>
      <c r="C26" s="18" t="s">
        <v>265</v>
      </c>
      <c r="D26" s="223" t="s">
        <v>319</v>
      </c>
      <c r="E26" s="223" t="s">
        <v>265</v>
      </c>
      <c r="F26" s="36" t="s">
        <v>200</v>
      </c>
      <c r="G26" s="36" t="s">
        <v>187</v>
      </c>
      <c r="H26" s="1" t="str">
        <f t="shared" si="5"/>
        <v>LM</v>
      </c>
      <c r="I26" s="232">
        <f t="shared" si="6"/>
        <v>165.11</v>
      </c>
      <c r="J26" s="10">
        <f>(VLOOKUP($H26,'Standard Estimate Uncertainty '!$B$10:$D$18,2)*$I26)+$I26</f>
        <v>132.08800000000002</v>
      </c>
      <c r="K26" s="10">
        <f>(VLOOKUP($H26,'Standard Estimate Uncertainty '!$B$10:$D$18,3)*$I26)+$I26</f>
        <v>231.15400000000002</v>
      </c>
      <c r="L26" s="10">
        <f t="shared" si="7"/>
        <v>66.04400000000001</v>
      </c>
      <c r="M26" s="199">
        <f t="shared" si="8"/>
        <v>0.005279936823673981</v>
      </c>
      <c r="N26" s="10">
        <f t="shared" si="10"/>
        <v>63.464840620561255</v>
      </c>
      <c r="O26" s="198">
        <f t="shared" si="9"/>
        <v>0.3843791449370798</v>
      </c>
      <c r="P26" s="10"/>
      <c r="Q26" s="10"/>
      <c r="R26" s="10"/>
      <c r="S26" s="10"/>
      <c r="T26" s="11">
        <v>0</v>
      </c>
      <c r="U26" s="66"/>
      <c r="V26" s="63"/>
      <c r="W26" s="63">
        <v>165.11</v>
      </c>
      <c r="X26" s="6"/>
      <c r="Y26" s="6"/>
      <c r="Z26" s="6"/>
      <c r="AA26" s="43"/>
      <c r="AB26" s="8">
        <f t="shared" si="0"/>
        <v>0</v>
      </c>
      <c r="AC26" s="8">
        <f t="shared" si="1"/>
        <v>1</v>
      </c>
      <c r="AD26" s="8">
        <f t="shared" si="2"/>
        <v>0</v>
      </c>
      <c r="AE26" s="8">
        <f t="shared" si="3"/>
        <v>0</v>
      </c>
      <c r="AF26" s="8">
        <f t="shared" si="4"/>
        <v>0</v>
      </c>
    </row>
    <row r="27" spans="1:32" ht="15">
      <c r="A27">
        <v>14</v>
      </c>
      <c r="B27" s="18" t="s">
        <v>319</v>
      </c>
      <c r="C27" s="18" t="s">
        <v>266</v>
      </c>
      <c r="D27" s="223" t="s">
        <v>319</v>
      </c>
      <c r="E27" s="223" t="s">
        <v>266</v>
      </c>
      <c r="F27" s="36" t="s">
        <v>200</v>
      </c>
      <c r="G27" s="36" t="s">
        <v>187</v>
      </c>
      <c r="H27" s="1" t="str">
        <f t="shared" si="5"/>
        <v>LM</v>
      </c>
      <c r="I27" s="232">
        <f t="shared" si="6"/>
        <v>7.43</v>
      </c>
      <c r="J27" s="10">
        <f>(VLOOKUP($H27,'Standard Estimate Uncertainty '!$B$10:$D$18,2)*$I27)+$I27</f>
        <v>5.944</v>
      </c>
      <c r="K27" s="10">
        <f>(VLOOKUP($H27,'Standard Estimate Uncertainty '!$B$10:$D$18,3)*$I27)+$I27</f>
        <v>10.402</v>
      </c>
      <c r="L27" s="10">
        <f t="shared" si="7"/>
        <v>2.9719999999999995</v>
      </c>
      <c r="M27" s="199">
        <f t="shared" si="8"/>
        <v>0.00023759875598024146</v>
      </c>
      <c r="N27" s="10">
        <f t="shared" si="10"/>
        <v>2.8559370468825023</v>
      </c>
      <c r="O27" s="198">
        <f t="shared" si="9"/>
        <v>0.38437914493707975</v>
      </c>
      <c r="P27" s="10"/>
      <c r="Q27" s="10"/>
      <c r="R27" s="10"/>
      <c r="S27" s="10"/>
      <c r="T27" s="11">
        <v>0</v>
      </c>
      <c r="U27" s="66"/>
      <c r="V27" s="63"/>
      <c r="W27" s="63">
        <v>7.43</v>
      </c>
      <c r="X27" s="6"/>
      <c r="Y27" s="6"/>
      <c r="Z27" s="6"/>
      <c r="AA27" s="43"/>
      <c r="AB27" s="8">
        <f t="shared" si="0"/>
        <v>0</v>
      </c>
      <c r="AC27" s="8">
        <f t="shared" si="1"/>
        <v>1</v>
      </c>
      <c r="AD27" s="8">
        <f t="shared" si="2"/>
        <v>0</v>
      </c>
      <c r="AE27" s="8">
        <f t="shared" si="3"/>
        <v>0</v>
      </c>
      <c r="AF27" s="8">
        <f t="shared" si="4"/>
        <v>0</v>
      </c>
    </row>
    <row r="28" spans="1:32" ht="15">
      <c r="A28">
        <v>14</v>
      </c>
      <c r="B28" s="18" t="s">
        <v>320</v>
      </c>
      <c r="C28" s="18" t="s">
        <v>321</v>
      </c>
      <c r="D28" s="223" t="s">
        <v>320</v>
      </c>
      <c r="E28" s="223" t="s">
        <v>321</v>
      </c>
      <c r="F28" s="36" t="s">
        <v>200</v>
      </c>
      <c r="G28" s="36" t="s">
        <v>187</v>
      </c>
      <c r="H28" s="1" t="str">
        <f t="shared" si="5"/>
        <v>LM</v>
      </c>
      <c r="I28" s="232">
        <f t="shared" si="6"/>
        <v>24.92</v>
      </c>
      <c r="J28" s="10">
        <f>(VLOOKUP($H28,'Standard Estimate Uncertainty '!$B$10:$D$18,2)*$I28)+$I28</f>
        <v>19.936</v>
      </c>
      <c r="K28" s="10">
        <f>(VLOOKUP($H28,'Standard Estimate Uncertainty '!$B$10:$D$18,3)*$I28)+$I28</f>
        <v>34.888000000000005</v>
      </c>
      <c r="L28" s="10">
        <f t="shared" si="7"/>
        <v>9.968000000000004</v>
      </c>
      <c r="M28" s="199">
        <f t="shared" si="8"/>
        <v>0.0007968991923321157</v>
      </c>
      <c r="N28" s="10">
        <f t="shared" si="10"/>
        <v>9.57872829183203</v>
      </c>
      <c r="O28" s="198">
        <f t="shared" si="9"/>
        <v>0.38437914493707986</v>
      </c>
      <c r="P28" s="10"/>
      <c r="Q28" s="10"/>
      <c r="R28" s="10"/>
      <c r="S28" s="10"/>
      <c r="T28" s="11">
        <v>0</v>
      </c>
      <c r="U28" s="66"/>
      <c r="V28" s="63">
        <v>24.92</v>
      </c>
      <c r="W28" s="63"/>
      <c r="X28" s="6"/>
      <c r="Y28" s="6"/>
      <c r="Z28" s="6"/>
      <c r="AA28" s="43"/>
      <c r="AB28" s="8">
        <f t="shared" si="0"/>
        <v>1</v>
      </c>
      <c r="AC28" s="8">
        <f t="shared" si="1"/>
        <v>0</v>
      </c>
      <c r="AD28" s="8">
        <f t="shared" si="2"/>
        <v>0</v>
      </c>
      <c r="AE28" s="8">
        <f t="shared" si="3"/>
        <v>0</v>
      </c>
      <c r="AF28" s="8">
        <f t="shared" si="4"/>
        <v>0</v>
      </c>
    </row>
    <row r="29" spans="1:32" ht="15">
      <c r="A29">
        <v>14</v>
      </c>
      <c r="B29" s="18" t="s">
        <v>320</v>
      </c>
      <c r="C29" s="18" t="s">
        <v>230</v>
      </c>
      <c r="D29" s="223" t="s">
        <v>320</v>
      </c>
      <c r="E29" s="223" t="s">
        <v>230</v>
      </c>
      <c r="F29" s="36" t="s">
        <v>200</v>
      </c>
      <c r="G29" s="36" t="s">
        <v>187</v>
      </c>
      <c r="H29" s="1" t="str">
        <f t="shared" si="5"/>
        <v>LM</v>
      </c>
      <c r="I29" s="232">
        <f t="shared" si="6"/>
        <v>272.96</v>
      </c>
      <c r="J29" s="10">
        <f>(VLOOKUP($H29,'Standard Estimate Uncertainty '!$B$10:$D$18,2)*$I29)+$I29</f>
        <v>218.368</v>
      </c>
      <c r="K29" s="10">
        <f>(VLOOKUP($H29,'Standard Estimate Uncertainty '!$B$10:$D$18,3)*$I29)+$I29</f>
        <v>382.144</v>
      </c>
      <c r="L29" s="10">
        <f t="shared" si="7"/>
        <v>109.18400000000003</v>
      </c>
      <c r="M29" s="199">
        <f t="shared" si="8"/>
        <v>0.008728796289685967</v>
      </c>
      <c r="N29" s="10">
        <f t="shared" si="10"/>
        <v>104.92013140202532</v>
      </c>
      <c r="O29" s="198">
        <f t="shared" si="9"/>
        <v>0.38437914493707986</v>
      </c>
      <c r="P29" s="10"/>
      <c r="Q29" s="10"/>
      <c r="R29" s="10"/>
      <c r="S29" s="10"/>
      <c r="T29" s="11">
        <v>0</v>
      </c>
      <c r="U29" s="66"/>
      <c r="V29" s="63">
        <v>159.23</v>
      </c>
      <c r="W29" s="63">
        <v>113.73</v>
      </c>
      <c r="X29" s="6"/>
      <c r="Y29" s="6"/>
      <c r="Z29" s="6"/>
      <c r="AA29" s="43"/>
      <c r="AB29" s="8">
        <f t="shared" si="0"/>
        <v>0.5833455451348183</v>
      </c>
      <c r="AC29" s="8">
        <f t="shared" si="1"/>
        <v>0.41665445486518177</v>
      </c>
      <c r="AD29" s="8">
        <f t="shared" si="2"/>
        <v>0</v>
      </c>
      <c r="AE29" s="8">
        <f t="shared" si="3"/>
        <v>0</v>
      </c>
      <c r="AF29" s="8">
        <f t="shared" si="4"/>
        <v>0</v>
      </c>
    </row>
    <row r="30" spans="1:32" ht="15">
      <c r="A30">
        <v>14</v>
      </c>
      <c r="B30" s="18" t="s">
        <v>320</v>
      </c>
      <c r="C30" s="18" t="s">
        <v>322</v>
      </c>
      <c r="D30" s="223" t="s">
        <v>320</v>
      </c>
      <c r="E30" s="223" t="s">
        <v>322</v>
      </c>
      <c r="F30" s="36" t="s">
        <v>200</v>
      </c>
      <c r="G30" s="36" t="s">
        <v>187</v>
      </c>
      <c r="H30" s="1" t="str">
        <f t="shared" si="5"/>
        <v>LM</v>
      </c>
      <c r="I30" s="232">
        <f t="shared" si="6"/>
        <v>72.38</v>
      </c>
      <c r="J30" s="10">
        <f>(VLOOKUP($H30,'Standard Estimate Uncertainty '!$B$10:$D$18,2)*$I30)+$I30</f>
        <v>57.903999999999996</v>
      </c>
      <c r="K30" s="10">
        <f>(VLOOKUP($H30,'Standard Estimate Uncertainty '!$B$10:$D$18,3)*$I30)+$I30</f>
        <v>101.332</v>
      </c>
      <c r="L30" s="10">
        <f t="shared" si="7"/>
        <v>28.951999999999998</v>
      </c>
      <c r="M30" s="199">
        <f t="shared" si="8"/>
        <v>0.0023145892271668744</v>
      </c>
      <c r="N30" s="10">
        <f t="shared" si="10"/>
        <v>27.821362510545832</v>
      </c>
      <c r="O30" s="198">
        <f t="shared" si="9"/>
        <v>0.38437914493707975</v>
      </c>
      <c r="P30" s="10"/>
      <c r="Q30" s="10"/>
      <c r="R30" s="10"/>
      <c r="S30" s="10"/>
      <c r="T30" s="11">
        <v>0</v>
      </c>
      <c r="U30" s="66"/>
      <c r="V30" s="63">
        <v>72.38</v>
      </c>
      <c r="W30" s="63"/>
      <c r="X30" s="6"/>
      <c r="Y30" s="6"/>
      <c r="Z30" s="6"/>
      <c r="AA30" s="43"/>
      <c r="AB30" s="8">
        <f t="shared" si="0"/>
        <v>1</v>
      </c>
      <c r="AC30" s="8">
        <f t="shared" si="1"/>
        <v>0</v>
      </c>
      <c r="AD30" s="8">
        <f t="shared" si="2"/>
        <v>0</v>
      </c>
      <c r="AE30" s="8">
        <f t="shared" si="3"/>
        <v>0</v>
      </c>
      <c r="AF30" s="8">
        <f t="shared" si="4"/>
        <v>0</v>
      </c>
    </row>
    <row r="31" spans="1:32" ht="15">
      <c r="A31">
        <v>14</v>
      </c>
      <c r="B31" s="18" t="s">
        <v>320</v>
      </c>
      <c r="C31" s="18" t="s">
        <v>323</v>
      </c>
      <c r="D31" s="223" t="s">
        <v>320</v>
      </c>
      <c r="E31" s="223" t="s">
        <v>323</v>
      </c>
      <c r="F31" s="36" t="s">
        <v>200</v>
      </c>
      <c r="G31" s="36" t="s">
        <v>187</v>
      </c>
      <c r="H31" s="1" t="str">
        <f t="shared" si="5"/>
        <v>LM</v>
      </c>
      <c r="I31" s="232">
        <f t="shared" si="6"/>
        <v>88.63</v>
      </c>
      <c r="J31" s="10">
        <f>(VLOOKUP($H31,'Standard Estimate Uncertainty '!$B$10:$D$18,2)*$I31)+$I31</f>
        <v>70.904</v>
      </c>
      <c r="K31" s="10">
        <f>(VLOOKUP($H31,'Standard Estimate Uncertainty '!$B$10:$D$18,3)*$I31)+$I31</f>
        <v>124.082</v>
      </c>
      <c r="L31" s="10">
        <f t="shared" si="7"/>
        <v>35.452</v>
      </c>
      <c r="M31" s="199">
        <f t="shared" si="8"/>
        <v>0.002834236573691629</v>
      </c>
      <c r="N31" s="10">
        <f t="shared" si="10"/>
        <v>34.06752361577338</v>
      </c>
      <c r="O31" s="198">
        <f t="shared" si="9"/>
        <v>0.3843791449370798</v>
      </c>
      <c r="P31" s="10"/>
      <c r="Q31" s="10"/>
      <c r="R31" s="10"/>
      <c r="S31" s="10"/>
      <c r="T31" s="11">
        <v>0</v>
      </c>
      <c r="U31" s="66"/>
      <c r="V31" s="63">
        <v>87.8</v>
      </c>
      <c r="W31" s="63">
        <v>0.83</v>
      </c>
      <c r="X31" s="6"/>
      <c r="Y31" s="6"/>
      <c r="Z31" s="6"/>
      <c r="AA31" s="43"/>
      <c r="AB31" s="8">
        <f t="shared" si="0"/>
        <v>0.9906352250930837</v>
      </c>
      <c r="AC31" s="8">
        <f t="shared" si="1"/>
        <v>0.009364774906916394</v>
      </c>
      <c r="AD31" s="8">
        <f t="shared" si="2"/>
        <v>0</v>
      </c>
      <c r="AE31" s="8">
        <f t="shared" si="3"/>
        <v>0</v>
      </c>
      <c r="AF31" s="8">
        <f t="shared" si="4"/>
        <v>0</v>
      </c>
    </row>
    <row r="32" spans="1:32" ht="15">
      <c r="A32">
        <v>14</v>
      </c>
      <c r="B32" s="42" t="s">
        <v>561</v>
      </c>
      <c r="C32" s="18" t="s">
        <v>324</v>
      </c>
      <c r="D32" s="223" t="s">
        <v>561</v>
      </c>
      <c r="E32" s="223" t="s">
        <v>324</v>
      </c>
      <c r="F32" s="36" t="s">
        <v>200</v>
      </c>
      <c r="G32" s="36" t="s">
        <v>187</v>
      </c>
      <c r="H32" s="1" t="str">
        <f t="shared" si="5"/>
        <v>LM</v>
      </c>
      <c r="I32" s="232">
        <f t="shared" si="6"/>
        <v>118.16</v>
      </c>
      <c r="J32" s="10">
        <f>(VLOOKUP($H32,'Standard Estimate Uncertainty '!$B$10:$D$18,2)*$I32)+$I32</f>
        <v>94.52799999999999</v>
      </c>
      <c r="K32" s="10">
        <f>(VLOOKUP($H32,'Standard Estimate Uncertainty '!$B$10:$D$18,3)*$I32)+$I32</f>
        <v>165.424</v>
      </c>
      <c r="L32" s="10">
        <f t="shared" si="7"/>
        <v>47.26400000000001</v>
      </c>
      <c r="M32" s="199">
        <f t="shared" si="8"/>
        <v>0.003778555720945537</v>
      </c>
      <c r="N32" s="10">
        <f t="shared" si="10"/>
        <v>45.41823976576536</v>
      </c>
      <c r="O32" s="198">
        <f t="shared" si="9"/>
        <v>0.38437914493707986</v>
      </c>
      <c r="P32" s="10"/>
      <c r="Q32" s="10"/>
      <c r="R32" s="10"/>
      <c r="S32" s="10"/>
      <c r="T32" s="11">
        <v>0</v>
      </c>
      <c r="U32" s="66"/>
      <c r="V32" s="63">
        <v>118.16</v>
      </c>
      <c r="W32" s="63"/>
      <c r="X32" s="63"/>
      <c r="Y32" s="63"/>
      <c r="Z32" s="6"/>
      <c r="AA32" s="43"/>
      <c r="AB32" s="8">
        <f t="shared" si="0"/>
        <v>1</v>
      </c>
      <c r="AC32" s="8">
        <f t="shared" si="1"/>
        <v>0</v>
      </c>
      <c r="AD32" s="8">
        <f t="shared" si="2"/>
        <v>0</v>
      </c>
      <c r="AE32" s="8">
        <f t="shared" si="3"/>
        <v>0</v>
      </c>
      <c r="AF32" s="8">
        <f t="shared" si="4"/>
        <v>0</v>
      </c>
    </row>
    <row r="33" spans="1:32" ht="15">
      <c r="A33">
        <v>14</v>
      </c>
      <c r="B33" s="18" t="s">
        <v>320</v>
      </c>
      <c r="C33" s="18" t="s">
        <v>325</v>
      </c>
      <c r="D33" s="223" t="s">
        <v>320</v>
      </c>
      <c r="E33" s="223" t="s">
        <v>325</v>
      </c>
      <c r="F33" s="36" t="s">
        <v>200</v>
      </c>
      <c r="G33" s="36" t="s">
        <v>187</v>
      </c>
      <c r="H33" s="1" t="str">
        <f t="shared" si="5"/>
        <v>LM</v>
      </c>
      <c r="I33" s="232">
        <f t="shared" si="6"/>
        <v>173.03</v>
      </c>
      <c r="J33" s="10">
        <f>(VLOOKUP($H33,'Standard Estimate Uncertainty '!$B$10:$D$18,2)*$I33)+$I33</f>
        <v>138.424</v>
      </c>
      <c r="K33" s="10">
        <f>(VLOOKUP($H33,'Standard Estimate Uncertainty '!$B$10:$D$18,3)*$I33)+$I33</f>
        <v>242.24200000000002</v>
      </c>
      <c r="L33" s="10">
        <f t="shared" si="7"/>
        <v>69.21200000000002</v>
      </c>
      <c r="M33" s="199">
        <f t="shared" si="8"/>
        <v>0.005533204945795585</v>
      </c>
      <c r="N33" s="10">
        <f t="shared" si="10"/>
        <v>66.50912344846293</v>
      </c>
      <c r="O33" s="198">
        <f t="shared" si="9"/>
        <v>0.38437914493707986</v>
      </c>
      <c r="P33" s="10"/>
      <c r="Q33" s="10"/>
      <c r="R33" s="10"/>
      <c r="S33" s="10"/>
      <c r="T33" s="11">
        <v>0</v>
      </c>
      <c r="U33" s="66"/>
      <c r="V33" s="63">
        <v>173.03</v>
      </c>
      <c r="W33" s="63"/>
      <c r="X33" s="6"/>
      <c r="Y33" s="6"/>
      <c r="Z33" s="6"/>
      <c r="AA33" s="43"/>
      <c r="AB33" s="8">
        <f t="shared" si="0"/>
        <v>1</v>
      </c>
      <c r="AC33" s="8">
        <f t="shared" si="1"/>
        <v>0</v>
      </c>
      <c r="AD33" s="8">
        <f t="shared" si="2"/>
        <v>0</v>
      </c>
      <c r="AE33" s="8">
        <f t="shared" si="3"/>
        <v>0</v>
      </c>
      <c r="AF33" s="8">
        <f t="shared" si="4"/>
        <v>0</v>
      </c>
    </row>
    <row r="34" spans="1:32" ht="15">
      <c r="A34">
        <v>14</v>
      </c>
      <c r="B34" s="18" t="s">
        <v>320</v>
      </c>
      <c r="C34" s="18" t="s">
        <v>326</v>
      </c>
      <c r="D34" s="223" t="s">
        <v>320</v>
      </c>
      <c r="E34" s="223" t="s">
        <v>326</v>
      </c>
      <c r="F34" s="36" t="s">
        <v>200</v>
      </c>
      <c r="G34" s="36" t="s">
        <v>187</v>
      </c>
      <c r="H34" s="1" t="str">
        <f t="shared" si="5"/>
        <v>LM</v>
      </c>
      <c r="I34" s="232">
        <f t="shared" si="6"/>
        <v>93.86</v>
      </c>
      <c r="J34" s="10">
        <f>(VLOOKUP($H34,'Standard Estimate Uncertainty '!$B$10:$D$18,2)*$I34)+$I34</f>
        <v>75.088</v>
      </c>
      <c r="K34" s="10">
        <f>(VLOOKUP($H34,'Standard Estimate Uncertainty '!$B$10:$D$18,3)*$I34)+$I34</f>
        <v>131.404</v>
      </c>
      <c r="L34" s="10">
        <f t="shared" si="7"/>
        <v>37.544</v>
      </c>
      <c r="M34" s="199">
        <f t="shared" si="8"/>
        <v>0.0030014830735269806</v>
      </c>
      <c r="N34" s="10">
        <f t="shared" si="10"/>
        <v>36.07782654379431</v>
      </c>
      <c r="O34" s="198">
        <f t="shared" si="9"/>
        <v>0.3843791449370798</v>
      </c>
      <c r="P34" s="10"/>
      <c r="Q34" s="10"/>
      <c r="R34" s="10"/>
      <c r="S34" s="10"/>
      <c r="T34" s="11">
        <v>0</v>
      </c>
      <c r="U34" s="66"/>
      <c r="V34" s="63">
        <v>93.86</v>
      </c>
      <c r="W34" s="63"/>
      <c r="X34" s="6"/>
      <c r="Y34" s="6"/>
      <c r="Z34" s="6"/>
      <c r="AA34" s="43"/>
      <c r="AB34" s="8">
        <f t="shared" si="0"/>
        <v>1</v>
      </c>
      <c r="AC34" s="8">
        <f t="shared" si="1"/>
        <v>0</v>
      </c>
      <c r="AD34" s="8">
        <f t="shared" si="2"/>
        <v>0</v>
      </c>
      <c r="AE34" s="8">
        <f t="shared" si="3"/>
        <v>0</v>
      </c>
      <c r="AF34" s="8">
        <f t="shared" si="4"/>
        <v>0</v>
      </c>
    </row>
    <row r="35" spans="1:32" ht="15">
      <c r="A35">
        <v>14</v>
      </c>
      <c r="B35" s="18" t="s">
        <v>320</v>
      </c>
      <c r="C35" s="18" t="s">
        <v>327</v>
      </c>
      <c r="D35" s="223" t="s">
        <v>320</v>
      </c>
      <c r="E35" s="223" t="s">
        <v>327</v>
      </c>
      <c r="F35" s="36" t="s">
        <v>200</v>
      </c>
      <c r="G35" s="36" t="s">
        <v>187</v>
      </c>
      <c r="H35" s="1" t="str">
        <f t="shared" si="5"/>
        <v>LM</v>
      </c>
      <c r="I35" s="232">
        <f t="shared" si="6"/>
        <v>237.21</v>
      </c>
      <c r="J35" s="10">
        <f>(VLOOKUP($H35,'Standard Estimate Uncertainty '!$B$10:$D$18,2)*$I35)+$I35</f>
        <v>189.768</v>
      </c>
      <c r="K35" s="10">
        <f>(VLOOKUP($H35,'Standard Estimate Uncertainty '!$B$10:$D$18,3)*$I35)+$I35</f>
        <v>332.09400000000005</v>
      </c>
      <c r="L35" s="10">
        <f t="shared" si="7"/>
        <v>94.88400000000004</v>
      </c>
      <c r="M35" s="199">
        <f t="shared" si="8"/>
        <v>0.007585572127331509</v>
      </c>
      <c r="N35" s="10">
        <f t="shared" si="10"/>
        <v>91.17857697052473</v>
      </c>
      <c r="O35" s="198">
        <f t="shared" si="9"/>
        <v>0.3843791449370799</v>
      </c>
      <c r="P35" s="10"/>
      <c r="Q35" s="10"/>
      <c r="R35" s="10"/>
      <c r="S35" s="10"/>
      <c r="T35" s="11">
        <v>0</v>
      </c>
      <c r="U35" s="66"/>
      <c r="V35" s="63">
        <v>140.15</v>
      </c>
      <c r="W35" s="63">
        <v>97.06</v>
      </c>
      <c r="X35" s="63"/>
      <c r="Y35" s="63"/>
      <c r="Z35" s="6"/>
      <c r="AA35" s="43"/>
      <c r="AB35" s="8">
        <f aca="true" t="shared" si="11" ref="AB35:AB65">V35/$I35</f>
        <v>0.5908266936469795</v>
      </c>
      <c r="AC35" s="8">
        <f aca="true" t="shared" si="12" ref="AC35:AC65">W35/$I35</f>
        <v>0.4091733063530205</v>
      </c>
      <c r="AD35" s="8">
        <f aca="true" t="shared" si="13" ref="AD35:AD65">X35/$I35</f>
        <v>0</v>
      </c>
      <c r="AE35" s="8">
        <f aca="true" t="shared" si="14" ref="AE35:AE65">Y35/$I35</f>
        <v>0</v>
      </c>
      <c r="AF35" s="8">
        <f aca="true" t="shared" si="15" ref="AF35:AF65">Z35/$I35</f>
        <v>0</v>
      </c>
    </row>
    <row r="36" spans="1:32" ht="15">
      <c r="A36">
        <v>14</v>
      </c>
      <c r="B36" s="18" t="s">
        <v>320</v>
      </c>
      <c r="C36" s="42" t="s">
        <v>560</v>
      </c>
      <c r="D36" s="223" t="s">
        <v>320</v>
      </c>
      <c r="E36" s="223" t="s">
        <v>560</v>
      </c>
      <c r="F36" s="36" t="s">
        <v>200</v>
      </c>
      <c r="G36" s="36" t="s">
        <v>187</v>
      </c>
      <c r="H36" s="1" t="str">
        <f t="shared" si="5"/>
        <v>LM</v>
      </c>
      <c r="I36" s="232">
        <f t="shared" si="6"/>
        <v>104</v>
      </c>
      <c r="J36" s="10">
        <f>(VLOOKUP($H36,'Standard Estimate Uncertainty '!$B$10:$D$18,2)*$I36)+$I36</f>
        <v>83.2</v>
      </c>
      <c r="K36" s="10">
        <f>(VLOOKUP($H36,'Standard Estimate Uncertainty '!$B$10:$D$18,3)*$I36)+$I36</f>
        <v>145.6</v>
      </c>
      <c r="L36" s="10">
        <f t="shared" si="7"/>
        <v>41.599999999999994</v>
      </c>
      <c r="M36" s="199">
        <f t="shared" si="8"/>
        <v>0.003325743017758427</v>
      </c>
      <c r="N36" s="10">
        <f t="shared" si="10"/>
        <v>39.97543107345629</v>
      </c>
      <c r="O36" s="198">
        <f t="shared" si="9"/>
        <v>0.38437914493707975</v>
      </c>
      <c r="P36" s="10"/>
      <c r="Q36" s="10"/>
      <c r="R36" s="10"/>
      <c r="S36" s="10"/>
      <c r="T36" s="11">
        <v>0</v>
      </c>
      <c r="U36" s="66"/>
      <c r="V36" s="63">
        <v>104</v>
      </c>
      <c r="W36" s="63"/>
      <c r="X36" s="63"/>
      <c r="Y36" s="63"/>
      <c r="Z36" s="6"/>
      <c r="AA36" s="43"/>
      <c r="AB36" s="8">
        <f t="shared" si="11"/>
        <v>1</v>
      </c>
      <c r="AC36" s="8">
        <f t="shared" si="12"/>
        <v>0</v>
      </c>
      <c r="AD36" s="8">
        <f t="shared" si="13"/>
        <v>0</v>
      </c>
      <c r="AE36" s="8">
        <f t="shared" si="14"/>
        <v>0</v>
      </c>
      <c r="AF36" s="8">
        <f t="shared" si="15"/>
        <v>0</v>
      </c>
    </row>
    <row r="37" spans="1:32" ht="15">
      <c r="A37">
        <v>14</v>
      </c>
      <c r="B37" s="18" t="s">
        <v>320</v>
      </c>
      <c r="C37" s="18" t="s">
        <v>328</v>
      </c>
      <c r="D37" s="223" t="s">
        <v>320</v>
      </c>
      <c r="E37" s="223" t="s">
        <v>328</v>
      </c>
      <c r="F37" s="36" t="s">
        <v>200</v>
      </c>
      <c r="G37" s="36" t="s">
        <v>187</v>
      </c>
      <c r="H37" s="1" t="str">
        <f t="shared" si="5"/>
        <v>LM</v>
      </c>
      <c r="I37" s="232">
        <f t="shared" si="6"/>
        <v>140.15</v>
      </c>
      <c r="J37" s="10">
        <f>(VLOOKUP($H37,'Standard Estimate Uncertainty '!$B$10:$D$18,2)*$I37)+$I37</f>
        <v>112.12</v>
      </c>
      <c r="K37" s="10">
        <f>(VLOOKUP($H37,'Standard Estimate Uncertainty '!$B$10:$D$18,3)*$I37)+$I37</f>
        <v>196.21</v>
      </c>
      <c r="L37" s="10">
        <f t="shared" si="7"/>
        <v>56.06</v>
      </c>
      <c r="M37" s="199">
        <f t="shared" si="8"/>
        <v>0.004481758499411958</v>
      </c>
      <c r="N37" s="10">
        <f t="shared" si="10"/>
        <v>53.87073716293173</v>
      </c>
      <c r="O37" s="198">
        <f t="shared" si="9"/>
        <v>0.38437914493707975</v>
      </c>
      <c r="P37" s="10"/>
      <c r="Q37" s="10"/>
      <c r="R37" s="10"/>
      <c r="S37" s="10"/>
      <c r="T37" s="11">
        <v>0</v>
      </c>
      <c r="U37" s="66"/>
      <c r="V37" s="63">
        <v>140.15</v>
      </c>
      <c r="W37" s="63"/>
      <c r="X37" s="63"/>
      <c r="Y37" s="63"/>
      <c r="Z37" s="6"/>
      <c r="AA37" s="43"/>
      <c r="AB37" s="8">
        <f t="shared" si="11"/>
        <v>1</v>
      </c>
      <c r="AC37" s="8">
        <f t="shared" si="12"/>
        <v>0</v>
      </c>
      <c r="AD37" s="8">
        <f t="shared" si="13"/>
        <v>0</v>
      </c>
      <c r="AE37" s="8">
        <f t="shared" si="14"/>
        <v>0</v>
      </c>
      <c r="AF37" s="8">
        <f t="shared" si="15"/>
        <v>0</v>
      </c>
    </row>
    <row r="38" spans="1:32" ht="15">
      <c r="A38">
        <v>14</v>
      </c>
      <c r="B38" s="18" t="s">
        <v>329</v>
      </c>
      <c r="C38" s="42" t="s">
        <v>562</v>
      </c>
      <c r="D38" s="223" t="s">
        <v>329</v>
      </c>
      <c r="E38" s="223" t="s">
        <v>562</v>
      </c>
      <c r="F38" s="36" t="s">
        <v>187</v>
      </c>
      <c r="G38" s="36" t="s">
        <v>187</v>
      </c>
      <c r="H38" s="1" t="str">
        <f t="shared" si="5"/>
        <v>MM</v>
      </c>
      <c r="I38" s="232">
        <f t="shared" si="6"/>
        <v>76.91</v>
      </c>
      <c r="J38" s="10">
        <f>(VLOOKUP($H38,'Standard Estimate Uncertainty '!$B$10:$D$18,2)*$I38)+$I38</f>
        <v>65.37349999999999</v>
      </c>
      <c r="K38" s="10">
        <f>(VLOOKUP($H38,'Standard Estimate Uncertainty '!$B$10:$D$18,3)*$I38)+$I38</f>
        <v>96.13749999999999</v>
      </c>
      <c r="L38" s="10">
        <f t="shared" si="7"/>
        <v>19.227499999999992</v>
      </c>
      <c r="M38" s="199">
        <f t="shared" si="8"/>
        <v>0.0015371568238930322</v>
      </c>
      <c r="N38" s="10">
        <f t="shared" si="10"/>
        <v>18.476625023194245</v>
      </c>
      <c r="O38" s="198">
        <f t="shared" si="9"/>
        <v>0.24023696558567476</v>
      </c>
      <c r="P38" s="10"/>
      <c r="Q38" s="10"/>
      <c r="R38" s="10"/>
      <c r="S38" s="10"/>
      <c r="T38" s="11">
        <v>0</v>
      </c>
      <c r="U38" s="66"/>
      <c r="V38" s="63"/>
      <c r="W38" s="63">
        <v>76.91</v>
      </c>
      <c r="X38" s="63"/>
      <c r="Y38" s="63"/>
      <c r="Z38" s="6"/>
      <c r="AA38" s="43"/>
      <c r="AB38" s="8">
        <f t="shared" si="11"/>
        <v>0</v>
      </c>
      <c r="AC38" s="8">
        <f t="shared" si="12"/>
        <v>1</v>
      </c>
      <c r="AD38" s="8">
        <f t="shared" si="13"/>
        <v>0</v>
      </c>
      <c r="AE38" s="8">
        <f t="shared" si="14"/>
        <v>0</v>
      </c>
      <c r="AF38" s="8">
        <f t="shared" si="15"/>
        <v>0</v>
      </c>
    </row>
    <row r="39" spans="1:32" ht="15">
      <c r="A39">
        <v>14</v>
      </c>
      <c r="B39" s="18" t="s">
        <v>329</v>
      </c>
      <c r="C39" s="18" t="s">
        <v>267</v>
      </c>
      <c r="D39" s="223" t="s">
        <v>329</v>
      </c>
      <c r="E39" s="223" t="s">
        <v>267</v>
      </c>
      <c r="F39" s="36" t="s">
        <v>187</v>
      </c>
      <c r="G39" s="36" t="s">
        <v>187</v>
      </c>
      <c r="H39" s="1" t="str">
        <f t="shared" si="5"/>
        <v>MM</v>
      </c>
      <c r="I39" s="232">
        <f t="shared" si="6"/>
        <v>16.4</v>
      </c>
      <c r="J39" s="10">
        <f>(VLOOKUP($H39,'Standard Estimate Uncertainty '!$B$10:$D$18,2)*$I39)+$I39</f>
        <v>13.94</v>
      </c>
      <c r="K39" s="10">
        <f>(VLOOKUP($H39,'Standard Estimate Uncertainty '!$B$10:$D$18,3)*$I39)+$I39</f>
        <v>20.5</v>
      </c>
      <c r="L39" s="10">
        <f t="shared" si="7"/>
        <v>4.100000000000001</v>
      </c>
      <c r="M39" s="199">
        <f t="shared" si="8"/>
        <v>0.0003277775570386913</v>
      </c>
      <c r="N39" s="10">
        <f t="shared" si="10"/>
        <v>3.9398862356050692</v>
      </c>
      <c r="O39" s="198">
        <f t="shared" si="9"/>
        <v>0.24023696558567498</v>
      </c>
      <c r="P39" s="10"/>
      <c r="Q39" s="10"/>
      <c r="R39" s="10"/>
      <c r="S39" s="10"/>
      <c r="T39" s="11">
        <v>0</v>
      </c>
      <c r="U39" s="66"/>
      <c r="V39" s="63">
        <v>16.4</v>
      </c>
      <c r="W39" s="63"/>
      <c r="X39" s="63"/>
      <c r="Y39" s="63"/>
      <c r="Z39" s="6"/>
      <c r="AA39" s="43"/>
      <c r="AB39" s="8">
        <f t="shared" si="11"/>
        <v>1</v>
      </c>
      <c r="AC39" s="8">
        <f t="shared" si="12"/>
        <v>0</v>
      </c>
      <c r="AD39" s="8">
        <f t="shared" si="13"/>
        <v>0</v>
      </c>
      <c r="AE39" s="8">
        <f t="shared" si="14"/>
        <v>0</v>
      </c>
      <c r="AF39" s="8">
        <f t="shared" si="15"/>
        <v>0</v>
      </c>
    </row>
    <row r="40" spans="1:32" ht="15">
      <c r="A40">
        <v>14</v>
      </c>
      <c r="B40" s="18" t="s">
        <v>329</v>
      </c>
      <c r="C40" s="18" t="s">
        <v>268</v>
      </c>
      <c r="D40" s="223" t="s">
        <v>329</v>
      </c>
      <c r="E40" s="223" t="s">
        <v>268</v>
      </c>
      <c r="F40" s="36" t="s">
        <v>187</v>
      </c>
      <c r="G40" s="36" t="s">
        <v>187</v>
      </c>
      <c r="H40" s="1" t="str">
        <f t="shared" si="5"/>
        <v>MM</v>
      </c>
      <c r="I40" s="232">
        <f t="shared" si="6"/>
        <v>54.19</v>
      </c>
      <c r="J40" s="10">
        <f>(VLOOKUP($H40,'Standard Estimate Uncertainty '!$B$10:$D$18,2)*$I40)+$I40</f>
        <v>46.061499999999995</v>
      </c>
      <c r="K40" s="10">
        <f>(VLOOKUP($H40,'Standard Estimate Uncertainty '!$B$10:$D$18,3)*$I40)+$I40</f>
        <v>67.7375</v>
      </c>
      <c r="L40" s="10">
        <f t="shared" si="7"/>
        <v>13.5475</v>
      </c>
      <c r="M40" s="199">
        <f t="shared" si="8"/>
        <v>0.0010830649887760167</v>
      </c>
      <c r="N40" s="10">
        <f t="shared" si="10"/>
        <v>13.01844116508772</v>
      </c>
      <c r="O40" s="198">
        <f t="shared" si="9"/>
        <v>0.24023696558567487</v>
      </c>
      <c r="P40" s="10"/>
      <c r="Q40" s="10"/>
      <c r="R40" s="10"/>
      <c r="S40" s="10"/>
      <c r="T40" s="11">
        <v>0</v>
      </c>
      <c r="U40" s="66"/>
      <c r="V40" s="63">
        <v>17.71</v>
      </c>
      <c r="W40" s="63">
        <v>36.48</v>
      </c>
      <c r="X40" s="63"/>
      <c r="Y40" s="63"/>
      <c r="Z40" s="6"/>
      <c r="AA40" s="43"/>
      <c r="AB40" s="8">
        <f t="shared" si="11"/>
        <v>0.32681306514117</v>
      </c>
      <c r="AC40" s="8">
        <f t="shared" si="12"/>
        <v>0.67318693485883</v>
      </c>
      <c r="AD40" s="8">
        <f t="shared" si="13"/>
        <v>0</v>
      </c>
      <c r="AE40" s="8">
        <f t="shared" si="14"/>
        <v>0</v>
      </c>
      <c r="AF40" s="8">
        <f t="shared" si="15"/>
        <v>0</v>
      </c>
    </row>
    <row r="41" spans="1:32" ht="15">
      <c r="A41">
        <v>14</v>
      </c>
      <c r="B41" s="18" t="s">
        <v>329</v>
      </c>
      <c r="C41" s="18" t="s">
        <v>535</v>
      </c>
      <c r="D41" s="223" t="s">
        <v>329</v>
      </c>
      <c r="E41" s="223" t="s">
        <v>535</v>
      </c>
      <c r="F41" s="36" t="s">
        <v>187</v>
      </c>
      <c r="G41" s="36" t="s">
        <v>187</v>
      </c>
      <c r="H41" s="1" t="str">
        <f t="shared" si="5"/>
        <v>MM</v>
      </c>
      <c r="I41" s="232">
        <f t="shared" si="6"/>
        <v>138.65</v>
      </c>
      <c r="J41" s="10">
        <f>(VLOOKUP($H41,'Standard Estimate Uncertainty '!$B$10:$D$18,2)*$I41)+$I41</f>
        <v>117.8525</v>
      </c>
      <c r="K41" s="10">
        <f>(VLOOKUP($H41,'Standard Estimate Uncertainty '!$B$10:$D$18,3)*$I41)+$I41</f>
        <v>173.3125</v>
      </c>
      <c r="L41" s="10">
        <f t="shared" si="7"/>
        <v>34.662499999999994</v>
      </c>
      <c r="M41" s="199">
        <f t="shared" si="8"/>
        <v>0.002771119407525276</v>
      </c>
      <c r="N41" s="10">
        <f t="shared" si="10"/>
        <v>33.30885527845382</v>
      </c>
      <c r="O41" s="198">
        <f t="shared" si="9"/>
        <v>0.24023696558567484</v>
      </c>
      <c r="P41" s="10"/>
      <c r="Q41" s="10"/>
      <c r="R41" s="10"/>
      <c r="S41" s="10"/>
      <c r="T41" s="11">
        <v>0</v>
      </c>
      <c r="U41" s="66"/>
      <c r="V41" s="63">
        <v>83.68</v>
      </c>
      <c r="W41" s="63">
        <v>54.97</v>
      </c>
      <c r="X41" s="63"/>
      <c r="Y41" s="63"/>
      <c r="Z41" s="6"/>
      <c r="AA41" s="43"/>
      <c r="AB41" s="8">
        <f t="shared" si="11"/>
        <v>0.6035340786152182</v>
      </c>
      <c r="AC41" s="8">
        <f t="shared" si="12"/>
        <v>0.3964659213847818</v>
      </c>
      <c r="AD41" s="8">
        <f t="shared" si="13"/>
        <v>0</v>
      </c>
      <c r="AE41" s="8">
        <f t="shared" si="14"/>
        <v>0</v>
      </c>
      <c r="AF41" s="8">
        <f t="shared" si="15"/>
        <v>0</v>
      </c>
    </row>
    <row r="42" spans="1:32" ht="15">
      <c r="A42">
        <v>14</v>
      </c>
      <c r="B42" s="18" t="s">
        <v>329</v>
      </c>
      <c r="C42" s="18" t="s">
        <v>536</v>
      </c>
      <c r="D42" s="223" t="s">
        <v>329</v>
      </c>
      <c r="E42" s="223" t="s">
        <v>536</v>
      </c>
      <c r="F42" s="36" t="s">
        <v>187</v>
      </c>
      <c r="G42" s="36" t="s">
        <v>187</v>
      </c>
      <c r="H42" s="1" t="str">
        <f t="shared" si="5"/>
        <v>MM</v>
      </c>
      <c r="I42" s="232">
        <f t="shared" si="6"/>
        <v>19.259999999999998</v>
      </c>
      <c r="J42" s="10">
        <f>(VLOOKUP($H42,'Standard Estimate Uncertainty '!$B$10:$D$18,2)*$I42)+$I42</f>
        <v>16.371</v>
      </c>
      <c r="K42" s="10">
        <f>(VLOOKUP($H42,'Standard Estimate Uncertainty '!$B$10:$D$18,3)*$I42)+$I42</f>
        <v>24.074999999999996</v>
      </c>
      <c r="L42" s="10">
        <f t="shared" si="7"/>
        <v>4.814999999999998</v>
      </c>
      <c r="M42" s="199">
        <f t="shared" si="8"/>
        <v>0.00038493876515641396</v>
      </c>
      <c r="N42" s="10">
        <f t="shared" si="10"/>
        <v>4.626963957180096</v>
      </c>
      <c r="O42" s="198">
        <f t="shared" si="9"/>
        <v>0.24023696558567478</v>
      </c>
      <c r="P42" s="10"/>
      <c r="Q42" s="10"/>
      <c r="R42" s="10"/>
      <c r="S42" s="10"/>
      <c r="T42" s="11">
        <v>0</v>
      </c>
      <c r="U42" s="66"/>
      <c r="V42" s="63">
        <v>1.93</v>
      </c>
      <c r="W42" s="63">
        <v>17.33</v>
      </c>
      <c r="X42" s="63"/>
      <c r="Y42" s="63"/>
      <c r="Z42" s="6"/>
      <c r="AA42" s="43"/>
      <c r="AB42" s="8">
        <f t="shared" si="11"/>
        <v>0.10020768431983386</v>
      </c>
      <c r="AC42" s="8">
        <f t="shared" si="12"/>
        <v>0.8997923156801662</v>
      </c>
      <c r="AD42" s="8">
        <f t="shared" si="13"/>
        <v>0</v>
      </c>
      <c r="AE42" s="8">
        <f t="shared" si="14"/>
        <v>0</v>
      </c>
      <c r="AF42" s="8">
        <f t="shared" si="15"/>
        <v>0</v>
      </c>
    </row>
    <row r="43" spans="1:32" ht="15">
      <c r="A43">
        <v>14</v>
      </c>
      <c r="B43" s="18" t="s">
        <v>329</v>
      </c>
      <c r="C43" s="18" t="s">
        <v>537</v>
      </c>
      <c r="D43" s="223" t="s">
        <v>329</v>
      </c>
      <c r="E43" s="223" t="s">
        <v>537</v>
      </c>
      <c r="F43" s="36" t="s">
        <v>187</v>
      </c>
      <c r="G43" s="36" t="s">
        <v>187</v>
      </c>
      <c r="H43" s="1" t="str">
        <f t="shared" si="5"/>
        <v>MM</v>
      </c>
      <c r="I43" s="232">
        <f t="shared" si="6"/>
        <v>17.48</v>
      </c>
      <c r="J43" s="10">
        <f>(VLOOKUP($H43,'Standard Estimate Uncertainty '!$B$10:$D$18,2)*$I43)+$I43</f>
        <v>14.858</v>
      </c>
      <c r="K43" s="10">
        <f>(VLOOKUP($H43,'Standard Estimate Uncertainty '!$B$10:$D$18,3)*$I43)+$I43</f>
        <v>21.85</v>
      </c>
      <c r="L43" s="10">
        <f t="shared" si="7"/>
        <v>4.370000000000001</v>
      </c>
      <c r="M43" s="199">
        <f t="shared" si="8"/>
        <v>0.00034936290835587335</v>
      </c>
      <c r="N43" s="10">
        <f t="shared" si="10"/>
        <v>4.199342158437598</v>
      </c>
      <c r="O43" s="198">
        <f t="shared" si="9"/>
        <v>0.24023696558567492</v>
      </c>
      <c r="P43" s="10"/>
      <c r="Q43" s="10"/>
      <c r="R43" s="10"/>
      <c r="S43" s="10"/>
      <c r="T43" s="11">
        <v>0</v>
      </c>
      <c r="U43" s="66"/>
      <c r="V43" s="63"/>
      <c r="W43" s="63"/>
      <c r="X43" s="63"/>
      <c r="Y43" s="63">
        <v>17.48</v>
      </c>
      <c r="Z43" s="6"/>
      <c r="AA43" s="43"/>
      <c r="AB43" s="8">
        <f t="shared" si="11"/>
        <v>0</v>
      </c>
      <c r="AC43" s="8">
        <f t="shared" si="12"/>
        <v>0</v>
      </c>
      <c r="AD43" s="8">
        <f t="shared" si="13"/>
        <v>0</v>
      </c>
      <c r="AE43" s="8">
        <f t="shared" si="14"/>
        <v>1</v>
      </c>
      <c r="AF43" s="8">
        <f t="shared" si="15"/>
        <v>0</v>
      </c>
    </row>
    <row r="44" spans="1:32" ht="15">
      <c r="A44">
        <v>14</v>
      </c>
      <c r="B44" s="18" t="s">
        <v>329</v>
      </c>
      <c r="C44" s="18" t="s">
        <v>269</v>
      </c>
      <c r="D44" s="223" t="s">
        <v>329</v>
      </c>
      <c r="E44" s="223" t="s">
        <v>269</v>
      </c>
      <c r="F44" s="36" t="s">
        <v>187</v>
      </c>
      <c r="G44" s="36" t="s">
        <v>187</v>
      </c>
      <c r="H44" s="1" t="str">
        <f t="shared" si="5"/>
        <v>MM</v>
      </c>
      <c r="I44" s="232">
        <f t="shared" si="6"/>
        <v>716.5699999999999</v>
      </c>
      <c r="J44" s="10">
        <f>(VLOOKUP($H44,'Standard Estimate Uncertainty '!$B$10:$D$18,2)*$I44)+$I44</f>
        <v>609.0844999999999</v>
      </c>
      <c r="K44" s="10">
        <f>(VLOOKUP($H44,'Standard Estimate Uncertainty '!$B$10:$D$18,3)*$I44)+$I44</f>
        <v>895.7124999999999</v>
      </c>
      <c r="L44" s="10">
        <f t="shared" si="7"/>
        <v>179.14249999999993</v>
      </c>
      <c r="M44" s="199">
        <f t="shared" si="8"/>
        <v>0.01432168073458627</v>
      </c>
      <c r="N44" s="10">
        <f t="shared" si="10"/>
        <v>172.14660242972695</v>
      </c>
      <c r="O44" s="198">
        <f t="shared" si="9"/>
        <v>0.24023696558567476</v>
      </c>
      <c r="P44" s="10"/>
      <c r="Q44" s="10"/>
      <c r="R44" s="10"/>
      <c r="S44" s="10"/>
      <c r="T44" s="11">
        <v>0</v>
      </c>
      <c r="U44" s="66"/>
      <c r="V44" s="63">
        <v>242.54</v>
      </c>
      <c r="W44" s="63">
        <v>474.03</v>
      </c>
      <c r="X44" s="63"/>
      <c r="Y44" s="63"/>
      <c r="Z44" s="6"/>
      <c r="AA44" s="43"/>
      <c r="AB44" s="8">
        <f t="shared" si="11"/>
        <v>0.3384735615501626</v>
      </c>
      <c r="AC44" s="8">
        <f t="shared" si="12"/>
        <v>0.6615264384498375</v>
      </c>
      <c r="AD44" s="8">
        <f t="shared" si="13"/>
        <v>0</v>
      </c>
      <c r="AE44" s="8">
        <f t="shared" si="14"/>
        <v>0</v>
      </c>
      <c r="AF44" s="8">
        <f t="shared" si="15"/>
        <v>0</v>
      </c>
    </row>
    <row r="45" spans="1:32" ht="15">
      <c r="A45">
        <v>14</v>
      </c>
      <c r="B45" s="18" t="s">
        <v>330</v>
      </c>
      <c r="C45" s="18" t="s">
        <v>271</v>
      </c>
      <c r="D45" s="223" t="s">
        <v>330</v>
      </c>
      <c r="E45" s="223" t="s">
        <v>271</v>
      </c>
      <c r="F45" s="36" t="s">
        <v>186</v>
      </c>
      <c r="G45" s="36" t="s">
        <v>186</v>
      </c>
      <c r="H45" s="1" t="str">
        <f t="shared" si="5"/>
        <v>HH</v>
      </c>
      <c r="I45" s="232">
        <f t="shared" si="6"/>
        <v>248.15999999999997</v>
      </c>
      <c r="J45" s="10">
        <f>(VLOOKUP($H45,'Standard Estimate Uncertainty '!$B$10:$D$18,2)*$I45)+$I45</f>
        <v>210.93599999999998</v>
      </c>
      <c r="K45" s="10">
        <f>(VLOOKUP($H45,'Standard Estimate Uncertainty '!$B$10:$D$18,3)*$I45)+$I45</f>
        <v>310.19999999999993</v>
      </c>
      <c r="L45" s="10">
        <f t="shared" si="7"/>
        <v>62.039999999999964</v>
      </c>
      <c r="M45" s="199">
        <f t="shared" si="8"/>
        <v>0.004959834058214729</v>
      </c>
      <c r="N45" s="10">
        <f t="shared" si="10"/>
        <v>59.61720537974104</v>
      </c>
      <c r="O45" s="198">
        <f t="shared" si="9"/>
        <v>0.24023696558567476</v>
      </c>
      <c r="P45" s="10"/>
      <c r="Q45" s="10"/>
      <c r="R45" s="10"/>
      <c r="S45" s="10"/>
      <c r="T45" s="11">
        <v>0</v>
      </c>
      <c r="U45" s="66"/>
      <c r="V45" s="63">
        <v>110.74</v>
      </c>
      <c r="W45" s="63">
        <v>137.42</v>
      </c>
      <c r="X45" s="63"/>
      <c r="Y45" s="63"/>
      <c r="Z45" s="6"/>
      <c r="AA45" s="43"/>
      <c r="AB45" s="8">
        <f t="shared" si="11"/>
        <v>0.44624435847840105</v>
      </c>
      <c r="AC45" s="8">
        <f t="shared" si="12"/>
        <v>0.553755641521599</v>
      </c>
      <c r="AD45" s="8">
        <f t="shared" si="13"/>
        <v>0</v>
      </c>
      <c r="AE45" s="8">
        <f t="shared" si="14"/>
        <v>0</v>
      </c>
      <c r="AF45" s="8">
        <f t="shared" si="15"/>
        <v>0</v>
      </c>
    </row>
    <row r="46" spans="1:32" ht="15">
      <c r="A46">
        <v>14</v>
      </c>
      <c r="B46" s="18" t="s">
        <v>330</v>
      </c>
      <c r="C46" s="18" t="s">
        <v>272</v>
      </c>
      <c r="D46" s="223" t="s">
        <v>330</v>
      </c>
      <c r="E46" s="223" t="s">
        <v>272</v>
      </c>
      <c r="F46" s="36" t="s">
        <v>186</v>
      </c>
      <c r="G46" s="36" t="s">
        <v>186</v>
      </c>
      <c r="H46" s="1" t="str">
        <f t="shared" si="5"/>
        <v>HH</v>
      </c>
      <c r="I46" s="232">
        <f t="shared" si="6"/>
        <v>578.01</v>
      </c>
      <c r="J46" s="10">
        <f>(VLOOKUP($H46,'Standard Estimate Uncertainty '!$B$10:$D$18,2)*$I46)+$I46</f>
        <v>491.3085</v>
      </c>
      <c r="K46" s="10">
        <f>(VLOOKUP($H46,'Standard Estimate Uncertainty '!$B$10:$D$18,3)*$I46)+$I46</f>
        <v>722.5125</v>
      </c>
      <c r="L46" s="10">
        <f t="shared" si="7"/>
        <v>144.50250000000005</v>
      </c>
      <c r="M46" s="199">
        <f t="shared" si="8"/>
        <v>0.011552360106337436</v>
      </c>
      <c r="N46" s="10">
        <f t="shared" si="10"/>
        <v>138.85936847817598</v>
      </c>
      <c r="O46" s="198">
        <f t="shared" si="9"/>
        <v>0.24023696558567495</v>
      </c>
      <c r="P46" s="10"/>
      <c r="Q46" s="10"/>
      <c r="R46" s="10"/>
      <c r="S46" s="10"/>
      <c r="T46" s="11">
        <v>0</v>
      </c>
      <c r="U46" s="66"/>
      <c r="V46" s="63">
        <v>276.6</v>
      </c>
      <c r="W46" s="63">
        <v>301.41</v>
      </c>
      <c r="X46" s="63"/>
      <c r="Y46" s="63"/>
      <c r="Z46" s="6"/>
      <c r="AA46" s="43"/>
      <c r="AB46" s="8">
        <f t="shared" si="11"/>
        <v>0.47853843359111436</v>
      </c>
      <c r="AC46" s="8">
        <f t="shared" si="12"/>
        <v>0.5214615664088857</v>
      </c>
      <c r="AD46" s="8">
        <f t="shared" si="13"/>
        <v>0</v>
      </c>
      <c r="AE46" s="8">
        <f t="shared" si="14"/>
        <v>0</v>
      </c>
      <c r="AF46" s="8">
        <f t="shared" si="15"/>
        <v>0</v>
      </c>
    </row>
    <row r="47" spans="1:32" ht="15">
      <c r="A47">
        <v>14</v>
      </c>
      <c r="B47" s="18" t="s">
        <v>330</v>
      </c>
      <c r="C47" s="18" t="s">
        <v>273</v>
      </c>
      <c r="D47" s="223" t="s">
        <v>330</v>
      </c>
      <c r="E47" s="223" t="s">
        <v>273</v>
      </c>
      <c r="F47" s="36" t="s">
        <v>186</v>
      </c>
      <c r="G47" s="36" t="s">
        <v>186</v>
      </c>
      <c r="H47" s="1" t="str">
        <f t="shared" si="5"/>
        <v>HH</v>
      </c>
      <c r="I47" s="232">
        <f t="shared" si="6"/>
        <v>645.71</v>
      </c>
      <c r="J47" s="10">
        <f>(VLOOKUP($H47,'Standard Estimate Uncertainty '!$B$10:$D$18,2)*$I47)+$I47</f>
        <v>548.8535</v>
      </c>
      <c r="K47" s="10">
        <f>(VLOOKUP($H47,'Standard Estimate Uncertainty '!$B$10:$D$18,3)*$I47)+$I47</f>
        <v>807.1375</v>
      </c>
      <c r="L47" s="10">
        <f t="shared" si="7"/>
        <v>161.4275</v>
      </c>
      <c r="M47" s="199">
        <f t="shared" si="8"/>
        <v>0.012905441850942273</v>
      </c>
      <c r="N47" s="10">
        <f t="shared" si="10"/>
        <v>155.12341104832612</v>
      </c>
      <c r="O47" s="198">
        <f t="shared" si="9"/>
        <v>0.24023696558567487</v>
      </c>
      <c r="P47" s="10"/>
      <c r="Q47" s="10"/>
      <c r="R47" s="10"/>
      <c r="S47" s="10"/>
      <c r="T47" s="11">
        <v>0</v>
      </c>
      <c r="U47" s="66"/>
      <c r="V47" s="63">
        <v>248.27</v>
      </c>
      <c r="W47" s="63">
        <v>397.44</v>
      </c>
      <c r="X47" s="63"/>
      <c r="Y47" s="63"/>
      <c r="Z47" s="6"/>
      <c r="AA47" s="43"/>
      <c r="AB47" s="8">
        <f t="shared" si="11"/>
        <v>0.3844914899877654</v>
      </c>
      <c r="AC47" s="8">
        <f t="shared" si="12"/>
        <v>0.6155085100122346</v>
      </c>
      <c r="AD47" s="8">
        <f t="shared" si="13"/>
        <v>0</v>
      </c>
      <c r="AE47" s="8">
        <f t="shared" si="14"/>
        <v>0</v>
      </c>
      <c r="AF47" s="8">
        <f t="shared" si="15"/>
        <v>0</v>
      </c>
    </row>
    <row r="48" spans="1:32" ht="15">
      <c r="A48">
        <v>14</v>
      </c>
      <c r="B48" s="18" t="s">
        <v>330</v>
      </c>
      <c r="C48" s="18" t="s">
        <v>274</v>
      </c>
      <c r="D48" s="223" t="s">
        <v>330</v>
      </c>
      <c r="E48" s="223" t="s">
        <v>274</v>
      </c>
      <c r="F48" s="36" t="s">
        <v>186</v>
      </c>
      <c r="G48" s="36" t="s">
        <v>186</v>
      </c>
      <c r="H48" s="1" t="str">
        <f t="shared" si="5"/>
        <v>HH</v>
      </c>
      <c r="I48" s="232">
        <f t="shared" si="6"/>
        <v>326.53</v>
      </c>
      <c r="J48" s="10">
        <f>(VLOOKUP($H48,'Standard Estimate Uncertainty '!$B$10:$D$18,2)*$I48)+$I48</f>
        <v>277.5505</v>
      </c>
      <c r="K48" s="10">
        <f>(VLOOKUP($H48,'Standard Estimate Uncertainty '!$B$10:$D$18,3)*$I48)+$I48</f>
        <v>408.16249999999997</v>
      </c>
      <c r="L48" s="10">
        <f t="shared" si="7"/>
        <v>81.6325</v>
      </c>
      <c r="M48" s="199">
        <f t="shared" si="8"/>
        <v>0.00652617107925877</v>
      </c>
      <c r="N48" s="10">
        <f t="shared" si="10"/>
        <v>78.4445763726904</v>
      </c>
      <c r="O48" s="198">
        <f t="shared" si="9"/>
        <v>0.24023696558567487</v>
      </c>
      <c r="P48" s="10"/>
      <c r="Q48" s="10"/>
      <c r="R48" s="10"/>
      <c r="S48" s="10"/>
      <c r="T48" s="11">
        <v>0</v>
      </c>
      <c r="U48" s="66"/>
      <c r="V48" s="63">
        <v>122.88</v>
      </c>
      <c r="W48" s="63">
        <v>203.65</v>
      </c>
      <c r="X48" s="63"/>
      <c r="Y48" s="63"/>
      <c r="Z48" s="6"/>
      <c r="AA48" s="43"/>
      <c r="AB48" s="8">
        <f t="shared" si="11"/>
        <v>0.376320705601323</v>
      </c>
      <c r="AC48" s="8">
        <f t="shared" si="12"/>
        <v>0.6236792943986771</v>
      </c>
      <c r="AD48" s="8">
        <f t="shared" si="13"/>
        <v>0</v>
      </c>
      <c r="AE48" s="8">
        <f t="shared" si="14"/>
        <v>0</v>
      </c>
      <c r="AF48" s="8">
        <f t="shared" si="15"/>
        <v>0</v>
      </c>
    </row>
    <row r="49" spans="1:32" ht="15">
      <c r="A49">
        <v>14</v>
      </c>
      <c r="B49" s="18" t="s">
        <v>330</v>
      </c>
      <c r="C49" s="18" t="s">
        <v>270</v>
      </c>
      <c r="D49" s="223" t="s">
        <v>330</v>
      </c>
      <c r="E49" s="223" t="s">
        <v>270</v>
      </c>
      <c r="F49" s="36" t="s">
        <v>186</v>
      </c>
      <c r="G49" s="36" t="s">
        <v>186</v>
      </c>
      <c r="H49" s="1" t="str">
        <f t="shared" si="5"/>
        <v>HH</v>
      </c>
      <c r="I49" s="232">
        <f t="shared" si="6"/>
        <v>203.39</v>
      </c>
      <c r="J49" s="10">
        <f>(VLOOKUP($H49,'Standard Estimate Uncertainty '!$B$10:$D$18,2)*$I49)+$I49</f>
        <v>172.8815</v>
      </c>
      <c r="K49" s="10">
        <f>(VLOOKUP($H49,'Standard Estimate Uncertainty '!$B$10:$D$18,3)*$I49)+$I49</f>
        <v>254.23749999999998</v>
      </c>
      <c r="L49" s="10">
        <f t="shared" si="7"/>
        <v>50.8475</v>
      </c>
      <c r="M49" s="199">
        <f t="shared" si="8"/>
        <v>0.004065041300371914</v>
      </c>
      <c r="N49" s="10">
        <f t="shared" si="10"/>
        <v>48.861796430470406</v>
      </c>
      <c r="O49" s="198">
        <f t="shared" si="9"/>
        <v>0.24023696558567487</v>
      </c>
      <c r="P49" s="10"/>
      <c r="Q49" s="10"/>
      <c r="R49" s="10"/>
      <c r="S49" s="10"/>
      <c r="T49" s="11">
        <v>0</v>
      </c>
      <c r="U49" s="66"/>
      <c r="V49" s="63">
        <v>73.25</v>
      </c>
      <c r="W49" s="63">
        <v>130.14</v>
      </c>
      <c r="X49" s="63"/>
      <c r="Y49" s="63"/>
      <c r="Z49" s="6"/>
      <c r="AA49" s="43"/>
      <c r="AB49" s="8">
        <f t="shared" si="11"/>
        <v>0.36014553321205567</v>
      </c>
      <c r="AC49" s="8">
        <f t="shared" si="12"/>
        <v>0.6398544667879443</v>
      </c>
      <c r="AD49" s="8">
        <f t="shared" si="13"/>
        <v>0</v>
      </c>
      <c r="AE49" s="8">
        <f t="shared" si="14"/>
        <v>0</v>
      </c>
      <c r="AF49" s="8">
        <f t="shared" si="15"/>
        <v>0</v>
      </c>
    </row>
    <row r="50" spans="1:32" ht="15">
      <c r="A50">
        <v>14</v>
      </c>
      <c r="B50" s="18" t="s">
        <v>330</v>
      </c>
      <c r="C50" s="18" t="s">
        <v>275</v>
      </c>
      <c r="D50" s="223" t="s">
        <v>330</v>
      </c>
      <c r="E50" s="223" t="s">
        <v>275</v>
      </c>
      <c r="F50" s="36" t="s">
        <v>186</v>
      </c>
      <c r="G50" s="36" t="s">
        <v>186</v>
      </c>
      <c r="H50" s="1" t="str">
        <f t="shared" si="5"/>
        <v>HH</v>
      </c>
      <c r="I50" s="232">
        <f t="shared" si="6"/>
        <v>860.0699999999999</v>
      </c>
      <c r="J50" s="10">
        <f>(VLOOKUP($H50,'Standard Estimate Uncertainty '!$B$10:$D$18,2)*$I50)+$I50</f>
        <v>731.0595</v>
      </c>
      <c r="K50" s="10">
        <f>(VLOOKUP($H50,'Standard Estimate Uncertainty '!$B$10:$D$18,3)*$I50)+$I50</f>
        <v>1075.0874999999999</v>
      </c>
      <c r="L50" s="10">
        <f t="shared" si="7"/>
        <v>215.01749999999993</v>
      </c>
      <c r="M50" s="199">
        <f t="shared" si="8"/>
        <v>0.017189734358674817</v>
      </c>
      <c r="N50" s="10">
        <f t="shared" si="10"/>
        <v>206.6206069912713</v>
      </c>
      <c r="O50" s="198">
        <f t="shared" si="9"/>
        <v>0.24023696558567478</v>
      </c>
      <c r="P50" s="10"/>
      <c r="Q50" s="10"/>
      <c r="R50" s="10"/>
      <c r="S50" s="10"/>
      <c r="T50" s="11">
        <v>0</v>
      </c>
      <c r="U50" s="66"/>
      <c r="V50" s="63">
        <v>309.04</v>
      </c>
      <c r="W50" s="63">
        <v>551.03</v>
      </c>
      <c r="X50" s="63"/>
      <c r="Y50" s="63"/>
      <c r="Z50" s="6"/>
      <c r="AA50" s="43"/>
      <c r="AB50" s="8">
        <f t="shared" si="11"/>
        <v>0.35931959026590865</v>
      </c>
      <c r="AC50" s="8">
        <f t="shared" si="12"/>
        <v>0.6406804097340915</v>
      </c>
      <c r="AD50" s="8">
        <f t="shared" si="13"/>
        <v>0</v>
      </c>
      <c r="AE50" s="8">
        <f t="shared" si="14"/>
        <v>0</v>
      </c>
      <c r="AF50" s="8">
        <f t="shared" si="15"/>
        <v>0</v>
      </c>
    </row>
    <row r="51" spans="1:32" ht="15">
      <c r="A51">
        <v>14</v>
      </c>
      <c r="B51" s="18" t="s">
        <v>331</v>
      </c>
      <c r="C51" s="18" t="s">
        <v>277</v>
      </c>
      <c r="D51" s="223" t="s">
        <v>331</v>
      </c>
      <c r="E51" s="223" t="s">
        <v>277</v>
      </c>
      <c r="F51" s="36" t="s">
        <v>187</v>
      </c>
      <c r="G51" s="36" t="s">
        <v>200</v>
      </c>
      <c r="H51" s="1" t="str">
        <f t="shared" si="5"/>
        <v>ML</v>
      </c>
      <c r="I51" s="232">
        <f t="shared" si="6"/>
        <v>175.81</v>
      </c>
      <c r="J51" s="10">
        <f>(VLOOKUP($H51,'Standard Estimate Uncertainty '!$B$10:$D$18,2)*$I51)+$I51</f>
        <v>158.229</v>
      </c>
      <c r="K51" s="10">
        <f>(VLOOKUP($H51,'Standard Estimate Uncertainty '!$B$10:$D$18,3)*$I51)+$I51</f>
        <v>202.1815</v>
      </c>
      <c r="L51" s="10">
        <f t="shared" si="7"/>
        <v>26.371499999999997</v>
      </c>
      <c r="M51" s="199">
        <f t="shared" si="8"/>
        <v>0.0021082892305965472</v>
      </c>
      <c r="N51" s="10">
        <f t="shared" si="10"/>
        <v>25.3416365517705</v>
      </c>
      <c r="O51" s="198">
        <f t="shared" si="9"/>
        <v>0.14414217935140491</v>
      </c>
      <c r="P51" s="10"/>
      <c r="Q51" s="10"/>
      <c r="R51" s="10"/>
      <c r="S51" s="10"/>
      <c r="T51" s="11">
        <v>0</v>
      </c>
      <c r="U51" s="66"/>
      <c r="V51" s="63">
        <v>40.87</v>
      </c>
      <c r="W51" s="63">
        <v>134.94</v>
      </c>
      <c r="X51" s="63"/>
      <c r="Y51" s="63"/>
      <c r="Z51" s="6"/>
      <c r="AA51" s="43"/>
      <c r="AB51" s="8">
        <f t="shared" si="11"/>
        <v>0.23246686764120356</v>
      </c>
      <c r="AC51" s="8">
        <f t="shared" si="12"/>
        <v>0.7675331323587964</v>
      </c>
      <c r="AD51" s="8">
        <f t="shared" si="13"/>
        <v>0</v>
      </c>
      <c r="AE51" s="8">
        <f t="shared" si="14"/>
        <v>0</v>
      </c>
      <c r="AF51" s="8">
        <f t="shared" si="15"/>
        <v>0</v>
      </c>
    </row>
    <row r="52" spans="1:32" ht="15">
      <c r="A52">
        <v>14</v>
      </c>
      <c r="B52" s="18" t="s">
        <v>331</v>
      </c>
      <c r="C52" s="18" t="s">
        <v>276</v>
      </c>
      <c r="D52" s="223" t="s">
        <v>331</v>
      </c>
      <c r="E52" s="223" t="s">
        <v>276</v>
      </c>
      <c r="F52" s="36" t="s">
        <v>187</v>
      </c>
      <c r="G52" s="36" t="s">
        <v>200</v>
      </c>
      <c r="H52" s="1" t="str">
        <f t="shared" si="5"/>
        <v>ML</v>
      </c>
      <c r="I52" s="232">
        <f t="shared" si="6"/>
        <v>325.25</v>
      </c>
      <c r="J52" s="10">
        <f>(VLOOKUP($H52,'Standard Estimate Uncertainty '!$B$10:$D$18,2)*$I52)+$I52</f>
        <v>292.725</v>
      </c>
      <c r="K52" s="10">
        <f>(VLOOKUP($H52,'Standard Estimate Uncertainty '!$B$10:$D$18,3)*$I52)+$I52</f>
        <v>374.0375</v>
      </c>
      <c r="L52" s="10">
        <f t="shared" si="7"/>
        <v>48.78750000000002</v>
      </c>
      <c r="M52" s="199">
        <f t="shared" si="8"/>
        <v>0.0039003530643963785</v>
      </c>
      <c r="N52" s="10">
        <f t="shared" si="10"/>
        <v>46.882243834044466</v>
      </c>
      <c r="O52" s="198">
        <f t="shared" si="9"/>
        <v>0.14414217935140497</v>
      </c>
      <c r="P52" s="10"/>
      <c r="Q52" s="10"/>
      <c r="R52" s="10"/>
      <c r="S52" s="10"/>
      <c r="T52" s="11">
        <v>0</v>
      </c>
      <c r="U52" s="66"/>
      <c r="V52" s="63">
        <v>48.7</v>
      </c>
      <c r="W52" s="63">
        <v>276.55</v>
      </c>
      <c r="X52" s="63"/>
      <c r="Y52" s="63"/>
      <c r="Z52" s="6"/>
      <c r="AA52" s="43"/>
      <c r="AB52" s="8">
        <f t="shared" si="11"/>
        <v>0.14973097617217526</v>
      </c>
      <c r="AC52" s="8">
        <f t="shared" si="12"/>
        <v>0.8502690238278248</v>
      </c>
      <c r="AD52" s="8">
        <f t="shared" si="13"/>
        <v>0</v>
      </c>
      <c r="AE52" s="8">
        <f t="shared" si="14"/>
        <v>0</v>
      </c>
      <c r="AF52" s="8">
        <f t="shared" si="15"/>
        <v>0</v>
      </c>
    </row>
    <row r="53" spans="1:32" ht="15">
      <c r="A53">
        <v>15</v>
      </c>
      <c r="B53" s="18" t="s">
        <v>332</v>
      </c>
      <c r="C53" s="18" t="s">
        <v>230</v>
      </c>
      <c r="D53" s="6" t="s">
        <v>332</v>
      </c>
      <c r="E53" s="6" t="s">
        <v>230</v>
      </c>
      <c r="F53" s="36" t="s">
        <v>187</v>
      </c>
      <c r="G53" s="36" t="s">
        <v>200</v>
      </c>
      <c r="H53" s="1" t="str">
        <f t="shared" si="5"/>
        <v>ML</v>
      </c>
      <c r="I53" s="61">
        <f t="shared" si="6"/>
        <v>186.61</v>
      </c>
      <c r="J53" s="10">
        <f>(VLOOKUP($H53,'Standard Estimate Uncertainty '!$B$10:$D$18,2)*$I53)+$I53</f>
        <v>167.949</v>
      </c>
      <c r="K53" s="10">
        <f>(VLOOKUP($H53,'Standard Estimate Uncertainty '!$B$10:$D$18,3)*$I53)+$I53</f>
        <v>214.60150000000002</v>
      </c>
      <c r="L53" s="10">
        <f t="shared" si="7"/>
        <v>27.991500000000002</v>
      </c>
      <c r="M53" s="199">
        <f t="shared" si="8"/>
        <v>0.00223780133849964</v>
      </c>
      <c r="N53" s="10">
        <f t="shared" si="10"/>
        <v>26.898372088765672</v>
      </c>
      <c r="O53" s="198">
        <f t="shared" si="9"/>
        <v>0.14414217935140491</v>
      </c>
      <c r="P53" s="10"/>
      <c r="Q53" s="10"/>
      <c r="R53" s="10"/>
      <c r="S53" s="10"/>
      <c r="T53" s="11">
        <v>0</v>
      </c>
      <c r="U53" s="66"/>
      <c r="V53" s="63">
        <v>164.21</v>
      </c>
      <c r="W53" s="63">
        <v>22.4</v>
      </c>
      <c r="X53" s="63"/>
      <c r="Y53" s="63"/>
      <c r="Z53" s="6"/>
      <c r="AA53" s="43"/>
      <c r="AB53" s="8">
        <f t="shared" si="11"/>
        <v>0.8799635603665398</v>
      </c>
      <c r="AC53" s="8">
        <f t="shared" si="12"/>
        <v>0.12003643963346014</v>
      </c>
      <c r="AD53" s="8">
        <f t="shared" si="13"/>
        <v>0</v>
      </c>
      <c r="AE53" s="8">
        <f t="shared" si="14"/>
        <v>0</v>
      </c>
      <c r="AF53" s="8">
        <f t="shared" si="15"/>
        <v>0</v>
      </c>
    </row>
    <row r="54" spans="1:32" ht="15">
      <c r="A54">
        <v>15</v>
      </c>
      <c r="B54" s="18" t="s">
        <v>333</v>
      </c>
      <c r="C54" s="18" t="s">
        <v>230</v>
      </c>
      <c r="D54" s="6" t="s">
        <v>333</v>
      </c>
      <c r="E54" s="6" t="s">
        <v>230</v>
      </c>
      <c r="F54" s="36" t="s">
        <v>187</v>
      </c>
      <c r="G54" s="36" t="s">
        <v>200</v>
      </c>
      <c r="H54" s="1" t="str">
        <f t="shared" si="5"/>
        <v>ML</v>
      </c>
      <c r="I54" s="61">
        <f t="shared" si="6"/>
        <v>1075.76</v>
      </c>
      <c r="J54" s="10">
        <f>(VLOOKUP($H54,'Standard Estimate Uncertainty '!$B$10:$D$18,2)*$I54)+$I54</f>
        <v>968.184</v>
      </c>
      <c r="K54" s="10">
        <f>(VLOOKUP($H54,'Standard Estimate Uncertainty '!$B$10:$D$18,3)*$I54)+$I54</f>
        <v>1237.124</v>
      </c>
      <c r="L54" s="10">
        <f t="shared" si="7"/>
        <v>161.36400000000003</v>
      </c>
      <c r="M54" s="199">
        <f t="shared" si="8"/>
        <v>0.012900365296095456</v>
      </c>
      <c r="N54" s="10">
        <f t="shared" si="10"/>
        <v>155.0623908590674</v>
      </c>
      <c r="O54" s="198">
        <f t="shared" si="9"/>
        <v>0.14414217935140494</v>
      </c>
      <c r="P54" s="10"/>
      <c r="Q54" s="10"/>
      <c r="R54" s="10"/>
      <c r="S54" s="10"/>
      <c r="T54" s="11">
        <v>0</v>
      </c>
      <c r="U54" s="66"/>
      <c r="V54" s="63"/>
      <c r="W54" s="63">
        <v>402.95</v>
      </c>
      <c r="X54" s="63">
        <v>672.81</v>
      </c>
      <c r="Y54" s="63"/>
      <c r="Z54" s="6"/>
      <c r="AA54" s="43"/>
      <c r="AB54" s="8">
        <f t="shared" si="11"/>
        <v>0</v>
      </c>
      <c r="AC54" s="8">
        <f t="shared" si="12"/>
        <v>0.37457239532981335</v>
      </c>
      <c r="AD54" s="8">
        <f t="shared" si="13"/>
        <v>0.6254276046701867</v>
      </c>
      <c r="AE54" s="8">
        <f t="shared" si="14"/>
        <v>0</v>
      </c>
      <c r="AF54" s="8">
        <f t="shared" si="15"/>
        <v>0</v>
      </c>
    </row>
    <row r="55" spans="1:32" ht="15">
      <c r="A55">
        <v>16</v>
      </c>
      <c r="B55" s="18" t="s">
        <v>334</v>
      </c>
      <c r="C55" s="18" t="s">
        <v>250</v>
      </c>
      <c r="D55" s="6" t="s">
        <v>334</v>
      </c>
      <c r="E55" s="6" t="s">
        <v>250</v>
      </c>
      <c r="F55" s="36" t="s">
        <v>186</v>
      </c>
      <c r="G55" s="36" t="s">
        <v>200</v>
      </c>
      <c r="H55" s="1" t="str">
        <f t="shared" si="5"/>
        <v>HL</v>
      </c>
      <c r="I55" s="160">
        <f t="shared" si="6"/>
        <v>6.23</v>
      </c>
      <c r="J55" s="10">
        <f>(VLOOKUP($H55,'Standard Estimate Uncertainty '!$B$10:$D$18,2)*$I55)+$I55</f>
        <v>5.918500000000001</v>
      </c>
      <c r="K55" s="10">
        <f>(VLOOKUP($H55,'Standard Estimate Uncertainty '!$B$10:$D$18,3)*$I55)+$I55</f>
        <v>6.853000000000001</v>
      </c>
      <c r="L55" s="10">
        <f t="shared" si="7"/>
        <v>0.6230000000000002</v>
      </c>
      <c r="M55" s="199">
        <f t="shared" si="8"/>
        <v>4.980619952075723E-05</v>
      </c>
      <c r="N55" s="10">
        <f t="shared" si="10"/>
        <v>0.5986705182395019</v>
      </c>
      <c r="O55" s="198">
        <f t="shared" si="9"/>
        <v>0.09609478623426997</v>
      </c>
      <c r="P55" s="10"/>
      <c r="Q55" s="10"/>
      <c r="R55" s="10"/>
      <c r="S55" s="10"/>
      <c r="T55" s="11">
        <v>0</v>
      </c>
      <c r="U55" s="66"/>
      <c r="V55" s="63">
        <v>6.23</v>
      </c>
      <c r="W55" s="63"/>
      <c r="X55" s="63"/>
      <c r="Y55" s="63"/>
      <c r="Z55" s="6"/>
      <c r="AA55" s="43"/>
      <c r="AB55" s="8">
        <f t="shared" si="11"/>
        <v>1</v>
      </c>
      <c r="AC55" s="8">
        <f t="shared" si="12"/>
        <v>0</v>
      </c>
      <c r="AD55" s="8">
        <f t="shared" si="13"/>
        <v>0</v>
      </c>
      <c r="AE55" s="8">
        <f t="shared" si="14"/>
        <v>0</v>
      </c>
      <c r="AF55" s="8">
        <f t="shared" si="15"/>
        <v>0</v>
      </c>
    </row>
    <row r="56" spans="1:32" ht="15">
      <c r="A56">
        <v>16</v>
      </c>
      <c r="B56" s="18" t="s">
        <v>334</v>
      </c>
      <c r="C56" s="18" t="s">
        <v>278</v>
      </c>
      <c r="D56" s="6" t="s">
        <v>334</v>
      </c>
      <c r="E56" s="6" t="s">
        <v>278</v>
      </c>
      <c r="F56" s="36" t="s">
        <v>186</v>
      </c>
      <c r="G56" s="36" t="s">
        <v>200</v>
      </c>
      <c r="H56" s="1" t="str">
        <f t="shared" si="5"/>
        <v>HL</v>
      </c>
      <c r="I56" s="160">
        <f t="shared" si="6"/>
        <v>338.72</v>
      </c>
      <c r="J56" s="10">
        <f>(VLOOKUP($H56,'Standard Estimate Uncertainty '!$B$10:$D$18,2)*$I56)+$I56</f>
        <v>321.78400000000005</v>
      </c>
      <c r="K56" s="10">
        <f>(VLOOKUP($H56,'Standard Estimate Uncertainty '!$B$10:$D$18,3)*$I56)+$I56</f>
        <v>372.59200000000004</v>
      </c>
      <c r="L56" s="10">
        <f t="shared" si="7"/>
        <v>33.872000000000014</v>
      </c>
      <c r="M56" s="199">
        <f t="shared" si="8"/>
        <v>0.0027079222956133053</v>
      </c>
      <c r="N56" s="10">
        <f t="shared" si="10"/>
        <v>32.54922599327193</v>
      </c>
      <c r="O56" s="198">
        <f t="shared" si="9"/>
        <v>0.09609478623426998</v>
      </c>
      <c r="P56" s="10"/>
      <c r="Q56" s="10"/>
      <c r="R56" s="10"/>
      <c r="S56" s="10"/>
      <c r="T56" s="11">
        <v>0</v>
      </c>
      <c r="U56" s="66"/>
      <c r="V56" s="63"/>
      <c r="W56" s="63">
        <v>239.44</v>
      </c>
      <c r="X56" s="63">
        <v>99.28</v>
      </c>
      <c r="Y56" s="63"/>
      <c r="Z56" s="6"/>
      <c r="AA56" s="43"/>
      <c r="AB56" s="8">
        <f t="shared" si="11"/>
        <v>0</v>
      </c>
      <c r="AC56" s="8">
        <f t="shared" si="12"/>
        <v>0.7068965517241379</v>
      </c>
      <c r="AD56" s="8">
        <f t="shared" si="13"/>
        <v>0.29310344827586204</v>
      </c>
      <c r="AE56" s="8">
        <f t="shared" si="14"/>
        <v>0</v>
      </c>
      <c r="AF56" s="8">
        <f t="shared" si="15"/>
        <v>0</v>
      </c>
    </row>
    <row r="57" spans="1:32" ht="15">
      <c r="A57">
        <v>16</v>
      </c>
      <c r="B57" s="18" t="s">
        <v>334</v>
      </c>
      <c r="C57" s="18" t="s">
        <v>279</v>
      </c>
      <c r="D57" s="6" t="s">
        <v>334</v>
      </c>
      <c r="E57" s="6" t="s">
        <v>279</v>
      </c>
      <c r="F57" s="36" t="s">
        <v>186</v>
      </c>
      <c r="G57" s="36" t="s">
        <v>200</v>
      </c>
      <c r="H57" s="1" t="str">
        <f t="shared" si="5"/>
        <v>HL</v>
      </c>
      <c r="I57" s="160">
        <f t="shared" si="6"/>
        <v>478.75</v>
      </c>
      <c r="J57" s="10">
        <f>(VLOOKUP($H57,'Standard Estimate Uncertainty '!$B$10:$D$18,2)*$I57)+$I57</f>
        <v>454.8125</v>
      </c>
      <c r="K57" s="10">
        <f>(VLOOKUP($H57,'Standard Estimate Uncertainty '!$B$10:$D$18,3)*$I57)+$I57</f>
        <v>526.625</v>
      </c>
      <c r="L57" s="10">
        <f t="shared" si="7"/>
        <v>47.875</v>
      </c>
      <c r="M57" s="199">
        <f t="shared" si="8"/>
        <v>0.003827402571518863</v>
      </c>
      <c r="N57" s="10">
        <f t="shared" si="10"/>
        <v>46.005378909656734</v>
      </c>
      <c r="O57" s="198">
        <f t="shared" si="9"/>
        <v>0.09609478623426994</v>
      </c>
      <c r="P57" s="10"/>
      <c r="Q57" s="10"/>
      <c r="R57" s="10"/>
      <c r="S57" s="10"/>
      <c r="T57" s="11">
        <v>0</v>
      </c>
      <c r="U57" s="66"/>
      <c r="V57" s="63"/>
      <c r="W57" s="63">
        <v>83.9</v>
      </c>
      <c r="X57" s="63">
        <v>235.06</v>
      </c>
      <c r="Y57" s="63">
        <v>159.79</v>
      </c>
      <c r="Z57" s="6"/>
      <c r="AA57" s="43"/>
      <c r="AB57" s="8">
        <f t="shared" si="11"/>
        <v>0</v>
      </c>
      <c r="AC57" s="8">
        <f t="shared" si="12"/>
        <v>0.17524804177545694</v>
      </c>
      <c r="AD57" s="8">
        <f t="shared" si="13"/>
        <v>0.4909869451697128</v>
      </c>
      <c r="AE57" s="8">
        <f t="shared" si="14"/>
        <v>0.33376501305483025</v>
      </c>
      <c r="AF57" s="8">
        <f t="shared" si="15"/>
        <v>0</v>
      </c>
    </row>
    <row r="58" spans="1:32" ht="15">
      <c r="A58">
        <v>16</v>
      </c>
      <c r="B58" s="18" t="s">
        <v>334</v>
      </c>
      <c r="C58" s="18" t="s">
        <v>280</v>
      </c>
      <c r="D58" s="6" t="s">
        <v>334</v>
      </c>
      <c r="E58" s="6" t="s">
        <v>280</v>
      </c>
      <c r="F58" s="36" t="s">
        <v>186</v>
      </c>
      <c r="G58" s="36" t="s">
        <v>200</v>
      </c>
      <c r="H58" s="1" t="str">
        <f t="shared" si="5"/>
        <v>HL</v>
      </c>
      <c r="I58" s="160">
        <f t="shared" si="6"/>
        <v>38.15</v>
      </c>
      <c r="J58" s="10">
        <f>(VLOOKUP($H58,'Standard Estimate Uncertainty '!$B$10:$D$18,2)*$I58)+$I58</f>
        <v>36.2425</v>
      </c>
      <c r="K58" s="10">
        <f>(VLOOKUP($H58,'Standard Estimate Uncertainty '!$B$10:$D$18,3)*$I58)+$I58</f>
        <v>41.964999999999996</v>
      </c>
      <c r="L58" s="10">
        <f t="shared" si="7"/>
        <v>3.8149999999999977</v>
      </c>
      <c r="M58" s="199">
        <f t="shared" si="8"/>
        <v>0.000304993019537221</v>
      </c>
      <c r="N58" s="10">
        <f t="shared" si="10"/>
        <v>3.6660160948373965</v>
      </c>
      <c r="O58" s="198">
        <f t="shared" si="9"/>
        <v>0.0960947862342699</v>
      </c>
      <c r="P58" s="10"/>
      <c r="Q58" s="10"/>
      <c r="R58" s="10"/>
      <c r="S58" s="10"/>
      <c r="T58" s="11">
        <v>0</v>
      </c>
      <c r="U58" s="66"/>
      <c r="V58" s="63"/>
      <c r="W58" s="63"/>
      <c r="X58" s="63">
        <v>38.15</v>
      </c>
      <c r="Y58" s="63"/>
      <c r="Z58" s="6"/>
      <c r="AA58" s="43"/>
      <c r="AB58" s="8">
        <f t="shared" si="11"/>
        <v>0</v>
      </c>
      <c r="AC58" s="8">
        <f t="shared" si="12"/>
        <v>0</v>
      </c>
      <c r="AD58" s="8">
        <f t="shared" si="13"/>
        <v>1</v>
      </c>
      <c r="AE58" s="8">
        <f t="shared" si="14"/>
        <v>0</v>
      </c>
      <c r="AF58" s="8">
        <f t="shared" si="15"/>
        <v>0</v>
      </c>
    </row>
    <row r="59" spans="1:32" ht="15">
      <c r="A59">
        <v>17</v>
      </c>
      <c r="B59" s="18" t="s">
        <v>335</v>
      </c>
      <c r="C59" s="18" t="s">
        <v>230</v>
      </c>
      <c r="D59" s="6" t="s">
        <v>335</v>
      </c>
      <c r="E59" s="6" t="s">
        <v>230</v>
      </c>
      <c r="F59" s="36" t="s">
        <v>200</v>
      </c>
      <c r="G59" s="36" t="s">
        <v>187</v>
      </c>
      <c r="H59" s="1" t="str">
        <f t="shared" si="5"/>
        <v>LM</v>
      </c>
      <c r="I59" s="61">
        <f t="shared" si="6"/>
        <v>206.97</v>
      </c>
      <c r="J59" s="10">
        <f>(VLOOKUP($H59,'Standard Estimate Uncertainty '!$B$10:$D$18,2)*$I59)+$I59</f>
        <v>165.576</v>
      </c>
      <c r="K59" s="10">
        <f>(VLOOKUP($H59,'Standard Estimate Uncertainty '!$B$10:$D$18,3)*$I59)+$I59</f>
        <v>289.75800000000004</v>
      </c>
      <c r="L59" s="10">
        <f t="shared" si="7"/>
        <v>82.78800000000004</v>
      </c>
      <c r="M59" s="199">
        <f t="shared" si="8"/>
        <v>0.006618548388321751</v>
      </c>
      <c r="N59" s="10">
        <f t="shared" si="10"/>
        <v>79.55495162762745</v>
      </c>
      <c r="O59" s="198">
        <f t="shared" si="9"/>
        <v>0.38437914493708</v>
      </c>
      <c r="P59" s="10"/>
      <c r="Q59" s="10"/>
      <c r="R59" s="10"/>
      <c r="S59" s="10"/>
      <c r="T59" s="11">
        <v>0</v>
      </c>
      <c r="U59" s="66"/>
      <c r="V59" s="63"/>
      <c r="W59" s="63"/>
      <c r="X59" s="63">
        <v>206.97</v>
      </c>
      <c r="Y59" s="63"/>
      <c r="Z59" s="6"/>
      <c r="AA59" s="43"/>
      <c r="AB59" s="8">
        <f t="shared" si="11"/>
        <v>0</v>
      </c>
      <c r="AC59" s="8">
        <f t="shared" si="12"/>
        <v>0</v>
      </c>
      <c r="AD59" s="8">
        <f t="shared" si="13"/>
        <v>1</v>
      </c>
      <c r="AE59" s="8">
        <f t="shared" si="14"/>
        <v>0</v>
      </c>
      <c r="AF59" s="8">
        <f t="shared" si="15"/>
        <v>0</v>
      </c>
    </row>
    <row r="60" spans="1:32" ht="15">
      <c r="A60">
        <v>17</v>
      </c>
      <c r="B60" s="18" t="s">
        <v>336</v>
      </c>
      <c r="C60" s="18" t="s">
        <v>230</v>
      </c>
      <c r="D60" s="6" t="s">
        <v>336</v>
      </c>
      <c r="E60" s="6" t="s">
        <v>230</v>
      </c>
      <c r="F60" s="36" t="s">
        <v>187</v>
      </c>
      <c r="G60" s="36" t="s">
        <v>200</v>
      </c>
      <c r="H60" s="1" t="str">
        <f t="shared" si="5"/>
        <v>ML</v>
      </c>
      <c r="I60" s="61">
        <f t="shared" si="6"/>
        <v>163.47</v>
      </c>
      <c r="J60" s="10">
        <f>(VLOOKUP($H60,'Standard Estimate Uncertainty '!$B$10:$D$18,2)*$I60)+$I60</f>
        <v>147.123</v>
      </c>
      <c r="K60" s="10">
        <f>(VLOOKUP($H60,'Standard Estimate Uncertainty '!$B$10:$D$18,3)*$I60)+$I60</f>
        <v>187.9905</v>
      </c>
      <c r="L60" s="10">
        <f t="shared" si="7"/>
        <v>24.5205</v>
      </c>
      <c r="M60" s="199">
        <f t="shared" si="8"/>
        <v>0.001960309655455421</v>
      </c>
      <c r="N60" s="10">
        <f t="shared" si="10"/>
        <v>23.562922058574163</v>
      </c>
      <c r="O60" s="198">
        <f t="shared" si="9"/>
        <v>0.14414217935140491</v>
      </c>
      <c r="P60" s="10"/>
      <c r="Q60" s="10"/>
      <c r="R60" s="10"/>
      <c r="S60" s="10"/>
      <c r="T60" s="11">
        <v>0</v>
      </c>
      <c r="U60" s="66"/>
      <c r="V60" s="63"/>
      <c r="W60" s="63">
        <v>163.47</v>
      </c>
      <c r="X60" s="63"/>
      <c r="Y60" s="63"/>
      <c r="Z60" s="6"/>
      <c r="AA60" s="43"/>
      <c r="AB60" s="8">
        <f t="shared" si="11"/>
        <v>0</v>
      </c>
      <c r="AC60" s="8">
        <f t="shared" si="12"/>
        <v>1</v>
      </c>
      <c r="AD60" s="8">
        <f t="shared" si="13"/>
        <v>0</v>
      </c>
      <c r="AE60" s="8">
        <f t="shared" si="14"/>
        <v>0</v>
      </c>
      <c r="AF60" s="8">
        <f t="shared" si="15"/>
        <v>0</v>
      </c>
    </row>
    <row r="61" spans="1:32" ht="15">
      <c r="A61">
        <v>17</v>
      </c>
      <c r="B61" s="18" t="s">
        <v>337</v>
      </c>
      <c r="C61" s="18" t="s">
        <v>230</v>
      </c>
      <c r="D61" s="6" t="s">
        <v>337</v>
      </c>
      <c r="E61" s="6" t="s">
        <v>230</v>
      </c>
      <c r="F61" s="36" t="s">
        <v>186</v>
      </c>
      <c r="G61" s="36" t="s">
        <v>200</v>
      </c>
      <c r="H61" s="1" t="str">
        <f t="shared" si="5"/>
        <v>HL</v>
      </c>
      <c r="I61" s="61">
        <f t="shared" si="6"/>
        <v>324.85</v>
      </c>
      <c r="J61" s="10">
        <f>(VLOOKUP($H61,'Standard Estimate Uncertainty '!$B$10:$D$18,2)*$I61)+$I61</f>
        <v>308.6075</v>
      </c>
      <c r="K61" s="10">
        <f>(VLOOKUP($H61,'Standard Estimate Uncertainty '!$B$10:$D$18,3)*$I61)+$I61</f>
        <v>357.33500000000004</v>
      </c>
      <c r="L61" s="10">
        <f t="shared" si="7"/>
        <v>32.485000000000014</v>
      </c>
      <c r="M61" s="199">
        <f t="shared" si="8"/>
        <v>0.0025970375464394848</v>
      </c>
      <c r="N61" s="10">
        <f t="shared" si="10"/>
        <v>31.216391308202606</v>
      </c>
      <c r="O61" s="198">
        <f t="shared" si="9"/>
        <v>0.09609478623426998</v>
      </c>
      <c r="P61" s="10"/>
      <c r="Q61" s="10"/>
      <c r="R61" s="10"/>
      <c r="S61" s="10"/>
      <c r="T61" s="11">
        <v>0</v>
      </c>
      <c r="U61" s="66"/>
      <c r="V61" s="63"/>
      <c r="W61" s="63"/>
      <c r="X61" s="63"/>
      <c r="Y61" s="63">
        <v>324.85</v>
      </c>
      <c r="Z61" s="6"/>
      <c r="AA61" s="43"/>
      <c r="AB61" s="8">
        <f t="shared" si="11"/>
        <v>0</v>
      </c>
      <c r="AC61" s="8">
        <f t="shared" si="12"/>
        <v>0</v>
      </c>
      <c r="AD61" s="8">
        <f t="shared" si="13"/>
        <v>0</v>
      </c>
      <c r="AE61" s="8">
        <f t="shared" si="14"/>
        <v>1</v>
      </c>
      <c r="AF61" s="8">
        <f t="shared" si="15"/>
        <v>0</v>
      </c>
    </row>
    <row r="62" spans="1:32" ht="15">
      <c r="A62">
        <v>17</v>
      </c>
      <c r="B62" s="18" t="s">
        <v>338</v>
      </c>
      <c r="C62" s="18" t="s">
        <v>281</v>
      </c>
      <c r="D62" s="6" t="s">
        <v>338</v>
      </c>
      <c r="E62" s="6" t="s">
        <v>281</v>
      </c>
      <c r="F62" s="36" t="s">
        <v>187</v>
      </c>
      <c r="G62" s="36" t="s">
        <v>200</v>
      </c>
      <c r="H62" s="1" t="str">
        <f t="shared" si="5"/>
        <v>ML</v>
      </c>
      <c r="I62" s="61">
        <f t="shared" si="6"/>
        <v>89.65</v>
      </c>
      <c r="J62" s="10">
        <f>(VLOOKUP($H62,'Standard Estimate Uncertainty '!$B$10:$D$18,2)*$I62)+$I62</f>
        <v>80.685</v>
      </c>
      <c r="K62" s="10">
        <f>(VLOOKUP($H62,'Standard Estimate Uncertainty '!$B$10:$D$18,3)*$I62)+$I62</f>
        <v>103.09750000000001</v>
      </c>
      <c r="L62" s="10">
        <f t="shared" si="7"/>
        <v>13.447500000000005</v>
      </c>
      <c r="M62" s="199">
        <f t="shared" si="8"/>
        <v>0.0010750704142140977</v>
      </c>
      <c r="N62" s="10">
        <f t="shared" si="10"/>
        <v>12.922346378853454</v>
      </c>
      <c r="O62" s="198">
        <f t="shared" si="9"/>
        <v>0.14414217935140494</v>
      </c>
      <c r="P62" s="10"/>
      <c r="Q62" s="10"/>
      <c r="R62" s="10"/>
      <c r="S62" s="10"/>
      <c r="T62" s="11">
        <v>0</v>
      </c>
      <c r="U62" s="66"/>
      <c r="V62" s="63"/>
      <c r="W62" s="63">
        <v>61.39</v>
      </c>
      <c r="X62" s="63">
        <v>28.26</v>
      </c>
      <c r="Y62" s="63"/>
      <c r="Z62" s="6"/>
      <c r="AA62" s="43"/>
      <c r="AB62" s="8">
        <f t="shared" si="11"/>
        <v>0</v>
      </c>
      <c r="AC62" s="8">
        <f t="shared" si="12"/>
        <v>0.6847741215839375</v>
      </c>
      <c r="AD62" s="8">
        <f t="shared" si="13"/>
        <v>0.3152258784160625</v>
      </c>
      <c r="AE62" s="8">
        <f t="shared" si="14"/>
        <v>0</v>
      </c>
      <c r="AF62" s="8">
        <f t="shared" si="15"/>
        <v>0</v>
      </c>
    </row>
    <row r="63" spans="1:32" s="259" customFormat="1" ht="15">
      <c r="A63" s="259">
        <v>18</v>
      </c>
      <c r="B63" s="233" t="s">
        <v>339</v>
      </c>
      <c r="C63" s="233" t="s">
        <v>282</v>
      </c>
      <c r="D63" s="259" t="s">
        <v>339</v>
      </c>
      <c r="E63" s="259" t="s">
        <v>282</v>
      </c>
      <c r="F63" s="234" t="s">
        <v>186</v>
      </c>
      <c r="G63" s="234" t="s">
        <v>187</v>
      </c>
      <c r="H63" s="235" t="str">
        <f t="shared" si="5"/>
        <v>HM</v>
      </c>
      <c r="I63" s="301">
        <f t="shared" si="6"/>
        <v>1988.2200000000003</v>
      </c>
      <c r="J63" s="12">
        <f>(VLOOKUP($H63,'Standard Estimate Uncertainty '!$B$10:$D$18,2)*$I63)+$I63</f>
        <v>1789.3980000000001</v>
      </c>
      <c r="K63" s="12">
        <f>(VLOOKUP($H63,'Standard Estimate Uncertainty '!$B$10:$D$18,3)*$I63)+$I63</f>
        <v>2286.4530000000004</v>
      </c>
      <c r="L63" s="12">
        <f t="shared" si="7"/>
        <v>298.2330000000002</v>
      </c>
      <c r="M63" s="296">
        <f t="shared" si="8"/>
        <v>0.02384245955324879</v>
      </c>
      <c r="N63" s="12">
        <f t="shared" si="10"/>
        <v>286.58636383005046</v>
      </c>
      <c r="O63" s="297">
        <f t="shared" si="9"/>
        <v>0.144142179351405</v>
      </c>
      <c r="P63" s="12"/>
      <c r="Q63" s="12"/>
      <c r="R63" s="12"/>
      <c r="S63" s="12"/>
      <c r="T63" s="12">
        <v>0</v>
      </c>
      <c r="U63" s="298"/>
      <c r="V63" s="299">
        <v>252.65</v>
      </c>
      <c r="W63" s="299">
        <v>789.76</v>
      </c>
      <c r="X63" s="299">
        <v>857.93</v>
      </c>
      <c r="Y63" s="299">
        <v>87.88</v>
      </c>
      <c r="AA63" s="232"/>
      <c r="AB63" s="300">
        <f t="shared" si="11"/>
        <v>0.12707346269527517</v>
      </c>
      <c r="AC63" s="300">
        <f t="shared" si="12"/>
        <v>0.39721962358290325</v>
      </c>
      <c r="AD63" s="300">
        <f t="shared" si="13"/>
        <v>0.43150657371920603</v>
      </c>
      <c r="AE63" s="300">
        <f t="shared" si="14"/>
        <v>0.0442003400026154</v>
      </c>
      <c r="AF63" s="300">
        <f t="shared" si="15"/>
        <v>0</v>
      </c>
    </row>
    <row r="64" spans="1:32" s="259" customFormat="1" ht="15">
      <c r="A64" s="259">
        <v>18</v>
      </c>
      <c r="B64" s="233" t="s">
        <v>340</v>
      </c>
      <c r="C64" s="233" t="s">
        <v>283</v>
      </c>
      <c r="D64" s="259" t="s">
        <v>340</v>
      </c>
      <c r="E64" s="259" t="s">
        <v>283</v>
      </c>
      <c r="F64" s="234" t="s">
        <v>200</v>
      </c>
      <c r="G64" s="234" t="s">
        <v>200</v>
      </c>
      <c r="H64" s="235" t="str">
        <f t="shared" si="5"/>
        <v>LL</v>
      </c>
      <c r="I64" s="232">
        <f t="shared" si="6"/>
        <v>0</v>
      </c>
      <c r="J64" s="12">
        <f>(VLOOKUP($H64,'Standard Estimate Uncertainty '!$B$10:$D$18,2)*$I64)+$I64</f>
        <v>0</v>
      </c>
      <c r="K64" s="12">
        <f>(VLOOKUP($H64,'Standard Estimate Uncertainty '!$B$10:$D$18,3)*$I64)+$I64</f>
        <v>0</v>
      </c>
      <c r="L64" s="12">
        <f t="shared" si="7"/>
        <v>0</v>
      </c>
      <c r="M64" s="296">
        <f t="shared" si="8"/>
        <v>0</v>
      </c>
      <c r="N64" s="12">
        <f t="shared" si="10"/>
        <v>0</v>
      </c>
      <c r="O64" s="297" t="e">
        <f t="shared" si="9"/>
        <v>#DIV/0!</v>
      </c>
      <c r="P64" s="12"/>
      <c r="Q64" s="12"/>
      <c r="R64" s="12"/>
      <c r="S64" s="12"/>
      <c r="T64" s="12">
        <v>0</v>
      </c>
      <c r="U64" s="298"/>
      <c r="V64" s="299"/>
      <c r="W64" s="299"/>
      <c r="X64" s="299"/>
      <c r="Y64" s="299"/>
      <c r="AA64" s="232"/>
      <c r="AB64" s="300" t="e">
        <f t="shared" si="11"/>
        <v>#DIV/0!</v>
      </c>
      <c r="AC64" s="300" t="e">
        <f t="shared" si="12"/>
        <v>#DIV/0!</v>
      </c>
      <c r="AD64" s="300" t="e">
        <f t="shared" si="13"/>
        <v>#DIV/0!</v>
      </c>
      <c r="AE64" s="300" t="e">
        <f t="shared" si="14"/>
        <v>#DIV/0!</v>
      </c>
      <c r="AF64" s="300" t="e">
        <f t="shared" si="15"/>
        <v>#DIV/0!</v>
      </c>
    </row>
    <row r="65" spans="1:32" s="259" customFormat="1" ht="15">
      <c r="A65" s="259">
        <v>18</v>
      </c>
      <c r="B65" s="233" t="s">
        <v>340</v>
      </c>
      <c r="C65" s="233" t="s">
        <v>284</v>
      </c>
      <c r="D65" s="259" t="s">
        <v>340</v>
      </c>
      <c r="E65" s="259" t="s">
        <v>284</v>
      </c>
      <c r="F65" s="234" t="s">
        <v>187</v>
      </c>
      <c r="G65" s="234" t="s">
        <v>200</v>
      </c>
      <c r="H65" s="235" t="str">
        <f t="shared" si="5"/>
        <v>ML</v>
      </c>
      <c r="I65" s="232">
        <f t="shared" si="6"/>
        <v>122.11</v>
      </c>
      <c r="J65" s="12">
        <f>(VLOOKUP($H65,'Standard Estimate Uncertainty '!$B$10:$D$18,2)*$I65)+$I65</f>
        <v>109.899</v>
      </c>
      <c r="K65" s="12">
        <f>(VLOOKUP($H65,'Standard Estimate Uncertainty '!$B$10:$D$18,3)*$I65)+$I65</f>
        <v>140.4265</v>
      </c>
      <c r="L65" s="12">
        <f t="shared" si="7"/>
        <v>18.316500000000005</v>
      </c>
      <c r="M65" s="296">
        <f t="shared" si="8"/>
        <v>0.0014643262496339484</v>
      </c>
      <c r="N65" s="12">
        <f t="shared" si="10"/>
        <v>17.60120152060006</v>
      </c>
      <c r="O65" s="297">
        <f t="shared" si="9"/>
        <v>0.14414217935140497</v>
      </c>
      <c r="P65" s="12"/>
      <c r="Q65" s="12"/>
      <c r="R65" s="12"/>
      <c r="S65" s="12"/>
      <c r="T65" s="12">
        <v>0</v>
      </c>
      <c r="U65" s="298"/>
      <c r="V65" s="299">
        <v>97.38</v>
      </c>
      <c r="W65" s="299">
        <v>24.73</v>
      </c>
      <c r="X65" s="299"/>
      <c r="Y65" s="299"/>
      <c r="AA65" s="232"/>
      <c r="AB65" s="300">
        <f t="shared" si="11"/>
        <v>0.7974776840553599</v>
      </c>
      <c r="AC65" s="300">
        <f t="shared" si="12"/>
        <v>0.2025223159446401</v>
      </c>
      <c r="AD65" s="300">
        <f t="shared" si="13"/>
        <v>0</v>
      </c>
      <c r="AE65" s="300">
        <f t="shared" si="14"/>
        <v>0</v>
      </c>
      <c r="AF65" s="300">
        <f t="shared" si="15"/>
        <v>0</v>
      </c>
    </row>
    <row r="66" spans="1:32" s="259" customFormat="1" ht="15">
      <c r="A66" s="259">
        <v>18</v>
      </c>
      <c r="B66" s="233" t="s">
        <v>340</v>
      </c>
      <c r="C66" s="233" t="s">
        <v>285</v>
      </c>
      <c r="D66" s="259" t="s">
        <v>340</v>
      </c>
      <c r="E66" s="259" t="s">
        <v>285</v>
      </c>
      <c r="F66" s="234" t="s">
        <v>187</v>
      </c>
      <c r="G66" s="234" t="s">
        <v>200</v>
      </c>
      <c r="H66" s="235" t="str">
        <f aca="true" t="shared" si="16" ref="H66:H129">CONCATENATE(F66,G66)</f>
        <v>ML</v>
      </c>
      <c r="I66" s="232">
        <f t="shared" si="6"/>
        <v>186.12</v>
      </c>
      <c r="J66" s="12">
        <f>(VLOOKUP($H66,'Standard Estimate Uncertainty '!$B$10:$D$18,2)*$I66)+$I66</f>
        <v>167.508</v>
      </c>
      <c r="K66" s="12">
        <f>(VLOOKUP($H66,'Standard Estimate Uncertainty '!$B$10:$D$18,3)*$I66)+$I66</f>
        <v>214.038</v>
      </c>
      <c r="L66" s="12">
        <f t="shared" si="7"/>
        <v>27.918000000000006</v>
      </c>
      <c r="M66" s="296">
        <f t="shared" si="8"/>
        <v>0.0022319253261966297</v>
      </c>
      <c r="N66" s="12">
        <f t="shared" si="10"/>
        <v>26.82774242088349</v>
      </c>
      <c r="O66" s="297">
        <f t="shared" si="9"/>
        <v>0.14414217935140494</v>
      </c>
      <c r="P66" s="12"/>
      <c r="Q66" s="12"/>
      <c r="R66" s="12"/>
      <c r="S66" s="12"/>
      <c r="T66" s="12">
        <v>0</v>
      </c>
      <c r="U66" s="298"/>
      <c r="V66" s="299">
        <v>33.37</v>
      </c>
      <c r="W66" s="299">
        <v>152.75</v>
      </c>
      <c r="X66" s="299"/>
      <c r="Y66" s="299"/>
      <c r="AA66" s="232"/>
      <c r="AB66" s="300">
        <f aca="true" t="shared" si="17" ref="AB66:AB129">V66/$I66</f>
        <v>0.17929292929292928</v>
      </c>
      <c r="AC66" s="300">
        <f aca="true" t="shared" si="18" ref="AC66:AC129">W66/$I66</f>
        <v>0.8207070707070707</v>
      </c>
      <c r="AD66" s="300">
        <f aca="true" t="shared" si="19" ref="AD66:AD129">X66/$I66</f>
        <v>0</v>
      </c>
      <c r="AE66" s="300">
        <f aca="true" t="shared" si="20" ref="AE66:AE129">Y66/$I66</f>
        <v>0</v>
      </c>
      <c r="AF66" s="300">
        <f aca="true" t="shared" si="21" ref="AF66:AF129">Z66/$I66</f>
        <v>0</v>
      </c>
    </row>
    <row r="67" spans="1:32" s="259" customFormat="1" ht="15">
      <c r="A67" s="259">
        <v>18</v>
      </c>
      <c r="B67" s="233" t="s">
        <v>340</v>
      </c>
      <c r="C67" s="233" t="s">
        <v>286</v>
      </c>
      <c r="D67" s="259" t="s">
        <v>340</v>
      </c>
      <c r="E67" s="259" t="s">
        <v>286</v>
      </c>
      <c r="F67" s="234" t="s">
        <v>200</v>
      </c>
      <c r="G67" s="234" t="s">
        <v>187</v>
      </c>
      <c r="H67" s="235" t="str">
        <f t="shared" si="16"/>
        <v>LM</v>
      </c>
      <c r="I67" s="232">
        <f t="shared" si="6"/>
        <v>213.63</v>
      </c>
      <c r="J67" s="12">
        <f>(VLOOKUP($H67,'Standard Estimate Uncertainty '!$B$10:$D$18,2)*$I67)+$I67</f>
        <v>170.904</v>
      </c>
      <c r="K67" s="12">
        <f>(VLOOKUP($H67,'Standard Estimate Uncertainty '!$B$10:$D$18,3)*$I67)+$I67</f>
        <v>299.082</v>
      </c>
      <c r="L67" s="12">
        <f t="shared" si="7"/>
        <v>85.452</v>
      </c>
      <c r="M67" s="296">
        <f t="shared" si="8"/>
        <v>0.006831523854651278</v>
      </c>
      <c r="N67" s="12">
        <f t="shared" si="10"/>
        <v>82.11491673290836</v>
      </c>
      <c r="O67" s="297">
        <f t="shared" si="9"/>
        <v>0.3843791449370798</v>
      </c>
      <c r="P67" s="12"/>
      <c r="Q67" s="12"/>
      <c r="R67" s="12"/>
      <c r="S67" s="12"/>
      <c r="T67" s="12">
        <v>0</v>
      </c>
      <c r="U67" s="298"/>
      <c r="V67" s="299"/>
      <c r="W67" s="299">
        <v>138.16</v>
      </c>
      <c r="X67" s="299">
        <v>75.47</v>
      </c>
      <c r="Y67" s="299"/>
      <c r="AA67" s="232"/>
      <c r="AB67" s="300">
        <f t="shared" si="17"/>
        <v>0</v>
      </c>
      <c r="AC67" s="300">
        <f t="shared" si="18"/>
        <v>0.6467256471469363</v>
      </c>
      <c r="AD67" s="300">
        <f t="shared" si="19"/>
        <v>0.3532743528530637</v>
      </c>
      <c r="AE67" s="300">
        <f t="shared" si="20"/>
        <v>0</v>
      </c>
      <c r="AF67" s="300">
        <f t="shared" si="21"/>
        <v>0</v>
      </c>
    </row>
    <row r="68" spans="1:32" s="259" customFormat="1" ht="15">
      <c r="A68" s="259">
        <v>18</v>
      </c>
      <c r="B68" s="233" t="s">
        <v>341</v>
      </c>
      <c r="C68" s="233" t="s">
        <v>287</v>
      </c>
      <c r="D68" s="259" t="s">
        <v>341</v>
      </c>
      <c r="E68" s="259" t="s">
        <v>287</v>
      </c>
      <c r="F68" s="234" t="s">
        <v>187</v>
      </c>
      <c r="G68" s="234" t="s">
        <v>187</v>
      </c>
      <c r="H68" s="235" t="str">
        <f t="shared" si="16"/>
        <v>MM</v>
      </c>
      <c r="I68" s="232">
        <f aca="true" t="shared" si="22" ref="I68:I131">SUM(V68:Z68)</f>
        <v>17</v>
      </c>
      <c r="J68" s="12">
        <f>(VLOOKUP($H68,'Standard Estimate Uncertainty '!$B$10:$D$18,2)*$I68)+$I68</f>
        <v>14.45</v>
      </c>
      <c r="K68" s="12">
        <f>(VLOOKUP($H68,'Standard Estimate Uncertainty '!$B$10:$D$18,3)*$I68)+$I68</f>
        <v>21.25</v>
      </c>
      <c r="L68" s="12">
        <f aca="true" t="shared" si="23" ref="L68:L131">+K68-I68</f>
        <v>4.25</v>
      </c>
      <c r="M68" s="296">
        <f aca="true" t="shared" si="24" ref="M68:M131">+L68/L$150</f>
        <v>0.00033976941888157013</v>
      </c>
      <c r="N68" s="12">
        <f t="shared" si="10"/>
        <v>4.084028414956473</v>
      </c>
      <c r="O68" s="297">
        <f aca="true" t="shared" si="25" ref="O68:O131">+N68/I68</f>
        <v>0.24023696558567487</v>
      </c>
      <c r="P68" s="12"/>
      <c r="Q68" s="12"/>
      <c r="R68" s="12"/>
      <c r="S68" s="12"/>
      <c r="T68" s="12">
        <v>0</v>
      </c>
      <c r="U68" s="298"/>
      <c r="V68" s="299"/>
      <c r="W68" s="299">
        <v>9.18</v>
      </c>
      <c r="X68" s="299">
        <v>7.82</v>
      </c>
      <c r="Y68" s="299"/>
      <c r="AA68" s="232"/>
      <c r="AB68" s="300">
        <f t="shared" si="17"/>
        <v>0</v>
      </c>
      <c r="AC68" s="300">
        <f t="shared" si="18"/>
        <v>0.54</v>
      </c>
      <c r="AD68" s="300">
        <f t="shared" si="19"/>
        <v>0.46</v>
      </c>
      <c r="AE68" s="300">
        <f t="shared" si="20"/>
        <v>0</v>
      </c>
      <c r="AF68" s="300">
        <f t="shared" si="21"/>
        <v>0</v>
      </c>
    </row>
    <row r="69" spans="1:32" s="259" customFormat="1" ht="15">
      <c r="A69" s="259">
        <v>18</v>
      </c>
      <c r="B69" s="233" t="s">
        <v>341</v>
      </c>
      <c r="C69" s="233" t="s">
        <v>283</v>
      </c>
      <c r="D69" s="259" t="s">
        <v>341</v>
      </c>
      <c r="E69" s="259" t="s">
        <v>283</v>
      </c>
      <c r="F69" s="234" t="s">
        <v>187</v>
      </c>
      <c r="G69" s="234" t="s">
        <v>187</v>
      </c>
      <c r="H69" s="235" t="str">
        <f t="shared" si="16"/>
        <v>MM</v>
      </c>
      <c r="I69" s="232">
        <f t="shared" si="22"/>
        <v>25.66</v>
      </c>
      <c r="J69" s="12">
        <f>(VLOOKUP($H69,'Standard Estimate Uncertainty '!$B$10:$D$18,2)*$I69)+$I69</f>
        <v>21.811</v>
      </c>
      <c r="K69" s="12">
        <f>(VLOOKUP($H69,'Standard Estimate Uncertainty '!$B$10:$D$18,3)*$I69)+$I69</f>
        <v>32.075</v>
      </c>
      <c r="L69" s="12">
        <f t="shared" si="23"/>
        <v>6.415000000000003</v>
      </c>
      <c r="M69" s="296">
        <f t="shared" si="24"/>
        <v>0.0005128519581471231</v>
      </c>
      <c r="N69" s="12">
        <f t="shared" si="10"/>
        <v>6.164480536928419</v>
      </c>
      <c r="O69" s="297">
        <f t="shared" si="25"/>
        <v>0.24023696558567495</v>
      </c>
      <c r="P69" s="12"/>
      <c r="Q69" s="12"/>
      <c r="R69" s="12"/>
      <c r="S69" s="12"/>
      <c r="T69" s="12">
        <v>0</v>
      </c>
      <c r="U69" s="298"/>
      <c r="V69" s="299">
        <v>25.66</v>
      </c>
      <c r="W69" s="299"/>
      <c r="X69" s="299"/>
      <c r="Y69" s="299"/>
      <c r="AA69" s="232"/>
      <c r="AB69" s="300">
        <f t="shared" si="17"/>
        <v>1</v>
      </c>
      <c r="AC69" s="300">
        <f t="shared" si="18"/>
        <v>0</v>
      </c>
      <c r="AD69" s="300">
        <f t="shared" si="19"/>
        <v>0</v>
      </c>
      <c r="AE69" s="300">
        <f t="shared" si="20"/>
        <v>0</v>
      </c>
      <c r="AF69" s="300">
        <f t="shared" si="21"/>
        <v>0</v>
      </c>
    </row>
    <row r="70" spans="1:32" s="259" customFormat="1" ht="15">
      <c r="A70" s="259">
        <v>18</v>
      </c>
      <c r="B70" s="233" t="s">
        <v>341</v>
      </c>
      <c r="C70" s="233" t="s">
        <v>284</v>
      </c>
      <c r="D70" s="259" t="s">
        <v>341</v>
      </c>
      <c r="E70" s="259" t="s">
        <v>284</v>
      </c>
      <c r="F70" s="234" t="s">
        <v>187</v>
      </c>
      <c r="G70" s="234" t="s">
        <v>187</v>
      </c>
      <c r="H70" s="235" t="str">
        <f t="shared" si="16"/>
        <v>MM</v>
      </c>
      <c r="I70" s="232">
        <f t="shared" si="22"/>
        <v>51.5</v>
      </c>
      <c r="J70" s="12">
        <f>(VLOOKUP($H70,'Standard Estimate Uncertainty '!$B$10:$D$18,2)*$I70)+$I70</f>
        <v>43.775</v>
      </c>
      <c r="K70" s="12">
        <f>(VLOOKUP($H70,'Standard Estimate Uncertainty '!$B$10:$D$18,3)*$I70)+$I70</f>
        <v>64.375</v>
      </c>
      <c r="L70" s="12">
        <f t="shared" si="23"/>
        <v>12.875</v>
      </c>
      <c r="M70" s="296">
        <f t="shared" si="24"/>
        <v>0.0010293014748471094</v>
      </c>
      <c r="N70" s="12">
        <f t="shared" si="10"/>
        <v>12.372203727662255</v>
      </c>
      <c r="O70" s="297">
        <f t="shared" si="25"/>
        <v>0.24023696558567484</v>
      </c>
      <c r="P70" s="12"/>
      <c r="Q70" s="12"/>
      <c r="R70" s="12"/>
      <c r="S70" s="12"/>
      <c r="T70" s="12">
        <v>0</v>
      </c>
      <c r="U70" s="298"/>
      <c r="V70" s="299">
        <v>22.73</v>
      </c>
      <c r="W70" s="299">
        <v>28.77</v>
      </c>
      <c r="X70" s="299"/>
      <c r="Y70" s="299"/>
      <c r="AA70" s="232"/>
      <c r="AB70" s="300">
        <f t="shared" si="17"/>
        <v>0.4413592233009709</v>
      </c>
      <c r="AC70" s="300">
        <f t="shared" si="18"/>
        <v>0.5586407766990291</v>
      </c>
      <c r="AD70" s="300">
        <f t="shared" si="19"/>
        <v>0</v>
      </c>
      <c r="AE70" s="300">
        <f t="shared" si="20"/>
        <v>0</v>
      </c>
      <c r="AF70" s="300">
        <f t="shared" si="21"/>
        <v>0</v>
      </c>
    </row>
    <row r="71" spans="1:32" s="259" customFormat="1" ht="15">
      <c r="A71" s="259">
        <v>18</v>
      </c>
      <c r="B71" s="233" t="s">
        <v>341</v>
      </c>
      <c r="C71" s="233" t="s">
        <v>285</v>
      </c>
      <c r="D71" s="259" t="s">
        <v>341</v>
      </c>
      <c r="E71" s="259" t="s">
        <v>285</v>
      </c>
      <c r="F71" s="234" t="s">
        <v>187</v>
      </c>
      <c r="G71" s="234" t="s">
        <v>187</v>
      </c>
      <c r="H71" s="235" t="str">
        <f t="shared" si="16"/>
        <v>MM</v>
      </c>
      <c r="I71" s="232">
        <f t="shared" si="22"/>
        <v>112.63</v>
      </c>
      <c r="J71" s="12">
        <f>(VLOOKUP($H71,'Standard Estimate Uncertainty '!$B$10:$D$18,2)*$I71)+$I71</f>
        <v>95.7355</v>
      </c>
      <c r="K71" s="12">
        <f>(VLOOKUP($H71,'Standard Estimate Uncertainty '!$B$10:$D$18,3)*$I71)+$I71</f>
        <v>140.7875</v>
      </c>
      <c r="L71" s="12">
        <f t="shared" si="23"/>
        <v>28.1575</v>
      </c>
      <c r="M71" s="296">
        <f t="shared" si="24"/>
        <v>0.002251072332272426</v>
      </c>
      <c r="N71" s="12">
        <f aca="true" t="shared" si="26" ref="N71:N134">+M71*M$152</f>
        <v>27.05788943391456</v>
      </c>
      <c r="O71" s="297">
        <f t="shared" si="25"/>
        <v>0.24023696558567487</v>
      </c>
      <c r="P71" s="12"/>
      <c r="Q71" s="12"/>
      <c r="R71" s="12"/>
      <c r="S71" s="12"/>
      <c r="T71" s="12">
        <v>0</v>
      </c>
      <c r="U71" s="298"/>
      <c r="V71" s="299"/>
      <c r="W71" s="299">
        <v>112.63</v>
      </c>
      <c r="X71" s="299"/>
      <c r="Y71" s="299"/>
      <c r="AA71" s="232"/>
      <c r="AB71" s="300">
        <f t="shared" si="17"/>
        <v>0</v>
      </c>
      <c r="AC71" s="300">
        <f t="shared" si="18"/>
        <v>1</v>
      </c>
      <c r="AD71" s="300">
        <f t="shared" si="19"/>
        <v>0</v>
      </c>
      <c r="AE71" s="300">
        <f t="shared" si="20"/>
        <v>0</v>
      </c>
      <c r="AF71" s="300">
        <f t="shared" si="21"/>
        <v>0</v>
      </c>
    </row>
    <row r="72" spans="1:32" s="259" customFormat="1" ht="15">
      <c r="A72" s="259">
        <v>18</v>
      </c>
      <c r="B72" s="233" t="s">
        <v>341</v>
      </c>
      <c r="C72" s="233" t="s">
        <v>286</v>
      </c>
      <c r="D72" s="259" t="s">
        <v>341</v>
      </c>
      <c r="E72" s="259" t="s">
        <v>286</v>
      </c>
      <c r="F72" s="234" t="s">
        <v>187</v>
      </c>
      <c r="G72" s="234" t="s">
        <v>187</v>
      </c>
      <c r="H72" s="235" t="str">
        <f t="shared" si="16"/>
        <v>MM</v>
      </c>
      <c r="I72" s="232">
        <f t="shared" si="22"/>
        <v>131.5</v>
      </c>
      <c r="J72" s="12">
        <f>(VLOOKUP($H72,'Standard Estimate Uncertainty '!$B$10:$D$18,2)*$I72)+$I72</f>
        <v>111.775</v>
      </c>
      <c r="K72" s="12">
        <f>(VLOOKUP($H72,'Standard Estimate Uncertainty '!$B$10:$D$18,3)*$I72)+$I72</f>
        <v>164.375</v>
      </c>
      <c r="L72" s="12">
        <f t="shared" si="23"/>
        <v>32.875</v>
      </c>
      <c r="M72" s="296">
        <f t="shared" si="24"/>
        <v>0.0026282163872309687</v>
      </c>
      <c r="N72" s="12">
        <f t="shared" si="26"/>
        <v>31.591160974516242</v>
      </c>
      <c r="O72" s="297">
        <f t="shared" si="25"/>
        <v>0.24023696558567484</v>
      </c>
      <c r="P72" s="12"/>
      <c r="Q72" s="12"/>
      <c r="R72" s="12"/>
      <c r="S72" s="12"/>
      <c r="T72" s="12">
        <v>0</v>
      </c>
      <c r="U72" s="298"/>
      <c r="V72" s="299"/>
      <c r="W72" s="299">
        <v>129.31</v>
      </c>
      <c r="X72" s="299">
        <v>2.19</v>
      </c>
      <c r="Y72" s="299"/>
      <c r="AA72" s="232"/>
      <c r="AB72" s="300">
        <f t="shared" si="17"/>
        <v>0</v>
      </c>
      <c r="AC72" s="300">
        <f t="shared" si="18"/>
        <v>0.9833460076045627</v>
      </c>
      <c r="AD72" s="300">
        <f t="shared" si="19"/>
        <v>0.016653992395437262</v>
      </c>
      <c r="AE72" s="300">
        <f t="shared" si="20"/>
        <v>0</v>
      </c>
      <c r="AF72" s="300">
        <f t="shared" si="21"/>
        <v>0</v>
      </c>
    </row>
    <row r="73" spans="1:32" s="259" customFormat="1" ht="15">
      <c r="A73" s="259">
        <v>18</v>
      </c>
      <c r="B73" s="233" t="s">
        <v>341</v>
      </c>
      <c r="C73" s="233" t="s">
        <v>230</v>
      </c>
      <c r="D73" s="259" t="s">
        <v>341</v>
      </c>
      <c r="E73" s="259" t="s">
        <v>230</v>
      </c>
      <c r="F73" s="234" t="s">
        <v>187</v>
      </c>
      <c r="G73" s="234" t="s">
        <v>187</v>
      </c>
      <c r="H73" s="235" t="str">
        <f t="shared" si="16"/>
        <v>MM</v>
      </c>
      <c r="I73" s="232">
        <f t="shared" si="22"/>
        <v>176.47</v>
      </c>
      <c r="J73" s="12">
        <f>(VLOOKUP($H73,'Standard Estimate Uncertainty '!$B$10:$D$18,2)*$I73)+$I73</f>
        <v>149.9995</v>
      </c>
      <c r="K73" s="12">
        <f>(VLOOKUP($H73,'Standard Estimate Uncertainty '!$B$10:$D$18,3)*$I73)+$I73</f>
        <v>220.5875</v>
      </c>
      <c r="L73" s="12">
        <f t="shared" si="23"/>
        <v>44.11750000000001</v>
      </c>
      <c r="M73" s="296">
        <f t="shared" si="24"/>
        <v>0.0035270064323547463</v>
      </c>
      <c r="N73" s="12">
        <f t="shared" si="26"/>
        <v>42.39461731690405</v>
      </c>
      <c r="O73" s="297">
        <f t="shared" si="25"/>
        <v>0.24023696558567492</v>
      </c>
      <c r="P73" s="12"/>
      <c r="Q73" s="12"/>
      <c r="R73" s="12"/>
      <c r="S73" s="12"/>
      <c r="T73" s="12">
        <v>0</v>
      </c>
      <c r="U73" s="298"/>
      <c r="V73" s="299">
        <v>43.5</v>
      </c>
      <c r="W73" s="299">
        <v>102.6</v>
      </c>
      <c r="X73" s="299">
        <v>30.37</v>
      </c>
      <c r="Y73" s="299"/>
      <c r="AA73" s="232"/>
      <c r="AB73" s="300">
        <f t="shared" si="17"/>
        <v>0.24650082166940557</v>
      </c>
      <c r="AC73" s="300">
        <f t="shared" si="18"/>
        <v>0.58140193800646</v>
      </c>
      <c r="AD73" s="300">
        <f t="shared" si="19"/>
        <v>0.17209724032413443</v>
      </c>
      <c r="AE73" s="300">
        <f t="shared" si="20"/>
        <v>0</v>
      </c>
      <c r="AF73" s="300">
        <f t="shared" si="21"/>
        <v>0</v>
      </c>
    </row>
    <row r="74" spans="1:32" s="259" customFormat="1" ht="15">
      <c r="A74" s="259">
        <v>18</v>
      </c>
      <c r="B74" s="233" t="s">
        <v>342</v>
      </c>
      <c r="C74" s="233" t="s">
        <v>538</v>
      </c>
      <c r="D74" s="259" t="s">
        <v>342</v>
      </c>
      <c r="E74" s="259" t="s">
        <v>538</v>
      </c>
      <c r="F74" s="234" t="s">
        <v>186</v>
      </c>
      <c r="G74" s="234" t="s">
        <v>187</v>
      </c>
      <c r="H74" s="235" t="str">
        <f t="shared" si="16"/>
        <v>HM</v>
      </c>
      <c r="I74" s="301">
        <f t="shared" si="22"/>
        <v>2922.26</v>
      </c>
      <c r="J74" s="12">
        <f>(VLOOKUP($H74,'Standard Estimate Uncertainty '!$B$10:$D$18,2)*$I74)+$I74</f>
        <v>2630.034</v>
      </c>
      <c r="K74" s="12">
        <f>(VLOOKUP($H74,'Standard Estimate Uncertainty '!$B$10:$D$18,3)*$I74)+$I74</f>
        <v>3360.599</v>
      </c>
      <c r="L74" s="12">
        <f t="shared" si="23"/>
        <v>438.33899999999994</v>
      </c>
      <c r="M74" s="296">
        <f t="shared" si="24"/>
        <v>0.03504333818897142</v>
      </c>
      <c r="N74" s="12">
        <f t="shared" si="26"/>
        <v>421.2209250314365</v>
      </c>
      <c r="O74" s="297">
        <f t="shared" si="25"/>
        <v>0.1441421793514049</v>
      </c>
      <c r="P74" s="12"/>
      <c r="Q74" s="12"/>
      <c r="R74" s="12"/>
      <c r="S74" s="12"/>
      <c r="T74" s="12">
        <v>0</v>
      </c>
      <c r="U74" s="298"/>
      <c r="V74" s="299">
        <v>377.86</v>
      </c>
      <c r="W74" s="299">
        <v>1229.89</v>
      </c>
      <c r="X74" s="299">
        <v>1149.69</v>
      </c>
      <c r="Y74" s="299">
        <v>164.82</v>
      </c>
      <c r="AA74" s="232"/>
      <c r="AB74" s="300">
        <f t="shared" si="17"/>
        <v>0.1293040318109956</v>
      </c>
      <c r="AC74" s="300">
        <f t="shared" si="18"/>
        <v>0.4208694640449515</v>
      </c>
      <c r="AD74" s="300">
        <f t="shared" si="19"/>
        <v>0.39342495192077365</v>
      </c>
      <c r="AE74" s="300">
        <f t="shared" si="20"/>
        <v>0.056401552223279236</v>
      </c>
      <c r="AF74" s="300">
        <f t="shared" si="21"/>
        <v>0</v>
      </c>
    </row>
    <row r="75" spans="1:32" s="259" customFormat="1" ht="15">
      <c r="A75" s="259">
        <v>18</v>
      </c>
      <c r="B75" s="233" t="s">
        <v>342</v>
      </c>
      <c r="C75" s="233" t="s">
        <v>291</v>
      </c>
      <c r="D75" s="259" t="s">
        <v>342</v>
      </c>
      <c r="E75" s="259" t="s">
        <v>291</v>
      </c>
      <c r="F75" s="234" t="s">
        <v>186</v>
      </c>
      <c r="G75" s="234" t="s">
        <v>187</v>
      </c>
      <c r="H75" s="235" t="str">
        <f t="shared" si="16"/>
        <v>HM</v>
      </c>
      <c r="I75" s="232">
        <f t="shared" si="22"/>
        <v>131.57999999999998</v>
      </c>
      <c r="J75" s="12">
        <f>(VLOOKUP($H75,'Standard Estimate Uncertainty '!$B$10:$D$18,2)*$I75)+$I75</f>
        <v>118.42199999999998</v>
      </c>
      <c r="K75" s="12">
        <f>(VLOOKUP($H75,'Standard Estimate Uncertainty '!$B$10:$D$18,3)*$I75)+$I75</f>
        <v>151.31699999999998</v>
      </c>
      <c r="L75" s="12">
        <f t="shared" si="23"/>
        <v>19.736999999999995</v>
      </c>
      <c r="M75" s="296">
        <f t="shared" si="24"/>
        <v>0.0015778891812860112</v>
      </c>
      <c r="N75" s="12">
        <f t="shared" si="26"/>
        <v>18.966227959057854</v>
      </c>
      <c r="O75" s="297">
        <f t="shared" si="25"/>
        <v>0.1441421793514049</v>
      </c>
      <c r="P75" s="12"/>
      <c r="Q75" s="12"/>
      <c r="R75" s="12"/>
      <c r="S75" s="12"/>
      <c r="T75" s="12">
        <v>0</v>
      </c>
      <c r="U75" s="298"/>
      <c r="V75" s="299">
        <v>96.33</v>
      </c>
      <c r="W75" s="299">
        <v>35.25</v>
      </c>
      <c r="X75" s="299"/>
      <c r="Y75" s="299"/>
      <c r="AA75" s="232"/>
      <c r="AB75" s="300">
        <f t="shared" si="17"/>
        <v>0.7321021431828546</v>
      </c>
      <c r="AC75" s="300">
        <f t="shared" si="18"/>
        <v>0.2678978568171455</v>
      </c>
      <c r="AD75" s="300">
        <f t="shared" si="19"/>
        <v>0</v>
      </c>
      <c r="AE75" s="300">
        <f t="shared" si="20"/>
        <v>0</v>
      </c>
      <c r="AF75" s="300">
        <f t="shared" si="21"/>
        <v>0</v>
      </c>
    </row>
    <row r="76" spans="1:32" s="259" customFormat="1" ht="15">
      <c r="A76" s="259">
        <v>18</v>
      </c>
      <c r="B76" s="233" t="s">
        <v>342</v>
      </c>
      <c r="C76" s="233" t="s">
        <v>292</v>
      </c>
      <c r="D76" s="259" t="s">
        <v>342</v>
      </c>
      <c r="E76" s="259" t="s">
        <v>292</v>
      </c>
      <c r="F76" s="234" t="s">
        <v>186</v>
      </c>
      <c r="G76" s="234" t="s">
        <v>187</v>
      </c>
      <c r="H76" s="235" t="str">
        <f t="shared" si="16"/>
        <v>HM</v>
      </c>
      <c r="I76" s="232">
        <f t="shared" si="22"/>
        <v>135.96</v>
      </c>
      <c r="J76" s="12">
        <f>(VLOOKUP($H76,'Standard Estimate Uncertainty '!$B$10:$D$18,2)*$I76)+$I76</f>
        <v>122.364</v>
      </c>
      <c r="K76" s="12">
        <f>(VLOOKUP($H76,'Standard Estimate Uncertainty '!$B$10:$D$18,3)*$I76)+$I76</f>
        <v>156.354</v>
      </c>
      <c r="L76" s="12">
        <f t="shared" si="23"/>
        <v>20.394000000000005</v>
      </c>
      <c r="M76" s="296">
        <f t="shared" si="24"/>
        <v>0.0016304135361578217</v>
      </c>
      <c r="N76" s="12">
        <f t="shared" si="26"/>
        <v>19.597570704617016</v>
      </c>
      <c r="O76" s="297">
        <f t="shared" si="25"/>
        <v>0.14414217935140494</v>
      </c>
      <c r="P76" s="12"/>
      <c r="Q76" s="12"/>
      <c r="R76" s="12"/>
      <c r="S76" s="12"/>
      <c r="T76" s="12">
        <v>0</v>
      </c>
      <c r="U76" s="298"/>
      <c r="V76" s="299">
        <v>70.56</v>
      </c>
      <c r="W76" s="299">
        <v>65.4</v>
      </c>
      <c r="X76" s="299"/>
      <c r="Y76" s="299"/>
      <c r="AA76" s="232"/>
      <c r="AB76" s="300">
        <f t="shared" si="17"/>
        <v>0.5189761694616063</v>
      </c>
      <c r="AC76" s="300">
        <f t="shared" si="18"/>
        <v>0.48102383053839365</v>
      </c>
      <c r="AD76" s="300">
        <f t="shared" si="19"/>
        <v>0</v>
      </c>
      <c r="AE76" s="300">
        <f t="shared" si="20"/>
        <v>0</v>
      </c>
      <c r="AF76" s="300">
        <f t="shared" si="21"/>
        <v>0</v>
      </c>
    </row>
    <row r="77" spans="1:32" s="259" customFormat="1" ht="15">
      <c r="A77" s="259">
        <v>18</v>
      </c>
      <c r="B77" s="233" t="s">
        <v>342</v>
      </c>
      <c r="C77" s="233" t="s">
        <v>293</v>
      </c>
      <c r="D77" s="259" t="s">
        <v>342</v>
      </c>
      <c r="E77" s="259" t="s">
        <v>293</v>
      </c>
      <c r="F77" s="234" t="s">
        <v>186</v>
      </c>
      <c r="G77" s="234" t="s">
        <v>187</v>
      </c>
      <c r="H77" s="235" t="str">
        <f t="shared" si="16"/>
        <v>HM</v>
      </c>
      <c r="I77" s="232">
        <f t="shared" si="22"/>
        <v>209.54999999999998</v>
      </c>
      <c r="J77" s="12">
        <f>(VLOOKUP($H77,'Standard Estimate Uncertainty '!$B$10:$D$18,2)*$I77)+$I77</f>
        <v>188.59499999999997</v>
      </c>
      <c r="K77" s="12">
        <f>(VLOOKUP($H77,'Standard Estimate Uncertainty '!$B$10:$D$18,3)*$I77)+$I77</f>
        <v>240.9825</v>
      </c>
      <c r="L77" s="12">
        <f t="shared" si="23"/>
        <v>31.432500000000005</v>
      </c>
      <c r="M77" s="296">
        <f t="shared" si="24"/>
        <v>0.0025128946491752833</v>
      </c>
      <c r="N77" s="12">
        <f t="shared" si="26"/>
        <v>30.204993683086904</v>
      </c>
      <c r="O77" s="297">
        <f t="shared" si="25"/>
        <v>0.14414217935140494</v>
      </c>
      <c r="P77" s="12"/>
      <c r="Q77" s="12"/>
      <c r="R77" s="12"/>
      <c r="S77" s="12"/>
      <c r="T77" s="12">
        <v>0</v>
      </c>
      <c r="U77" s="298"/>
      <c r="V77" s="299">
        <v>143.14</v>
      </c>
      <c r="W77" s="299">
        <v>66.41</v>
      </c>
      <c r="X77" s="299"/>
      <c r="Y77" s="299"/>
      <c r="AA77" s="232"/>
      <c r="AB77" s="300">
        <f t="shared" si="17"/>
        <v>0.6830827964686232</v>
      </c>
      <c r="AC77" s="300">
        <f t="shared" si="18"/>
        <v>0.31691720353137676</v>
      </c>
      <c r="AD77" s="300">
        <f t="shared" si="19"/>
        <v>0</v>
      </c>
      <c r="AE77" s="300">
        <f t="shared" si="20"/>
        <v>0</v>
      </c>
      <c r="AF77" s="300">
        <f t="shared" si="21"/>
        <v>0</v>
      </c>
    </row>
    <row r="78" spans="1:32" s="259" customFormat="1" ht="15">
      <c r="A78" s="259">
        <v>18</v>
      </c>
      <c r="B78" s="233" t="s">
        <v>342</v>
      </c>
      <c r="C78" s="233" t="s">
        <v>294</v>
      </c>
      <c r="D78" s="259" t="s">
        <v>342</v>
      </c>
      <c r="E78" s="259" t="s">
        <v>294</v>
      </c>
      <c r="F78" s="234" t="s">
        <v>186</v>
      </c>
      <c r="G78" s="234" t="s">
        <v>187</v>
      </c>
      <c r="H78" s="235" t="str">
        <f t="shared" si="16"/>
        <v>HM</v>
      </c>
      <c r="I78" s="232">
        <f t="shared" si="22"/>
        <v>31.33</v>
      </c>
      <c r="J78" s="12">
        <f>(VLOOKUP($H78,'Standard Estimate Uncertainty '!$B$10:$D$18,2)*$I78)+$I78</f>
        <v>28.197</v>
      </c>
      <c r="K78" s="12">
        <f>(VLOOKUP($H78,'Standard Estimate Uncertainty '!$B$10:$D$18,3)*$I78)+$I78</f>
        <v>36.0295</v>
      </c>
      <c r="L78" s="12">
        <f t="shared" si="23"/>
        <v>4.6995000000000005</v>
      </c>
      <c r="M78" s="296">
        <f t="shared" si="24"/>
        <v>0.00037570503153739736</v>
      </c>
      <c r="N78" s="12">
        <f t="shared" si="26"/>
        <v>4.515974479079516</v>
      </c>
      <c r="O78" s="297">
        <f t="shared" si="25"/>
        <v>0.14414217935140494</v>
      </c>
      <c r="P78" s="12"/>
      <c r="Q78" s="12"/>
      <c r="R78" s="12"/>
      <c r="S78" s="12"/>
      <c r="T78" s="12">
        <v>0</v>
      </c>
      <c r="U78" s="298"/>
      <c r="V78" s="299"/>
      <c r="W78" s="299"/>
      <c r="X78" s="299">
        <v>31.33</v>
      </c>
      <c r="Y78" s="299"/>
      <c r="AA78" s="232"/>
      <c r="AB78" s="300">
        <f t="shared" si="17"/>
        <v>0</v>
      </c>
      <c r="AC78" s="300">
        <f t="shared" si="18"/>
        <v>0</v>
      </c>
      <c r="AD78" s="300">
        <f t="shared" si="19"/>
        <v>1</v>
      </c>
      <c r="AE78" s="300">
        <f t="shared" si="20"/>
        <v>0</v>
      </c>
      <c r="AF78" s="300">
        <f t="shared" si="21"/>
        <v>0</v>
      </c>
    </row>
    <row r="79" spans="1:32" s="259" customFormat="1" ht="15">
      <c r="A79" s="259">
        <v>18</v>
      </c>
      <c r="B79" s="233" t="s">
        <v>342</v>
      </c>
      <c r="C79" s="233" t="s">
        <v>297</v>
      </c>
      <c r="D79" s="259" t="s">
        <v>342</v>
      </c>
      <c r="E79" s="259" t="s">
        <v>297</v>
      </c>
      <c r="F79" s="234" t="s">
        <v>200</v>
      </c>
      <c r="G79" s="234" t="s">
        <v>186</v>
      </c>
      <c r="H79" s="235" t="str">
        <f t="shared" si="16"/>
        <v>LH</v>
      </c>
      <c r="I79" s="232">
        <f t="shared" si="22"/>
        <v>532.95</v>
      </c>
      <c r="J79" s="12">
        <f>(VLOOKUP($H79,'Standard Estimate Uncertainty '!$B$10:$D$18,2)*$I79)+$I79</f>
        <v>373.06500000000005</v>
      </c>
      <c r="K79" s="12">
        <f>(VLOOKUP($H79,'Standard Estimate Uncertainty '!$B$10:$D$18,3)*$I79)+$I79</f>
        <v>852.72</v>
      </c>
      <c r="L79" s="12">
        <f t="shared" si="23"/>
        <v>319.77</v>
      </c>
      <c r="M79" s="296">
        <f t="shared" si="24"/>
        <v>0.025564251076649332</v>
      </c>
      <c r="N79" s="12">
        <f t="shared" si="26"/>
        <v>307.282297941325</v>
      </c>
      <c r="O79" s="297">
        <f t="shared" si="25"/>
        <v>0.5765687174056197</v>
      </c>
      <c r="P79" s="12"/>
      <c r="Q79" s="12"/>
      <c r="R79" s="12"/>
      <c r="S79" s="12"/>
      <c r="T79" s="12">
        <v>0</v>
      </c>
      <c r="U79" s="298"/>
      <c r="V79" s="299">
        <v>480.88</v>
      </c>
      <c r="W79" s="299">
        <v>52.07</v>
      </c>
      <c r="X79" s="299"/>
      <c r="Y79" s="299"/>
      <c r="AA79" s="232"/>
      <c r="AB79" s="300">
        <f t="shared" si="17"/>
        <v>0.9022985270663288</v>
      </c>
      <c r="AC79" s="300">
        <f t="shared" si="18"/>
        <v>0.09770147293367107</v>
      </c>
      <c r="AD79" s="300">
        <f t="shared" si="19"/>
        <v>0</v>
      </c>
      <c r="AE79" s="300">
        <f t="shared" si="20"/>
        <v>0</v>
      </c>
      <c r="AF79" s="300">
        <f t="shared" si="21"/>
        <v>0</v>
      </c>
    </row>
    <row r="80" spans="1:32" s="259" customFormat="1" ht="15">
      <c r="A80" s="259">
        <v>18</v>
      </c>
      <c r="B80" s="233" t="s">
        <v>342</v>
      </c>
      <c r="C80" s="233" t="s">
        <v>343</v>
      </c>
      <c r="D80" s="259" t="s">
        <v>342</v>
      </c>
      <c r="E80" s="259" t="s">
        <v>343</v>
      </c>
      <c r="F80" s="234" t="s">
        <v>200</v>
      </c>
      <c r="G80" s="234" t="s">
        <v>186</v>
      </c>
      <c r="H80" s="235" t="str">
        <f t="shared" si="16"/>
        <v>LH</v>
      </c>
      <c r="I80" s="232">
        <f t="shared" si="22"/>
        <v>100.46000000000001</v>
      </c>
      <c r="J80" s="12">
        <f>(VLOOKUP($H80,'Standard Estimate Uncertainty '!$B$10:$D$18,2)*$I80)+$I80</f>
        <v>70.322</v>
      </c>
      <c r="K80" s="12">
        <f>(VLOOKUP($H80,'Standard Estimate Uncertainty '!$B$10:$D$18,3)*$I80)+$I80</f>
        <v>160.73600000000002</v>
      </c>
      <c r="L80" s="12">
        <f t="shared" si="23"/>
        <v>60.27600000000001</v>
      </c>
      <c r="M80" s="296">
        <f t="shared" si="24"/>
        <v>0.004818809762942476</v>
      </c>
      <c r="N80" s="12">
        <f t="shared" si="26"/>
        <v>57.92209335056856</v>
      </c>
      <c r="O80" s="297">
        <f t="shared" si="25"/>
        <v>0.5765687174056197</v>
      </c>
      <c r="P80" s="12"/>
      <c r="Q80" s="12"/>
      <c r="R80" s="12"/>
      <c r="S80" s="12"/>
      <c r="T80" s="12">
        <v>0</v>
      </c>
      <c r="U80" s="298"/>
      <c r="V80" s="299">
        <v>77.06</v>
      </c>
      <c r="W80" s="299">
        <v>23.4</v>
      </c>
      <c r="X80" s="299"/>
      <c r="Y80" s="299"/>
      <c r="AA80" s="232"/>
      <c r="AB80" s="300">
        <f t="shared" si="17"/>
        <v>0.7670714712323312</v>
      </c>
      <c r="AC80" s="300">
        <f t="shared" si="18"/>
        <v>0.2329285287676687</v>
      </c>
      <c r="AD80" s="300">
        <f t="shared" si="19"/>
        <v>0</v>
      </c>
      <c r="AE80" s="300">
        <f t="shared" si="20"/>
        <v>0</v>
      </c>
      <c r="AF80" s="300">
        <f t="shared" si="21"/>
        <v>0</v>
      </c>
    </row>
    <row r="81" spans="1:32" s="259" customFormat="1" ht="15">
      <c r="A81" s="259">
        <v>18</v>
      </c>
      <c r="B81" s="233" t="s">
        <v>342</v>
      </c>
      <c r="C81" s="233" t="s">
        <v>344</v>
      </c>
      <c r="D81" s="259" t="s">
        <v>342</v>
      </c>
      <c r="E81" s="259" t="s">
        <v>344</v>
      </c>
      <c r="F81" s="234" t="s">
        <v>200</v>
      </c>
      <c r="G81" s="234" t="s">
        <v>186</v>
      </c>
      <c r="H81" s="235" t="str">
        <f t="shared" si="16"/>
        <v>LH</v>
      </c>
      <c r="I81" s="232">
        <f t="shared" si="22"/>
        <v>169.36</v>
      </c>
      <c r="J81" s="12">
        <f>(VLOOKUP($H81,'Standard Estimate Uncertainty '!$B$10:$D$18,2)*$I81)+$I81</f>
        <v>118.55200000000002</v>
      </c>
      <c r="K81" s="12">
        <f>(VLOOKUP($H81,'Standard Estimate Uncertainty '!$B$10:$D$18,3)*$I81)+$I81</f>
        <v>270.976</v>
      </c>
      <c r="L81" s="12">
        <f t="shared" si="23"/>
        <v>101.61599999999999</v>
      </c>
      <c r="M81" s="296">
        <f t="shared" si="24"/>
        <v>0.008123766886839912</v>
      </c>
      <c r="N81" s="12">
        <f t="shared" si="26"/>
        <v>97.64767797981574</v>
      </c>
      <c r="O81" s="297">
        <f t="shared" si="25"/>
        <v>0.5765687174056195</v>
      </c>
      <c r="P81" s="12"/>
      <c r="Q81" s="12"/>
      <c r="R81" s="12"/>
      <c r="S81" s="12"/>
      <c r="T81" s="12">
        <v>0</v>
      </c>
      <c r="U81" s="298"/>
      <c r="V81" s="299">
        <v>20.27</v>
      </c>
      <c r="W81" s="299">
        <v>118.62</v>
      </c>
      <c r="X81" s="299">
        <v>30.47</v>
      </c>
      <c r="Y81" s="299"/>
      <c r="AA81" s="232"/>
      <c r="AB81" s="300">
        <f t="shared" si="17"/>
        <v>0.1196858762399622</v>
      </c>
      <c r="AC81" s="300">
        <f t="shared" si="18"/>
        <v>0.7004015115729806</v>
      </c>
      <c r="AD81" s="300">
        <f t="shared" si="19"/>
        <v>0.17991261218705715</v>
      </c>
      <c r="AE81" s="300">
        <f t="shared" si="20"/>
        <v>0</v>
      </c>
      <c r="AF81" s="300">
        <f t="shared" si="21"/>
        <v>0</v>
      </c>
    </row>
    <row r="82" spans="1:32" s="259" customFormat="1" ht="15">
      <c r="A82" s="259">
        <v>18</v>
      </c>
      <c r="B82" s="233" t="s">
        <v>342</v>
      </c>
      <c r="C82" s="233" t="s">
        <v>345</v>
      </c>
      <c r="D82" s="259" t="s">
        <v>342</v>
      </c>
      <c r="E82" s="259" t="s">
        <v>345</v>
      </c>
      <c r="F82" s="234" t="s">
        <v>200</v>
      </c>
      <c r="G82" s="234" t="s">
        <v>186</v>
      </c>
      <c r="H82" s="235" t="str">
        <f t="shared" si="16"/>
        <v>LH</v>
      </c>
      <c r="I82" s="232">
        <f t="shared" si="22"/>
        <v>159.82</v>
      </c>
      <c r="J82" s="12">
        <f>(VLOOKUP($H82,'Standard Estimate Uncertainty '!$B$10:$D$18,2)*$I82)+$I82</f>
        <v>111.874</v>
      </c>
      <c r="K82" s="12">
        <f>(VLOOKUP($H82,'Standard Estimate Uncertainty '!$B$10:$D$18,3)*$I82)+$I82</f>
        <v>255.712</v>
      </c>
      <c r="L82" s="12">
        <f t="shared" si="23"/>
        <v>95.892</v>
      </c>
      <c r="M82" s="296">
        <f t="shared" si="24"/>
        <v>0.007666157438915652</v>
      </c>
      <c r="N82" s="12">
        <f t="shared" si="26"/>
        <v>92.14721241576613</v>
      </c>
      <c r="O82" s="297">
        <f t="shared" si="25"/>
        <v>0.5765687174056197</v>
      </c>
      <c r="P82" s="12"/>
      <c r="Q82" s="12"/>
      <c r="R82" s="12"/>
      <c r="S82" s="12"/>
      <c r="T82" s="12">
        <v>0</v>
      </c>
      <c r="U82" s="298"/>
      <c r="V82" s="299"/>
      <c r="W82" s="299">
        <v>159.82</v>
      </c>
      <c r="X82" s="299"/>
      <c r="Y82" s="299"/>
      <c r="Z82" s="299"/>
      <c r="AA82" s="232"/>
      <c r="AB82" s="300">
        <f t="shared" si="17"/>
        <v>0</v>
      </c>
      <c r="AC82" s="300">
        <f t="shared" si="18"/>
        <v>1</v>
      </c>
      <c r="AD82" s="300">
        <f t="shared" si="19"/>
        <v>0</v>
      </c>
      <c r="AE82" s="300">
        <f t="shared" si="20"/>
        <v>0</v>
      </c>
      <c r="AF82" s="300">
        <f t="shared" si="21"/>
        <v>0</v>
      </c>
    </row>
    <row r="83" spans="1:32" s="259" customFormat="1" ht="15">
      <c r="A83" s="259">
        <v>18</v>
      </c>
      <c r="B83" s="233" t="s">
        <v>342</v>
      </c>
      <c r="C83" s="233" t="s">
        <v>346</v>
      </c>
      <c r="D83" s="259" t="s">
        <v>342</v>
      </c>
      <c r="E83" s="259" t="s">
        <v>346</v>
      </c>
      <c r="F83" s="234" t="s">
        <v>200</v>
      </c>
      <c r="G83" s="234" t="s">
        <v>186</v>
      </c>
      <c r="H83" s="235" t="str">
        <f t="shared" si="16"/>
        <v>LH</v>
      </c>
      <c r="I83" s="232">
        <f t="shared" si="22"/>
        <v>95.33</v>
      </c>
      <c r="J83" s="12">
        <f>(VLOOKUP($H83,'Standard Estimate Uncertainty '!$B$10:$D$18,2)*$I83)+$I83</f>
        <v>66.731</v>
      </c>
      <c r="K83" s="12">
        <f>(VLOOKUP($H83,'Standard Estimate Uncertainty '!$B$10:$D$18,3)*$I83)+$I83</f>
        <v>152.528</v>
      </c>
      <c r="L83" s="12">
        <f t="shared" si="23"/>
        <v>57.19799999999999</v>
      </c>
      <c r="M83" s="296">
        <f t="shared" si="24"/>
        <v>0.004572736757926599</v>
      </c>
      <c r="N83" s="12">
        <f t="shared" si="26"/>
        <v>54.96429583027772</v>
      </c>
      <c r="O83" s="297">
        <f t="shared" si="25"/>
        <v>0.5765687174056197</v>
      </c>
      <c r="P83" s="12"/>
      <c r="Q83" s="12"/>
      <c r="R83" s="12"/>
      <c r="S83" s="12"/>
      <c r="T83" s="12">
        <v>0</v>
      </c>
      <c r="U83" s="298"/>
      <c r="V83" s="299"/>
      <c r="W83" s="299">
        <v>95.33</v>
      </c>
      <c r="X83" s="299"/>
      <c r="Y83" s="299"/>
      <c r="Z83" s="299"/>
      <c r="AA83" s="232"/>
      <c r="AB83" s="300">
        <f t="shared" si="17"/>
        <v>0</v>
      </c>
      <c r="AC83" s="300">
        <f t="shared" si="18"/>
        <v>1</v>
      </c>
      <c r="AD83" s="300">
        <f t="shared" si="19"/>
        <v>0</v>
      </c>
      <c r="AE83" s="300">
        <f t="shared" si="20"/>
        <v>0</v>
      </c>
      <c r="AF83" s="300">
        <f t="shared" si="21"/>
        <v>0</v>
      </c>
    </row>
    <row r="84" spans="1:32" s="259" customFormat="1" ht="15">
      <c r="A84" s="259">
        <v>18</v>
      </c>
      <c r="B84" s="233" t="s">
        <v>342</v>
      </c>
      <c r="C84" s="233" t="s">
        <v>295</v>
      </c>
      <c r="D84" s="259" t="s">
        <v>342</v>
      </c>
      <c r="E84" s="259" t="s">
        <v>295</v>
      </c>
      <c r="F84" s="234" t="s">
        <v>200</v>
      </c>
      <c r="G84" s="234" t="s">
        <v>186</v>
      </c>
      <c r="H84" s="235" t="str">
        <f t="shared" si="16"/>
        <v>LH</v>
      </c>
      <c r="I84" s="232">
        <f t="shared" si="22"/>
        <v>279.78</v>
      </c>
      <c r="J84" s="12">
        <f>(VLOOKUP($H84,'Standard Estimate Uncertainty '!$B$10:$D$18,2)*$I84)+$I84</f>
        <v>195.846</v>
      </c>
      <c r="K84" s="12">
        <f>(VLOOKUP($H84,'Standard Estimate Uncertainty '!$B$10:$D$18,3)*$I84)+$I84</f>
        <v>447.6479999999999</v>
      </c>
      <c r="L84" s="12">
        <f t="shared" si="23"/>
        <v>167.86799999999994</v>
      </c>
      <c r="M84" s="296">
        <f t="shared" si="24"/>
        <v>0.01342033242560268</v>
      </c>
      <c r="N84" s="12">
        <f t="shared" si="26"/>
        <v>161.3123957557442</v>
      </c>
      <c r="O84" s="297">
        <f t="shared" si="25"/>
        <v>0.5765687174056195</v>
      </c>
      <c r="P84" s="12"/>
      <c r="Q84" s="12"/>
      <c r="R84" s="12"/>
      <c r="S84" s="12"/>
      <c r="T84" s="12">
        <v>0</v>
      </c>
      <c r="U84" s="298"/>
      <c r="V84" s="299"/>
      <c r="W84" s="299">
        <v>190.5</v>
      </c>
      <c r="X84" s="299">
        <v>89.28</v>
      </c>
      <c r="Y84" s="299"/>
      <c r="Z84" s="299"/>
      <c r="AA84" s="232"/>
      <c r="AB84" s="300">
        <f t="shared" si="17"/>
        <v>0</v>
      </c>
      <c r="AC84" s="300">
        <f t="shared" si="18"/>
        <v>0.6808921295303454</v>
      </c>
      <c r="AD84" s="300">
        <f t="shared" si="19"/>
        <v>0.3191078704696548</v>
      </c>
      <c r="AE84" s="300">
        <f t="shared" si="20"/>
        <v>0</v>
      </c>
      <c r="AF84" s="300">
        <f t="shared" si="21"/>
        <v>0</v>
      </c>
    </row>
    <row r="85" spans="1:32" s="259" customFormat="1" ht="15">
      <c r="A85" s="259">
        <v>18</v>
      </c>
      <c r="B85" s="233" t="s">
        <v>342</v>
      </c>
      <c r="C85" s="233" t="s">
        <v>296</v>
      </c>
      <c r="D85" s="259" t="s">
        <v>342</v>
      </c>
      <c r="E85" s="259" t="s">
        <v>296</v>
      </c>
      <c r="F85" s="234" t="s">
        <v>200</v>
      </c>
      <c r="G85" s="234" t="s">
        <v>186</v>
      </c>
      <c r="H85" s="235" t="str">
        <f t="shared" si="16"/>
        <v>LH</v>
      </c>
      <c r="I85" s="232">
        <f t="shared" si="22"/>
        <v>285.31</v>
      </c>
      <c r="J85" s="12">
        <f>(VLOOKUP($H85,'Standard Estimate Uncertainty '!$B$10:$D$18,2)*$I85)+$I85</f>
        <v>199.71699999999998</v>
      </c>
      <c r="K85" s="12">
        <f>(VLOOKUP($H85,'Standard Estimate Uncertainty '!$B$10:$D$18,3)*$I85)+$I85</f>
        <v>456.496</v>
      </c>
      <c r="L85" s="12">
        <f t="shared" si="23"/>
        <v>171.18599999999998</v>
      </c>
      <c r="M85" s="296">
        <f t="shared" si="24"/>
        <v>0.013685592409567165</v>
      </c>
      <c r="N85" s="12">
        <f t="shared" si="26"/>
        <v>164.5008207629973</v>
      </c>
      <c r="O85" s="297">
        <f t="shared" si="25"/>
        <v>0.5765687174056195</v>
      </c>
      <c r="P85" s="12"/>
      <c r="Q85" s="12"/>
      <c r="R85" s="12"/>
      <c r="S85" s="12"/>
      <c r="T85" s="12">
        <v>0</v>
      </c>
      <c r="U85" s="298"/>
      <c r="V85" s="299"/>
      <c r="W85" s="299"/>
      <c r="X85" s="299">
        <v>285.31</v>
      </c>
      <c r="Y85" s="299"/>
      <c r="Z85" s="299"/>
      <c r="AA85" s="232"/>
      <c r="AB85" s="300">
        <f t="shared" si="17"/>
        <v>0</v>
      </c>
      <c r="AC85" s="300">
        <f t="shared" si="18"/>
        <v>0</v>
      </c>
      <c r="AD85" s="300">
        <f t="shared" si="19"/>
        <v>1</v>
      </c>
      <c r="AE85" s="300">
        <f t="shared" si="20"/>
        <v>0</v>
      </c>
      <c r="AF85" s="300">
        <f t="shared" si="21"/>
        <v>0</v>
      </c>
    </row>
    <row r="86" spans="1:32" s="259" customFormat="1" ht="15">
      <c r="A86" s="259">
        <v>18</v>
      </c>
      <c r="B86" s="233" t="s">
        <v>342</v>
      </c>
      <c r="C86" s="233" t="s">
        <v>347</v>
      </c>
      <c r="D86" s="259" t="s">
        <v>342</v>
      </c>
      <c r="E86" s="259" t="s">
        <v>347</v>
      </c>
      <c r="F86" s="234" t="s">
        <v>200</v>
      </c>
      <c r="G86" s="234" t="s">
        <v>186</v>
      </c>
      <c r="H86" s="235" t="str">
        <f t="shared" si="16"/>
        <v>LH</v>
      </c>
      <c r="I86" s="232">
        <f t="shared" si="22"/>
        <v>181.16</v>
      </c>
      <c r="J86" s="12">
        <f>(VLOOKUP($H86,'Standard Estimate Uncertainty '!$B$10:$D$18,2)*$I86)+$I86</f>
        <v>126.812</v>
      </c>
      <c r="K86" s="12">
        <f>(VLOOKUP($H86,'Standard Estimate Uncertainty '!$B$10:$D$18,3)*$I86)+$I86</f>
        <v>289.856</v>
      </c>
      <c r="L86" s="12">
        <f t="shared" si="23"/>
        <v>108.696</v>
      </c>
      <c r="M86" s="296">
        <f t="shared" si="24"/>
        <v>0.008689782765823799</v>
      </c>
      <c r="N86" s="12">
        <f t="shared" si="26"/>
        <v>104.45118884520205</v>
      </c>
      <c r="O86" s="297">
        <f t="shared" si="25"/>
        <v>0.5765687174056197</v>
      </c>
      <c r="P86" s="12"/>
      <c r="Q86" s="12"/>
      <c r="R86" s="12"/>
      <c r="S86" s="12"/>
      <c r="T86" s="12">
        <v>0</v>
      </c>
      <c r="U86" s="298"/>
      <c r="V86" s="299"/>
      <c r="W86" s="299">
        <v>181.16</v>
      </c>
      <c r="X86" s="299"/>
      <c r="Y86" s="299"/>
      <c r="Z86" s="299"/>
      <c r="AA86" s="232"/>
      <c r="AB86" s="300">
        <f t="shared" si="17"/>
        <v>0</v>
      </c>
      <c r="AC86" s="300">
        <f t="shared" si="18"/>
        <v>1</v>
      </c>
      <c r="AD86" s="300">
        <f t="shared" si="19"/>
        <v>0</v>
      </c>
      <c r="AE86" s="300">
        <f t="shared" si="20"/>
        <v>0</v>
      </c>
      <c r="AF86" s="300">
        <f t="shared" si="21"/>
        <v>0</v>
      </c>
    </row>
    <row r="87" spans="1:32" s="259" customFormat="1" ht="15">
      <c r="A87" s="259">
        <v>18</v>
      </c>
      <c r="B87" s="233" t="s">
        <v>342</v>
      </c>
      <c r="C87" s="233" t="s">
        <v>298</v>
      </c>
      <c r="D87" s="259" t="s">
        <v>342</v>
      </c>
      <c r="E87" s="259" t="s">
        <v>298</v>
      </c>
      <c r="F87" s="234" t="s">
        <v>200</v>
      </c>
      <c r="G87" s="234" t="s">
        <v>186</v>
      </c>
      <c r="H87" s="235" t="str">
        <f t="shared" si="16"/>
        <v>LH</v>
      </c>
      <c r="I87" s="232">
        <f t="shared" si="22"/>
        <v>166.85</v>
      </c>
      <c r="J87" s="12">
        <f>(VLOOKUP($H87,'Standard Estimate Uncertainty '!$B$10:$D$18,2)*$I87)+$I87</f>
        <v>116.79499999999999</v>
      </c>
      <c r="K87" s="12">
        <f>(VLOOKUP($H87,'Standard Estimate Uncertainty '!$B$10:$D$18,3)*$I87)+$I87</f>
        <v>266.96</v>
      </c>
      <c r="L87" s="12">
        <f t="shared" si="23"/>
        <v>100.10999999999999</v>
      </c>
      <c r="M87" s="296">
        <f t="shared" si="24"/>
        <v>0.008003368593937406</v>
      </c>
      <c r="N87" s="12">
        <f t="shared" si="26"/>
        <v>96.20049049912762</v>
      </c>
      <c r="O87" s="297">
        <f t="shared" si="25"/>
        <v>0.5765687174056195</v>
      </c>
      <c r="P87" s="12"/>
      <c r="Q87" s="12"/>
      <c r="R87" s="12"/>
      <c r="S87" s="12"/>
      <c r="T87" s="12">
        <v>0</v>
      </c>
      <c r="U87" s="298"/>
      <c r="V87" s="299"/>
      <c r="W87" s="299">
        <v>135.63</v>
      </c>
      <c r="X87" s="299">
        <v>31.22</v>
      </c>
      <c r="Y87" s="299"/>
      <c r="Z87" s="299"/>
      <c r="AA87" s="232"/>
      <c r="AB87" s="300">
        <f t="shared" si="17"/>
        <v>0</v>
      </c>
      <c r="AC87" s="300">
        <f t="shared" si="18"/>
        <v>0.812885825591849</v>
      </c>
      <c r="AD87" s="300">
        <f t="shared" si="19"/>
        <v>0.18711417440815103</v>
      </c>
      <c r="AE87" s="300">
        <f t="shared" si="20"/>
        <v>0</v>
      </c>
      <c r="AF87" s="300">
        <f t="shared" si="21"/>
        <v>0</v>
      </c>
    </row>
    <row r="88" spans="1:32" s="259" customFormat="1" ht="15">
      <c r="A88" s="259">
        <v>18</v>
      </c>
      <c r="B88" s="233" t="s">
        <v>342</v>
      </c>
      <c r="C88" s="233" t="s">
        <v>299</v>
      </c>
      <c r="D88" s="259" t="s">
        <v>342</v>
      </c>
      <c r="E88" s="259" t="s">
        <v>299</v>
      </c>
      <c r="F88" s="234" t="s">
        <v>200</v>
      </c>
      <c r="G88" s="234" t="s">
        <v>186</v>
      </c>
      <c r="H88" s="235" t="str">
        <f t="shared" si="16"/>
        <v>LH</v>
      </c>
      <c r="I88" s="232">
        <f t="shared" si="22"/>
        <v>171.08</v>
      </c>
      <c r="J88" s="12">
        <f>(VLOOKUP($H88,'Standard Estimate Uncertainty '!$B$10:$D$18,2)*$I88)+$I88</f>
        <v>119.756</v>
      </c>
      <c r="K88" s="12">
        <f>(VLOOKUP($H88,'Standard Estimate Uncertainty '!$B$10:$D$18,3)*$I88)+$I88</f>
        <v>273.728</v>
      </c>
      <c r="L88" s="12">
        <f t="shared" si="23"/>
        <v>102.648</v>
      </c>
      <c r="M88" s="296">
        <f t="shared" si="24"/>
        <v>0.00820627089631892</v>
      </c>
      <c r="N88" s="12">
        <f t="shared" si="26"/>
        <v>98.63937617375342</v>
      </c>
      <c r="O88" s="297">
        <f t="shared" si="25"/>
        <v>0.5765687174056197</v>
      </c>
      <c r="P88" s="12"/>
      <c r="Q88" s="12"/>
      <c r="R88" s="12"/>
      <c r="S88" s="12"/>
      <c r="T88" s="12">
        <v>0</v>
      </c>
      <c r="U88" s="298"/>
      <c r="V88" s="299"/>
      <c r="W88" s="299"/>
      <c r="X88" s="299">
        <v>171.08</v>
      </c>
      <c r="Y88" s="299"/>
      <c r="Z88" s="299"/>
      <c r="AA88" s="232"/>
      <c r="AB88" s="300">
        <f t="shared" si="17"/>
        <v>0</v>
      </c>
      <c r="AC88" s="300">
        <f t="shared" si="18"/>
        <v>0</v>
      </c>
      <c r="AD88" s="300">
        <f t="shared" si="19"/>
        <v>1</v>
      </c>
      <c r="AE88" s="300">
        <f t="shared" si="20"/>
        <v>0</v>
      </c>
      <c r="AF88" s="300">
        <f t="shared" si="21"/>
        <v>0</v>
      </c>
    </row>
    <row r="89" spans="1:32" s="259" customFormat="1" ht="15">
      <c r="A89" s="259">
        <v>18</v>
      </c>
      <c r="B89" s="233" t="s">
        <v>342</v>
      </c>
      <c r="C89" s="233" t="s">
        <v>300</v>
      </c>
      <c r="D89" s="259" t="s">
        <v>342</v>
      </c>
      <c r="E89" s="259" t="s">
        <v>300</v>
      </c>
      <c r="F89" s="234" t="s">
        <v>200</v>
      </c>
      <c r="G89" s="234" t="s">
        <v>186</v>
      </c>
      <c r="H89" s="235" t="str">
        <f t="shared" si="16"/>
        <v>LH</v>
      </c>
      <c r="I89" s="232">
        <f t="shared" si="22"/>
        <v>172.73</v>
      </c>
      <c r="J89" s="12">
        <f>(VLOOKUP($H89,'Standard Estimate Uncertainty '!$B$10:$D$18,2)*$I89)+$I89</f>
        <v>120.911</v>
      </c>
      <c r="K89" s="12">
        <f>(VLOOKUP($H89,'Standard Estimate Uncertainty '!$B$10:$D$18,3)*$I89)+$I89</f>
        <v>276.368</v>
      </c>
      <c r="L89" s="12">
        <f t="shared" si="23"/>
        <v>103.638</v>
      </c>
      <c r="M89" s="296">
        <f t="shared" si="24"/>
        <v>0.00828541718448192</v>
      </c>
      <c r="N89" s="12">
        <f t="shared" si="26"/>
        <v>99.5907145574727</v>
      </c>
      <c r="O89" s="297">
        <f t="shared" si="25"/>
        <v>0.5765687174056198</v>
      </c>
      <c r="P89" s="12"/>
      <c r="Q89" s="12"/>
      <c r="R89" s="12"/>
      <c r="S89" s="12"/>
      <c r="T89" s="12">
        <v>0</v>
      </c>
      <c r="U89" s="298"/>
      <c r="V89" s="299"/>
      <c r="W89" s="299"/>
      <c r="X89" s="299">
        <v>172.73</v>
      </c>
      <c r="Y89" s="299"/>
      <c r="Z89" s="299"/>
      <c r="AA89" s="232"/>
      <c r="AB89" s="300">
        <f t="shared" si="17"/>
        <v>0</v>
      </c>
      <c r="AC89" s="300">
        <f t="shared" si="18"/>
        <v>0</v>
      </c>
      <c r="AD89" s="300">
        <f t="shared" si="19"/>
        <v>1</v>
      </c>
      <c r="AE89" s="300">
        <f t="shared" si="20"/>
        <v>0</v>
      </c>
      <c r="AF89" s="300">
        <f t="shared" si="21"/>
        <v>0</v>
      </c>
    </row>
    <row r="90" spans="1:32" s="259" customFormat="1" ht="15">
      <c r="A90" s="259">
        <v>18</v>
      </c>
      <c r="B90" s="233" t="s">
        <v>348</v>
      </c>
      <c r="C90" s="233" t="s">
        <v>349</v>
      </c>
      <c r="D90" s="259" t="s">
        <v>348</v>
      </c>
      <c r="E90" s="259" t="s">
        <v>349</v>
      </c>
      <c r="F90" s="234" t="s">
        <v>200</v>
      </c>
      <c r="G90" s="234" t="s">
        <v>187</v>
      </c>
      <c r="H90" s="235" t="str">
        <f t="shared" si="16"/>
        <v>LM</v>
      </c>
      <c r="I90" s="232">
        <f t="shared" si="22"/>
        <v>223.18</v>
      </c>
      <c r="J90" s="12">
        <f>(VLOOKUP($H90,'Standard Estimate Uncertainty '!$B$10:$D$18,2)*$I90)+$I90</f>
        <v>178.544</v>
      </c>
      <c r="K90" s="12">
        <f>(VLOOKUP($H90,'Standard Estimate Uncertainty '!$B$10:$D$18,3)*$I90)+$I90</f>
        <v>312.452</v>
      </c>
      <c r="L90" s="12">
        <f t="shared" si="23"/>
        <v>89.27199999999999</v>
      </c>
      <c r="M90" s="296">
        <f t="shared" si="24"/>
        <v>0.0071369166029165935</v>
      </c>
      <c r="N90" s="12">
        <f t="shared" si="26"/>
        <v>85.78573756705745</v>
      </c>
      <c r="O90" s="297">
        <f t="shared" si="25"/>
        <v>0.3843791449370797</v>
      </c>
      <c r="P90" s="12"/>
      <c r="Q90" s="12"/>
      <c r="R90" s="12"/>
      <c r="S90" s="12"/>
      <c r="T90" s="12">
        <v>0</v>
      </c>
      <c r="U90" s="298"/>
      <c r="V90" s="299"/>
      <c r="W90" s="299">
        <v>223.18</v>
      </c>
      <c r="X90" s="299"/>
      <c r="Y90" s="299"/>
      <c r="Z90" s="299"/>
      <c r="AA90" s="232"/>
      <c r="AB90" s="300">
        <f t="shared" si="17"/>
        <v>0</v>
      </c>
      <c r="AC90" s="300">
        <f t="shared" si="18"/>
        <v>1</v>
      </c>
      <c r="AD90" s="300">
        <f t="shared" si="19"/>
        <v>0</v>
      </c>
      <c r="AE90" s="300">
        <f t="shared" si="20"/>
        <v>0</v>
      </c>
      <c r="AF90" s="300">
        <f t="shared" si="21"/>
        <v>0</v>
      </c>
    </row>
    <row r="91" spans="1:32" s="259" customFormat="1" ht="15">
      <c r="A91" s="259">
        <v>18</v>
      </c>
      <c r="B91" s="233" t="s">
        <v>348</v>
      </c>
      <c r="C91" s="233" t="s">
        <v>288</v>
      </c>
      <c r="D91" s="259" t="s">
        <v>348</v>
      </c>
      <c r="E91" s="259" t="s">
        <v>288</v>
      </c>
      <c r="F91" s="234" t="s">
        <v>200</v>
      </c>
      <c r="G91" s="234" t="s">
        <v>187</v>
      </c>
      <c r="H91" s="235" t="str">
        <f t="shared" si="16"/>
        <v>LM</v>
      </c>
      <c r="I91" s="232">
        <f t="shared" si="22"/>
        <v>362.82</v>
      </c>
      <c r="J91" s="12">
        <f>(VLOOKUP($H91,'Standard Estimate Uncertainty '!$B$10:$D$18,2)*$I91)+$I91</f>
        <v>290.256</v>
      </c>
      <c r="K91" s="12">
        <f>(VLOOKUP($H91,'Standard Estimate Uncertainty '!$B$10:$D$18,3)*$I91)+$I91</f>
        <v>507.948</v>
      </c>
      <c r="L91" s="12">
        <f t="shared" si="23"/>
        <v>145.128</v>
      </c>
      <c r="M91" s="296">
        <f t="shared" si="24"/>
        <v>0.011602366170222235</v>
      </c>
      <c r="N91" s="12">
        <f t="shared" si="26"/>
        <v>139.46044136607125</v>
      </c>
      <c r="O91" s="297">
        <f t="shared" si="25"/>
        <v>0.3843791449370797</v>
      </c>
      <c r="P91" s="12"/>
      <c r="Q91" s="12"/>
      <c r="R91" s="12"/>
      <c r="S91" s="12"/>
      <c r="T91" s="12">
        <v>0</v>
      </c>
      <c r="U91" s="298"/>
      <c r="V91" s="299"/>
      <c r="W91" s="299"/>
      <c r="X91" s="299">
        <v>362.82</v>
      </c>
      <c r="Y91" s="299"/>
      <c r="Z91" s="299"/>
      <c r="AA91" s="232"/>
      <c r="AB91" s="300">
        <f t="shared" si="17"/>
        <v>0</v>
      </c>
      <c r="AC91" s="300">
        <f t="shared" si="18"/>
        <v>0</v>
      </c>
      <c r="AD91" s="300">
        <f t="shared" si="19"/>
        <v>1</v>
      </c>
      <c r="AE91" s="300">
        <f t="shared" si="20"/>
        <v>0</v>
      </c>
      <c r="AF91" s="300">
        <f t="shared" si="21"/>
        <v>0</v>
      </c>
    </row>
    <row r="92" spans="1:32" s="259" customFormat="1" ht="15">
      <c r="A92" s="259">
        <v>18</v>
      </c>
      <c r="B92" s="233" t="s">
        <v>348</v>
      </c>
      <c r="C92" s="233" t="s">
        <v>289</v>
      </c>
      <c r="D92" s="259" t="s">
        <v>348</v>
      </c>
      <c r="E92" s="259" t="s">
        <v>289</v>
      </c>
      <c r="F92" s="234" t="s">
        <v>200</v>
      </c>
      <c r="G92" s="234" t="s">
        <v>187</v>
      </c>
      <c r="H92" s="235" t="str">
        <f t="shared" si="16"/>
        <v>LM</v>
      </c>
      <c r="I92" s="232">
        <f t="shared" si="22"/>
        <v>373</v>
      </c>
      <c r="J92" s="12">
        <f>(VLOOKUP($H92,'Standard Estimate Uncertainty '!$B$10:$D$18,2)*$I92)+$I92</f>
        <v>298.4</v>
      </c>
      <c r="K92" s="12">
        <f>(VLOOKUP($H92,'Standard Estimate Uncertainty '!$B$10:$D$18,3)*$I92)+$I92</f>
        <v>522.2</v>
      </c>
      <c r="L92" s="12">
        <f t="shared" si="23"/>
        <v>149.20000000000005</v>
      </c>
      <c r="M92" s="296">
        <f t="shared" si="24"/>
        <v>0.011927905246383595</v>
      </c>
      <c r="N92" s="12">
        <f t="shared" si="26"/>
        <v>143.37342106153082</v>
      </c>
      <c r="O92" s="297">
        <f t="shared" si="25"/>
        <v>0.3843791449370799</v>
      </c>
      <c r="P92" s="12"/>
      <c r="Q92" s="12"/>
      <c r="R92" s="12"/>
      <c r="S92" s="12"/>
      <c r="T92" s="12">
        <v>0</v>
      </c>
      <c r="U92" s="298"/>
      <c r="V92" s="299"/>
      <c r="W92" s="299"/>
      <c r="X92" s="299">
        <v>364.47</v>
      </c>
      <c r="Y92" s="299">
        <v>8.53</v>
      </c>
      <c r="Z92" s="299"/>
      <c r="AA92" s="232"/>
      <c r="AB92" s="300">
        <f t="shared" si="17"/>
        <v>0</v>
      </c>
      <c r="AC92" s="300">
        <f t="shared" si="18"/>
        <v>0</v>
      </c>
      <c r="AD92" s="300">
        <f t="shared" si="19"/>
        <v>0.9771313672922253</v>
      </c>
      <c r="AE92" s="300">
        <f t="shared" si="20"/>
        <v>0.022868632707774797</v>
      </c>
      <c r="AF92" s="300">
        <f t="shared" si="21"/>
        <v>0</v>
      </c>
    </row>
    <row r="93" spans="1:32" s="259" customFormat="1" ht="15">
      <c r="A93" s="259">
        <v>18</v>
      </c>
      <c r="B93" s="233" t="s">
        <v>348</v>
      </c>
      <c r="C93" s="233" t="s">
        <v>290</v>
      </c>
      <c r="D93" s="259" t="s">
        <v>348</v>
      </c>
      <c r="E93" s="259" t="s">
        <v>290</v>
      </c>
      <c r="F93" s="234" t="s">
        <v>200</v>
      </c>
      <c r="G93" s="234" t="s">
        <v>187</v>
      </c>
      <c r="H93" s="235" t="str">
        <f t="shared" si="16"/>
        <v>LM</v>
      </c>
      <c r="I93" s="232">
        <f t="shared" si="22"/>
        <v>375.53999999999996</v>
      </c>
      <c r="J93" s="12">
        <f>(VLOOKUP($H93,'Standard Estimate Uncertainty '!$B$10:$D$18,2)*$I93)+$I93</f>
        <v>300.43199999999996</v>
      </c>
      <c r="K93" s="12">
        <f>(VLOOKUP($H93,'Standard Estimate Uncertainty '!$B$10:$D$18,3)*$I93)+$I93</f>
        <v>525.756</v>
      </c>
      <c r="L93" s="12">
        <f t="shared" si="23"/>
        <v>150.216</v>
      </c>
      <c r="M93" s="296">
        <f t="shared" si="24"/>
        <v>0.012009130123932692</v>
      </c>
      <c r="N93" s="12">
        <f t="shared" si="26"/>
        <v>144.34974408967096</v>
      </c>
      <c r="O93" s="297">
        <f t="shared" si="25"/>
        <v>0.38437914493707986</v>
      </c>
      <c r="P93" s="12"/>
      <c r="Q93" s="12"/>
      <c r="R93" s="12"/>
      <c r="S93" s="12"/>
      <c r="T93" s="12">
        <v>0</v>
      </c>
      <c r="U93" s="298"/>
      <c r="V93" s="299"/>
      <c r="W93" s="299"/>
      <c r="X93" s="299">
        <v>289.77</v>
      </c>
      <c r="Y93" s="299">
        <v>85.77</v>
      </c>
      <c r="Z93" s="299"/>
      <c r="AA93" s="232"/>
      <c r="AB93" s="300">
        <f t="shared" si="17"/>
        <v>0</v>
      </c>
      <c r="AC93" s="300">
        <f t="shared" si="18"/>
        <v>0</v>
      </c>
      <c r="AD93" s="300">
        <f t="shared" si="19"/>
        <v>0.7716088832081802</v>
      </c>
      <c r="AE93" s="300">
        <f t="shared" si="20"/>
        <v>0.22839111679181978</v>
      </c>
      <c r="AF93" s="300">
        <f t="shared" si="21"/>
        <v>0</v>
      </c>
    </row>
    <row r="94" spans="1:32" ht="15">
      <c r="A94">
        <v>19</v>
      </c>
      <c r="B94" s="18" t="s">
        <v>350</v>
      </c>
      <c r="C94" s="18" t="s">
        <v>351</v>
      </c>
      <c r="D94" s="6" t="s">
        <v>350</v>
      </c>
      <c r="E94" s="6" t="s">
        <v>351</v>
      </c>
      <c r="F94" s="36" t="s">
        <v>186</v>
      </c>
      <c r="G94" s="36" t="s">
        <v>200</v>
      </c>
      <c r="H94" s="1" t="str">
        <f t="shared" si="16"/>
        <v>HL</v>
      </c>
      <c r="I94" s="61">
        <f t="shared" si="22"/>
        <v>831.3299999999999</v>
      </c>
      <c r="J94" s="10">
        <f>(VLOOKUP($H94,'Standard Estimate Uncertainty '!$B$10:$D$18,2)*$I94)+$I94</f>
        <v>789.7634999999999</v>
      </c>
      <c r="K94" s="10">
        <f>(VLOOKUP($H94,'Standard Estimate Uncertainty '!$B$10:$D$18,3)*$I94)+$I94</f>
        <v>914.463</v>
      </c>
      <c r="L94" s="10">
        <f t="shared" si="23"/>
        <v>83.13300000000004</v>
      </c>
      <c r="M94" s="199">
        <f t="shared" si="24"/>
        <v>0.006646129670560372</v>
      </c>
      <c r="N94" s="10">
        <f t="shared" si="26"/>
        <v>79.88647864013566</v>
      </c>
      <c r="O94" s="198">
        <f t="shared" si="25"/>
        <v>0.09609478623427</v>
      </c>
      <c r="P94" s="10"/>
      <c r="Q94" s="10"/>
      <c r="R94" s="10"/>
      <c r="S94" s="10"/>
      <c r="T94" s="11">
        <v>0</v>
      </c>
      <c r="U94" s="66"/>
      <c r="V94" s="63">
        <v>77.38</v>
      </c>
      <c r="W94" s="63">
        <v>208.45</v>
      </c>
      <c r="X94" s="63">
        <v>221.09</v>
      </c>
      <c r="Y94" s="63">
        <v>229.03</v>
      </c>
      <c r="Z94" s="63">
        <v>95.38</v>
      </c>
      <c r="AA94" s="43"/>
      <c r="AB94" s="8">
        <f t="shared" si="17"/>
        <v>0.09307976375205995</v>
      </c>
      <c r="AC94" s="8">
        <f t="shared" si="18"/>
        <v>0.25074278565671876</v>
      </c>
      <c r="AD94" s="8">
        <f t="shared" si="19"/>
        <v>0.2659473373991075</v>
      </c>
      <c r="AE94" s="8">
        <f t="shared" si="20"/>
        <v>0.27549829790817126</v>
      </c>
      <c r="AF94" s="8">
        <f t="shared" si="21"/>
        <v>0.1147318152839426</v>
      </c>
    </row>
    <row r="95" spans="1:32" ht="15">
      <c r="A95">
        <v>19</v>
      </c>
      <c r="B95" s="18" t="s">
        <v>350</v>
      </c>
      <c r="C95" s="18" t="s">
        <v>352</v>
      </c>
      <c r="D95" s="6" t="s">
        <v>350</v>
      </c>
      <c r="E95" s="6" t="s">
        <v>352</v>
      </c>
      <c r="F95" s="36" t="s">
        <v>186</v>
      </c>
      <c r="G95" s="36" t="s">
        <v>200</v>
      </c>
      <c r="H95" s="1" t="str">
        <f t="shared" si="16"/>
        <v>HL</v>
      </c>
      <c r="I95" s="61">
        <f t="shared" si="22"/>
        <v>788.4000000000001</v>
      </c>
      <c r="J95" s="10">
        <f>(VLOOKUP($H95,'Standard Estimate Uncertainty '!$B$10:$D$18,2)*$I95)+$I95</f>
        <v>748.9800000000001</v>
      </c>
      <c r="K95" s="10">
        <f>(VLOOKUP($H95,'Standard Estimate Uncertainty '!$B$10:$D$18,3)*$I95)+$I95</f>
        <v>867.2400000000001</v>
      </c>
      <c r="L95" s="10">
        <f t="shared" si="23"/>
        <v>78.84000000000003</v>
      </c>
      <c r="M95" s="199">
        <f t="shared" si="24"/>
        <v>0.006302922584617176</v>
      </c>
      <c r="N95" s="10">
        <f t="shared" si="26"/>
        <v>75.76112946709846</v>
      </c>
      <c r="O95" s="198">
        <f t="shared" si="25"/>
        <v>0.09609478623426998</v>
      </c>
      <c r="P95" s="10"/>
      <c r="Q95" s="10"/>
      <c r="R95" s="10"/>
      <c r="S95" s="10"/>
      <c r="T95" s="11">
        <v>0</v>
      </c>
      <c r="U95" s="66"/>
      <c r="V95" s="63">
        <v>84.18</v>
      </c>
      <c r="W95" s="63">
        <v>199.92</v>
      </c>
      <c r="X95" s="63">
        <v>210.95</v>
      </c>
      <c r="Y95" s="63">
        <v>219.02</v>
      </c>
      <c r="Z95" s="63">
        <v>74.33</v>
      </c>
      <c r="AA95" s="43"/>
      <c r="AB95" s="8">
        <f t="shared" si="17"/>
        <v>0.10677321156773212</v>
      </c>
      <c r="AC95" s="8">
        <f t="shared" si="18"/>
        <v>0.2535768645357686</v>
      </c>
      <c r="AD95" s="8">
        <f t="shared" si="19"/>
        <v>0.2675672247590055</v>
      </c>
      <c r="AE95" s="8">
        <f t="shared" si="20"/>
        <v>0.27780314561136477</v>
      </c>
      <c r="AF95" s="8">
        <f t="shared" si="21"/>
        <v>0.09427955352612885</v>
      </c>
    </row>
    <row r="96" spans="1:32" ht="15">
      <c r="A96">
        <v>2</v>
      </c>
      <c r="B96" s="18" t="s">
        <v>353</v>
      </c>
      <c r="C96" s="18" t="s">
        <v>230</v>
      </c>
      <c r="D96" s="6" t="s">
        <v>353</v>
      </c>
      <c r="E96" s="6" t="s">
        <v>230</v>
      </c>
      <c r="F96" s="36" t="s">
        <v>200</v>
      </c>
      <c r="G96" s="36" t="s">
        <v>200</v>
      </c>
      <c r="H96" s="1" t="str">
        <f t="shared" si="16"/>
        <v>LL</v>
      </c>
      <c r="I96" s="160">
        <f t="shared" si="22"/>
        <v>68.48</v>
      </c>
      <c r="J96" s="10">
        <f>(VLOOKUP($H96,'Standard Estimate Uncertainty '!$B$10:$D$18,2)*$I96)+$I96</f>
        <v>58.208000000000006</v>
      </c>
      <c r="K96" s="10">
        <f>(VLOOKUP($H96,'Standard Estimate Uncertainty '!$B$10:$D$18,3)*$I96)+$I96</f>
        <v>85.60000000000001</v>
      </c>
      <c r="L96" s="10">
        <f t="shared" si="23"/>
        <v>17.120000000000005</v>
      </c>
      <c r="M96" s="199">
        <f t="shared" si="24"/>
        <v>0.0013686711650005838</v>
      </c>
      <c r="N96" s="10">
        <f t="shared" si="26"/>
        <v>16.45142740330702</v>
      </c>
      <c r="O96" s="198">
        <f t="shared" si="25"/>
        <v>0.24023696558567492</v>
      </c>
      <c r="P96" s="10"/>
      <c r="Q96" s="10"/>
      <c r="R96" s="10"/>
      <c r="S96" s="10"/>
      <c r="T96" s="11">
        <v>0</v>
      </c>
      <c r="U96" s="66"/>
      <c r="V96" s="63"/>
      <c r="W96" s="63"/>
      <c r="X96" s="63">
        <v>12.55</v>
      </c>
      <c r="Y96" s="63">
        <v>55.93</v>
      </c>
      <c r="Z96" s="63"/>
      <c r="AA96" s="43"/>
      <c r="AB96" s="8">
        <f t="shared" si="17"/>
        <v>0</v>
      </c>
      <c r="AC96" s="8">
        <f t="shared" si="18"/>
        <v>0</v>
      </c>
      <c r="AD96" s="8">
        <f t="shared" si="19"/>
        <v>0.18326518691588786</v>
      </c>
      <c r="AE96" s="8">
        <f t="shared" si="20"/>
        <v>0.8167348130841121</v>
      </c>
      <c r="AF96" s="8">
        <f t="shared" si="21"/>
        <v>0</v>
      </c>
    </row>
    <row r="97" spans="1:32" ht="15">
      <c r="A97">
        <v>2</v>
      </c>
      <c r="B97" s="18" t="s">
        <v>354</v>
      </c>
      <c r="C97" s="18" t="s">
        <v>230</v>
      </c>
      <c r="D97" s="6" t="s">
        <v>354</v>
      </c>
      <c r="E97" s="6" t="s">
        <v>230</v>
      </c>
      <c r="F97" s="36" t="s">
        <v>187</v>
      </c>
      <c r="G97" s="36" t="s">
        <v>200</v>
      </c>
      <c r="H97" s="1" t="str">
        <f t="shared" si="16"/>
        <v>ML</v>
      </c>
      <c r="I97" s="160">
        <f t="shared" si="22"/>
        <v>172</v>
      </c>
      <c r="J97" s="10">
        <f>(VLOOKUP($H97,'Standard Estimate Uncertainty '!$B$10:$D$18,2)*$I97)+$I97</f>
        <v>154.8</v>
      </c>
      <c r="K97" s="10">
        <f>(VLOOKUP($H97,'Standard Estimate Uncertainty '!$B$10:$D$18,3)*$I97)+$I97</f>
        <v>197.8</v>
      </c>
      <c r="L97" s="10">
        <f t="shared" si="23"/>
        <v>25.80000000000001</v>
      </c>
      <c r="M97" s="199">
        <f t="shared" si="24"/>
        <v>0.0020626002369751794</v>
      </c>
      <c r="N97" s="10">
        <f t="shared" si="26"/>
        <v>24.792454848441658</v>
      </c>
      <c r="O97" s="198">
        <f t="shared" si="25"/>
        <v>0.144142179351405</v>
      </c>
      <c r="P97" s="10"/>
      <c r="Q97" s="10"/>
      <c r="R97" s="10"/>
      <c r="S97" s="10"/>
      <c r="T97" s="11">
        <v>0</v>
      </c>
      <c r="U97" s="66"/>
      <c r="V97" s="63"/>
      <c r="W97" s="63"/>
      <c r="X97" s="63">
        <v>70</v>
      </c>
      <c r="Y97" s="63">
        <v>102</v>
      </c>
      <c r="Z97" s="63"/>
      <c r="AA97" s="43"/>
      <c r="AB97" s="8">
        <f t="shared" si="17"/>
        <v>0</v>
      </c>
      <c r="AC97" s="8">
        <f t="shared" si="18"/>
        <v>0</v>
      </c>
      <c r="AD97" s="8">
        <f t="shared" si="19"/>
        <v>0.4069767441860465</v>
      </c>
      <c r="AE97" s="8">
        <f t="shared" si="20"/>
        <v>0.5930232558139535</v>
      </c>
      <c r="AF97" s="8">
        <f t="shared" si="21"/>
        <v>0</v>
      </c>
    </row>
    <row r="98" spans="1:32" ht="15">
      <c r="A98">
        <v>3</v>
      </c>
      <c r="B98" s="18" t="s">
        <v>355</v>
      </c>
      <c r="C98" s="18" t="s">
        <v>233</v>
      </c>
      <c r="D98" s="6" t="s">
        <v>355</v>
      </c>
      <c r="E98" s="6" t="s">
        <v>233</v>
      </c>
      <c r="F98" s="36" t="s">
        <v>186</v>
      </c>
      <c r="G98" s="36" t="s">
        <v>200</v>
      </c>
      <c r="H98" s="1" t="str">
        <f t="shared" si="16"/>
        <v>HL</v>
      </c>
      <c r="I98" s="61">
        <f t="shared" si="22"/>
        <v>97.61000000000001</v>
      </c>
      <c r="J98" s="10">
        <f>(VLOOKUP($H98,'Standard Estimate Uncertainty '!$B$10:$D$18,2)*$I98)+$I98</f>
        <v>92.72950000000002</v>
      </c>
      <c r="K98" s="10">
        <f>(VLOOKUP($H98,'Standard Estimate Uncertainty '!$B$10:$D$18,3)*$I98)+$I98</f>
        <v>107.37100000000001</v>
      </c>
      <c r="L98" s="10">
        <f t="shared" si="23"/>
        <v>9.760999999999996</v>
      </c>
      <c r="M98" s="199">
        <f t="shared" si="24"/>
        <v>0.0007803504229889422</v>
      </c>
      <c r="N98" s="10">
        <f t="shared" si="26"/>
        <v>9.379812084327085</v>
      </c>
      <c r="O98" s="198">
        <f t="shared" si="25"/>
        <v>0.09609478623426988</v>
      </c>
      <c r="P98" s="10"/>
      <c r="Q98" s="10"/>
      <c r="R98" s="10"/>
      <c r="S98" s="10"/>
      <c r="T98" s="11">
        <v>0</v>
      </c>
      <c r="U98" s="66"/>
      <c r="V98" s="63">
        <v>77.43</v>
      </c>
      <c r="W98" s="63">
        <v>20.18</v>
      </c>
      <c r="X98" s="63"/>
      <c r="Y98" s="63"/>
      <c r="Z98" s="6"/>
      <c r="AA98" s="43"/>
      <c r="AB98" s="8">
        <f t="shared" si="17"/>
        <v>0.7932588874090769</v>
      </c>
      <c r="AC98" s="8">
        <f t="shared" si="18"/>
        <v>0.20674111259092304</v>
      </c>
      <c r="AD98" s="8">
        <f t="shared" si="19"/>
        <v>0</v>
      </c>
      <c r="AE98" s="8">
        <f t="shared" si="20"/>
        <v>0</v>
      </c>
      <c r="AF98" s="8">
        <f t="shared" si="21"/>
        <v>0</v>
      </c>
    </row>
    <row r="99" spans="1:32" ht="15">
      <c r="A99">
        <v>3</v>
      </c>
      <c r="B99" s="18" t="s">
        <v>355</v>
      </c>
      <c r="C99" s="18" t="s">
        <v>234</v>
      </c>
      <c r="D99" s="6" t="s">
        <v>355</v>
      </c>
      <c r="E99" s="6" t="s">
        <v>234</v>
      </c>
      <c r="F99" s="36" t="s">
        <v>186</v>
      </c>
      <c r="G99" s="36" t="s">
        <v>200</v>
      </c>
      <c r="H99" s="1" t="str">
        <f t="shared" si="16"/>
        <v>HL</v>
      </c>
      <c r="I99" s="61">
        <f t="shared" si="22"/>
        <v>74.54</v>
      </c>
      <c r="J99" s="10">
        <f>(VLOOKUP($H99,'Standard Estimate Uncertainty '!$B$10:$D$18,2)*$I99)+$I99</f>
        <v>70.813</v>
      </c>
      <c r="K99" s="10">
        <f>(VLOOKUP($H99,'Standard Estimate Uncertainty '!$B$10:$D$18,3)*$I99)+$I99</f>
        <v>81.994</v>
      </c>
      <c r="L99" s="10">
        <f t="shared" si="23"/>
        <v>7.4539999999999935</v>
      </c>
      <c r="M99" s="199">
        <f t="shared" si="24"/>
        <v>0.0005959155878454639</v>
      </c>
      <c r="N99" s="10">
        <f t="shared" si="26"/>
        <v>7.162905365902476</v>
      </c>
      <c r="O99" s="198">
        <f t="shared" si="25"/>
        <v>0.09609478623426985</v>
      </c>
      <c r="P99" s="10"/>
      <c r="Q99" s="10"/>
      <c r="R99" s="10"/>
      <c r="S99" s="10"/>
      <c r="T99" s="11">
        <v>0</v>
      </c>
      <c r="U99" s="66"/>
      <c r="V99" s="63">
        <v>5.84</v>
      </c>
      <c r="W99" s="63">
        <v>68.7</v>
      </c>
      <c r="X99" s="63"/>
      <c r="Y99" s="63"/>
      <c r="Z99" s="6"/>
      <c r="AA99" s="43"/>
      <c r="AB99" s="8">
        <f t="shared" si="17"/>
        <v>0.07834719613630264</v>
      </c>
      <c r="AC99" s="8">
        <f t="shared" si="18"/>
        <v>0.9216528038636973</v>
      </c>
      <c r="AD99" s="8">
        <f t="shared" si="19"/>
        <v>0</v>
      </c>
      <c r="AE99" s="8">
        <f t="shared" si="20"/>
        <v>0</v>
      </c>
      <c r="AF99" s="8">
        <f t="shared" si="21"/>
        <v>0</v>
      </c>
    </row>
    <row r="100" spans="1:32" ht="15">
      <c r="A100">
        <v>3</v>
      </c>
      <c r="B100" s="18" t="s">
        <v>355</v>
      </c>
      <c r="C100" s="18" t="s">
        <v>231</v>
      </c>
      <c r="D100" s="6" t="s">
        <v>355</v>
      </c>
      <c r="E100" s="6" t="s">
        <v>231</v>
      </c>
      <c r="F100" s="36" t="s">
        <v>186</v>
      </c>
      <c r="G100" s="36" t="s">
        <v>200</v>
      </c>
      <c r="H100" s="1" t="str">
        <f t="shared" si="16"/>
        <v>HL</v>
      </c>
      <c r="I100" s="61">
        <f t="shared" si="22"/>
        <v>47.38</v>
      </c>
      <c r="J100" s="10">
        <f>(VLOOKUP($H100,'Standard Estimate Uncertainty '!$B$10:$D$18,2)*$I100)+$I100</f>
        <v>45.011</v>
      </c>
      <c r="K100" s="10">
        <f>(VLOOKUP($H100,'Standard Estimate Uncertainty '!$B$10:$D$18,3)*$I100)+$I100</f>
        <v>52.118</v>
      </c>
      <c r="L100" s="10">
        <f t="shared" si="23"/>
        <v>4.7379999999999995</v>
      </c>
      <c r="M100" s="199">
        <f t="shared" si="24"/>
        <v>0.00037878294274373625</v>
      </c>
      <c r="N100" s="10">
        <f t="shared" si="26"/>
        <v>4.552970971779709</v>
      </c>
      <c r="O100" s="198">
        <f t="shared" si="25"/>
        <v>0.09609478623426992</v>
      </c>
      <c r="P100" s="10"/>
      <c r="Q100" s="10"/>
      <c r="R100" s="10"/>
      <c r="S100" s="10"/>
      <c r="T100" s="11">
        <v>0</v>
      </c>
      <c r="U100" s="66"/>
      <c r="V100" s="63">
        <v>43.49</v>
      </c>
      <c r="W100" s="63">
        <v>3.89</v>
      </c>
      <c r="X100" s="63"/>
      <c r="Y100" s="63"/>
      <c r="Z100" s="6"/>
      <c r="AA100" s="43"/>
      <c r="AB100" s="8">
        <f t="shared" si="17"/>
        <v>0.9178978471929083</v>
      </c>
      <c r="AC100" s="8">
        <f t="shared" si="18"/>
        <v>0.0821021528070916</v>
      </c>
      <c r="AD100" s="8">
        <f t="shared" si="19"/>
        <v>0</v>
      </c>
      <c r="AE100" s="8">
        <f t="shared" si="20"/>
        <v>0</v>
      </c>
      <c r="AF100" s="8">
        <f t="shared" si="21"/>
        <v>0</v>
      </c>
    </row>
    <row r="101" spans="1:32" ht="15">
      <c r="A101">
        <v>3</v>
      </c>
      <c r="B101" s="18" t="s">
        <v>355</v>
      </c>
      <c r="C101" s="18" t="s">
        <v>232</v>
      </c>
      <c r="D101" s="6" t="s">
        <v>355</v>
      </c>
      <c r="E101" s="6" t="s">
        <v>232</v>
      </c>
      <c r="F101" s="36" t="s">
        <v>186</v>
      </c>
      <c r="G101" s="36" t="s">
        <v>200</v>
      </c>
      <c r="H101" s="1" t="str">
        <f t="shared" si="16"/>
        <v>HL</v>
      </c>
      <c r="I101" s="61">
        <f t="shared" si="22"/>
        <v>56.79</v>
      </c>
      <c r="J101" s="10">
        <f>(VLOOKUP($H101,'Standard Estimate Uncertainty '!$B$10:$D$18,2)*$I101)+$I101</f>
        <v>53.9505</v>
      </c>
      <c r="K101" s="10">
        <f>(VLOOKUP($H101,'Standard Estimate Uncertainty '!$B$10:$D$18,3)*$I101)+$I101</f>
        <v>62.469</v>
      </c>
      <c r="L101" s="10">
        <f t="shared" si="23"/>
        <v>5.679000000000002</v>
      </c>
      <c r="M101" s="199">
        <f t="shared" si="24"/>
        <v>0.00045401188937139704</v>
      </c>
      <c r="N101" s="10">
        <f t="shared" si="26"/>
        <v>5.457222910244193</v>
      </c>
      <c r="O101" s="198">
        <f t="shared" si="25"/>
        <v>0.09609478623427</v>
      </c>
      <c r="P101" s="10"/>
      <c r="Q101" s="10"/>
      <c r="R101" s="10"/>
      <c r="S101" s="10"/>
      <c r="T101" s="11">
        <v>0</v>
      </c>
      <c r="U101" s="66"/>
      <c r="V101" s="63">
        <v>56.79</v>
      </c>
      <c r="W101" s="63"/>
      <c r="X101" s="63"/>
      <c r="Y101" s="63"/>
      <c r="Z101" s="6"/>
      <c r="AA101" s="43"/>
      <c r="AB101" s="8">
        <f t="shared" si="17"/>
        <v>1</v>
      </c>
      <c r="AC101" s="8">
        <f t="shared" si="18"/>
        <v>0</v>
      </c>
      <c r="AD101" s="8">
        <f t="shared" si="19"/>
        <v>0</v>
      </c>
      <c r="AE101" s="8">
        <f t="shared" si="20"/>
        <v>0</v>
      </c>
      <c r="AF101" s="8">
        <f t="shared" si="21"/>
        <v>0</v>
      </c>
    </row>
    <row r="102" spans="1:32" ht="15">
      <c r="A102">
        <v>3</v>
      </c>
      <c r="B102" s="18" t="s">
        <v>355</v>
      </c>
      <c r="C102" s="18" t="s">
        <v>356</v>
      </c>
      <c r="D102" s="6" t="s">
        <v>355</v>
      </c>
      <c r="E102" s="6" t="s">
        <v>356</v>
      </c>
      <c r="F102" s="36" t="s">
        <v>186</v>
      </c>
      <c r="G102" s="36" t="s">
        <v>200</v>
      </c>
      <c r="H102" s="1" t="str">
        <f t="shared" si="16"/>
        <v>HL</v>
      </c>
      <c r="I102" s="61">
        <f t="shared" si="22"/>
        <v>14.29</v>
      </c>
      <c r="J102" s="10">
        <f>(VLOOKUP($H102,'Standard Estimate Uncertainty '!$B$10:$D$18,2)*$I102)+$I102</f>
        <v>13.5755</v>
      </c>
      <c r="K102" s="10">
        <f>(VLOOKUP($H102,'Standard Estimate Uncertainty '!$B$10:$D$18,3)*$I102)+$I102</f>
        <v>15.719</v>
      </c>
      <c r="L102" s="10">
        <f t="shared" si="23"/>
        <v>1.4290000000000003</v>
      </c>
      <c r="M102" s="199">
        <f t="shared" si="24"/>
        <v>0.00011424247048982677</v>
      </c>
      <c r="N102" s="10">
        <f t="shared" si="26"/>
        <v>1.3731944952877178</v>
      </c>
      <c r="O102" s="198">
        <f t="shared" si="25"/>
        <v>0.09609478623426997</v>
      </c>
      <c r="P102" s="10"/>
      <c r="Q102" s="10"/>
      <c r="R102" s="10"/>
      <c r="S102" s="10"/>
      <c r="T102" s="11">
        <v>0</v>
      </c>
      <c r="U102" s="66"/>
      <c r="V102" s="63"/>
      <c r="W102" s="63">
        <v>14.29</v>
      </c>
      <c r="X102" s="63"/>
      <c r="Y102" s="63"/>
      <c r="Z102" s="6"/>
      <c r="AA102" s="43"/>
      <c r="AB102" s="8">
        <f t="shared" si="17"/>
        <v>0</v>
      </c>
      <c r="AC102" s="8">
        <f t="shared" si="18"/>
        <v>1</v>
      </c>
      <c r="AD102" s="8">
        <f t="shared" si="19"/>
        <v>0</v>
      </c>
      <c r="AE102" s="8">
        <f t="shared" si="20"/>
        <v>0</v>
      </c>
      <c r="AF102" s="8">
        <f t="shared" si="21"/>
        <v>0</v>
      </c>
    </row>
    <row r="103" spans="1:32" ht="15">
      <c r="A103">
        <v>3</v>
      </c>
      <c r="B103" s="18" t="s">
        <v>357</v>
      </c>
      <c r="C103" s="18" t="s">
        <v>230</v>
      </c>
      <c r="D103" s="6" t="s">
        <v>357</v>
      </c>
      <c r="E103" s="6" t="s">
        <v>230</v>
      </c>
      <c r="F103" s="36" t="s">
        <v>186</v>
      </c>
      <c r="G103" s="36" t="s">
        <v>200</v>
      </c>
      <c r="H103" s="1" t="str">
        <f t="shared" si="16"/>
        <v>HL</v>
      </c>
      <c r="I103" s="61">
        <f t="shared" si="22"/>
        <v>30.9</v>
      </c>
      <c r="J103" s="10">
        <f>(VLOOKUP($H103,'Standard Estimate Uncertainty '!$B$10:$D$18,2)*$I103)+$I103</f>
        <v>29.354999999999997</v>
      </c>
      <c r="K103" s="10">
        <f>(VLOOKUP($H103,'Standard Estimate Uncertainty '!$B$10:$D$18,3)*$I103)+$I103</f>
        <v>33.989999999999995</v>
      </c>
      <c r="L103" s="10">
        <f t="shared" si="23"/>
        <v>3.0899999999999963</v>
      </c>
      <c r="M103" s="199">
        <f t="shared" si="24"/>
        <v>0.000247032353963306</v>
      </c>
      <c r="N103" s="10">
        <f t="shared" si="26"/>
        <v>2.969328894638938</v>
      </c>
      <c r="O103" s="198">
        <f t="shared" si="25"/>
        <v>0.09609478623426984</v>
      </c>
      <c r="P103" s="10"/>
      <c r="Q103" s="10"/>
      <c r="R103" s="10"/>
      <c r="S103" s="10"/>
      <c r="T103" s="11">
        <v>0</v>
      </c>
      <c r="U103" s="66"/>
      <c r="V103" s="63"/>
      <c r="W103" s="63"/>
      <c r="X103" s="63"/>
      <c r="Y103" s="63">
        <v>30.9</v>
      </c>
      <c r="Z103" s="6"/>
      <c r="AA103" s="43"/>
      <c r="AB103" s="8">
        <f t="shared" si="17"/>
        <v>0</v>
      </c>
      <c r="AC103" s="8">
        <f t="shared" si="18"/>
        <v>0</v>
      </c>
      <c r="AD103" s="8">
        <f t="shared" si="19"/>
        <v>0</v>
      </c>
      <c r="AE103" s="8">
        <f t="shared" si="20"/>
        <v>1</v>
      </c>
      <c r="AF103" s="8">
        <f t="shared" si="21"/>
        <v>0</v>
      </c>
    </row>
    <row r="104" spans="1:32" ht="15">
      <c r="A104">
        <v>3</v>
      </c>
      <c r="B104" s="18" t="s">
        <v>358</v>
      </c>
      <c r="C104" s="18" t="s">
        <v>230</v>
      </c>
      <c r="D104" s="6" t="s">
        <v>358</v>
      </c>
      <c r="E104" s="6" t="s">
        <v>230</v>
      </c>
      <c r="F104" s="36" t="s">
        <v>187</v>
      </c>
      <c r="G104" s="36" t="s">
        <v>187</v>
      </c>
      <c r="H104" s="1" t="str">
        <f t="shared" si="16"/>
        <v>MM</v>
      </c>
      <c r="I104" s="61">
        <f t="shared" si="22"/>
        <v>262.97</v>
      </c>
      <c r="J104" s="10">
        <f>(VLOOKUP($H104,'Standard Estimate Uncertainty '!$B$10:$D$18,2)*$I104)+$I104</f>
        <v>223.52450000000002</v>
      </c>
      <c r="K104" s="10">
        <f>(VLOOKUP($H104,'Standard Estimate Uncertainty '!$B$10:$D$18,3)*$I104)+$I104</f>
        <v>328.71250000000003</v>
      </c>
      <c r="L104" s="10">
        <f t="shared" si="23"/>
        <v>65.7425</v>
      </c>
      <c r="M104" s="199">
        <f t="shared" si="24"/>
        <v>0.005255833181369794</v>
      </c>
      <c r="N104" s="10">
        <f t="shared" si="26"/>
        <v>63.17511484006492</v>
      </c>
      <c r="O104" s="198">
        <f t="shared" si="25"/>
        <v>0.24023696558567484</v>
      </c>
      <c r="P104" s="10"/>
      <c r="Q104" s="10"/>
      <c r="R104" s="10"/>
      <c r="S104" s="10"/>
      <c r="T104" s="11">
        <v>0</v>
      </c>
      <c r="U104" s="66"/>
      <c r="V104" s="63"/>
      <c r="W104" s="63"/>
      <c r="X104" s="63">
        <v>101.31</v>
      </c>
      <c r="Y104" s="63">
        <v>161.66</v>
      </c>
      <c r="Z104" s="6"/>
      <c r="AA104" s="43"/>
      <c r="AB104" s="8">
        <f t="shared" si="17"/>
        <v>0</v>
      </c>
      <c r="AC104" s="8">
        <f t="shared" si="18"/>
        <v>0</v>
      </c>
      <c r="AD104" s="8">
        <f t="shared" si="19"/>
        <v>0.3852530706924744</v>
      </c>
      <c r="AE104" s="8">
        <f t="shared" si="20"/>
        <v>0.6147469293075255</v>
      </c>
      <c r="AF104" s="8">
        <f t="shared" si="21"/>
        <v>0</v>
      </c>
    </row>
    <row r="105" spans="1:32" ht="15">
      <c r="A105">
        <v>3</v>
      </c>
      <c r="B105" s="18" t="s">
        <v>359</v>
      </c>
      <c r="C105" s="18" t="s">
        <v>230</v>
      </c>
      <c r="D105" s="6" t="s">
        <v>359</v>
      </c>
      <c r="E105" s="6" t="s">
        <v>230</v>
      </c>
      <c r="F105" s="36" t="s">
        <v>186</v>
      </c>
      <c r="G105" s="36" t="s">
        <v>200</v>
      </c>
      <c r="H105" s="1" t="str">
        <f t="shared" si="16"/>
        <v>HL</v>
      </c>
      <c r="I105" s="61">
        <f t="shared" si="22"/>
        <v>132.71</v>
      </c>
      <c r="J105" s="10">
        <f>(VLOOKUP($H105,'Standard Estimate Uncertainty '!$B$10:$D$18,2)*$I105)+$I105</f>
        <v>126.0745</v>
      </c>
      <c r="K105" s="10">
        <f>(VLOOKUP($H105,'Standard Estimate Uncertainty '!$B$10:$D$18,3)*$I105)+$I105</f>
        <v>145.981</v>
      </c>
      <c r="L105" s="10">
        <f t="shared" si="23"/>
        <v>13.270999999999987</v>
      </c>
      <c r="M105" s="199">
        <f t="shared" si="24"/>
        <v>0.0010609599901123088</v>
      </c>
      <c r="N105" s="10">
        <f t="shared" si="26"/>
        <v>12.75273908114995</v>
      </c>
      <c r="O105" s="198">
        <f t="shared" si="25"/>
        <v>0.09609478623426984</v>
      </c>
      <c r="P105" s="10"/>
      <c r="Q105" s="10"/>
      <c r="R105" s="10"/>
      <c r="S105" s="10"/>
      <c r="T105" s="11">
        <v>0</v>
      </c>
      <c r="U105" s="66"/>
      <c r="V105" s="63">
        <v>11.36</v>
      </c>
      <c r="W105" s="63">
        <v>29.23</v>
      </c>
      <c r="X105" s="63">
        <v>30.08</v>
      </c>
      <c r="Y105" s="63">
        <v>62.04</v>
      </c>
      <c r="Z105" s="6"/>
      <c r="AA105" s="43"/>
      <c r="AB105" s="8">
        <f t="shared" si="17"/>
        <v>0.08560018084545248</v>
      </c>
      <c r="AC105" s="8">
        <f t="shared" si="18"/>
        <v>0.22025469067892395</v>
      </c>
      <c r="AD105" s="8">
        <f t="shared" si="19"/>
        <v>0.22665963378795867</v>
      </c>
      <c r="AE105" s="8">
        <f t="shared" si="20"/>
        <v>0.4674854946876648</v>
      </c>
      <c r="AF105" s="8">
        <f t="shared" si="21"/>
        <v>0</v>
      </c>
    </row>
    <row r="106" spans="1:32" ht="15">
      <c r="A106">
        <v>4</v>
      </c>
      <c r="B106" s="18" t="s">
        <v>360</v>
      </c>
      <c r="C106" s="18" t="s">
        <v>230</v>
      </c>
      <c r="D106" s="6" t="s">
        <v>360</v>
      </c>
      <c r="E106" s="6" t="s">
        <v>230</v>
      </c>
      <c r="F106" s="275" t="s">
        <v>390</v>
      </c>
      <c r="G106" s="276"/>
      <c r="H106" s="1" t="str">
        <f t="shared" si="16"/>
        <v>FROZEN</v>
      </c>
      <c r="I106" s="160">
        <f t="shared" si="22"/>
        <v>-104.1</v>
      </c>
      <c r="J106" s="10">
        <f>I106</f>
        <v>-104.1</v>
      </c>
      <c r="K106" s="10">
        <f>I106</f>
        <v>-104.1</v>
      </c>
      <c r="L106" s="10">
        <f t="shared" si="23"/>
        <v>0</v>
      </c>
      <c r="M106" s="199">
        <f t="shared" si="24"/>
        <v>0</v>
      </c>
      <c r="N106" s="10">
        <f t="shared" si="26"/>
        <v>0</v>
      </c>
      <c r="O106" s="198">
        <f t="shared" si="25"/>
        <v>0</v>
      </c>
      <c r="P106" s="10"/>
      <c r="Q106" s="10"/>
      <c r="R106" s="10"/>
      <c r="S106" s="10"/>
      <c r="T106" s="10">
        <f>I106</f>
        <v>-104.1</v>
      </c>
      <c r="U106" s="66"/>
      <c r="V106" s="63">
        <v>-104.1</v>
      </c>
      <c r="W106" s="63"/>
      <c r="X106" s="63"/>
      <c r="Y106" s="63"/>
      <c r="Z106" s="6"/>
      <c r="AA106" s="43"/>
      <c r="AB106" s="8">
        <f t="shared" si="17"/>
        <v>1</v>
      </c>
      <c r="AC106" s="8">
        <f t="shared" si="18"/>
        <v>0</v>
      </c>
      <c r="AD106" s="8">
        <f t="shared" si="19"/>
        <v>0</v>
      </c>
      <c r="AE106" s="8">
        <f t="shared" si="20"/>
        <v>0</v>
      </c>
      <c r="AF106" s="8">
        <f t="shared" si="21"/>
        <v>0</v>
      </c>
    </row>
    <row r="107" spans="1:32" ht="15">
      <c r="A107">
        <v>4</v>
      </c>
      <c r="B107" s="18" t="s">
        <v>360</v>
      </c>
      <c r="C107" s="18" t="s">
        <v>235</v>
      </c>
      <c r="D107" s="6" t="s">
        <v>360</v>
      </c>
      <c r="E107" s="6" t="s">
        <v>235</v>
      </c>
      <c r="F107" s="36" t="s">
        <v>186</v>
      </c>
      <c r="G107" s="36" t="s">
        <v>200</v>
      </c>
      <c r="H107" s="1" t="str">
        <f t="shared" si="16"/>
        <v>HL</v>
      </c>
      <c r="I107" s="160">
        <f t="shared" si="22"/>
        <v>123.69</v>
      </c>
      <c r="J107" s="10">
        <f>(VLOOKUP($H107,'Standard Estimate Uncertainty '!$B$10:$D$18,2)*$I107)+$I107</f>
        <v>117.5055</v>
      </c>
      <c r="K107" s="10">
        <f>(VLOOKUP($H107,'Standard Estimate Uncertainty '!$B$10:$D$18,3)*$I107)+$I107</f>
        <v>136.059</v>
      </c>
      <c r="L107" s="10">
        <f t="shared" si="23"/>
        <v>12.369</v>
      </c>
      <c r="M107" s="199">
        <f t="shared" si="24"/>
        <v>0.0009888489275637978</v>
      </c>
      <c r="N107" s="10">
        <f t="shared" si="26"/>
        <v>11.885964109316848</v>
      </c>
      <c r="O107" s="198">
        <f t="shared" si="25"/>
        <v>0.09609478623426994</v>
      </c>
      <c r="P107" s="10"/>
      <c r="Q107" s="10"/>
      <c r="R107" s="10"/>
      <c r="S107" s="10"/>
      <c r="T107" s="11">
        <v>0</v>
      </c>
      <c r="U107" s="66"/>
      <c r="V107" s="63"/>
      <c r="W107" s="63"/>
      <c r="X107" s="63">
        <v>49.62</v>
      </c>
      <c r="Y107" s="63">
        <v>74.07</v>
      </c>
      <c r="Z107" s="6"/>
      <c r="AA107" s="43"/>
      <c r="AB107" s="8">
        <f t="shared" si="17"/>
        <v>0</v>
      </c>
      <c r="AC107" s="8">
        <f t="shared" si="18"/>
        <v>0</v>
      </c>
      <c r="AD107" s="8">
        <f t="shared" si="19"/>
        <v>0.4011642008246422</v>
      </c>
      <c r="AE107" s="8">
        <f t="shared" si="20"/>
        <v>0.5988357991753577</v>
      </c>
      <c r="AF107" s="8">
        <f t="shared" si="21"/>
        <v>0</v>
      </c>
    </row>
    <row r="108" spans="1:32" ht="15">
      <c r="A108">
        <v>4</v>
      </c>
      <c r="B108" s="18" t="s">
        <v>360</v>
      </c>
      <c r="C108" s="18" t="s">
        <v>236</v>
      </c>
      <c r="D108" s="6" t="s">
        <v>360</v>
      </c>
      <c r="E108" s="6" t="s">
        <v>236</v>
      </c>
      <c r="F108" s="36" t="s">
        <v>186</v>
      </c>
      <c r="G108" s="36" t="s">
        <v>200</v>
      </c>
      <c r="H108" s="1" t="str">
        <f t="shared" si="16"/>
        <v>HL</v>
      </c>
      <c r="I108" s="160">
        <f t="shared" si="22"/>
        <v>34.87</v>
      </c>
      <c r="J108" s="10">
        <f>(VLOOKUP($H108,'Standard Estimate Uncertainty '!$B$10:$D$18,2)*$I108)+$I108</f>
        <v>33.1265</v>
      </c>
      <c r="K108" s="10">
        <f>(VLOOKUP($H108,'Standard Estimate Uncertainty '!$B$10:$D$18,3)*$I108)+$I108</f>
        <v>38.357</v>
      </c>
      <c r="L108" s="10">
        <f t="shared" si="23"/>
        <v>3.487000000000002</v>
      </c>
      <c r="M108" s="199">
        <f t="shared" si="24"/>
        <v>0.000278770814974126</v>
      </c>
      <c r="N108" s="10">
        <f t="shared" si="26"/>
        <v>3.3508251959889948</v>
      </c>
      <c r="O108" s="198">
        <f t="shared" si="25"/>
        <v>0.09609478623427001</v>
      </c>
      <c r="P108" s="10"/>
      <c r="Q108" s="10"/>
      <c r="R108" s="10"/>
      <c r="S108" s="10"/>
      <c r="T108" s="11">
        <v>0</v>
      </c>
      <c r="U108" s="66"/>
      <c r="V108" s="63"/>
      <c r="W108" s="63"/>
      <c r="X108" s="63">
        <v>7.17</v>
      </c>
      <c r="Y108" s="63">
        <v>27.7</v>
      </c>
      <c r="Z108" s="6"/>
      <c r="AA108" s="43"/>
      <c r="AB108" s="8">
        <f t="shared" si="17"/>
        <v>0</v>
      </c>
      <c r="AC108" s="8">
        <f t="shared" si="18"/>
        <v>0</v>
      </c>
      <c r="AD108" s="8">
        <f t="shared" si="19"/>
        <v>0.20562087754516778</v>
      </c>
      <c r="AE108" s="8">
        <f t="shared" si="20"/>
        <v>0.7943791224548322</v>
      </c>
      <c r="AF108" s="8">
        <f t="shared" si="21"/>
        <v>0</v>
      </c>
    </row>
    <row r="109" spans="1:32" ht="15">
      <c r="A109">
        <v>4</v>
      </c>
      <c r="B109" s="18" t="s">
        <v>361</v>
      </c>
      <c r="C109" s="18" t="s">
        <v>237</v>
      </c>
      <c r="D109" s="6" t="s">
        <v>361</v>
      </c>
      <c r="E109" s="6" t="s">
        <v>237</v>
      </c>
      <c r="F109" s="36" t="s">
        <v>186</v>
      </c>
      <c r="G109" s="36" t="s">
        <v>200</v>
      </c>
      <c r="H109" s="1" t="str">
        <f t="shared" si="16"/>
        <v>HL</v>
      </c>
      <c r="I109" s="160">
        <f t="shared" si="22"/>
        <v>602.83</v>
      </c>
      <c r="J109" s="10">
        <f>(VLOOKUP($H109,'Standard Estimate Uncertainty '!$B$10:$D$18,2)*$I109)+$I109</f>
        <v>572.6885000000001</v>
      </c>
      <c r="K109" s="10">
        <f>(VLOOKUP($H109,'Standard Estimate Uncertainty '!$B$10:$D$18,3)*$I109)+$I109</f>
        <v>663.113</v>
      </c>
      <c r="L109" s="10">
        <f t="shared" si="23"/>
        <v>60.283000000000015</v>
      </c>
      <c r="M109" s="199">
        <f t="shared" si="24"/>
        <v>0.004819369383161811</v>
      </c>
      <c r="N109" s="10">
        <f t="shared" si="26"/>
        <v>57.92881998560497</v>
      </c>
      <c r="O109" s="198">
        <f t="shared" si="25"/>
        <v>0.09609478623426997</v>
      </c>
      <c r="P109" s="10"/>
      <c r="Q109" s="10"/>
      <c r="R109" s="10"/>
      <c r="S109" s="10"/>
      <c r="T109" s="11">
        <v>0</v>
      </c>
      <c r="U109" s="66"/>
      <c r="V109" s="63"/>
      <c r="W109" s="63">
        <v>10.99</v>
      </c>
      <c r="X109" s="63">
        <v>273.79</v>
      </c>
      <c r="Y109" s="63">
        <v>318.05</v>
      </c>
      <c r="Z109" s="6"/>
      <c r="AA109" s="43"/>
      <c r="AB109" s="8">
        <f t="shared" si="17"/>
        <v>0</v>
      </c>
      <c r="AC109" s="8">
        <f t="shared" si="18"/>
        <v>0.018230678632450276</v>
      </c>
      <c r="AD109" s="8">
        <f t="shared" si="19"/>
        <v>0.4541744770499146</v>
      </c>
      <c r="AE109" s="8">
        <f t="shared" si="20"/>
        <v>0.5275948443176351</v>
      </c>
      <c r="AF109" s="8">
        <f t="shared" si="21"/>
        <v>0</v>
      </c>
    </row>
    <row r="110" spans="1:32" ht="15">
      <c r="A110">
        <v>4</v>
      </c>
      <c r="B110" s="18" t="s">
        <v>362</v>
      </c>
      <c r="C110" s="18" t="s">
        <v>238</v>
      </c>
      <c r="D110" s="6" t="s">
        <v>362</v>
      </c>
      <c r="E110" s="6" t="s">
        <v>238</v>
      </c>
      <c r="F110" s="36" t="s">
        <v>187</v>
      </c>
      <c r="G110" s="36" t="s">
        <v>200</v>
      </c>
      <c r="H110" s="1" t="str">
        <f t="shared" si="16"/>
        <v>ML</v>
      </c>
      <c r="I110" s="160">
        <f t="shared" si="22"/>
        <v>481.68000000000006</v>
      </c>
      <c r="J110" s="10">
        <f>(VLOOKUP($H110,'Standard Estimate Uncertainty '!$B$10:$D$18,2)*$I110)+$I110</f>
        <v>433.51200000000006</v>
      </c>
      <c r="K110" s="10">
        <f>(VLOOKUP($H110,'Standard Estimate Uncertainty '!$B$10:$D$18,3)*$I110)+$I110</f>
        <v>553.932</v>
      </c>
      <c r="L110" s="10">
        <f t="shared" si="23"/>
        <v>72.25199999999995</v>
      </c>
      <c r="M110" s="199">
        <f t="shared" si="24"/>
        <v>0.005776240012477926</v>
      </c>
      <c r="N110" s="10">
        <f t="shared" si="26"/>
        <v>69.43040494998468</v>
      </c>
      <c r="O110" s="198">
        <f t="shared" si="25"/>
        <v>0.1441421793514048</v>
      </c>
      <c r="P110" s="10"/>
      <c r="Q110" s="10"/>
      <c r="R110" s="10"/>
      <c r="S110" s="10"/>
      <c r="T110" s="11">
        <v>0</v>
      </c>
      <c r="U110" s="66"/>
      <c r="V110" s="63"/>
      <c r="W110" s="63"/>
      <c r="X110" s="63">
        <v>190.27</v>
      </c>
      <c r="Y110" s="63">
        <v>291.41</v>
      </c>
      <c r="Z110" s="6"/>
      <c r="AA110" s="43"/>
      <c r="AB110" s="8">
        <f t="shared" si="17"/>
        <v>0</v>
      </c>
      <c r="AC110" s="8">
        <f t="shared" si="18"/>
        <v>0</v>
      </c>
      <c r="AD110" s="8">
        <f t="shared" si="19"/>
        <v>0.3950132868294303</v>
      </c>
      <c r="AE110" s="8">
        <f t="shared" si="20"/>
        <v>0.6049867131705696</v>
      </c>
      <c r="AF110" s="8">
        <f t="shared" si="21"/>
        <v>0</v>
      </c>
    </row>
    <row r="111" spans="1:32" ht="15">
      <c r="A111">
        <v>4</v>
      </c>
      <c r="B111" s="18" t="s">
        <v>362</v>
      </c>
      <c r="C111" s="18" t="s">
        <v>239</v>
      </c>
      <c r="D111" s="6" t="s">
        <v>362</v>
      </c>
      <c r="E111" s="6" t="s">
        <v>239</v>
      </c>
      <c r="F111" s="36" t="s">
        <v>187</v>
      </c>
      <c r="G111" s="36" t="s">
        <v>200</v>
      </c>
      <c r="H111" s="1" t="str">
        <f t="shared" si="16"/>
        <v>ML</v>
      </c>
      <c r="I111" s="160">
        <f t="shared" si="22"/>
        <v>85.44</v>
      </c>
      <c r="J111" s="10">
        <f>(VLOOKUP($H111,'Standard Estimate Uncertainty '!$B$10:$D$18,2)*$I111)+$I111</f>
        <v>76.896</v>
      </c>
      <c r="K111" s="10">
        <f>(VLOOKUP($H111,'Standard Estimate Uncertainty '!$B$10:$D$18,3)*$I111)+$I111</f>
        <v>98.256</v>
      </c>
      <c r="L111" s="10">
        <f t="shared" si="23"/>
        <v>12.816000000000003</v>
      </c>
      <c r="M111" s="199">
        <f t="shared" si="24"/>
        <v>0.0010245846758555773</v>
      </c>
      <c r="N111" s="10">
        <f t="shared" si="26"/>
        <v>12.315507803784039</v>
      </c>
      <c r="O111" s="198">
        <f t="shared" si="25"/>
        <v>0.14414217935140494</v>
      </c>
      <c r="P111" s="10"/>
      <c r="Q111" s="10"/>
      <c r="R111" s="10"/>
      <c r="S111" s="10"/>
      <c r="T111" s="11">
        <v>0</v>
      </c>
      <c r="U111" s="66"/>
      <c r="V111" s="63"/>
      <c r="W111" s="63"/>
      <c r="X111" s="63"/>
      <c r="Y111" s="63">
        <v>85.44</v>
      </c>
      <c r="Z111" s="6"/>
      <c r="AA111" s="43"/>
      <c r="AB111" s="8">
        <f t="shared" si="17"/>
        <v>0</v>
      </c>
      <c r="AC111" s="8">
        <f t="shared" si="18"/>
        <v>0</v>
      </c>
      <c r="AD111" s="8">
        <f t="shared" si="19"/>
        <v>0</v>
      </c>
      <c r="AE111" s="8">
        <f t="shared" si="20"/>
        <v>1</v>
      </c>
      <c r="AF111" s="8">
        <f t="shared" si="21"/>
        <v>0</v>
      </c>
    </row>
    <row r="112" spans="1:32" ht="15">
      <c r="A112">
        <v>4</v>
      </c>
      <c r="B112" s="18" t="s">
        <v>362</v>
      </c>
      <c r="C112" s="18" t="s">
        <v>240</v>
      </c>
      <c r="D112" s="6" t="s">
        <v>362</v>
      </c>
      <c r="E112" s="6" t="s">
        <v>240</v>
      </c>
      <c r="F112" s="36" t="s">
        <v>187</v>
      </c>
      <c r="G112" s="36" t="s">
        <v>200</v>
      </c>
      <c r="H112" s="1" t="str">
        <f t="shared" si="16"/>
        <v>ML</v>
      </c>
      <c r="I112" s="160">
        <f t="shared" si="22"/>
        <v>14.77</v>
      </c>
      <c r="J112" s="10">
        <f>(VLOOKUP($H112,'Standard Estimate Uncertainty '!$B$10:$D$18,2)*$I112)+$I112</f>
        <v>13.293</v>
      </c>
      <c r="K112" s="10">
        <f>(VLOOKUP($H112,'Standard Estimate Uncertainty '!$B$10:$D$18,3)*$I112)+$I112</f>
        <v>16.9855</v>
      </c>
      <c r="L112" s="10">
        <f t="shared" si="23"/>
        <v>2.2154999999999987</v>
      </c>
      <c r="M112" s="199">
        <f t="shared" si="24"/>
        <v>0.00017711979941932191</v>
      </c>
      <c r="N112" s="10">
        <f t="shared" si="26"/>
        <v>2.1289799890202494</v>
      </c>
      <c r="O112" s="198">
        <f t="shared" si="25"/>
        <v>0.14414217935140483</v>
      </c>
      <c r="P112" s="10"/>
      <c r="Q112" s="10"/>
      <c r="R112" s="10"/>
      <c r="S112" s="10"/>
      <c r="T112" s="11">
        <v>0</v>
      </c>
      <c r="U112" s="66"/>
      <c r="V112" s="63"/>
      <c r="W112" s="63"/>
      <c r="X112" s="63"/>
      <c r="Y112" s="63">
        <v>14.77</v>
      </c>
      <c r="Z112" s="6"/>
      <c r="AA112" s="43"/>
      <c r="AB112" s="8">
        <f t="shared" si="17"/>
        <v>0</v>
      </c>
      <c r="AC112" s="8">
        <f t="shared" si="18"/>
        <v>0</v>
      </c>
      <c r="AD112" s="8">
        <f t="shared" si="19"/>
        <v>0</v>
      </c>
      <c r="AE112" s="8">
        <f t="shared" si="20"/>
        <v>1</v>
      </c>
      <c r="AF112" s="8">
        <f t="shared" si="21"/>
        <v>0</v>
      </c>
    </row>
    <row r="113" spans="1:32" ht="15">
      <c r="A113">
        <v>4</v>
      </c>
      <c r="B113" s="18" t="s">
        <v>362</v>
      </c>
      <c r="C113" s="18" t="s">
        <v>241</v>
      </c>
      <c r="D113" s="6" t="s">
        <v>362</v>
      </c>
      <c r="E113" s="6" t="s">
        <v>241</v>
      </c>
      <c r="F113" s="36" t="s">
        <v>187</v>
      </c>
      <c r="G113" s="36" t="s">
        <v>200</v>
      </c>
      <c r="H113" s="1" t="str">
        <f t="shared" si="16"/>
        <v>ML</v>
      </c>
      <c r="I113" s="160">
        <f t="shared" si="22"/>
        <v>219.85</v>
      </c>
      <c r="J113" s="10">
        <f>(VLOOKUP($H113,'Standard Estimate Uncertainty '!$B$10:$D$18,2)*$I113)+$I113</f>
        <v>197.865</v>
      </c>
      <c r="K113" s="10">
        <f>(VLOOKUP($H113,'Standard Estimate Uncertainty '!$B$10:$D$18,3)*$I113)+$I113</f>
        <v>252.8275</v>
      </c>
      <c r="L113" s="10">
        <f t="shared" si="23"/>
        <v>32.97749999999999</v>
      </c>
      <c r="M113" s="199">
        <f t="shared" si="24"/>
        <v>0.0026364108261569355</v>
      </c>
      <c r="N113" s="10">
        <f t="shared" si="26"/>
        <v>31.689658130406364</v>
      </c>
      <c r="O113" s="198">
        <f t="shared" si="25"/>
        <v>0.1441421793514049</v>
      </c>
      <c r="P113" s="10"/>
      <c r="Q113" s="10"/>
      <c r="R113" s="10"/>
      <c r="S113" s="10"/>
      <c r="T113" s="11">
        <v>0</v>
      </c>
      <c r="U113" s="66"/>
      <c r="V113" s="63"/>
      <c r="W113" s="63"/>
      <c r="X113" s="63">
        <v>44.41</v>
      </c>
      <c r="Y113" s="63">
        <v>175.44</v>
      </c>
      <c r="Z113" s="6"/>
      <c r="AA113" s="43"/>
      <c r="AB113" s="8">
        <f t="shared" si="17"/>
        <v>0</v>
      </c>
      <c r="AC113" s="8">
        <f t="shared" si="18"/>
        <v>0</v>
      </c>
      <c r="AD113" s="8">
        <f t="shared" si="19"/>
        <v>0.20200136456675005</v>
      </c>
      <c r="AE113" s="8">
        <f t="shared" si="20"/>
        <v>0.79799863543325</v>
      </c>
      <c r="AF113" s="8">
        <f t="shared" si="21"/>
        <v>0</v>
      </c>
    </row>
    <row r="114" spans="1:32" ht="15">
      <c r="A114">
        <v>4</v>
      </c>
      <c r="B114" s="18" t="s">
        <v>362</v>
      </c>
      <c r="C114" s="18" t="s">
        <v>242</v>
      </c>
      <c r="D114" s="6" t="s">
        <v>362</v>
      </c>
      <c r="E114" s="6" t="s">
        <v>242</v>
      </c>
      <c r="F114" s="36" t="s">
        <v>187</v>
      </c>
      <c r="G114" s="36" t="s">
        <v>200</v>
      </c>
      <c r="H114" s="1" t="str">
        <f t="shared" si="16"/>
        <v>ML</v>
      </c>
      <c r="I114" s="160">
        <f t="shared" si="22"/>
        <v>282.55</v>
      </c>
      <c r="J114" s="10">
        <f>(VLOOKUP($H114,'Standard Estimate Uncertainty '!$B$10:$D$18,2)*$I114)+$I114</f>
        <v>254.29500000000002</v>
      </c>
      <c r="K114" s="10">
        <f>(VLOOKUP($H114,'Standard Estimate Uncertainty '!$B$10:$D$18,3)*$I114)+$I114</f>
        <v>324.9325</v>
      </c>
      <c r="L114" s="10">
        <f t="shared" si="23"/>
        <v>42.38249999999999</v>
      </c>
      <c r="M114" s="199">
        <f t="shared" si="24"/>
        <v>0.0033883005637054455</v>
      </c>
      <c r="N114" s="10">
        <f t="shared" si="26"/>
        <v>40.727372775739454</v>
      </c>
      <c r="O114" s="198">
        <f t="shared" si="25"/>
        <v>0.1441421793514049</v>
      </c>
      <c r="P114" s="10"/>
      <c r="Q114" s="10"/>
      <c r="R114" s="10"/>
      <c r="S114" s="10"/>
      <c r="T114" s="11">
        <v>0</v>
      </c>
      <c r="U114" s="66"/>
      <c r="V114" s="63"/>
      <c r="W114" s="63"/>
      <c r="X114" s="63">
        <v>79.43</v>
      </c>
      <c r="Y114" s="63">
        <v>203.12</v>
      </c>
      <c r="Z114" s="63"/>
      <c r="AA114" s="43"/>
      <c r="AB114" s="8">
        <f t="shared" si="17"/>
        <v>0</v>
      </c>
      <c r="AC114" s="8">
        <f t="shared" si="18"/>
        <v>0</v>
      </c>
      <c r="AD114" s="8">
        <f t="shared" si="19"/>
        <v>0.2811183861263493</v>
      </c>
      <c r="AE114" s="8">
        <f t="shared" si="20"/>
        <v>0.7188816138736507</v>
      </c>
      <c r="AF114" s="8">
        <f t="shared" si="21"/>
        <v>0</v>
      </c>
    </row>
    <row r="115" spans="1:32" ht="15">
      <c r="A115">
        <v>4</v>
      </c>
      <c r="B115" s="18" t="s">
        <v>363</v>
      </c>
      <c r="C115" s="18" t="s">
        <v>243</v>
      </c>
      <c r="D115" s="6" t="s">
        <v>363</v>
      </c>
      <c r="E115" s="6" t="s">
        <v>243</v>
      </c>
      <c r="F115" s="36" t="s">
        <v>186</v>
      </c>
      <c r="G115" s="36" t="s">
        <v>200</v>
      </c>
      <c r="H115" s="1" t="str">
        <f t="shared" si="16"/>
        <v>HL</v>
      </c>
      <c r="I115" s="160">
        <f t="shared" si="22"/>
        <v>215.14</v>
      </c>
      <c r="J115" s="10">
        <f>(VLOOKUP($H115,'Standard Estimate Uncertainty '!$B$10:$D$18,2)*$I115)+$I115</f>
        <v>204.38299999999998</v>
      </c>
      <c r="K115" s="10">
        <f>(VLOOKUP($H115,'Standard Estimate Uncertainty '!$B$10:$D$18,3)*$I115)+$I115</f>
        <v>236.654</v>
      </c>
      <c r="L115" s="10">
        <f t="shared" si="23"/>
        <v>21.51400000000001</v>
      </c>
      <c r="M115" s="199">
        <f t="shared" si="24"/>
        <v>0.0017199527712513183</v>
      </c>
      <c r="N115" s="10">
        <f t="shared" si="26"/>
        <v>20.673832310440847</v>
      </c>
      <c r="O115" s="198">
        <f t="shared" si="25"/>
        <v>0.09609478623427001</v>
      </c>
      <c r="P115" s="10"/>
      <c r="Q115" s="10"/>
      <c r="R115" s="10"/>
      <c r="S115" s="10"/>
      <c r="T115" s="11">
        <v>0</v>
      </c>
      <c r="U115" s="66"/>
      <c r="V115" s="63"/>
      <c r="W115" s="63"/>
      <c r="X115" s="63">
        <v>214.75</v>
      </c>
      <c r="Y115" s="63">
        <v>0.39</v>
      </c>
      <c r="Z115" s="63"/>
      <c r="AA115" s="43"/>
      <c r="AB115" s="8">
        <f t="shared" si="17"/>
        <v>0</v>
      </c>
      <c r="AC115" s="8">
        <f t="shared" si="18"/>
        <v>0</v>
      </c>
      <c r="AD115" s="8">
        <f t="shared" si="19"/>
        <v>0.9981872269220043</v>
      </c>
      <c r="AE115" s="8">
        <f t="shared" si="20"/>
        <v>0.001812773077995724</v>
      </c>
      <c r="AF115" s="8">
        <f t="shared" si="21"/>
        <v>0</v>
      </c>
    </row>
    <row r="116" spans="1:32" ht="15">
      <c r="A116">
        <v>4</v>
      </c>
      <c r="B116" s="18" t="s">
        <v>363</v>
      </c>
      <c r="C116" s="18" t="s">
        <v>244</v>
      </c>
      <c r="D116" s="6" t="s">
        <v>363</v>
      </c>
      <c r="E116" s="6" t="s">
        <v>244</v>
      </c>
      <c r="F116" s="36" t="s">
        <v>186</v>
      </c>
      <c r="G116" s="36" t="s">
        <v>200</v>
      </c>
      <c r="H116" s="1" t="str">
        <f t="shared" si="16"/>
        <v>HL</v>
      </c>
      <c r="I116" s="160">
        <f t="shared" si="22"/>
        <v>199.07</v>
      </c>
      <c r="J116" s="10">
        <f>(VLOOKUP($H116,'Standard Estimate Uncertainty '!$B$10:$D$18,2)*$I116)+$I116</f>
        <v>189.1165</v>
      </c>
      <c r="K116" s="10">
        <f>(VLOOKUP($H116,'Standard Estimate Uncertainty '!$B$10:$D$18,3)*$I116)+$I116</f>
        <v>218.977</v>
      </c>
      <c r="L116" s="10">
        <f t="shared" si="23"/>
        <v>19.90700000000001</v>
      </c>
      <c r="M116" s="199">
        <f t="shared" si="24"/>
        <v>0.0015914799580412752</v>
      </c>
      <c r="N116" s="10">
        <f t="shared" si="26"/>
        <v>19.12958909565613</v>
      </c>
      <c r="O116" s="198">
        <f t="shared" si="25"/>
        <v>0.09609478623427001</v>
      </c>
      <c r="P116" s="10"/>
      <c r="Q116" s="10"/>
      <c r="R116" s="10"/>
      <c r="S116" s="10"/>
      <c r="T116" s="11">
        <v>0</v>
      </c>
      <c r="U116" s="66"/>
      <c r="V116" s="63"/>
      <c r="W116" s="63"/>
      <c r="X116" s="63">
        <v>105.37</v>
      </c>
      <c r="Y116" s="63">
        <v>93.7</v>
      </c>
      <c r="Z116" s="63"/>
      <c r="AA116" s="43"/>
      <c r="AB116" s="8">
        <f t="shared" si="17"/>
        <v>0</v>
      </c>
      <c r="AC116" s="8">
        <f t="shared" si="18"/>
        <v>0</v>
      </c>
      <c r="AD116" s="8">
        <f t="shared" si="19"/>
        <v>0.529311297533531</v>
      </c>
      <c r="AE116" s="8">
        <f t="shared" si="20"/>
        <v>0.4706887024664691</v>
      </c>
      <c r="AF116" s="8">
        <f t="shared" si="21"/>
        <v>0</v>
      </c>
    </row>
    <row r="117" spans="1:32" ht="15">
      <c r="A117">
        <v>4</v>
      </c>
      <c r="B117" s="18" t="s">
        <v>363</v>
      </c>
      <c r="C117" s="18" t="s">
        <v>245</v>
      </c>
      <c r="D117" s="6" t="s">
        <v>363</v>
      </c>
      <c r="E117" s="6" t="s">
        <v>245</v>
      </c>
      <c r="F117" s="36" t="s">
        <v>186</v>
      </c>
      <c r="G117" s="36" t="s">
        <v>200</v>
      </c>
      <c r="H117" s="1" t="str">
        <f t="shared" si="16"/>
        <v>HL</v>
      </c>
      <c r="I117" s="160">
        <f t="shared" si="22"/>
        <v>268.90000000000003</v>
      </c>
      <c r="J117" s="10">
        <f>(VLOOKUP($H117,'Standard Estimate Uncertainty '!$B$10:$D$18,2)*$I117)+$I117</f>
        <v>255.45500000000004</v>
      </c>
      <c r="K117" s="10">
        <f>(VLOOKUP($H117,'Standard Estimate Uncertainty '!$B$10:$D$18,3)*$I117)+$I117</f>
        <v>295.79</v>
      </c>
      <c r="L117" s="10">
        <f t="shared" si="23"/>
        <v>26.889999999999986</v>
      </c>
      <c r="M117" s="199">
        <f t="shared" si="24"/>
        <v>0.0021497410997000977</v>
      </c>
      <c r="N117" s="10">
        <f t="shared" si="26"/>
        <v>25.839888018395175</v>
      </c>
      <c r="O117" s="198">
        <f t="shared" si="25"/>
        <v>0.09609478623426988</v>
      </c>
      <c r="P117" s="10"/>
      <c r="Q117" s="10"/>
      <c r="R117" s="10"/>
      <c r="S117" s="10"/>
      <c r="T117" s="11">
        <v>0</v>
      </c>
      <c r="U117" s="66"/>
      <c r="V117" s="63"/>
      <c r="W117" s="63"/>
      <c r="X117" s="63">
        <v>35.47</v>
      </c>
      <c r="Y117" s="63">
        <v>180.05</v>
      </c>
      <c r="Z117" s="63">
        <v>53.38</v>
      </c>
      <c r="AA117" s="43"/>
      <c r="AB117" s="8">
        <f t="shared" si="17"/>
        <v>0</v>
      </c>
      <c r="AC117" s="8">
        <f t="shared" si="18"/>
        <v>0</v>
      </c>
      <c r="AD117" s="8">
        <f t="shared" si="19"/>
        <v>0.1319077724060989</v>
      </c>
      <c r="AE117" s="8">
        <f t="shared" si="20"/>
        <v>0.6695797694310152</v>
      </c>
      <c r="AF117" s="8">
        <f t="shared" si="21"/>
        <v>0.19851245816288582</v>
      </c>
    </row>
    <row r="118" spans="1:32" ht="15">
      <c r="A118">
        <v>5</v>
      </c>
      <c r="B118" s="18" t="s">
        <v>364</v>
      </c>
      <c r="C118" s="18" t="s">
        <v>230</v>
      </c>
      <c r="D118" s="6" t="s">
        <v>364</v>
      </c>
      <c r="E118" s="6" t="s">
        <v>230</v>
      </c>
      <c r="F118" s="36" t="s">
        <v>187</v>
      </c>
      <c r="G118" s="36" t="s">
        <v>200</v>
      </c>
      <c r="H118" s="1" t="str">
        <f t="shared" si="16"/>
        <v>ML</v>
      </c>
      <c r="I118" s="61">
        <f t="shared" si="22"/>
        <v>150.61</v>
      </c>
      <c r="J118" s="10">
        <f>(VLOOKUP($H118,'Standard Estimate Uncertainty '!$B$10:$D$18,2)*$I118)+$I118</f>
        <v>135.549</v>
      </c>
      <c r="K118" s="10">
        <f>(VLOOKUP($H118,'Standard Estimate Uncertainty '!$B$10:$D$18,3)*$I118)+$I118</f>
        <v>173.2015</v>
      </c>
      <c r="L118" s="10">
        <f t="shared" si="23"/>
        <v>22.591499999999996</v>
      </c>
      <c r="M118" s="199">
        <f t="shared" si="24"/>
        <v>0.0018060943121559975</v>
      </c>
      <c r="N118" s="10">
        <f t="shared" si="26"/>
        <v>21.70925363211509</v>
      </c>
      <c r="O118" s="198">
        <f t="shared" si="25"/>
        <v>0.14414217935140486</v>
      </c>
      <c r="P118" s="10"/>
      <c r="Q118" s="10"/>
      <c r="R118" s="10"/>
      <c r="S118" s="10"/>
      <c r="T118" s="11">
        <v>0</v>
      </c>
      <c r="U118" s="66"/>
      <c r="V118" s="63"/>
      <c r="W118" s="63"/>
      <c r="X118" s="63">
        <v>7.33</v>
      </c>
      <c r="Y118" s="63">
        <v>143.28</v>
      </c>
      <c r="Z118" s="63"/>
      <c r="AA118" s="43"/>
      <c r="AB118" s="8">
        <f t="shared" si="17"/>
        <v>0</v>
      </c>
      <c r="AC118" s="8">
        <f t="shared" si="18"/>
        <v>0</v>
      </c>
      <c r="AD118" s="8">
        <f t="shared" si="19"/>
        <v>0.0486687470951464</v>
      </c>
      <c r="AE118" s="8">
        <f t="shared" si="20"/>
        <v>0.9513312529048535</v>
      </c>
      <c r="AF118" s="8">
        <f t="shared" si="21"/>
        <v>0</v>
      </c>
    </row>
    <row r="119" spans="1:32" ht="15">
      <c r="A119">
        <v>5</v>
      </c>
      <c r="B119" s="18" t="s">
        <v>365</v>
      </c>
      <c r="C119" s="18" t="s">
        <v>230</v>
      </c>
      <c r="D119" s="6" t="s">
        <v>365</v>
      </c>
      <c r="E119" s="6" t="s">
        <v>230</v>
      </c>
      <c r="F119" s="36" t="s">
        <v>187</v>
      </c>
      <c r="G119" s="36" t="s">
        <v>200</v>
      </c>
      <c r="H119" s="1" t="str">
        <f t="shared" si="16"/>
        <v>ML</v>
      </c>
      <c r="I119" s="61">
        <f t="shared" si="22"/>
        <v>196.68</v>
      </c>
      <c r="J119" s="10">
        <f>(VLOOKUP($H119,'Standard Estimate Uncertainty '!$B$10:$D$18,2)*$I119)+$I119</f>
        <v>177.012</v>
      </c>
      <c r="K119" s="10">
        <f>(VLOOKUP($H119,'Standard Estimate Uncertainty '!$B$10:$D$18,3)*$I119)+$I119</f>
        <v>226.18200000000002</v>
      </c>
      <c r="L119" s="10">
        <f t="shared" si="23"/>
        <v>29.50200000000001</v>
      </c>
      <c r="M119" s="199">
        <f t="shared" si="24"/>
        <v>0.0023585593872574315</v>
      </c>
      <c r="N119" s="10">
        <f t="shared" si="26"/>
        <v>28.349883834834326</v>
      </c>
      <c r="O119" s="198">
        <f t="shared" si="25"/>
        <v>0.14414217935140494</v>
      </c>
      <c r="P119" s="10"/>
      <c r="Q119" s="10"/>
      <c r="R119" s="10"/>
      <c r="S119" s="10"/>
      <c r="T119" s="11">
        <v>0</v>
      </c>
      <c r="U119" s="66"/>
      <c r="V119" s="63"/>
      <c r="W119" s="63"/>
      <c r="X119" s="63">
        <v>81.27</v>
      </c>
      <c r="Y119" s="63">
        <v>115.41</v>
      </c>
      <c r="Z119" s="63"/>
      <c r="AA119" s="43"/>
      <c r="AB119" s="8">
        <f t="shared" si="17"/>
        <v>0</v>
      </c>
      <c r="AC119" s="8">
        <f t="shared" si="18"/>
        <v>0</v>
      </c>
      <c r="AD119" s="8">
        <f t="shared" si="19"/>
        <v>0.41320927394752893</v>
      </c>
      <c r="AE119" s="8">
        <f t="shared" si="20"/>
        <v>0.586790726052471</v>
      </c>
      <c r="AF119" s="8">
        <f t="shared" si="21"/>
        <v>0</v>
      </c>
    </row>
    <row r="120" spans="1:32" ht="15">
      <c r="A120">
        <v>5</v>
      </c>
      <c r="B120" s="18" t="s">
        <v>366</v>
      </c>
      <c r="C120" s="18" t="s">
        <v>230</v>
      </c>
      <c r="D120" s="6" t="s">
        <v>366</v>
      </c>
      <c r="E120" s="6" t="s">
        <v>230</v>
      </c>
      <c r="F120" s="36" t="s">
        <v>187</v>
      </c>
      <c r="G120" s="36" t="s">
        <v>200</v>
      </c>
      <c r="H120" s="1" t="str">
        <f t="shared" si="16"/>
        <v>ML</v>
      </c>
      <c r="I120" s="61">
        <f t="shared" si="22"/>
        <v>164.19</v>
      </c>
      <c r="J120" s="10">
        <f>(VLOOKUP($H120,'Standard Estimate Uncertainty '!$B$10:$D$18,2)*$I120)+$I120</f>
        <v>147.771</v>
      </c>
      <c r="K120" s="10">
        <f>(VLOOKUP($H120,'Standard Estimate Uncertainty '!$B$10:$D$18,3)*$I120)+$I120</f>
        <v>188.8185</v>
      </c>
      <c r="L120" s="10">
        <f t="shared" si="23"/>
        <v>24.628500000000003</v>
      </c>
      <c r="M120" s="199">
        <f t="shared" si="24"/>
        <v>0.0019689437959822943</v>
      </c>
      <c r="N120" s="10">
        <f t="shared" si="26"/>
        <v>23.666704427707177</v>
      </c>
      <c r="O120" s="198">
        <f t="shared" si="25"/>
        <v>0.14414217935140494</v>
      </c>
      <c r="P120" s="10"/>
      <c r="Q120" s="10"/>
      <c r="R120" s="10"/>
      <c r="S120" s="10"/>
      <c r="T120" s="11">
        <v>0</v>
      </c>
      <c r="U120" s="66"/>
      <c r="V120" s="63"/>
      <c r="W120" s="63"/>
      <c r="X120" s="63">
        <v>50.6</v>
      </c>
      <c r="Y120" s="63">
        <v>113.59</v>
      </c>
      <c r="Z120" s="63"/>
      <c r="AA120" s="43"/>
      <c r="AB120" s="8">
        <f t="shared" si="17"/>
        <v>0</v>
      </c>
      <c r="AC120" s="8">
        <f t="shared" si="18"/>
        <v>0</v>
      </c>
      <c r="AD120" s="8">
        <f t="shared" si="19"/>
        <v>0.30817954808453624</v>
      </c>
      <c r="AE120" s="8">
        <f t="shared" si="20"/>
        <v>0.6918204519154638</v>
      </c>
      <c r="AF120" s="8">
        <f t="shared" si="21"/>
        <v>0</v>
      </c>
    </row>
    <row r="121" spans="1:32" ht="15">
      <c r="A121">
        <v>5</v>
      </c>
      <c r="B121" s="18" t="s">
        <v>367</v>
      </c>
      <c r="C121" s="18" t="s">
        <v>230</v>
      </c>
      <c r="D121" s="6" t="s">
        <v>367</v>
      </c>
      <c r="E121" s="6" t="s">
        <v>230</v>
      </c>
      <c r="F121" s="36" t="s">
        <v>187</v>
      </c>
      <c r="G121" s="36" t="s">
        <v>187</v>
      </c>
      <c r="H121" s="1" t="str">
        <f t="shared" si="16"/>
        <v>MM</v>
      </c>
      <c r="I121" s="61">
        <f t="shared" si="22"/>
        <v>204.82</v>
      </c>
      <c r="J121" s="10">
        <f>(VLOOKUP($H121,'Standard Estimate Uncertainty '!$B$10:$D$18,2)*$I121)+$I121</f>
        <v>174.09699999999998</v>
      </c>
      <c r="K121" s="10">
        <f>(VLOOKUP($H121,'Standard Estimate Uncertainty '!$B$10:$D$18,3)*$I121)+$I121</f>
        <v>256.025</v>
      </c>
      <c r="L121" s="10">
        <f t="shared" si="23"/>
        <v>51.204999999999984</v>
      </c>
      <c r="M121" s="199">
        <f t="shared" si="24"/>
        <v>0.004093621904430775</v>
      </c>
      <c r="N121" s="10">
        <f t="shared" si="26"/>
        <v>49.20533529125791</v>
      </c>
      <c r="O121" s="198">
        <f t="shared" si="25"/>
        <v>0.24023696558567478</v>
      </c>
      <c r="P121" s="10"/>
      <c r="Q121" s="10"/>
      <c r="R121" s="10"/>
      <c r="S121" s="10"/>
      <c r="T121" s="11">
        <v>0</v>
      </c>
      <c r="U121" s="66"/>
      <c r="V121" s="63"/>
      <c r="W121" s="63"/>
      <c r="X121" s="63">
        <v>11.5</v>
      </c>
      <c r="Y121" s="63">
        <v>193.32</v>
      </c>
      <c r="Z121" s="63"/>
      <c r="AA121" s="43"/>
      <c r="AB121" s="8">
        <f t="shared" si="17"/>
        <v>0</v>
      </c>
      <c r="AC121" s="8">
        <f t="shared" si="18"/>
        <v>0</v>
      </c>
      <c r="AD121" s="8">
        <f t="shared" si="19"/>
        <v>0.056146860658138856</v>
      </c>
      <c r="AE121" s="8">
        <f t="shared" si="20"/>
        <v>0.9438531393418611</v>
      </c>
      <c r="AF121" s="8">
        <f t="shared" si="21"/>
        <v>0</v>
      </c>
    </row>
    <row r="122" spans="1:32" ht="15">
      <c r="A122">
        <v>5</v>
      </c>
      <c r="B122" s="18" t="s">
        <v>368</v>
      </c>
      <c r="C122" s="18" t="s">
        <v>230</v>
      </c>
      <c r="D122" s="6" t="s">
        <v>368</v>
      </c>
      <c r="E122" s="6" t="s">
        <v>230</v>
      </c>
      <c r="F122" s="36" t="s">
        <v>187</v>
      </c>
      <c r="G122" s="36" t="s">
        <v>200</v>
      </c>
      <c r="H122" s="1" t="str">
        <f t="shared" si="16"/>
        <v>ML</v>
      </c>
      <c r="I122" s="61">
        <f t="shared" si="22"/>
        <v>128.84</v>
      </c>
      <c r="J122" s="10">
        <f>(VLOOKUP($H122,'Standard Estimate Uncertainty '!$B$10:$D$18,2)*$I122)+$I122</f>
        <v>115.956</v>
      </c>
      <c r="K122" s="10">
        <f>(VLOOKUP($H122,'Standard Estimate Uncertainty '!$B$10:$D$18,3)*$I122)+$I122</f>
        <v>148.166</v>
      </c>
      <c r="L122" s="10">
        <f t="shared" si="23"/>
        <v>19.325999999999993</v>
      </c>
      <c r="M122" s="199">
        <f t="shared" si="24"/>
        <v>0.0015450314798365228</v>
      </c>
      <c r="N122" s="10">
        <f t="shared" si="26"/>
        <v>18.571278387635004</v>
      </c>
      <c r="O122" s="198">
        <f t="shared" si="25"/>
        <v>0.1441421793514049</v>
      </c>
      <c r="P122" s="10"/>
      <c r="Q122" s="10"/>
      <c r="R122" s="10"/>
      <c r="S122" s="10"/>
      <c r="T122" s="11">
        <v>0</v>
      </c>
      <c r="U122" s="66"/>
      <c r="V122" s="63"/>
      <c r="W122" s="63"/>
      <c r="X122" s="63">
        <v>16.74</v>
      </c>
      <c r="Y122" s="63">
        <v>112.1</v>
      </c>
      <c r="Z122" s="63"/>
      <c r="AA122" s="43"/>
      <c r="AB122" s="8">
        <f t="shared" si="17"/>
        <v>0</v>
      </c>
      <c r="AC122" s="8">
        <f t="shared" si="18"/>
        <v>0</v>
      </c>
      <c r="AD122" s="8">
        <f t="shared" si="19"/>
        <v>0.12992859360447065</v>
      </c>
      <c r="AE122" s="8">
        <f t="shared" si="20"/>
        <v>0.8700714063955293</v>
      </c>
      <c r="AF122" s="8">
        <f t="shared" si="21"/>
        <v>0</v>
      </c>
    </row>
    <row r="123" spans="1:32" ht="15">
      <c r="A123">
        <v>5</v>
      </c>
      <c r="B123" s="18" t="s">
        <v>369</v>
      </c>
      <c r="C123" s="18" t="s">
        <v>230</v>
      </c>
      <c r="D123" s="6" t="s">
        <v>369</v>
      </c>
      <c r="E123" s="6" t="s">
        <v>230</v>
      </c>
      <c r="F123" s="36" t="s">
        <v>200</v>
      </c>
      <c r="G123" s="36" t="s">
        <v>187</v>
      </c>
      <c r="H123" s="1" t="str">
        <f t="shared" si="16"/>
        <v>LM</v>
      </c>
      <c r="I123" s="61">
        <f t="shared" si="22"/>
        <v>221.92</v>
      </c>
      <c r="J123" s="10">
        <f>(VLOOKUP($H123,'Standard Estimate Uncertainty '!$B$10:$D$18,2)*$I123)+$I123</f>
        <v>177.536</v>
      </c>
      <c r="K123" s="10">
        <f>(VLOOKUP($H123,'Standard Estimate Uncertainty '!$B$10:$D$18,3)*$I123)+$I123</f>
        <v>310.688</v>
      </c>
      <c r="L123" s="10">
        <f t="shared" si="23"/>
        <v>88.768</v>
      </c>
      <c r="M123" s="199">
        <f t="shared" si="24"/>
        <v>0.007096623947124521</v>
      </c>
      <c r="N123" s="10">
        <f t="shared" si="26"/>
        <v>85.30141984443674</v>
      </c>
      <c r="O123" s="198">
        <f t="shared" si="25"/>
        <v>0.38437914493707975</v>
      </c>
      <c r="P123" s="10"/>
      <c r="Q123" s="10"/>
      <c r="R123" s="10"/>
      <c r="S123" s="10"/>
      <c r="T123" s="11">
        <v>0</v>
      </c>
      <c r="U123" s="66"/>
      <c r="V123" s="63"/>
      <c r="W123" s="63"/>
      <c r="X123" s="63">
        <v>11.6</v>
      </c>
      <c r="Y123" s="63">
        <v>210.32</v>
      </c>
      <c r="Z123" s="63"/>
      <c r="AA123" s="43"/>
      <c r="AB123" s="8">
        <f t="shared" si="17"/>
        <v>0</v>
      </c>
      <c r="AC123" s="8">
        <f t="shared" si="18"/>
        <v>0</v>
      </c>
      <c r="AD123" s="8">
        <f t="shared" si="19"/>
        <v>0.05227108868060563</v>
      </c>
      <c r="AE123" s="8">
        <f t="shared" si="20"/>
        <v>0.9477289113193944</v>
      </c>
      <c r="AF123" s="8">
        <f t="shared" si="21"/>
        <v>0</v>
      </c>
    </row>
    <row r="124" spans="1:32" ht="15">
      <c r="A124">
        <v>5</v>
      </c>
      <c r="B124" s="18" t="s">
        <v>370</v>
      </c>
      <c r="C124" s="18" t="s">
        <v>230</v>
      </c>
      <c r="D124" s="6" t="s">
        <v>370</v>
      </c>
      <c r="E124" s="6" t="s">
        <v>230</v>
      </c>
      <c r="F124" s="36" t="s">
        <v>186</v>
      </c>
      <c r="G124" s="36" t="s">
        <v>200</v>
      </c>
      <c r="H124" s="1" t="str">
        <f t="shared" si="16"/>
        <v>HL</v>
      </c>
      <c r="I124" s="61">
        <f t="shared" si="22"/>
        <v>68.99</v>
      </c>
      <c r="J124" s="10">
        <f>(VLOOKUP($H124,'Standard Estimate Uncertainty '!$B$10:$D$18,2)*$I124)+$I124</f>
        <v>65.5405</v>
      </c>
      <c r="K124" s="10">
        <f>(VLOOKUP($H124,'Standard Estimate Uncertainty '!$B$10:$D$18,3)*$I124)+$I124</f>
        <v>75.889</v>
      </c>
      <c r="L124" s="10">
        <f t="shared" si="23"/>
        <v>6.899000000000001</v>
      </c>
      <c r="M124" s="199">
        <f t="shared" si="24"/>
        <v>0.0005515456990268123</v>
      </c>
      <c r="N124" s="10">
        <f t="shared" si="26"/>
        <v>6.629579302302284</v>
      </c>
      <c r="O124" s="198">
        <f t="shared" si="25"/>
        <v>0.09609478623426997</v>
      </c>
      <c r="P124" s="10"/>
      <c r="Q124" s="10"/>
      <c r="R124" s="10"/>
      <c r="S124" s="10"/>
      <c r="T124" s="11">
        <v>0</v>
      </c>
      <c r="U124" s="66"/>
      <c r="V124" s="63">
        <v>6.97</v>
      </c>
      <c r="W124" s="63">
        <v>24.17</v>
      </c>
      <c r="X124" s="63">
        <v>18.61</v>
      </c>
      <c r="Y124" s="63">
        <v>19.24</v>
      </c>
      <c r="Z124" s="63"/>
      <c r="AA124" s="43"/>
      <c r="AB124" s="8">
        <f t="shared" si="17"/>
        <v>0.10102913465719669</v>
      </c>
      <c r="AC124" s="8">
        <f t="shared" si="18"/>
        <v>0.35034062907667785</v>
      </c>
      <c r="AD124" s="8">
        <f t="shared" si="19"/>
        <v>0.26974923902014786</v>
      </c>
      <c r="AE124" s="8">
        <f t="shared" si="20"/>
        <v>0.2788809972459777</v>
      </c>
      <c r="AF124" s="8">
        <f t="shared" si="21"/>
        <v>0</v>
      </c>
    </row>
    <row r="125" spans="1:32" ht="15">
      <c r="A125">
        <v>6</v>
      </c>
      <c r="B125" s="18" t="s">
        <v>371</v>
      </c>
      <c r="C125" s="18" t="s">
        <v>246</v>
      </c>
      <c r="D125" s="6" t="s">
        <v>371</v>
      </c>
      <c r="E125" s="6" t="s">
        <v>246</v>
      </c>
      <c r="F125" s="36" t="s">
        <v>200</v>
      </c>
      <c r="G125" s="36" t="s">
        <v>200</v>
      </c>
      <c r="H125" s="1" t="str">
        <f t="shared" si="16"/>
        <v>LL</v>
      </c>
      <c r="I125" s="160">
        <f t="shared" si="22"/>
        <v>46.4</v>
      </c>
      <c r="J125" s="10">
        <f>(VLOOKUP($H125,'Standard Estimate Uncertainty '!$B$10:$D$18,2)*$I125)+$I125</f>
        <v>39.44</v>
      </c>
      <c r="K125" s="10">
        <f>(VLOOKUP($H125,'Standard Estimate Uncertainty '!$B$10:$D$18,3)*$I125)+$I125</f>
        <v>58</v>
      </c>
      <c r="L125" s="10">
        <f t="shared" si="23"/>
        <v>11.600000000000001</v>
      </c>
      <c r="M125" s="199">
        <f t="shared" si="24"/>
        <v>0.0009273706491826385</v>
      </c>
      <c r="N125" s="10">
        <f t="shared" si="26"/>
        <v>11.146995203175315</v>
      </c>
      <c r="O125" s="198">
        <f t="shared" si="25"/>
        <v>0.2402369655856749</v>
      </c>
      <c r="P125" s="10"/>
      <c r="Q125" s="10"/>
      <c r="R125" s="10"/>
      <c r="S125" s="10"/>
      <c r="T125" s="11">
        <v>0</v>
      </c>
      <c r="U125" s="66"/>
      <c r="V125" s="63"/>
      <c r="W125" s="63"/>
      <c r="X125" s="63">
        <v>46.4</v>
      </c>
      <c r="Y125" s="63"/>
      <c r="Z125" s="63"/>
      <c r="AA125" s="43"/>
      <c r="AB125" s="8">
        <f t="shared" si="17"/>
        <v>0</v>
      </c>
      <c r="AC125" s="8">
        <f t="shared" si="18"/>
        <v>0</v>
      </c>
      <c r="AD125" s="8">
        <f t="shared" si="19"/>
        <v>1</v>
      </c>
      <c r="AE125" s="8">
        <f t="shared" si="20"/>
        <v>0</v>
      </c>
      <c r="AF125" s="8">
        <f t="shared" si="21"/>
        <v>0</v>
      </c>
    </row>
    <row r="126" spans="1:32" ht="15">
      <c r="A126">
        <v>6</v>
      </c>
      <c r="B126" s="42" t="s">
        <v>563</v>
      </c>
      <c r="C126" s="18" t="s">
        <v>247</v>
      </c>
      <c r="D126" s="6" t="s">
        <v>563</v>
      </c>
      <c r="E126" s="6" t="s">
        <v>247</v>
      </c>
      <c r="F126" s="36" t="s">
        <v>200</v>
      </c>
      <c r="G126" s="36" t="s">
        <v>187</v>
      </c>
      <c r="H126" s="1" t="str">
        <f t="shared" si="16"/>
        <v>LM</v>
      </c>
      <c r="I126" s="160">
        <f t="shared" si="22"/>
        <v>87.58</v>
      </c>
      <c r="J126" s="10">
        <f>(VLOOKUP($H126,'Standard Estimate Uncertainty '!$B$10:$D$18,2)*$I126)+$I126</f>
        <v>70.064</v>
      </c>
      <c r="K126" s="10">
        <f>(VLOOKUP($H126,'Standard Estimate Uncertainty '!$B$10:$D$18,3)*$I126)+$I126</f>
        <v>122.612</v>
      </c>
      <c r="L126" s="10">
        <f t="shared" si="23"/>
        <v>35.032</v>
      </c>
      <c r="M126" s="199">
        <f t="shared" si="24"/>
        <v>0.0028006593605315678</v>
      </c>
      <c r="N126" s="10">
        <f t="shared" si="26"/>
        <v>33.66392551358945</v>
      </c>
      <c r="O126" s="198">
        <f t="shared" si="25"/>
        <v>0.3843791449370798</v>
      </c>
      <c r="P126" s="10"/>
      <c r="Q126" s="10"/>
      <c r="R126" s="10"/>
      <c r="S126" s="10"/>
      <c r="T126" s="11">
        <v>0</v>
      </c>
      <c r="U126" s="66"/>
      <c r="V126" s="63"/>
      <c r="W126" s="63"/>
      <c r="X126" s="63">
        <v>19.5</v>
      </c>
      <c r="Y126" s="63">
        <v>68.08</v>
      </c>
      <c r="Z126" s="63"/>
      <c r="AA126" s="43"/>
      <c r="AB126" s="8">
        <f t="shared" si="17"/>
        <v>0</v>
      </c>
      <c r="AC126" s="8">
        <f t="shared" si="18"/>
        <v>0</v>
      </c>
      <c r="AD126" s="8">
        <f t="shared" si="19"/>
        <v>0.222653573875314</v>
      </c>
      <c r="AE126" s="8">
        <f t="shared" si="20"/>
        <v>0.777346426124686</v>
      </c>
      <c r="AF126" s="8">
        <f t="shared" si="21"/>
        <v>0</v>
      </c>
    </row>
    <row r="127" spans="1:32" ht="15">
      <c r="A127">
        <v>6</v>
      </c>
      <c r="B127" s="42" t="s">
        <v>563</v>
      </c>
      <c r="C127" s="18" t="s">
        <v>248</v>
      </c>
      <c r="D127" s="6" t="s">
        <v>563</v>
      </c>
      <c r="E127" s="6" t="s">
        <v>248</v>
      </c>
      <c r="F127" s="36" t="s">
        <v>200</v>
      </c>
      <c r="G127" s="36" t="s">
        <v>187</v>
      </c>
      <c r="H127" s="1" t="str">
        <f t="shared" si="16"/>
        <v>LM</v>
      </c>
      <c r="I127" s="160">
        <f t="shared" si="22"/>
        <v>88.14</v>
      </c>
      <c r="J127" s="10">
        <f>(VLOOKUP($H127,'Standard Estimate Uncertainty '!$B$10:$D$18,2)*$I127)+$I127</f>
        <v>70.512</v>
      </c>
      <c r="K127" s="10">
        <f>(VLOOKUP($H127,'Standard Estimate Uncertainty '!$B$10:$D$18,3)*$I127)+$I127</f>
        <v>123.396</v>
      </c>
      <c r="L127" s="10">
        <f t="shared" si="23"/>
        <v>35.256</v>
      </c>
      <c r="M127" s="199">
        <f t="shared" si="24"/>
        <v>0.0028185672075502675</v>
      </c>
      <c r="N127" s="10">
        <f t="shared" si="26"/>
        <v>33.879177834754216</v>
      </c>
      <c r="O127" s="198">
        <f t="shared" si="25"/>
        <v>0.3843791449370798</v>
      </c>
      <c r="P127" s="10"/>
      <c r="Q127" s="10"/>
      <c r="R127" s="10"/>
      <c r="S127" s="10"/>
      <c r="T127" s="11">
        <v>0</v>
      </c>
      <c r="U127" s="66"/>
      <c r="V127" s="63"/>
      <c r="W127" s="63"/>
      <c r="X127" s="63">
        <v>36.3</v>
      </c>
      <c r="Y127" s="63">
        <v>51.84</v>
      </c>
      <c r="Z127" s="63"/>
      <c r="AA127" s="43"/>
      <c r="AB127" s="8">
        <f t="shared" si="17"/>
        <v>0</v>
      </c>
      <c r="AC127" s="8">
        <f t="shared" si="18"/>
        <v>0</v>
      </c>
      <c r="AD127" s="8">
        <f t="shared" si="19"/>
        <v>0.41184479237576577</v>
      </c>
      <c r="AE127" s="8">
        <f t="shared" si="20"/>
        <v>0.5881552076242342</v>
      </c>
      <c r="AF127" s="8">
        <f t="shared" si="21"/>
        <v>0</v>
      </c>
    </row>
    <row r="128" spans="1:32" ht="15">
      <c r="A128">
        <v>6</v>
      </c>
      <c r="B128" s="42" t="s">
        <v>563</v>
      </c>
      <c r="C128" s="18" t="s">
        <v>249</v>
      </c>
      <c r="D128" s="6" t="s">
        <v>563</v>
      </c>
      <c r="E128" s="6" t="s">
        <v>249</v>
      </c>
      <c r="F128" s="36" t="s">
        <v>200</v>
      </c>
      <c r="G128" s="36" t="s">
        <v>187</v>
      </c>
      <c r="H128" s="1" t="str">
        <f t="shared" si="16"/>
        <v>LM</v>
      </c>
      <c r="I128" s="160">
        <f t="shared" si="22"/>
        <v>478.85</v>
      </c>
      <c r="J128" s="10">
        <f>(VLOOKUP($H128,'Standard Estimate Uncertainty '!$B$10:$D$18,2)*$I128)+$I128</f>
        <v>383.08000000000004</v>
      </c>
      <c r="K128" s="10">
        <f>(VLOOKUP($H128,'Standard Estimate Uncertainty '!$B$10:$D$18,3)*$I128)+$I128</f>
        <v>670.3900000000001</v>
      </c>
      <c r="L128" s="10">
        <f t="shared" si="23"/>
        <v>191.54000000000008</v>
      </c>
      <c r="M128" s="199">
        <f t="shared" si="24"/>
        <v>0.015312808115900228</v>
      </c>
      <c r="N128" s="10">
        <f t="shared" si="26"/>
        <v>184.05995355312075</v>
      </c>
      <c r="O128" s="198">
        <f t="shared" si="25"/>
        <v>0.38437914493708</v>
      </c>
      <c r="P128" s="10"/>
      <c r="Q128" s="10"/>
      <c r="R128" s="10"/>
      <c r="S128" s="10"/>
      <c r="T128" s="11">
        <v>0</v>
      </c>
      <c r="U128" s="66"/>
      <c r="V128" s="63"/>
      <c r="W128" s="63"/>
      <c r="X128" s="63">
        <v>214.87</v>
      </c>
      <c r="Y128" s="63">
        <v>263.98</v>
      </c>
      <c r="Z128" s="63"/>
      <c r="AA128" s="43"/>
      <c r="AB128" s="8">
        <f t="shared" si="17"/>
        <v>0</v>
      </c>
      <c r="AC128" s="8">
        <f t="shared" si="18"/>
        <v>0</v>
      </c>
      <c r="AD128" s="8">
        <f t="shared" si="19"/>
        <v>0.44872089380808183</v>
      </c>
      <c r="AE128" s="8">
        <f t="shared" si="20"/>
        <v>0.5512791061919181</v>
      </c>
      <c r="AF128" s="8">
        <f t="shared" si="21"/>
        <v>0</v>
      </c>
    </row>
    <row r="129" spans="1:32" ht="15">
      <c r="A129">
        <v>6</v>
      </c>
      <c r="B129" s="18" t="s">
        <v>372</v>
      </c>
      <c r="C129" s="18" t="s">
        <v>230</v>
      </c>
      <c r="D129" s="6" t="s">
        <v>372</v>
      </c>
      <c r="E129" s="6" t="s">
        <v>230</v>
      </c>
      <c r="F129" s="36" t="s">
        <v>200</v>
      </c>
      <c r="G129" s="36" t="s">
        <v>200</v>
      </c>
      <c r="H129" s="1" t="str">
        <f t="shared" si="16"/>
        <v>LL</v>
      </c>
      <c r="I129" s="160">
        <f t="shared" si="22"/>
        <v>104.87</v>
      </c>
      <c r="J129" s="10">
        <f>(VLOOKUP($H129,'Standard Estimate Uncertainty '!$B$10:$D$18,2)*$I129)+$I129</f>
        <v>89.1395</v>
      </c>
      <c r="K129" s="10">
        <f>(VLOOKUP($H129,'Standard Estimate Uncertainty '!$B$10:$D$18,3)*$I129)+$I129</f>
        <v>131.0875</v>
      </c>
      <c r="L129" s="10">
        <f t="shared" si="23"/>
        <v>26.2175</v>
      </c>
      <c r="M129" s="199">
        <f t="shared" si="24"/>
        <v>0.0020959775857711917</v>
      </c>
      <c r="N129" s="10">
        <f t="shared" si="26"/>
        <v>25.193650580969724</v>
      </c>
      <c r="O129" s="198">
        <f t="shared" si="25"/>
        <v>0.24023696558567487</v>
      </c>
      <c r="P129" s="10"/>
      <c r="Q129" s="10"/>
      <c r="R129" s="10"/>
      <c r="S129" s="10"/>
      <c r="T129" s="11">
        <v>0</v>
      </c>
      <c r="U129" s="66"/>
      <c r="V129" s="63"/>
      <c r="W129" s="63"/>
      <c r="X129" s="63">
        <v>104.87</v>
      </c>
      <c r="Y129" s="63"/>
      <c r="Z129" s="63"/>
      <c r="AA129" s="43"/>
      <c r="AB129" s="8">
        <f t="shared" si="17"/>
        <v>0</v>
      </c>
      <c r="AC129" s="8">
        <f t="shared" si="18"/>
        <v>0</v>
      </c>
      <c r="AD129" s="8">
        <f t="shared" si="19"/>
        <v>1</v>
      </c>
      <c r="AE129" s="8">
        <f t="shared" si="20"/>
        <v>0</v>
      </c>
      <c r="AF129" s="8">
        <f t="shared" si="21"/>
        <v>0</v>
      </c>
    </row>
    <row r="130" spans="1:32" ht="15">
      <c r="A130">
        <v>6</v>
      </c>
      <c r="B130" s="42" t="s">
        <v>564</v>
      </c>
      <c r="C130" s="18" t="s">
        <v>230</v>
      </c>
      <c r="D130" s="6" t="s">
        <v>564</v>
      </c>
      <c r="E130" s="6" t="s">
        <v>230</v>
      </c>
      <c r="F130" s="36" t="s">
        <v>200</v>
      </c>
      <c r="G130" s="36" t="s">
        <v>187</v>
      </c>
      <c r="H130" s="1" t="str">
        <f aca="true" t="shared" si="27" ref="H130:H149">CONCATENATE(F130,G130)</f>
        <v>LM</v>
      </c>
      <c r="I130" s="160">
        <f t="shared" si="22"/>
        <v>573.4</v>
      </c>
      <c r="J130" s="10">
        <f>(VLOOKUP($H130,'Standard Estimate Uncertainty '!$B$10:$D$18,2)*$I130)+$I130</f>
        <v>458.71999999999997</v>
      </c>
      <c r="K130" s="10">
        <f>(VLOOKUP($H130,'Standard Estimate Uncertainty '!$B$10:$D$18,3)*$I130)+$I130</f>
        <v>802.76</v>
      </c>
      <c r="L130" s="10">
        <f t="shared" si="23"/>
        <v>229.36</v>
      </c>
      <c r="M130" s="199">
        <f t="shared" si="24"/>
        <v>0.0183363562152181</v>
      </c>
      <c r="N130" s="10">
        <f t="shared" si="26"/>
        <v>220.40300170692154</v>
      </c>
      <c r="O130" s="198">
        <f t="shared" si="25"/>
        <v>0.3843791449370798</v>
      </c>
      <c r="P130" s="10"/>
      <c r="Q130" s="10"/>
      <c r="R130" s="10"/>
      <c r="S130" s="10"/>
      <c r="T130" s="11">
        <v>0</v>
      </c>
      <c r="U130" s="66"/>
      <c r="V130" s="63"/>
      <c r="W130" s="63"/>
      <c r="X130" s="63">
        <v>106.99</v>
      </c>
      <c r="Y130" s="63">
        <v>466.41</v>
      </c>
      <c r="Z130" s="63"/>
      <c r="AA130" s="43"/>
      <c r="AB130" s="8">
        <f aca="true" t="shared" si="28" ref="AB130:AB144">V130/$I130</f>
        <v>0</v>
      </c>
      <c r="AC130" s="8">
        <f aca="true" t="shared" si="29" ref="AC130:AC144">W130/$I130</f>
        <v>0</v>
      </c>
      <c r="AD130" s="8">
        <f aca="true" t="shared" si="30" ref="AD130:AD144">X130/$I130</f>
        <v>0.18658876874782002</v>
      </c>
      <c r="AE130" s="8">
        <f aca="true" t="shared" si="31" ref="AE130:AE144">Y130/$I130</f>
        <v>0.8134112312521801</v>
      </c>
      <c r="AF130" s="8">
        <f aca="true" t="shared" si="32" ref="AF130:AF144">Z130/$I130</f>
        <v>0</v>
      </c>
    </row>
    <row r="131" spans="1:32" ht="15">
      <c r="A131">
        <v>7</v>
      </c>
      <c r="B131" s="18" t="s">
        <v>373</v>
      </c>
      <c r="C131" s="18" t="s">
        <v>230</v>
      </c>
      <c r="D131" s="6" t="s">
        <v>373</v>
      </c>
      <c r="E131" s="6" t="s">
        <v>230</v>
      </c>
      <c r="F131" s="36" t="s">
        <v>200</v>
      </c>
      <c r="G131" s="36" t="s">
        <v>200</v>
      </c>
      <c r="H131" s="1" t="str">
        <f t="shared" si="27"/>
        <v>LL</v>
      </c>
      <c r="I131" s="61">
        <f t="shared" si="22"/>
        <v>204.12</v>
      </c>
      <c r="J131" s="10">
        <f>(VLOOKUP($H131,'Standard Estimate Uncertainty '!$B$10:$D$18,2)*$I131)+$I131</f>
        <v>173.502</v>
      </c>
      <c r="K131" s="10">
        <f>(VLOOKUP($H131,'Standard Estimate Uncertainty '!$B$10:$D$18,3)*$I131)+$I131</f>
        <v>255.15</v>
      </c>
      <c r="L131" s="10">
        <f t="shared" si="23"/>
        <v>51.03</v>
      </c>
      <c r="M131" s="199">
        <f t="shared" si="24"/>
        <v>0.004079631398947417</v>
      </c>
      <c r="N131" s="10">
        <f t="shared" si="26"/>
        <v>49.037169415347954</v>
      </c>
      <c r="O131" s="198">
        <f t="shared" si="25"/>
        <v>0.24023696558567487</v>
      </c>
      <c r="P131" s="10"/>
      <c r="Q131" s="10"/>
      <c r="R131" s="10"/>
      <c r="S131" s="10"/>
      <c r="T131" s="11">
        <v>0</v>
      </c>
      <c r="U131" s="66"/>
      <c r="V131" s="63">
        <v>2.43</v>
      </c>
      <c r="W131" s="63">
        <v>4.96</v>
      </c>
      <c r="X131" s="63">
        <v>196.73</v>
      </c>
      <c r="Y131" s="63"/>
      <c r="Z131" s="63"/>
      <c r="AA131" s="43"/>
      <c r="AB131" s="8">
        <f t="shared" si="28"/>
        <v>0.011904761904761906</v>
      </c>
      <c r="AC131" s="8">
        <f t="shared" si="29"/>
        <v>0.024299431706839115</v>
      </c>
      <c r="AD131" s="8">
        <f t="shared" si="30"/>
        <v>0.9637958063883989</v>
      </c>
      <c r="AE131" s="8">
        <f t="shared" si="31"/>
        <v>0</v>
      </c>
      <c r="AF131" s="8">
        <f t="shared" si="32"/>
        <v>0</v>
      </c>
    </row>
    <row r="132" spans="1:32" ht="15">
      <c r="A132">
        <v>7</v>
      </c>
      <c r="B132" s="18" t="s">
        <v>374</v>
      </c>
      <c r="C132" s="18" t="s">
        <v>282</v>
      </c>
      <c r="D132" s="6" t="s">
        <v>374</v>
      </c>
      <c r="E132" s="6" t="s">
        <v>282</v>
      </c>
      <c r="F132" s="36" t="s">
        <v>200</v>
      </c>
      <c r="G132" s="36" t="s">
        <v>187</v>
      </c>
      <c r="H132" s="1" t="str">
        <f t="shared" si="27"/>
        <v>LM</v>
      </c>
      <c r="I132" s="61">
        <f aca="true" t="shared" si="33" ref="I132:I149">SUM(V132:Z132)</f>
        <v>1665.91</v>
      </c>
      <c r="J132" s="10">
        <f>(VLOOKUP($H132,'Standard Estimate Uncertainty '!$B$10:$D$18,2)*$I132)+$I132</f>
        <v>1332.728</v>
      </c>
      <c r="K132" s="10">
        <f>(VLOOKUP($H132,'Standard Estimate Uncertainty '!$B$10:$D$18,3)*$I132)+$I132</f>
        <v>2332.2740000000003</v>
      </c>
      <c r="L132" s="10">
        <f aca="true" t="shared" si="34" ref="L132:L149">+K132-I132</f>
        <v>666.3640000000003</v>
      </c>
      <c r="M132" s="199">
        <f aca="true" t="shared" si="35" ref="M132:M149">+L132/L$150</f>
        <v>0.053272966833787926</v>
      </c>
      <c r="N132" s="10">
        <f t="shared" si="26"/>
        <v>640.3410613421308</v>
      </c>
      <c r="O132" s="198">
        <f aca="true" t="shared" si="36" ref="O132:O150">+N132/I132</f>
        <v>0.3843791449370799</v>
      </c>
      <c r="P132" s="10"/>
      <c r="Q132" s="10"/>
      <c r="R132" s="10"/>
      <c r="S132" s="10"/>
      <c r="T132" s="11">
        <v>0</v>
      </c>
      <c r="U132" s="66"/>
      <c r="V132" s="63"/>
      <c r="W132" s="63"/>
      <c r="X132" s="63">
        <v>579.05</v>
      </c>
      <c r="Y132" s="63">
        <v>856.96</v>
      </c>
      <c r="Z132" s="63">
        <v>229.9</v>
      </c>
      <c r="AA132" s="43"/>
      <c r="AB132" s="8">
        <f t="shared" si="28"/>
        <v>0</v>
      </c>
      <c r="AC132" s="8">
        <f t="shared" si="29"/>
        <v>0</v>
      </c>
      <c r="AD132" s="8">
        <f t="shared" si="30"/>
        <v>0.34758780486340796</v>
      </c>
      <c r="AE132" s="8">
        <f t="shared" si="31"/>
        <v>0.5144095419320371</v>
      </c>
      <c r="AF132" s="8">
        <f t="shared" si="32"/>
        <v>0.13800265320455488</v>
      </c>
    </row>
    <row r="133" spans="1:32" ht="15">
      <c r="A133">
        <v>7</v>
      </c>
      <c r="B133" s="18" t="s">
        <v>374</v>
      </c>
      <c r="C133" s="18" t="s">
        <v>230</v>
      </c>
      <c r="D133" s="6" t="s">
        <v>374</v>
      </c>
      <c r="E133" s="6" t="s">
        <v>230</v>
      </c>
      <c r="F133" s="275" t="s">
        <v>390</v>
      </c>
      <c r="G133" s="276"/>
      <c r="H133" s="1" t="str">
        <f t="shared" si="27"/>
        <v>FROZEN</v>
      </c>
      <c r="I133" s="61">
        <f t="shared" si="33"/>
        <v>-249.43</v>
      </c>
      <c r="J133" s="10">
        <f>I133</f>
        <v>-249.43</v>
      </c>
      <c r="K133" s="10">
        <f>I133</f>
        <v>-249.43</v>
      </c>
      <c r="L133" s="10">
        <f t="shared" si="34"/>
        <v>0</v>
      </c>
      <c r="M133" s="199">
        <f t="shared" si="35"/>
        <v>0</v>
      </c>
      <c r="N133" s="10">
        <f t="shared" si="26"/>
        <v>0</v>
      </c>
      <c r="O133" s="198">
        <f t="shared" si="36"/>
        <v>0</v>
      </c>
      <c r="P133" s="10"/>
      <c r="Q133" s="10"/>
      <c r="R133" s="10"/>
      <c r="S133" s="10"/>
      <c r="T133" s="10">
        <f>I133</f>
        <v>-249.43</v>
      </c>
      <c r="U133" s="66"/>
      <c r="V133" s="63">
        <v>-308.3</v>
      </c>
      <c r="W133" s="63">
        <v>22.75</v>
      </c>
      <c r="X133" s="63">
        <v>36.12</v>
      </c>
      <c r="Y133" s="63"/>
      <c r="Z133" s="63"/>
      <c r="AA133" s="43"/>
      <c r="AB133" s="8">
        <f t="shared" si="28"/>
        <v>1.236018121316602</v>
      </c>
      <c r="AC133" s="8">
        <f t="shared" si="29"/>
        <v>-0.09120795413542877</v>
      </c>
      <c r="AD133" s="8">
        <f t="shared" si="30"/>
        <v>-0.14481016718117307</v>
      </c>
      <c r="AE133" s="8">
        <f t="shared" si="31"/>
        <v>0</v>
      </c>
      <c r="AF133" s="8">
        <f t="shared" si="32"/>
        <v>0</v>
      </c>
    </row>
    <row r="134" spans="1:32" ht="15">
      <c r="A134">
        <v>7</v>
      </c>
      <c r="B134" s="18" t="s">
        <v>375</v>
      </c>
      <c r="C134" s="18" t="s">
        <v>538</v>
      </c>
      <c r="D134" s="6" t="s">
        <v>375</v>
      </c>
      <c r="E134" s="6" t="s">
        <v>538</v>
      </c>
      <c r="F134" s="36" t="s">
        <v>200</v>
      </c>
      <c r="G134" s="36" t="s">
        <v>187</v>
      </c>
      <c r="H134" s="1" t="str">
        <f t="shared" si="27"/>
        <v>LM</v>
      </c>
      <c r="I134" s="61">
        <f t="shared" si="33"/>
        <v>1406.52</v>
      </c>
      <c r="J134" s="10">
        <f>(VLOOKUP($H134,'Standard Estimate Uncertainty '!$B$10:$D$18,2)*$I134)+$I134</f>
        <v>1125.216</v>
      </c>
      <c r="K134" s="10">
        <f>(VLOOKUP($H134,'Standard Estimate Uncertainty '!$B$10:$D$18,3)*$I134)+$I134</f>
        <v>1969.1280000000002</v>
      </c>
      <c r="L134" s="10">
        <f t="shared" si="34"/>
        <v>562.6080000000002</v>
      </c>
      <c r="M134" s="199">
        <f t="shared" si="35"/>
        <v>0.04497811605132293</v>
      </c>
      <c r="N134" s="10">
        <f t="shared" si="26"/>
        <v>540.6369549369016</v>
      </c>
      <c r="O134" s="198">
        <f t="shared" si="36"/>
        <v>0.38437914493707986</v>
      </c>
      <c r="P134" s="10"/>
      <c r="Q134" s="10"/>
      <c r="R134" s="10"/>
      <c r="S134" s="10"/>
      <c r="T134" s="11">
        <v>0</v>
      </c>
      <c r="U134" s="66"/>
      <c r="V134" s="63"/>
      <c r="W134" s="63"/>
      <c r="X134" s="63">
        <v>335.57</v>
      </c>
      <c r="Y134" s="63">
        <v>805.63</v>
      </c>
      <c r="Z134" s="63">
        <v>265.32</v>
      </c>
      <c r="AA134" s="43"/>
      <c r="AB134" s="8">
        <f t="shared" si="28"/>
        <v>0</v>
      </c>
      <c r="AC134" s="8">
        <f t="shared" si="29"/>
        <v>0</v>
      </c>
      <c r="AD134" s="8">
        <f t="shared" si="30"/>
        <v>0.23858174785996644</v>
      </c>
      <c r="AE134" s="8">
        <f t="shared" si="31"/>
        <v>0.5727824702101642</v>
      </c>
      <c r="AF134" s="8">
        <f t="shared" si="32"/>
        <v>0.18863578192986946</v>
      </c>
    </row>
    <row r="135" spans="1:32" ht="15">
      <c r="A135">
        <v>7</v>
      </c>
      <c r="B135" s="18" t="s">
        <v>376</v>
      </c>
      <c r="C135" s="18" t="s">
        <v>230</v>
      </c>
      <c r="D135" s="6" t="s">
        <v>376</v>
      </c>
      <c r="E135" s="6" t="s">
        <v>230</v>
      </c>
      <c r="F135" s="36" t="s">
        <v>200</v>
      </c>
      <c r="G135" s="36" t="s">
        <v>187</v>
      </c>
      <c r="H135" s="1" t="str">
        <f t="shared" si="27"/>
        <v>LM</v>
      </c>
      <c r="I135" s="61">
        <f t="shared" si="33"/>
        <v>4511.849999999999</v>
      </c>
      <c r="J135" s="10">
        <f>(VLOOKUP($H135,'Standard Estimate Uncertainty '!$B$10:$D$18,2)*$I135)+$I135</f>
        <v>3609.4799999999996</v>
      </c>
      <c r="K135" s="10">
        <f>(VLOOKUP($H135,'Standard Estimate Uncertainty '!$B$10:$D$18,3)*$I135)+$I135</f>
        <v>6316.589999999999</v>
      </c>
      <c r="L135" s="10">
        <f t="shared" si="34"/>
        <v>1804.7399999999998</v>
      </c>
      <c r="M135" s="199">
        <f t="shared" si="35"/>
        <v>0.14428128494878228</v>
      </c>
      <c r="N135" s="10">
        <f aca="true" t="shared" si="37" ref="N135:N147">+M135*M$152</f>
        <v>1734.261045084363</v>
      </c>
      <c r="O135" s="198">
        <f t="shared" si="36"/>
        <v>0.38437914493707975</v>
      </c>
      <c r="P135" s="10"/>
      <c r="Q135" s="10"/>
      <c r="R135" s="10"/>
      <c r="S135" s="10"/>
      <c r="T135" s="11">
        <v>0</v>
      </c>
      <c r="U135" s="66"/>
      <c r="V135" s="63"/>
      <c r="W135" s="63"/>
      <c r="X135" s="63">
        <v>1668.05</v>
      </c>
      <c r="Y135" s="63">
        <v>2205.4</v>
      </c>
      <c r="Z135" s="63">
        <v>638.4</v>
      </c>
      <c r="AA135" s="43"/>
      <c r="AB135" s="8">
        <f t="shared" si="28"/>
        <v>0</v>
      </c>
      <c r="AC135" s="8">
        <f t="shared" si="29"/>
        <v>0</v>
      </c>
      <c r="AD135" s="8">
        <f t="shared" si="30"/>
        <v>0.36970422332302716</v>
      </c>
      <c r="AE135" s="8">
        <f t="shared" si="31"/>
        <v>0.4888017110497912</v>
      </c>
      <c r="AF135" s="8">
        <f t="shared" si="32"/>
        <v>0.14149406562718175</v>
      </c>
    </row>
    <row r="136" spans="1:32" ht="15">
      <c r="A136">
        <v>7</v>
      </c>
      <c r="B136" s="18" t="s">
        <v>377</v>
      </c>
      <c r="C136" s="18" t="s">
        <v>230</v>
      </c>
      <c r="D136" s="6" t="s">
        <v>377</v>
      </c>
      <c r="E136" s="6" t="s">
        <v>230</v>
      </c>
      <c r="F136" s="36" t="s">
        <v>200</v>
      </c>
      <c r="G136" s="36" t="s">
        <v>200</v>
      </c>
      <c r="H136" s="1" t="str">
        <f t="shared" si="27"/>
        <v>LL</v>
      </c>
      <c r="I136" s="61">
        <f t="shared" si="33"/>
        <v>412.55</v>
      </c>
      <c r="J136" s="10">
        <f>(VLOOKUP($H136,'Standard Estimate Uncertainty '!$B$10:$D$18,2)*$I136)+$I136</f>
        <v>350.6675</v>
      </c>
      <c r="K136" s="10">
        <f>(VLOOKUP($H136,'Standard Estimate Uncertainty '!$B$10:$D$18,3)*$I136)+$I136</f>
        <v>515.6875</v>
      </c>
      <c r="L136" s="10">
        <f t="shared" si="34"/>
        <v>103.13749999999999</v>
      </c>
      <c r="M136" s="199">
        <f t="shared" si="35"/>
        <v>0.008245404338799514</v>
      </c>
      <c r="N136" s="10">
        <f t="shared" si="37"/>
        <v>99.10976015237016</v>
      </c>
      <c r="O136" s="198">
        <f t="shared" si="36"/>
        <v>0.24023696558567484</v>
      </c>
      <c r="P136" s="10"/>
      <c r="Q136" s="10"/>
      <c r="R136" s="10"/>
      <c r="S136" s="10"/>
      <c r="T136" s="11">
        <v>0</v>
      </c>
      <c r="U136" s="66"/>
      <c r="V136" s="63"/>
      <c r="W136" s="63"/>
      <c r="X136" s="63">
        <v>207.46</v>
      </c>
      <c r="Y136" s="63">
        <v>205.09</v>
      </c>
      <c r="Z136" s="63"/>
      <c r="AA136" s="43"/>
      <c r="AB136" s="8">
        <f t="shared" si="28"/>
        <v>0</v>
      </c>
      <c r="AC136" s="8">
        <f t="shared" si="29"/>
        <v>0</v>
      </c>
      <c r="AD136" s="8">
        <f t="shared" si="30"/>
        <v>0.5028723791055629</v>
      </c>
      <c r="AE136" s="8">
        <f t="shared" si="31"/>
        <v>0.497127620894437</v>
      </c>
      <c r="AF136" s="8">
        <f t="shared" si="32"/>
        <v>0</v>
      </c>
    </row>
    <row r="137" spans="1:32" ht="15">
      <c r="A137">
        <v>81</v>
      </c>
      <c r="B137" s="18" t="s">
        <v>378</v>
      </c>
      <c r="C137" s="18" t="s">
        <v>250</v>
      </c>
      <c r="D137" s="6" t="s">
        <v>378</v>
      </c>
      <c r="E137" s="6" t="s">
        <v>250</v>
      </c>
      <c r="F137" s="275" t="s">
        <v>390</v>
      </c>
      <c r="G137" s="276"/>
      <c r="H137" s="1" t="str">
        <f t="shared" si="27"/>
        <v>FROZEN</v>
      </c>
      <c r="I137" s="160">
        <f t="shared" si="33"/>
        <v>4.44</v>
      </c>
      <c r="J137" s="10">
        <f>I137</f>
        <v>4.44</v>
      </c>
      <c r="K137" s="10">
        <f>I137</f>
        <v>4.44</v>
      </c>
      <c r="L137" s="10">
        <f t="shared" si="34"/>
        <v>0</v>
      </c>
      <c r="M137" s="199">
        <f t="shared" si="35"/>
        <v>0</v>
      </c>
      <c r="N137" s="10">
        <f t="shared" si="37"/>
        <v>0</v>
      </c>
      <c r="O137" s="198">
        <f t="shared" si="36"/>
        <v>0</v>
      </c>
      <c r="P137" s="10"/>
      <c r="Q137" s="10"/>
      <c r="R137" s="10"/>
      <c r="S137" s="10"/>
      <c r="T137" s="10">
        <f>I137</f>
        <v>4.44</v>
      </c>
      <c r="U137" s="66"/>
      <c r="V137" s="63">
        <v>4.44</v>
      </c>
      <c r="W137" s="63"/>
      <c r="X137" s="63"/>
      <c r="Y137" s="63"/>
      <c r="Z137" s="63"/>
      <c r="AA137" s="43"/>
      <c r="AB137" s="8">
        <f t="shared" si="28"/>
        <v>1</v>
      </c>
      <c r="AC137" s="8">
        <f t="shared" si="29"/>
        <v>0</v>
      </c>
      <c r="AD137" s="8">
        <f t="shared" si="30"/>
        <v>0</v>
      </c>
      <c r="AE137" s="8">
        <f t="shared" si="31"/>
        <v>0</v>
      </c>
      <c r="AF137" s="8">
        <f t="shared" si="32"/>
        <v>0</v>
      </c>
    </row>
    <row r="138" spans="1:32" ht="15">
      <c r="A138">
        <v>81</v>
      </c>
      <c r="B138" s="18" t="s">
        <v>378</v>
      </c>
      <c r="C138" s="18" t="s">
        <v>230</v>
      </c>
      <c r="D138" s="6" t="s">
        <v>378</v>
      </c>
      <c r="E138" s="6" t="s">
        <v>230</v>
      </c>
      <c r="F138" s="36" t="s">
        <v>186</v>
      </c>
      <c r="G138" s="36" t="s">
        <v>200</v>
      </c>
      <c r="H138" s="1" t="str">
        <f t="shared" si="27"/>
        <v>HL</v>
      </c>
      <c r="I138" s="160">
        <f t="shared" si="33"/>
        <v>3839.3500000000004</v>
      </c>
      <c r="J138" s="10">
        <f>(VLOOKUP($H138,'Standard Estimate Uncertainty '!$B$10:$D$18,2)*$I138)+$I138</f>
        <v>3647.3825</v>
      </c>
      <c r="K138" s="10">
        <f>(VLOOKUP($H138,'Standard Estimate Uncertainty '!$B$10:$D$18,3)*$I138)+$I138</f>
        <v>4223.285000000001</v>
      </c>
      <c r="L138" s="10">
        <f t="shared" si="34"/>
        <v>383.9350000000004</v>
      </c>
      <c r="M138" s="199">
        <f t="shared" si="35"/>
        <v>0.030693969844304884</v>
      </c>
      <c r="N138" s="10">
        <f t="shared" si="37"/>
        <v>368.9415175285447</v>
      </c>
      <c r="O138" s="198">
        <f t="shared" si="36"/>
        <v>0.09609478623427004</v>
      </c>
      <c r="P138" s="10"/>
      <c r="Q138" s="10"/>
      <c r="R138" s="10"/>
      <c r="S138" s="10"/>
      <c r="T138" s="11">
        <v>0</v>
      </c>
      <c r="U138" s="66"/>
      <c r="V138" s="63">
        <v>273.67</v>
      </c>
      <c r="W138" s="63">
        <v>1034.17</v>
      </c>
      <c r="X138" s="63">
        <v>1157.65</v>
      </c>
      <c r="Y138" s="63">
        <v>1074.46</v>
      </c>
      <c r="Z138" s="63">
        <v>299.4</v>
      </c>
      <c r="AA138" s="43"/>
      <c r="AB138" s="8">
        <f t="shared" si="28"/>
        <v>0.07128029484157475</v>
      </c>
      <c r="AC138" s="8">
        <f t="shared" si="29"/>
        <v>0.2693606990766666</v>
      </c>
      <c r="AD138" s="8">
        <f t="shared" si="30"/>
        <v>0.3015223931134176</v>
      </c>
      <c r="AE138" s="8">
        <f t="shared" si="31"/>
        <v>0.2798546628986677</v>
      </c>
      <c r="AF138" s="8">
        <f t="shared" si="32"/>
        <v>0.07798195006967323</v>
      </c>
    </row>
    <row r="139" spans="1:32" ht="15">
      <c r="A139">
        <v>81</v>
      </c>
      <c r="B139" s="18" t="s">
        <v>379</v>
      </c>
      <c r="C139" s="18" t="s">
        <v>230</v>
      </c>
      <c r="D139" s="6" t="s">
        <v>379</v>
      </c>
      <c r="E139" s="6" t="s">
        <v>230</v>
      </c>
      <c r="F139" s="36" t="s">
        <v>186</v>
      </c>
      <c r="G139" s="36" t="s">
        <v>200</v>
      </c>
      <c r="H139" s="1" t="str">
        <f t="shared" si="27"/>
        <v>HL</v>
      </c>
      <c r="I139" s="160">
        <f t="shared" si="33"/>
        <v>499.38</v>
      </c>
      <c r="J139" s="10">
        <f>(VLOOKUP($H139,'Standard Estimate Uncertainty '!$B$10:$D$18,2)*$I139)+$I139</f>
        <v>474.411</v>
      </c>
      <c r="K139" s="10">
        <f>(VLOOKUP($H139,'Standard Estimate Uncertainty '!$B$10:$D$18,3)*$I139)+$I139</f>
        <v>549.318</v>
      </c>
      <c r="L139" s="10">
        <f t="shared" si="34"/>
        <v>49.93799999999999</v>
      </c>
      <c r="M139" s="199">
        <f t="shared" si="35"/>
        <v>0.003992330644731258</v>
      </c>
      <c r="N139" s="10">
        <f t="shared" si="37"/>
        <v>47.98781434966972</v>
      </c>
      <c r="O139" s="198">
        <f t="shared" si="36"/>
        <v>0.09609478623426994</v>
      </c>
      <c r="P139" s="10"/>
      <c r="Q139" s="10"/>
      <c r="R139" s="10"/>
      <c r="S139" s="10"/>
      <c r="T139" s="11">
        <v>0</v>
      </c>
      <c r="U139" s="66"/>
      <c r="V139" s="63">
        <v>60.42</v>
      </c>
      <c r="W139" s="63">
        <v>159</v>
      </c>
      <c r="X139" s="63">
        <v>159.36</v>
      </c>
      <c r="Y139" s="63">
        <v>101.64</v>
      </c>
      <c r="Z139" s="63">
        <v>18.96</v>
      </c>
      <c r="AA139" s="43"/>
      <c r="AB139" s="8">
        <f t="shared" si="28"/>
        <v>0.1209900276342665</v>
      </c>
      <c r="AC139" s="8">
        <f t="shared" si="29"/>
        <v>0.3183948095638592</v>
      </c>
      <c r="AD139" s="8">
        <f t="shared" si="30"/>
        <v>0.31911570347230567</v>
      </c>
      <c r="AE139" s="8">
        <f t="shared" si="31"/>
        <v>0.20353238015138772</v>
      </c>
      <c r="AF139" s="8">
        <f t="shared" si="32"/>
        <v>0.03796707917818094</v>
      </c>
    </row>
    <row r="140" spans="1:32" ht="15">
      <c r="A140">
        <v>82</v>
      </c>
      <c r="B140" s="18" t="s">
        <v>380</v>
      </c>
      <c r="C140" s="18" t="s">
        <v>250</v>
      </c>
      <c r="D140" s="6" t="s">
        <v>380</v>
      </c>
      <c r="E140" s="6" t="s">
        <v>250</v>
      </c>
      <c r="F140" s="275" t="s">
        <v>390</v>
      </c>
      <c r="G140" s="276"/>
      <c r="H140" s="1" t="str">
        <f t="shared" si="27"/>
        <v>FROZEN</v>
      </c>
      <c r="I140" s="160">
        <f t="shared" si="33"/>
        <v>29.62</v>
      </c>
      <c r="J140" s="10">
        <f>I140</f>
        <v>29.62</v>
      </c>
      <c r="K140" s="10">
        <f>I140</f>
        <v>29.62</v>
      </c>
      <c r="L140" s="10">
        <f t="shared" si="34"/>
        <v>0</v>
      </c>
      <c r="M140" s="199">
        <f t="shared" si="35"/>
        <v>0</v>
      </c>
      <c r="N140" s="10">
        <f t="shared" si="37"/>
        <v>0</v>
      </c>
      <c r="O140" s="198">
        <f t="shared" si="36"/>
        <v>0</v>
      </c>
      <c r="P140" s="10"/>
      <c r="Q140" s="10"/>
      <c r="R140" s="10"/>
      <c r="S140" s="10"/>
      <c r="T140" s="10">
        <f>I140</f>
        <v>29.62</v>
      </c>
      <c r="U140" s="66"/>
      <c r="V140" s="63">
        <v>29.62</v>
      </c>
      <c r="W140" s="63"/>
      <c r="X140" s="63"/>
      <c r="Y140" s="63"/>
      <c r="Z140" s="63"/>
      <c r="AA140" s="43"/>
      <c r="AB140" s="8">
        <f t="shared" si="28"/>
        <v>1</v>
      </c>
      <c r="AC140" s="8">
        <f t="shared" si="29"/>
        <v>0</v>
      </c>
      <c r="AD140" s="8">
        <f t="shared" si="30"/>
        <v>0</v>
      </c>
      <c r="AE140" s="8">
        <f t="shared" si="31"/>
        <v>0</v>
      </c>
      <c r="AF140" s="8">
        <f t="shared" si="32"/>
        <v>0</v>
      </c>
    </row>
    <row r="141" spans="1:32" ht="15">
      <c r="A141">
        <v>82</v>
      </c>
      <c r="B141" s="18" t="s">
        <v>380</v>
      </c>
      <c r="C141" s="18" t="s">
        <v>230</v>
      </c>
      <c r="D141" s="6" t="s">
        <v>380</v>
      </c>
      <c r="E141" s="6" t="s">
        <v>230</v>
      </c>
      <c r="F141" s="36" t="s">
        <v>186</v>
      </c>
      <c r="G141" s="36" t="s">
        <v>200</v>
      </c>
      <c r="H141" s="1" t="str">
        <f t="shared" si="27"/>
        <v>HL</v>
      </c>
      <c r="I141" s="160">
        <f t="shared" si="33"/>
        <v>2618.96</v>
      </c>
      <c r="J141" s="10">
        <f>(VLOOKUP($H141,'Standard Estimate Uncertainty '!$B$10:$D$18,2)*$I141)+$I141</f>
        <v>2488.012</v>
      </c>
      <c r="K141" s="10">
        <f>(VLOOKUP($H141,'Standard Estimate Uncertainty '!$B$10:$D$18,3)*$I141)+$I141</f>
        <v>2880.856</v>
      </c>
      <c r="L141" s="10">
        <f t="shared" si="34"/>
        <v>261.8960000000002</v>
      </c>
      <c r="M141" s="199">
        <f t="shared" si="35"/>
        <v>0.020937470994684175</v>
      </c>
      <c r="N141" s="10">
        <f t="shared" si="37"/>
        <v>251.66840135610377</v>
      </c>
      <c r="O141" s="198">
        <f t="shared" si="36"/>
        <v>0.09609478623427001</v>
      </c>
      <c r="P141" s="10"/>
      <c r="Q141" s="10"/>
      <c r="R141" s="10"/>
      <c r="S141" s="10"/>
      <c r="T141" s="11">
        <v>0</v>
      </c>
      <c r="U141" s="66"/>
      <c r="V141" s="63">
        <v>446.73</v>
      </c>
      <c r="W141" s="63">
        <v>665.03</v>
      </c>
      <c r="X141" s="63">
        <v>662.58</v>
      </c>
      <c r="Y141" s="63">
        <v>659.92</v>
      </c>
      <c r="Z141" s="63">
        <v>184.7</v>
      </c>
      <c r="AA141" s="43"/>
      <c r="AB141" s="8">
        <f t="shared" si="28"/>
        <v>0.17057534288419832</v>
      </c>
      <c r="AC141" s="8">
        <f t="shared" si="29"/>
        <v>0.25392904053517423</v>
      </c>
      <c r="AD141" s="8">
        <f t="shared" si="30"/>
        <v>0.2529935546934661</v>
      </c>
      <c r="AE141" s="8">
        <f t="shared" si="31"/>
        <v>0.25197788435104007</v>
      </c>
      <c r="AF141" s="8">
        <f t="shared" si="32"/>
        <v>0.0705241775361212</v>
      </c>
    </row>
    <row r="142" spans="1:32" ht="15">
      <c r="A142">
        <v>82</v>
      </c>
      <c r="B142" s="18" t="s">
        <v>381</v>
      </c>
      <c r="C142" s="18" t="s">
        <v>230</v>
      </c>
      <c r="D142" s="6" t="s">
        <v>381</v>
      </c>
      <c r="E142" s="6" t="s">
        <v>230</v>
      </c>
      <c r="F142" s="36" t="s">
        <v>187</v>
      </c>
      <c r="G142" s="36" t="s">
        <v>187</v>
      </c>
      <c r="H142" s="1" t="str">
        <f t="shared" si="27"/>
        <v>MM</v>
      </c>
      <c r="I142" s="160">
        <f t="shared" si="33"/>
        <v>1407.63</v>
      </c>
      <c r="J142" s="10">
        <f>(VLOOKUP($H142,'Standard Estimate Uncertainty '!$B$10:$D$18,2)*$I142)+$I142</f>
        <v>1196.4855</v>
      </c>
      <c r="K142" s="10">
        <f>(VLOOKUP($H142,'Standard Estimate Uncertainty '!$B$10:$D$18,3)*$I142)+$I142</f>
        <v>1759.5375000000001</v>
      </c>
      <c r="L142" s="10">
        <f t="shared" si="34"/>
        <v>351.9075</v>
      </c>
      <c r="M142" s="199">
        <f t="shared" si="35"/>
        <v>0.02813350747648615</v>
      </c>
      <c r="N142" s="10">
        <f t="shared" si="37"/>
        <v>338.16475986736356</v>
      </c>
      <c r="O142" s="198">
        <f t="shared" si="36"/>
        <v>0.24023696558567487</v>
      </c>
      <c r="P142" s="10"/>
      <c r="Q142" s="10"/>
      <c r="R142" s="10"/>
      <c r="S142" s="10"/>
      <c r="T142" s="11">
        <v>0</v>
      </c>
      <c r="U142" s="66"/>
      <c r="V142" s="63">
        <v>159.92</v>
      </c>
      <c r="W142" s="63">
        <v>377.18</v>
      </c>
      <c r="X142" s="63">
        <v>375.67</v>
      </c>
      <c r="Y142" s="63">
        <v>374.16</v>
      </c>
      <c r="Z142" s="63">
        <v>120.7</v>
      </c>
      <c r="AA142" s="43"/>
      <c r="AB142" s="8">
        <f t="shared" si="28"/>
        <v>0.11360940019749506</v>
      </c>
      <c r="AC142" s="8">
        <f t="shared" si="29"/>
        <v>0.2679539367589494</v>
      </c>
      <c r="AD142" s="8">
        <f t="shared" si="30"/>
        <v>0.2668812116820471</v>
      </c>
      <c r="AE142" s="8">
        <f t="shared" si="31"/>
        <v>0.26580848660514483</v>
      </c>
      <c r="AF142" s="8">
        <f t="shared" si="32"/>
        <v>0.08574696475636352</v>
      </c>
    </row>
    <row r="143" spans="1:32" ht="15">
      <c r="A143">
        <v>82</v>
      </c>
      <c r="B143" s="18" t="s">
        <v>382</v>
      </c>
      <c r="C143" s="18" t="s">
        <v>230</v>
      </c>
      <c r="D143" s="6" t="s">
        <v>382</v>
      </c>
      <c r="E143" s="6" t="s">
        <v>230</v>
      </c>
      <c r="F143" s="36" t="s">
        <v>187</v>
      </c>
      <c r="G143" s="36" t="s">
        <v>187</v>
      </c>
      <c r="H143" s="1" t="str">
        <f t="shared" si="27"/>
        <v>MM</v>
      </c>
      <c r="I143" s="160">
        <f t="shared" si="33"/>
        <v>1153.99</v>
      </c>
      <c r="J143" s="10">
        <f>(VLOOKUP($H143,'Standard Estimate Uncertainty '!$B$10:$D$18,2)*$I143)+$I143</f>
        <v>980.8915</v>
      </c>
      <c r="K143" s="10">
        <f>(VLOOKUP($H143,'Standard Estimate Uncertainty '!$B$10:$D$18,3)*$I143)+$I143</f>
        <v>1442.4875</v>
      </c>
      <c r="L143" s="10">
        <f t="shared" si="34"/>
        <v>288.49749999999995</v>
      </c>
      <c r="M143" s="199">
        <f t="shared" si="35"/>
        <v>0.02306414774677312</v>
      </c>
      <c r="N143" s="10">
        <f t="shared" si="37"/>
        <v>277.2310559162129</v>
      </c>
      <c r="O143" s="198">
        <f t="shared" si="36"/>
        <v>0.2402369655856748</v>
      </c>
      <c r="P143" s="10"/>
      <c r="Q143" s="10"/>
      <c r="R143" s="10"/>
      <c r="S143" s="10"/>
      <c r="T143" s="11">
        <v>0</v>
      </c>
      <c r="U143" s="66"/>
      <c r="V143" s="63">
        <v>180.66</v>
      </c>
      <c r="W143" s="63">
        <v>294.59</v>
      </c>
      <c r="X143" s="63">
        <v>293.41</v>
      </c>
      <c r="Y143" s="63">
        <v>292.24</v>
      </c>
      <c r="Z143" s="63">
        <v>93.09</v>
      </c>
      <c r="AA143" s="43"/>
      <c r="AB143" s="8">
        <f t="shared" si="28"/>
        <v>0.15655248312377057</v>
      </c>
      <c r="AC143" s="8">
        <f t="shared" si="29"/>
        <v>0.2552795084879418</v>
      </c>
      <c r="AD143" s="8">
        <f t="shared" si="30"/>
        <v>0.25425696929782754</v>
      </c>
      <c r="AE143" s="8">
        <f t="shared" si="31"/>
        <v>0.25324309569407016</v>
      </c>
      <c r="AF143" s="8">
        <f t="shared" si="32"/>
        <v>0.08066794339638991</v>
      </c>
    </row>
    <row r="144" spans="1:32" ht="15">
      <c r="A144">
        <v>82</v>
      </c>
      <c r="B144" s="42" t="s">
        <v>565</v>
      </c>
      <c r="C144" s="18" t="s">
        <v>230</v>
      </c>
      <c r="D144" s="6" t="s">
        <v>565</v>
      </c>
      <c r="E144" s="6" t="s">
        <v>230</v>
      </c>
      <c r="F144" s="36" t="s">
        <v>200</v>
      </c>
      <c r="G144" s="36" t="s">
        <v>186</v>
      </c>
      <c r="H144" s="1" t="str">
        <f t="shared" si="27"/>
        <v>LH</v>
      </c>
      <c r="I144" s="160">
        <f t="shared" si="33"/>
        <v>596.8599999999999</v>
      </c>
      <c r="J144" s="10">
        <f>(VLOOKUP($H144,'Standard Estimate Uncertainty '!$B$10:$D$18,2)*$I144)+$I144</f>
        <v>417.8019999999999</v>
      </c>
      <c r="K144" s="10">
        <f>(VLOOKUP($H144,'Standard Estimate Uncertainty '!$B$10:$D$18,3)*$I144)+$I144</f>
        <v>954.9759999999999</v>
      </c>
      <c r="L144" s="10">
        <f t="shared" si="34"/>
        <v>358.116</v>
      </c>
      <c r="M144" s="199">
        <f t="shared" si="35"/>
        <v>0.028629850638162906</v>
      </c>
      <c r="N144" s="10">
        <f t="shared" si="37"/>
        <v>344.13080467071813</v>
      </c>
      <c r="O144" s="198">
        <f t="shared" si="36"/>
        <v>0.5765687174056198</v>
      </c>
      <c r="P144" s="10"/>
      <c r="Q144" s="10"/>
      <c r="R144" s="10"/>
      <c r="S144" s="10"/>
      <c r="T144" s="11">
        <v>0</v>
      </c>
      <c r="U144" s="66"/>
      <c r="V144" s="63">
        <v>101.71</v>
      </c>
      <c r="W144" s="63">
        <v>265.77</v>
      </c>
      <c r="X144" s="63">
        <v>161.84</v>
      </c>
      <c r="Y144" s="63">
        <v>56.01</v>
      </c>
      <c r="Z144" s="63">
        <v>11.53</v>
      </c>
      <c r="AA144" s="43"/>
      <c r="AB144" s="8">
        <f t="shared" si="28"/>
        <v>0.17040847099822407</v>
      </c>
      <c r="AC144" s="8">
        <f t="shared" si="29"/>
        <v>0.44528030023791176</v>
      </c>
      <c r="AD144" s="8">
        <f t="shared" si="30"/>
        <v>0.27115236403846804</v>
      </c>
      <c r="AE144" s="8">
        <f t="shared" si="31"/>
        <v>0.09384110176590826</v>
      </c>
      <c r="AF144" s="8">
        <f t="shared" si="32"/>
        <v>0.019317762959487988</v>
      </c>
    </row>
    <row r="145" spans="1:33" ht="15">
      <c r="A145">
        <v>82</v>
      </c>
      <c r="B145" s="18" t="s">
        <v>383</v>
      </c>
      <c r="C145" s="18" t="s">
        <v>250</v>
      </c>
      <c r="D145" s="6" t="s">
        <v>383</v>
      </c>
      <c r="E145" s="6" t="s">
        <v>250</v>
      </c>
      <c r="F145" s="275" t="s">
        <v>390</v>
      </c>
      <c r="G145" s="276"/>
      <c r="H145" s="1" t="str">
        <f t="shared" si="27"/>
        <v>FROZEN</v>
      </c>
      <c r="I145" s="160">
        <f t="shared" si="33"/>
        <v>18.81</v>
      </c>
      <c r="J145" s="10">
        <f>I145</f>
        <v>18.81</v>
      </c>
      <c r="K145" s="10">
        <f>I145</f>
        <v>18.81</v>
      </c>
      <c r="L145" s="10">
        <f t="shared" si="34"/>
        <v>0</v>
      </c>
      <c r="M145" s="199">
        <f t="shared" si="35"/>
        <v>0</v>
      </c>
      <c r="N145" s="10">
        <f t="shared" si="37"/>
        <v>0</v>
      </c>
      <c r="O145" s="198">
        <f t="shared" si="36"/>
        <v>0</v>
      </c>
      <c r="P145" s="10"/>
      <c r="Q145" s="10"/>
      <c r="R145" s="10"/>
      <c r="S145" s="10"/>
      <c r="T145" s="10">
        <f>I145</f>
        <v>18.81</v>
      </c>
      <c r="U145" s="66"/>
      <c r="V145" s="63">
        <v>18.81</v>
      </c>
      <c r="W145" s="63"/>
      <c r="X145" s="63"/>
      <c r="Y145" s="63"/>
      <c r="Z145" s="63"/>
      <c r="AA145" s="43"/>
      <c r="AB145" s="8">
        <f aca="true" t="shared" si="38" ref="AB145:AF150">V145/$I145</f>
        <v>1</v>
      </c>
      <c r="AC145" s="8">
        <f t="shared" si="38"/>
        <v>0</v>
      </c>
      <c r="AD145" s="8">
        <f t="shared" si="38"/>
        <v>0</v>
      </c>
      <c r="AE145" s="8">
        <f t="shared" si="38"/>
        <v>0</v>
      </c>
      <c r="AF145" s="8">
        <f t="shared" si="38"/>
        <v>0</v>
      </c>
      <c r="AG145" s="9"/>
    </row>
    <row r="146" spans="1:32" ht="15">
      <c r="A146">
        <v>82</v>
      </c>
      <c r="B146" s="18" t="s">
        <v>384</v>
      </c>
      <c r="C146" s="18" t="s">
        <v>250</v>
      </c>
      <c r="D146" s="6" t="s">
        <v>384</v>
      </c>
      <c r="E146" s="6" t="s">
        <v>250</v>
      </c>
      <c r="F146" s="275" t="s">
        <v>390</v>
      </c>
      <c r="G146" s="276"/>
      <c r="H146" s="1" t="str">
        <f t="shared" si="27"/>
        <v>FROZEN</v>
      </c>
      <c r="I146" s="160">
        <f t="shared" si="33"/>
        <v>120.75</v>
      </c>
      <c r="J146" s="10">
        <f>I146</f>
        <v>120.75</v>
      </c>
      <c r="K146" s="10">
        <f>I146</f>
        <v>120.75</v>
      </c>
      <c r="L146" s="10">
        <f t="shared" si="34"/>
        <v>0</v>
      </c>
      <c r="M146" s="199">
        <f t="shared" si="35"/>
        <v>0</v>
      </c>
      <c r="N146" s="10">
        <f t="shared" si="37"/>
        <v>0</v>
      </c>
      <c r="O146" s="198">
        <f t="shared" si="36"/>
        <v>0</v>
      </c>
      <c r="P146" s="10"/>
      <c r="Q146" s="10"/>
      <c r="R146" s="10"/>
      <c r="S146" s="10"/>
      <c r="T146" s="10">
        <f>I146</f>
        <v>120.75</v>
      </c>
      <c r="U146" s="66"/>
      <c r="V146" s="63">
        <v>15.03</v>
      </c>
      <c r="W146" s="63">
        <v>32</v>
      </c>
      <c r="X146" s="63">
        <v>31.87</v>
      </c>
      <c r="Y146" s="63">
        <v>31.74</v>
      </c>
      <c r="Z146" s="63">
        <v>10.11</v>
      </c>
      <c r="AA146" s="43"/>
      <c r="AB146" s="8">
        <f t="shared" si="38"/>
        <v>0.12447204968944099</v>
      </c>
      <c r="AC146" s="8">
        <f t="shared" si="38"/>
        <v>0.2650103519668737</v>
      </c>
      <c r="AD146" s="8">
        <f t="shared" si="38"/>
        <v>0.2639337474120083</v>
      </c>
      <c r="AE146" s="8">
        <f t="shared" si="38"/>
        <v>0.26285714285714284</v>
      </c>
      <c r="AF146" s="8">
        <f t="shared" si="38"/>
        <v>0.08372670807453415</v>
      </c>
    </row>
    <row r="147" spans="1:32" ht="15">
      <c r="A147">
        <v>85</v>
      </c>
      <c r="B147" s="18" t="s">
        <v>385</v>
      </c>
      <c r="C147" s="18" t="s">
        <v>230</v>
      </c>
      <c r="D147" s="6" t="s">
        <v>385</v>
      </c>
      <c r="E147" s="6" t="s">
        <v>230</v>
      </c>
      <c r="F147" s="36" t="s">
        <v>186</v>
      </c>
      <c r="G147" s="36" t="s">
        <v>200</v>
      </c>
      <c r="H147" s="1" t="str">
        <f t="shared" si="27"/>
        <v>HL</v>
      </c>
      <c r="I147" s="160">
        <f t="shared" si="33"/>
        <v>418.83</v>
      </c>
      <c r="J147" s="10">
        <f>(VLOOKUP($H147,'Standard Estimate Uncertainty '!$B$10:$D$18,2)*$I147)+$I147</f>
        <v>397.88849999999996</v>
      </c>
      <c r="K147" s="10">
        <f>(VLOOKUP($H147,'Standard Estimate Uncertainty '!$B$10:$D$18,3)*$I147)+$I147</f>
        <v>460.71299999999997</v>
      </c>
      <c r="L147" s="10">
        <f t="shared" si="34"/>
        <v>41.88299999999998</v>
      </c>
      <c r="M147" s="199">
        <f t="shared" si="35"/>
        <v>0.0033483676637686573</v>
      </c>
      <c r="N147" s="10">
        <f t="shared" si="37"/>
        <v>40.24737931849926</v>
      </c>
      <c r="O147" s="198">
        <f t="shared" si="36"/>
        <v>0.09609478623426991</v>
      </c>
      <c r="P147" s="10"/>
      <c r="Q147" s="10"/>
      <c r="R147" s="10"/>
      <c r="S147" s="10"/>
      <c r="T147" s="11">
        <v>0</v>
      </c>
      <c r="U147" s="66"/>
      <c r="V147" s="63"/>
      <c r="W147" s="63"/>
      <c r="X147" s="63"/>
      <c r="Y147" s="63"/>
      <c r="Z147" s="63">
        <v>418.83</v>
      </c>
      <c r="AA147" s="43"/>
      <c r="AB147" s="8">
        <f t="shared" si="38"/>
        <v>0</v>
      </c>
      <c r="AC147" s="8">
        <f t="shared" si="38"/>
        <v>0</v>
      </c>
      <c r="AD147" s="8">
        <f t="shared" si="38"/>
        <v>0</v>
      </c>
      <c r="AE147" s="8">
        <f t="shared" si="38"/>
        <v>0</v>
      </c>
      <c r="AF147" s="8">
        <f t="shared" si="38"/>
        <v>1</v>
      </c>
    </row>
    <row r="148" spans="1:32" ht="15">
      <c r="A148">
        <v>85</v>
      </c>
      <c r="B148" s="18" t="s">
        <v>385</v>
      </c>
      <c r="C148" s="18" t="s">
        <v>251</v>
      </c>
      <c r="D148" s="6" t="s">
        <v>385</v>
      </c>
      <c r="E148" s="6" t="s">
        <v>251</v>
      </c>
      <c r="F148" s="36" t="s">
        <v>186</v>
      </c>
      <c r="G148" s="36" t="s">
        <v>200</v>
      </c>
      <c r="H148" s="1" t="str">
        <f t="shared" si="27"/>
        <v>HL</v>
      </c>
      <c r="I148" s="160">
        <f t="shared" si="33"/>
        <v>346</v>
      </c>
      <c r="J148" s="10">
        <f>(VLOOKUP($H148,'Standard Estimate Uncertainty '!$B$10:$D$18,2)*$I148)+$I148</f>
        <v>328.7</v>
      </c>
      <c r="K148" s="10">
        <f>(VLOOKUP($H148,'Standard Estimate Uncertainty '!$B$10:$D$18,3)*$I148)+$I148</f>
        <v>380.6</v>
      </c>
      <c r="L148" s="10">
        <f t="shared" si="34"/>
        <v>34.60000000000002</v>
      </c>
      <c r="M148" s="199">
        <f t="shared" si="35"/>
        <v>0.0027661227984240784</v>
      </c>
      <c r="N148" s="10">
        <f>+M148*M$152</f>
        <v>33.248796037057424</v>
      </c>
      <c r="O148" s="198">
        <f t="shared" si="36"/>
        <v>0.09609478623427001</v>
      </c>
      <c r="P148" s="10"/>
      <c r="Q148" s="10"/>
      <c r="R148" s="10"/>
      <c r="S148" s="10"/>
      <c r="T148" s="11">
        <v>0</v>
      </c>
      <c r="U148" s="66"/>
      <c r="V148" s="63"/>
      <c r="W148" s="63"/>
      <c r="X148" s="63">
        <v>275.78</v>
      </c>
      <c r="Y148" s="63">
        <v>70.22</v>
      </c>
      <c r="Z148" s="63"/>
      <c r="AA148" s="43"/>
      <c r="AB148" s="8">
        <f t="shared" si="38"/>
        <v>0</v>
      </c>
      <c r="AC148" s="8">
        <f t="shared" si="38"/>
        <v>0</v>
      </c>
      <c r="AD148" s="8">
        <f t="shared" si="38"/>
        <v>0.7970520231213872</v>
      </c>
      <c r="AE148" s="8">
        <f t="shared" si="38"/>
        <v>0.2029479768786127</v>
      </c>
      <c r="AF148" s="8">
        <f t="shared" si="38"/>
        <v>0</v>
      </c>
    </row>
    <row r="149" spans="1:32" ht="15">
      <c r="A149">
        <v>89</v>
      </c>
      <c r="B149" s="18" t="s">
        <v>386</v>
      </c>
      <c r="C149" s="18" t="s">
        <v>230</v>
      </c>
      <c r="D149" s="6" t="s">
        <v>386</v>
      </c>
      <c r="E149" s="6" t="s">
        <v>230</v>
      </c>
      <c r="F149" s="36" t="s">
        <v>186</v>
      </c>
      <c r="G149" s="36" t="s">
        <v>200</v>
      </c>
      <c r="H149" s="1" t="str">
        <f t="shared" si="27"/>
        <v>HL</v>
      </c>
      <c r="I149" s="160">
        <f t="shared" si="33"/>
        <v>1453.77</v>
      </c>
      <c r="J149" s="10">
        <f>(VLOOKUP($H149,'Standard Estimate Uncertainty '!$B$10:$D$18,2)*$I149)+$I149</f>
        <v>1381.0815</v>
      </c>
      <c r="K149" s="197">
        <f>(VLOOKUP($H149,'Standard Estimate Uncertainty '!$B$10:$D$18,3)*$I149)+$I149</f>
        <v>1599.147</v>
      </c>
      <c r="L149" s="197">
        <f t="shared" si="34"/>
        <v>145.37699999999995</v>
      </c>
      <c r="M149" s="203">
        <f t="shared" si="35"/>
        <v>0.011622272660881412</v>
      </c>
      <c r="N149" s="197">
        <f>+M149*M$152</f>
        <v>139.69971738379456</v>
      </c>
      <c r="O149" s="198">
        <f t="shared" si="36"/>
        <v>0.09609478623426991</v>
      </c>
      <c r="P149" s="10"/>
      <c r="Q149" s="10"/>
      <c r="R149" s="10"/>
      <c r="S149" s="10"/>
      <c r="T149" s="11">
        <v>0</v>
      </c>
      <c r="U149" s="66"/>
      <c r="V149" s="63">
        <v>144.04</v>
      </c>
      <c r="W149" s="63">
        <v>384.38</v>
      </c>
      <c r="X149" s="63">
        <v>406.23</v>
      </c>
      <c r="Y149" s="63">
        <v>430.8</v>
      </c>
      <c r="Z149" s="63">
        <v>88.32</v>
      </c>
      <c r="AA149" s="43"/>
      <c r="AB149" s="8">
        <f t="shared" si="38"/>
        <v>0.09908032219677115</v>
      </c>
      <c r="AC149" s="8">
        <f t="shared" si="38"/>
        <v>0.26440220942790127</v>
      </c>
      <c r="AD149" s="8">
        <f t="shared" si="38"/>
        <v>0.2794320972368394</v>
      </c>
      <c r="AE149" s="8">
        <f t="shared" si="38"/>
        <v>0.2963329825213067</v>
      </c>
      <c r="AF149" s="8">
        <f t="shared" si="38"/>
        <v>0.06075238861718153</v>
      </c>
    </row>
    <row r="150" spans="2:33" ht="15">
      <c r="B150" s="37"/>
      <c r="C150" s="37"/>
      <c r="D150" s="55"/>
      <c r="E150" s="55"/>
      <c r="F150" s="37"/>
      <c r="G150" s="36" t="s">
        <v>387</v>
      </c>
      <c r="H150" s="7"/>
      <c r="I150" s="10">
        <f aca="true" t="shared" si="39" ref="I150:N150">SUM(I3:I149)</f>
        <v>50848.67999999999</v>
      </c>
      <c r="J150" s="10">
        <f t="shared" si="39"/>
        <v>44067.497500000005</v>
      </c>
      <c r="K150" s="10">
        <f t="shared" si="39"/>
        <v>63357.16300000003</v>
      </c>
      <c r="L150" s="10">
        <f t="shared" si="39"/>
        <v>12508.483000000004</v>
      </c>
      <c r="M150" s="202">
        <f t="shared" si="39"/>
        <v>0.9999999999999998</v>
      </c>
      <c r="N150" s="202">
        <f t="shared" si="39"/>
        <v>12020.000000000002</v>
      </c>
      <c r="O150" s="199">
        <f t="shared" si="36"/>
        <v>0.2363876505742136</v>
      </c>
      <c r="P150" s="10"/>
      <c r="Q150" s="10"/>
      <c r="R150" s="10"/>
      <c r="S150" s="10"/>
      <c r="T150" s="12">
        <f>SUM(T3:T149)</f>
        <v>-499.9</v>
      </c>
      <c r="U150" s="66"/>
      <c r="V150" s="61">
        <f>SUM(V3:V149)</f>
        <v>6204.6</v>
      </c>
      <c r="W150" s="61">
        <f>SUM(W3:W149)</f>
        <v>14392.4</v>
      </c>
      <c r="X150" s="61">
        <f>SUM(X3:X149)</f>
        <v>15066.300000000001</v>
      </c>
      <c r="Y150" s="61">
        <f>SUM(Y3:Y149)</f>
        <v>12583.029999999997</v>
      </c>
      <c r="Z150" s="61">
        <f>SUM(Z3:Z149)</f>
        <v>2602.350000000001</v>
      </c>
      <c r="AA150" s="43"/>
      <c r="AB150" s="8">
        <f t="shared" si="38"/>
        <v>0.12202086661836652</v>
      </c>
      <c r="AC150" s="8">
        <f t="shared" si="38"/>
        <v>0.2830437289620891</v>
      </c>
      <c r="AD150" s="8">
        <f t="shared" si="38"/>
        <v>0.29629677702548035</v>
      </c>
      <c r="AE150" s="8">
        <f t="shared" si="38"/>
        <v>0.24746030772086902</v>
      </c>
      <c r="AF150" s="8">
        <f t="shared" si="38"/>
        <v>0.05117831967319508</v>
      </c>
      <c r="AG150" s="9">
        <f>SUM(AB150:AF150)</f>
        <v>1</v>
      </c>
    </row>
    <row r="151" spans="4:26" ht="15">
      <c r="D151" s="7"/>
      <c r="E151" s="7"/>
      <c r="F151"/>
      <c r="G151" s="38" t="s">
        <v>388</v>
      </c>
      <c r="I151" s="10">
        <v>67306</v>
      </c>
      <c r="J151" s="39">
        <f>(J150/I150)-1</f>
        <v>-0.13336004985773453</v>
      </c>
      <c r="K151" s="39">
        <f>(K150/I150)-1</f>
        <v>0.24599425196485014</v>
      </c>
      <c r="L151" s="39"/>
      <c r="N151" s="39"/>
      <c r="O151" s="39"/>
      <c r="P151" s="39"/>
      <c r="Q151" s="39"/>
      <c r="R151" s="39"/>
      <c r="S151" s="39"/>
      <c r="V151" s="64">
        <f>SUM(V150:Z150)</f>
        <v>50848.68</v>
      </c>
      <c r="W151" s="7"/>
      <c r="X151" s="7"/>
      <c r="Y151" s="7"/>
      <c r="Z151" s="7"/>
    </row>
    <row r="152" spans="6:21" ht="15">
      <c r="F152"/>
      <c r="G152" s="36" t="s">
        <v>389</v>
      </c>
      <c r="I152" s="10">
        <f>SUM(I150:I151)</f>
        <v>118154.68</v>
      </c>
      <c r="J152" s="4"/>
      <c r="K152" s="4"/>
      <c r="L152" s="201" t="s">
        <v>631</v>
      </c>
      <c r="M152" s="200">
        <v>12020</v>
      </c>
      <c r="N152" s="4"/>
      <c r="O152" s="4"/>
      <c r="P152" s="4"/>
      <c r="Q152" s="4"/>
      <c r="R152" s="4"/>
      <c r="S152" s="4"/>
      <c r="T152" s="4"/>
      <c r="U152" s="67"/>
    </row>
    <row r="154" spans="3:21" ht="15">
      <c r="C154" s="3"/>
      <c r="J154" s="5"/>
      <c r="K154" s="5"/>
      <c r="L154" s="5"/>
      <c r="M154" s="5"/>
      <c r="N154" s="5"/>
      <c r="O154" s="5"/>
      <c r="P154" s="5"/>
      <c r="Q154" s="5"/>
      <c r="R154" s="5"/>
      <c r="S154" s="5"/>
      <c r="T154" s="5"/>
      <c r="U154" s="68"/>
    </row>
    <row r="155" spans="3:21" ht="15">
      <c r="C155" s="3"/>
      <c r="D155" s="59"/>
      <c r="E155" s="59"/>
      <c r="J155" s="5"/>
      <c r="K155" s="5"/>
      <c r="L155" s="5"/>
      <c r="M155" s="5"/>
      <c r="N155" s="5"/>
      <c r="O155" s="5"/>
      <c r="P155" s="5"/>
      <c r="Q155" s="5"/>
      <c r="R155" s="5"/>
      <c r="S155" s="5"/>
      <c r="T155" s="5"/>
      <c r="U155" s="68"/>
    </row>
    <row r="156" spans="3:5" ht="15">
      <c r="C156" s="3"/>
      <c r="D156" s="59"/>
      <c r="E156" s="59"/>
    </row>
    <row r="157" spans="4:5" ht="15">
      <c r="D157" s="59"/>
      <c r="E157" s="59"/>
    </row>
  </sheetData>
  <mergeCells count="14">
    <mergeCell ref="AB1:AF1"/>
    <mergeCell ref="J1:K1"/>
    <mergeCell ref="F10:G10"/>
    <mergeCell ref="F9:G9"/>
    <mergeCell ref="F140:G140"/>
    <mergeCell ref="F145:G145"/>
    <mergeCell ref="F146:G146"/>
    <mergeCell ref="F18:G18"/>
    <mergeCell ref="F137:G137"/>
    <mergeCell ref="F133:G133"/>
    <mergeCell ref="F20:G20"/>
    <mergeCell ref="F19:G19"/>
    <mergeCell ref="F106:G106"/>
    <mergeCell ref="F22:G22"/>
  </mergeCells>
  <printOptions gridLines="1"/>
  <pageMargins left="0.38" right="0.73" top="0.63" bottom="0.43" header="0.17" footer="0.32"/>
  <pageSetup fitToHeight="3" fitToWidth="1" horizontalDpi="600" verticalDpi="600" orientation="landscape" scale="68" r:id="rId4"/>
  <headerFooter alignWithMargins="0">
    <oddFooter>&amp;L&amp;F&amp;Cpage &amp;P of  &amp;N&amp;R&amp;D   &amp;T</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pane xSplit="6" ySplit="3" topLeftCell="G4" activePane="bottomRight" state="frozen"/>
      <selection pane="topLeft" activeCell="A1" sqref="A1"/>
      <selection pane="topRight" activeCell="G1" sqref="G1"/>
      <selection pane="bottomLeft" activeCell="A4" sqref="A4"/>
      <selection pane="bottomRight" activeCell="A1" sqref="A1:J20"/>
    </sheetView>
  </sheetViews>
  <sheetFormatPr defaultColWidth="9.140625" defaultRowHeight="12.75"/>
  <cols>
    <col min="1" max="1" width="4.28125" style="6" customWidth="1"/>
    <col min="2" max="2" width="68.00390625" style="6" customWidth="1"/>
    <col min="3" max="4" width="11.57421875" style="54" customWidth="1"/>
    <col min="5" max="5" width="9.7109375" style="54" customWidth="1"/>
    <col min="6" max="6" width="7.8515625" style="54" customWidth="1"/>
    <col min="7" max="7" width="9.421875" style="6" customWidth="1"/>
    <col min="8" max="8" width="10.7109375" style="6" customWidth="1"/>
    <col min="9" max="9" width="10.57421875" style="6" customWidth="1"/>
    <col min="10" max="10" width="11.140625" style="6" customWidth="1"/>
    <col min="11" max="16384" width="9.140625" style="6" customWidth="1"/>
  </cols>
  <sheetData>
    <row r="1" ht="18">
      <c r="A1" s="69" t="s">
        <v>395</v>
      </c>
    </row>
    <row r="2" spans="1:6" ht="12.75">
      <c r="A2" s="47"/>
      <c r="C2" s="48"/>
      <c r="D2" s="48"/>
      <c r="E2" s="273" t="s">
        <v>396</v>
      </c>
      <c r="F2" s="273"/>
    </row>
    <row r="3" spans="1:10" ht="63.75">
      <c r="A3" s="49" t="s">
        <v>397</v>
      </c>
      <c r="C3" s="70" t="s">
        <v>546</v>
      </c>
      <c r="D3" s="70" t="s">
        <v>403</v>
      </c>
      <c r="E3" s="50" t="s">
        <v>170</v>
      </c>
      <c r="F3" s="50" t="s">
        <v>172</v>
      </c>
      <c r="G3" s="70" t="s">
        <v>404</v>
      </c>
      <c r="H3" s="70" t="s">
        <v>548</v>
      </c>
      <c r="I3" s="70" t="s">
        <v>405</v>
      </c>
      <c r="J3" s="70" t="s">
        <v>547</v>
      </c>
    </row>
    <row r="4" ht="12.75"/>
    <row r="5" ht="12.75">
      <c r="A5" s="71" t="s">
        <v>398</v>
      </c>
    </row>
    <row r="6" spans="1:9" ht="12.75">
      <c r="A6" s="6" t="s">
        <v>399</v>
      </c>
      <c r="C6" s="72">
        <v>4.43</v>
      </c>
      <c r="D6" s="54" t="s">
        <v>179</v>
      </c>
      <c r="E6" s="73">
        <f>(VLOOKUP($D6,'Standard Estimate Uncertainty '!$B$10:$D$18,2)*$C6)+$C6</f>
        <v>3.5439999999999996</v>
      </c>
      <c r="F6" s="73">
        <f>(VLOOKUP($D6,'Standard Estimate Uncertainty '!$B$10:$D$18,3)*$C6)+$C6</f>
        <v>6.202</v>
      </c>
      <c r="G6" s="74">
        <v>6.201999999999999</v>
      </c>
      <c r="H6" s="6">
        <v>0</v>
      </c>
      <c r="I6" s="6">
        <f>H6</f>
        <v>0</v>
      </c>
    </row>
    <row r="7" spans="1:9" ht="12.75">
      <c r="A7" s="6" t="s">
        <v>539</v>
      </c>
      <c r="C7" s="72">
        <v>1.42</v>
      </c>
      <c r="D7" s="54" t="s">
        <v>184</v>
      </c>
      <c r="E7" s="73">
        <f>(VLOOKUP($D7,'Standard Estimate Uncertainty '!$B$10:$D$18,2)*$C7)+$C7</f>
        <v>1.278</v>
      </c>
      <c r="F7" s="73">
        <f>(VLOOKUP($D7,'Standard Estimate Uncertainty '!$B$10:$D$18,3)*$C7)+$C7</f>
        <v>1.633</v>
      </c>
      <c r="G7" s="74">
        <v>1.6329999999999998</v>
      </c>
      <c r="H7" s="6">
        <v>0</v>
      </c>
      <c r="I7" s="6">
        <f>H7</f>
        <v>0</v>
      </c>
    </row>
    <row r="8" spans="1:7" ht="12.75">
      <c r="A8" s="6" t="s">
        <v>540</v>
      </c>
      <c r="C8" s="72"/>
      <c r="E8" s="73"/>
      <c r="F8" s="73"/>
      <c r="G8" s="74"/>
    </row>
    <row r="9" spans="2:10" ht="12.75">
      <c r="B9" s="6" t="s">
        <v>541</v>
      </c>
      <c r="C9" s="72">
        <v>6.76</v>
      </c>
      <c r="D9" s="54" t="s">
        <v>177</v>
      </c>
      <c r="E9" s="73">
        <f>(VLOOKUP($D9,'Standard Estimate Uncertainty '!$B$10:$D$18,2)*$C9)+$C9</f>
        <v>4.731999999999999</v>
      </c>
      <c r="F9" s="73">
        <f>(VLOOKUP($D9,'Standard Estimate Uncertainty '!$B$10:$D$18,3)*$C9)+$C9</f>
        <v>10.815999999999999</v>
      </c>
      <c r="G9" s="74">
        <v>6.8</v>
      </c>
      <c r="H9" s="6">
        <v>0</v>
      </c>
      <c r="I9" s="6">
        <f>IF(H9&gt;G9,G9,H9)</f>
        <v>0</v>
      </c>
      <c r="J9" s="6">
        <f>IF(H9&gt;G9,(H9-G9)*'Misc Inputs'!$F$25,0)</f>
        <v>0</v>
      </c>
    </row>
    <row r="10" spans="2:10" ht="12.75">
      <c r="B10" s="6" t="s">
        <v>542</v>
      </c>
      <c r="C10" s="72">
        <v>4.5</v>
      </c>
      <c r="D10" s="54" t="s">
        <v>177</v>
      </c>
      <c r="E10" s="73">
        <f>(VLOOKUP($D10,'Standard Estimate Uncertainty '!$B$10:$D$18,2)*$C10)+$C10</f>
        <v>3.1500000000000004</v>
      </c>
      <c r="F10" s="73">
        <f>(VLOOKUP($D10,'Standard Estimate Uncertainty '!$B$10:$D$18,3)*$C10)+$C10</f>
        <v>7.199999999999999</v>
      </c>
      <c r="G10" s="74">
        <v>4.5</v>
      </c>
      <c r="H10" s="6">
        <v>0</v>
      </c>
      <c r="I10" s="6">
        <f>IF(H10&gt;G10,G10,H10)</f>
        <v>0</v>
      </c>
      <c r="J10" s="6">
        <f>IF(H10&gt;G10,(H10-G10)*'Misc Inputs'!$F$25,0)</f>
        <v>0</v>
      </c>
    </row>
    <row r="11" spans="1:10" ht="12.75">
      <c r="A11" s="6" t="s">
        <v>543</v>
      </c>
      <c r="C11" s="72"/>
      <c r="G11" s="74"/>
      <c r="J11" s="6">
        <f>IF(H11&gt;G11,(H11-G11)*'Misc Inputs'!$F$25,0)</f>
        <v>0</v>
      </c>
    </row>
    <row r="12" spans="2:10" ht="12.75">
      <c r="B12" s="6" t="s">
        <v>544</v>
      </c>
      <c r="C12" s="72">
        <v>8.66</v>
      </c>
      <c r="D12" s="54" t="s">
        <v>179</v>
      </c>
      <c r="E12" s="73">
        <f>(VLOOKUP($D12,'Standard Estimate Uncertainty '!$B$10:$D$18,2)*$C12)+$C12</f>
        <v>6.928</v>
      </c>
      <c r="F12" s="73">
        <f>(VLOOKUP($D12,'Standard Estimate Uncertainty '!$B$10:$D$18,3)*$C12)+$C12</f>
        <v>12.124</v>
      </c>
      <c r="G12" s="74">
        <v>8.7</v>
      </c>
      <c r="H12" s="6">
        <v>0</v>
      </c>
      <c r="I12" s="6">
        <f>IF(H12&gt;G12,G12,H12)</f>
        <v>0</v>
      </c>
      <c r="J12" s="6">
        <f>IF(I12&gt;H12,H12,I12)</f>
        <v>0</v>
      </c>
    </row>
    <row r="13" spans="1:9" ht="12.75">
      <c r="A13" s="6" t="s">
        <v>545</v>
      </c>
      <c r="C13" s="72">
        <v>18.48</v>
      </c>
      <c r="D13" s="54" t="s">
        <v>179</v>
      </c>
      <c r="E13" s="73">
        <f>(VLOOKUP($D13,'Standard Estimate Uncertainty '!$B$10:$D$18,2)*$C13)+$C13</f>
        <v>14.784</v>
      </c>
      <c r="F13" s="73">
        <f>(VLOOKUP($D13,'Standard Estimate Uncertainty '!$B$10:$D$18,3)*$C13)+$C13</f>
        <v>25.872</v>
      </c>
      <c r="G13" s="74">
        <v>25.872</v>
      </c>
      <c r="H13" s="6">
        <v>0</v>
      </c>
      <c r="I13" s="6">
        <f>H13</f>
        <v>0</v>
      </c>
    </row>
    <row r="14" spans="1:9" ht="12.75">
      <c r="A14" s="6" t="s">
        <v>400</v>
      </c>
      <c r="C14" s="72">
        <v>1</v>
      </c>
      <c r="D14" s="54" t="s">
        <v>183</v>
      </c>
      <c r="E14" s="73">
        <f>(VLOOKUP($D14,'Standard Estimate Uncertainty '!$B$10:$D$18,2)*$C14)+$C14</f>
        <v>0.95</v>
      </c>
      <c r="F14" s="73">
        <f>(VLOOKUP($D14,'Standard Estimate Uncertainty '!$B$10:$D$18,3)*$C14)+$C14</f>
        <v>1.1</v>
      </c>
      <c r="G14" s="74">
        <f>F14</f>
        <v>1.1</v>
      </c>
      <c r="H14" s="6">
        <v>0</v>
      </c>
      <c r="I14" s="6">
        <f>H14</f>
        <v>0</v>
      </c>
    </row>
    <row r="15" spans="3:7" ht="12.75">
      <c r="C15" s="73"/>
      <c r="E15" s="73"/>
      <c r="F15" s="73"/>
      <c r="G15" s="74"/>
    </row>
    <row r="16" spans="3:10" ht="12.75">
      <c r="C16" s="73">
        <f>SUM(C6:C14)</f>
        <v>45.25</v>
      </c>
      <c r="E16" s="73">
        <f>SUM(E6:E14)</f>
        <v>35.366</v>
      </c>
      <c r="F16" s="73">
        <f>SUM(F6:F14)</f>
        <v>64.947</v>
      </c>
      <c r="G16" s="74">
        <f>SUM(G6:G14)</f>
        <v>54.806999999999995</v>
      </c>
      <c r="I16" s="6">
        <f>SUM(I6:I14)</f>
        <v>0</v>
      </c>
      <c r="J16" s="6">
        <f>SUM(J6:J14)</f>
        <v>0</v>
      </c>
    </row>
    <row r="17" spans="3:6" ht="12.75">
      <c r="C17" s="73"/>
      <c r="E17" s="73"/>
      <c r="F17" s="73"/>
    </row>
    <row r="18" spans="2:6" ht="12.75">
      <c r="B18" s="58"/>
      <c r="C18" s="73"/>
      <c r="E18" s="73"/>
      <c r="F18" s="73"/>
    </row>
    <row r="19" spans="2:6" ht="12.75">
      <c r="B19" s="58"/>
      <c r="C19" s="73"/>
      <c r="E19" s="73"/>
      <c r="F19" s="73"/>
    </row>
    <row r="20" spans="2:4" ht="12.75">
      <c r="B20" s="6" t="s">
        <v>401</v>
      </c>
      <c r="C20" s="75">
        <f>'Misc Inputs'!F16</f>
        <v>201.75</v>
      </c>
      <c r="D20" s="54" t="s">
        <v>402</v>
      </c>
    </row>
  </sheetData>
  <mergeCells count="1">
    <mergeCell ref="E2:F2"/>
  </mergeCells>
  <printOptions gridLines="1"/>
  <pageMargins left="0.33" right="0.75" top="1" bottom="1" header="0.5" footer="0.5"/>
  <pageSetup fitToHeight="1" fitToWidth="1" horizontalDpi="1200" verticalDpi="1200" orientation="landscape" scale="82" r:id="rId4"/>
  <headerFooter alignWithMargins="0">
    <oddFooter>&amp;R&amp;F     &amp;A      &amp;T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O. Gruber</dc:creator>
  <cp:keywords/>
  <dc:description/>
  <cp:lastModifiedBy>rstrykowsky</cp:lastModifiedBy>
  <cp:lastPrinted>2007-07-30T11:29:23Z</cp:lastPrinted>
  <dcterms:created xsi:type="dcterms:W3CDTF">2007-05-16T14:21:14Z</dcterms:created>
  <dcterms:modified xsi:type="dcterms:W3CDTF">2007-08-01T15:16:22Z</dcterms:modified>
  <cp:category/>
  <cp:version/>
  <cp:contentType/>
  <cp:contentStatus/>
</cp:coreProperties>
</file>